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shboard" sheetId="1" state="visible" r:id="rId1"/>
    <sheet name="Grocery Planner" sheetId="2" state="visible" r:id="rId2"/>
    <sheet name="Settings" sheetId="3" state="visible" r:id="rId3"/>
    <sheet name="Accounts" sheetId="4" state="visible" r:id="rId4"/>
    <sheet name="Expenses" sheetId="5" state="visible" r:id="rId5"/>
    <sheet name="Income" sheetId="6" state="visible" r:id="rId6"/>
    <sheet name="Transfers" sheetId="7" state="visible" r:id="rId7"/>
    <sheet name="Balances" sheetId="8" state="visible" r:id="rId8"/>
    <sheet name="Monthly Overview GBP" sheetId="9" state="visible" r:id="rId9"/>
    <sheet name="Monthly Overview INR" sheetId="10" state="visible" r:id="rId10"/>
    <sheet name="Cashflow GBP" sheetId="11" state="visible" r:id="rId11"/>
    <sheet name="Cashflow INR" sheetId="12" state="visible" r:id="rId12"/>
    <sheet name="Itemised GBP" sheetId="13" state="visible" r:id="rId13"/>
    <sheet name="Itemised INR" sheetId="14" state="visible" r:id="rId14"/>
    <sheet name="Debt Tracker" sheetId="15" state="visible" r:id="rId15"/>
    <sheet name="Savings Goals" sheetId="16" state="visible" r:id="rId16"/>
    <sheet name="Recurring Forecast" sheetId="17" state="visible" r:id="rId17"/>
    <sheet name="Year-on-Year" sheetId="18" state="visible" r:id="rId18"/>
    <sheet name="Currency Conversion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\£#,##0.00"/>
    <numFmt numFmtId="165" formatCode="\₹#,##0.00"/>
    <numFmt numFmtId="166" formatCode="DD MMM YYYY"/>
    <numFmt numFmtId="167" formatCode="M/d/yyyy"/>
    <numFmt numFmtId="168" formatCode="£#,##0.00"/>
    <numFmt numFmtId="169" formatCode="DD/MM/YYYY"/>
    <numFmt numFmtId="170" formatCode="£#,##0.000"/>
    <numFmt numFmtId="171" formatCode="0.000000"/>
    <numFmt numFmtId="172" formatCode="0.0%"/>
    <numFmt numFmtId="173" formatCode="dd/mm/yyyy"/>
    <numFmt numFmtId="174" formatCode="dd\ mmm\ yy"/>
    <numFmt numFmtId="175" formatCode="0.0000"/>
    <numFmt numFmtId="176" formatCode="&quot;As of &quot;DD MMMM YYYY"/>
  </numFmts>
  <fonts count="50">
    <font>
      <name val="Calibri"/>
      <color theme="1"/>
      <sz val="11"/>
      <scheme val="minor"/>
    </font>
    <font>
      <name val="Arial"/>
      <b val="1"/>
      <color rgb="FF1F3864"/>
      <sz val="18"/>
    </font>
    <font>
      <name val="Calibri"/>
      <color theme="1"/>
      <sz val="11"/>
    </font>
    <font>
      <name val="Arial"/>
      <color rgb="FF666666"/>
      <sz val="12"/>
    </font>
    <font>
      <name val="Arial"/>
      <b val="1"/>
      <color rgb="FFFFFFFF"/>
      <sz val="11"/>
    </font>
    <font/>
    <font>
      <name val="Arial"/>
      <b val="1"/>
      <color theme="1"/>
      <sz val="10"/>
    </font>
    <font>
      <name val="Arial"/>
      <b val="1"/>
      <color rgb="FF1F3864"/>
      <sz val="16"/>
    </font>
    <font>
      <name val="Calibri"/>
      <b val="1"/>
      <color theme="1"/>
      <sz val="18"/>
    </font>
    <font>
      <name val="Arial"/>
      <color theme="1"/>
      <sz val="10"/>
    </font>
    <font>
      <name val="Arial"/>
      <color rgb="FF008000"/>
      <sz val="10"/>
    </font>
    <font>
      <name val="Arial"/>
      <b val="1"/>
      <color rgb="FFFFFFFF"/>
      <sz val="24"/>
    </font>
    <font>
      <name val="Arial"/>
      <i val="1"/>
      <color rgb="FFAAAAAA"/>
      <sz val="10"/>
    </font>
    <font>
      <name val="Arial"/>
      <b val="1"/>
      <color rgb="FF546E7A"/>
      <sz val="10"/>
    </font>
    <font>
      <name val="Arial"/>
      <b val="1"/>
      <color rgb="FF1565C0"/>
      <sz val="12"/>
    </font>
    <font>
      <name val="Arial"/>
      <b val="1"/>
      <color rgb="FF1B5E20"/>
      <sz val="13"/>
    </font>
    <font>
      <name val="Arial"/>
      <i val="1"/>
      <color rgb="FF546E7A"/>
      <sz val="9"/>
    </font>
    <font>
      <name val="Arial"/>
      <b val="1"/>
      <color rgb="FFFFFFFF"/>
      <sz val="9"/>
    </font>
    <font>
      <name val="Arial"/>
      <b val="1"/>
      <color rgb="FF1B5E20"/>
      <sz val="15"/>
    </font>
    <font>
      <name val="Arial"/>
      <b val="1"/>
      <color rgb="FFE65100"/>
      <sz val="15"/>
    </font>
    <font>
      <name val="Arial"/>
      <b val="1"/>
      <color rgb="FF1565C0"/>
      <sz val="15"/>
    </font>
    <font>
      <name val="Arial"/>
      <b val="1"/>
      <color rgb="FFB71C1C"/>
      <sz val="15"/>
    </font>
    <font>
      <name val="Arial"/>
      <color rgb="FF000000"/>
      <sz val="10"/>
    </font>
    <font>
      <name val="Arial"/>
      <b val="1"/>
      <color rgb="FFFFFFFF"/>
      <sz val="12"/>
    </font>
    <font>
      <name val="Arial"/>
      <b val="1"/>
      <color rgb="FF1E2D3D"/>
      <sz val="10"/>
    </font>
    <font>
      <name val="Arial"/>
      <b val="1"/>
      <color rgb="FFFFFFFF"/>
      <sz val="13"/>
    </font>
    <font>
      <name val="Arial"/>
      <b val="1"/>
      <color rgb="FFFFFFFF"/>
      <sz val="10"/>
    </font>
    <font>
      <name val="Arial"/>
      <b val="1"/>
      <color rgb="FF546E7A"/>
      <sz val="9"/>
    </font>
    <font>
      <name val="Arial"/>
      <b val="1"/>
      <color rgb="FF1E2D3D"/>
      <sz val="13"/>
    </font>
    <font>
      <name val="Arial"/>
      <color rgb="FF333333"/>
      <sz val="8"/>
    </font>
    <font>
      <name val="Arial"/>
      <b val="1"/>
      <color rgb="FF1565C0"/>
      <sz val="13"/>
    </font>
    <font>
      <name val="Arial"/>
      <b val="1"/>
      <color rgb="FF333333"/>
      <sz val="10"/>
    </font>
    <font>
      <name val="Arial"/>
      <b val="1"/>
      <color rgb="FF1F3864"/>
      <sz val="14"/>
    </font>
    <font>
      <name val="Arial"/>
      <color rgb="FF0000FF"/>
      <sz val="10"/>
    </font>
    <font>
      <name val="Calibri"/>
      <color theme="1"/>
      <sz val="18"/>
    </font>
    <font>
      <name val="Calibri"/>
      <color theme="1"/>
      <sz val="14"/>
    </font>
    <font>
      <name val="Calibri"/>
      <color theme="1"/>
    </font>
    <font>
      <name val="Arial"/>
      <strike val="1"/>
      <color rgb="00546E7A"/>
      <sz val="10"/>
    </font>
    <font>
      <name val="Arial"/>
      <strike val="0"/>
      <color rgb="00000000"/>
      <sz val="10"/>
    </font>
    <font>
      <name val="Arial"/>
      <b val="1"/>
      <strike val="0"/>
      <color rgb="00FFFFFF"/>
      <sz val="26"/>
    </font>
    <font>
      <name val="Arial"/>
      <i val="1"/>
      <strike val="0"/>
      <color rgb="00AAAAAA"/>
      <sz val="11"/>
    </font>
    <font>
      <name val="Arial"/>
      <i val="1"/>
      <strike val="0"/>
      <color rgb="00888888"/>
      <sz val="10"/>
    </font>
    <font>
      <name val="Arial"/>
      <b val="1"/>
      <strike val="0"/>
      <color rgb="00FFFFFF"/>
      <sz val="10"/>
    </font>
    <font>
      <name val="Arial"/>
      <b val="1"/>
      <strike val="0"/>
      <color rgb="00FFFFFF"/>
      <sz val="9"/>
    </font>
    <font>
      <name val="Arial"/>
      <b val="1"/>
      <strike val="0"/>
      <color rgb="00B71C1C"/>
      <sz val="20"/>
    </font>
    <font>
      <name val="Arial"/>
      <b val="1"/>
      <strike val="0"/>
      <color rgb="001B5E20"/>
      <sz val="20"/>
    </font>
    <font>
      <name val="Arial"/>
      <b val="1"/>
      <strike val="0"/>
      <color rgb="001565C0"/>
      <sz val="20"/>
    </font>
    <font>
      <name val="Arial"/>
      <b val="1"/>
      <strike val="0"/>
      <color rgb="004A148C"/>
      <sz val="20"/>
    </font>
    <font>
      <name val="Arial"/>
      <b val="1"/>
      <strike val="0"/>
      <color rgb="0000695C"/>
      <sz val="20"/>
    </font>
    <font>
      <name val="Arial"/>
      <i val="1"/>
      <strike val="0"/>
      <color rgb="00546E7A"/>
      <sz val="9"/>
    </font>
  </fonts>
  <fills count="59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6E4F0"/>
        <bgColor rgb="FFD6E4F0"/>
      </patternFill>
    </fill>
    <fill>
      <patternFill patternType="solid">
        <fgColor rgb="FF7030A0"/>
        <bgColor rgb="FF7030A0"/>
      </patternFill>
    </fill>
    <fill>
      <patternFill patternType="solid">
        <fgColor rgb="FFFFC000"/>
        <bgColor rgb="FFFFC000"/>
      </patternFill>
    </fill>
    <fill>
      <patternFill patternType="solid">
        <fgColor rgb="FF375623"/>
        <bgColor rgb="FF375623"/>
      </patternFill>
    </fill>
    <fill>
      <patternFill patternType="solid">
        <fgColor rgb="FF800000"/>
        <bgColor rgb="FF800000"/>
      </patternFill>
    </fill>
    <fill>
      <patternFill patternType="solid">
        <fgColor rgb="FF1E2D3D"/>
        <bgColor rgb="FF1E2D3D"/>
      </patternFill>
    </fill>
    <fill>
      <patternFill patternType="solid">
        <fgColor rgb="FF2C3E50"/>
        <bgColor rgb="FF2C3E50"/>
      </patternFill>
    </fill>
    <fill>
      <patternFill patternType="solid">
        <fgColor rgb="FFFFFDE7"/>
        <bgColor rgb="FFFFFDE7"/>
      </patternFill>
    </fill>
    <fill>
      <patternFill patternType="solid">
        <fgColor rgb="FFC8E6C9"/>
        <bgColor rgb="FFC8E6C9"/>
      </patternFill>
    </fill>
    <fill>
      <patternFill patternType="solid">
        <fgColor rgb="FF2E7D32"/>
        <bgColor rgb="FF2E7D32"/>
      </patternFill>
    </fill>
    <fill>
      <patternFill patternType="solid">
        <fgColor rgb="FFE8F5E9"/>
        <bgColor rgb="FFE8F5E9"/>
      </patternFill>
    </fill>
    <fill>
      <patternFill patternType="solid">
        <fgColor rgb="FFE65100"/>
        <bgColor rgb="FFE65100"/>
      </patternFill>
    </fill>
    <fill>
      <patternFill patternType="solid">
        <fgColor rgb="FFFFF3E0"/>
        <bgColor rgb="FFFFF3E0"/>
      </patternFill>
    </fill>
    <fill>
      <patternFill patternType="solid">
        <fgColor rgb="FF1565C0"/>
        <bgColor rgb="FF1565C0"/>
      </patternFill>
    </fill>
    <fill>
      <patternFill patternType="solid">
        <fgColor rgb="FFE3F2FD"/>
        <bgColor rgb="FFE3F2FD"/>
      </patternFill>
    </fill>
    <fill>
      <patternFill patternType="solid">
        <fgColor rgb="FFFFCDD2"/>
        <bgColor rgb="FFFFCDD2"/>
      </patternFill>
    </fill>
    <fill>
      <patternFill patternType="solid">
        <fgColor rgb="FF00695C"/>
        <bgColor rgb="FF00695C"/>
      </patternFill>
    </fill>
    <fill>
      <patternFill patternType="solid">
        <fgColor rgb="FFFFFFFF"/>
        <bgColor rgb="FFFFFFFF"/>
      </patternFill>
    </fill>
    <fill>
      <patternFill patternType="solid">
        <fgColor rgb="FFECEFF1"/>
        <bgColor rgb="FFECEFF1"/>
      </patternFill>
    </fill>
    <fill>
      <patternFill patternType="solid">
        <fgColor rgb="FFBF360C"/>
        <bgColor rgb="FFBF360C"/>
      </patternFill>
    </fill>
    <fill>
      <patternFill patternType="solid">
        <fgColor rgb="FFFBE9E7"/>
        <bgColor rgb="FFFBE9E7"/>
      </patternFill>
    </fill>
    <fill>
      <patternFill patternType="solid">
        <fgColor rgb="FF4A148C"/>
        <bgColor rgb="FF4A148C"/>
      </patternFill>
    </fill>
    <fill>
      <patternFill patternType="solid">
        <fgColor rgb="FFF3E5F5"/>
        <bgColor rgb="FFF3E5F5"/>
      </patternFill>
    </fill>
    <fill>
      <patternFill patternType="solid">
        <fgColor rgb="FFD0D0D0"/>
        <bgColor rgb="FFD0D0D0"/>
      </patternFill>
    </fill>
    <fill>
      <patternFill patternType="solid">
        <fgColor rgb="FF546E7A"/>
        <bgColor rgb="FF546E7A"/>
      </patternFill>
    </fill>
    <fill>
      <patternFill patternType="solid">
        <fgColor rgb="FFB71C1C"/>
        <bgColor rgb="FFB71C1C"/>
      </patternFill>
    </fill>
    <fill>
      <patternFill patternType="solid">
        <fgColor rgb="FFFF8F00"/>
        <bgColor rgb="FFFF8F00"/>
      </patternFill>
    </fill>
    <fill>
      <patternFill patternType="solid">
        <fgColor rgb="FFF9A825"/>
        <bgColor rgb="FFF9A825"/>
      </patternFill>
    </fill>
    <fill>
      <patternFill patternType="solid">
        <fgColor rgb="FF404040"/>
        <bgColor rgb="FF404040"/>
      </patternFill>
    </fill>
    <fill>
      <patternFill patternType="solid">
        <fgColor rgb="FFFFF2CC"/>
        <bgColor rgb="FFFFF2CC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C00000"/>
        <bgColor rgb="FFC00000"/>
      </patternFill>
    </fill>
    <fill>
      <patternFill patternType="solid">
        <fgColor rgb="FF008000"/>
        <bgColor rgb="FF008000"/>
      </patternFill>
    </fill>
    <fill>
      <patternFill patternType="solid">
        <fgColor rgb="FFED7D31"/>
        <bgColor rgb="FFED7D31"/>
      </patternFill>
    </fill>
    <fill>
      <patternFill patternType="solid">
        <fgColor rgb="FF2E75B6"/>
        <bgColor rgb="FF2E75B6"/>
      </patternFill>
    </fill>
    <fill>
      <patternFill patternType="solid">
        <fgColor rgb="FF00B050"/>
        <bgColor rgb="FF00B050"/>
      </patternFill>
    </fill>
    <fill>
      <patternFill patternType="solid">
        <fgColor rgb="FFBF8F00"/>
        <bgColor rgb="FFBF8F00"/>
      </patternFill>
    </fill>
    <fill>
      <patternFill patternType="solid">
        <fgColor rgb="FF5B9BD5"/>
        <bgColor rgb="FF5B9BD5"/>
      </patternFill>
    </fill>
    <fill>
      <patternFill patternType="solid">
        <fgColor rgb="FF008080"/>
        <bgColor rgb="FF008080"/>
      </patternFill>
    </fill>
    <fill>
      <patternFill patternType="solid">
        <fgColor rgb="00ECEFF1"/>
      </patternFill>
    </fill>
    <fill>
      <patternFill patternType="solid">
        <fgColor rgb="00FFFFFF"/>
      </patternFill>
    </fill>
    <fill>
      <patternFill patternType="solid">
        <fgColor rgb="001E2D3D"/>
      </patternFill>
    </fill>
    <fill>
      <patternFill patternType="solid">
        <fgColor rgb="002C3E50"/>
      </patternFill>
    </fill>
    <fill>
      <patternFill patternType="solid">
        <fgColor rgb="0000695C"/>
      </patternFill>
    </fill>
    <fill>
      <patternFill patternType="solid">
        <fgColor rgb="00B71C1C"/>
      </patternFill>
    </fill>
    <fill>
      <patternFill patternType="solid">
        <fgColor rgb="00FFCDD2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4A148C"/>
      </patternFill>
    </fill>
    <fill>
      <patternFill patternType="solid">
        <fgColor rgb="00F3E5F5"/>
      </patternFill>
    </fill>
    <fill>
      <patternFill patternType="solid">
        <fgColor rgb="00E0F2F1"/>
      </patternFill>
    </fill>
    <fill>
      <patternFill patternType="solid">
        <fgColor rgb="001A237E"/>
      </patternFill>
    </fill>
    <fill>
      <patternFill patternType="solid">
        <fgColor rgb="00546E7A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/>
      <right style="thin"/>
      <top style="thin"/>
      <bottom style="thin"/>
    </border>
    <border>
      <top style="thin"/>
      <bottom style="thin"/>
    </border>
  </borders>
  <cellStyleXfs count="1">
    <xf numFmtId="0" fontId="0" fillId="0" borderId="0"/>
  </cellStyleXfs>
  <cellXfs count="21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pivotButton="0" quotePrefix="0" xfId="0"/>
    <xf numFmtId="0" fontId="3" fillId="0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bottom"/>
    </xf>
    <xf numFmtId="0" fontId="5" fillId="0" borderId="2" pivotButton="0" quotePrefix="0" xfId="0"/>
    <xf numFmtId="0" fontId="5" fillId="0" borderId="3" pivotButton="0" quotePrefix="0" xfId="0"/>
    <xf numFmtId="0" fontId="6" fillId="3" borderId="4" applyAlignment="1" pivotButton="0" quotePrefix="0" xfId="0">
      <alignment vertical="bottom"/>
    </xf>
    <xf numFmtId="4" fontId="7" fillId="0" borderId="4" applyAlignment="1" pivotButton="0" quotePrefix="0" xfId="0">
      <alignment vertical="bottom"/>
    </xf>
    <xf numFmtId="0" fontId="2" fillId="0" borderId="4" applyAlignment="1" pivotButton="0" quotePrefix="0" xfId="0">
      <alignment vertical="bottom"/>
    </xf>
    <xf numFmtId="164" fontId="7" fillId="0" borderId="4" applyAlignment="1" pivotButton="0" quotePrefix="0" xfId="0">
      <alignment vertical="bottom"/>
    </xf>
    <xf numFmtId="165" fontId="7" fillId="0" borderId="4" applyAlignment="1" pivotButton="0" quotePrefix="0" xfId="0">
      <alignment vertical="bottom"/>
    </xf>
    <xf numFmtId="0" fontId="4" fillId="4" borderId="1" applyAlignment="1" pivotButton="0" quotePrefix="0" xfId="0">
      <alignment horizontal="center" vertical="bottom"/>
    </xf>
    <xf numFmtId="0" fontId="6" fillId="5" borderId="4" applyAlignment="1" pivotButton="0" quotePrefix="0" xfId="0">
      <alignment vertical="bottom"/>
    </xf>
    <xf numFmtId="164" fontId="1" fillId="0" borderId="4" applyAlignment="1" pivotButton="0" quotePrefix="0" xfId="0">
      <alignment vertical="bottom"/>
    </xf>
    <xf numFmtId="0" fontId="8" fillId="0" borderId="0" pivotButton="0" quotePrefix="0" xfId="0"/>
    <xf numFmtId="164" fontId="8" fillId="0" borderId="0" pivotButton="0" quotePrefix="0" xfId="0"/>
    <xf numFmtId="0" fontId="4" fillId="6" borderId="1" applyAlignment="1" pivotButton="0" quotePrefix="0" xfId="0">
      <alignment horizontal="center" vertical="bottom"/>
    </xf>
    <xf numFmtId="0" fontId="4" fillId="7" borderId="1" applyAlignment="1" pivotButton="0" quotePrefix="0" xfId="0">
      <alignment horizontal="center" vertical="bottom"/>
    </xf>
    <xf numFmtId="0" fontId="9" fillId="0" borderId="4" applyAlignment="1" pivotButton="0" quotePrefix="0" xfId="0">
      <alignment vertical="bottom"/>
    </xf>
    <xf numFmtId="164" fontId="10" fillId="0" borderId="4" applyAlignment="1" pivotButton="0" quotePrefix="0" xfId="0">
      <alignment vertical="bottom"/>
    </xf>
    <xf numFmtId="0" fontId="11" fillId="8" borderId="1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 vertical="center"/>
    </xf>
    <xf numFmtId="166" fontId="14" fillId="10" borderId="1" applyAlignment="1" pivotButton="0" quotePrefix="0" xfId="0">
      <alignment horizontal="center" vertical="center"/>
    </xf>
    <xf numFmtId="167" fontId="13" fillId="0" borderId="0" applyAlignment="1" pivotButton="0" quotePrefix="0" xfId="0">
      <alignment horizontal="right" vertical="center"/>
    </xf>
    <xf numFmtId="167" fontId="15" fillId="11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167" fontId="2" fillId="0" borderId="0" pivotButton="0" quotePrefix="0" xfId="0"/>
    <xf numFmtId="0" fontId="4" fillId="12" borderId="0" applyAlignment="1" pivotButton="0" quotePrefix="0" xfId="0">
      <alignment horizontal="center" vertical="center"/>
    </xf>
    <xf numFmtId="0" fontId="17" fillId="12" borderId="1" applyAlignment="1" pivotButton="0" quotePrefix="0" xfId="0">
      <alignment horizontal="center" vertical="center"/>
    </xf>
    <xf numFmtId="168" fontId="18" fillId="13" borderId="1" applyAlignment="1" pivotButton="0" quotePrefix="0" xfId="0">
      <alignment horizontal="center" vertical="center"/>
    </xf>
    <xf numFmtId="167" fontId="17" fillId="14" borderId="1" applyAlignment="1" pivotButton="0" quotePrefix="0" xfId="0">
      <alignment horizontal="center" vertical="center"/>
    </xf>
    <xf numFmtId="168" fontId="19" fillId="15" borderId="1" applyAlignment="1" pivotButton="0" quotePrefix="0" xfId="0">
      <alignment horizontal="center" vertical="center"/>
    </xf>
    <xf numFmtId="167" fontId="17" fillId="16" borderId="1" applyAlignment="1" pivotButton="0" quotePrefix="0" xfId="0">
      <alignment horizontal="center" vertical="center"/>
    </xf>
    <xf numFmtId="168" fontId="20" fillId="17" borderId="1" applyAlignment="1" pivotButton="0" quotePrefix="0" xfId="0">
      <alignment horizontal="center" vertical="center"/>
    </xf>
    <xf numFmtId="0" fontId="21" fillId="18" borderId="4" applyAlignment="1" pivotButton="0" quotePrefix="0" xfId="0">
      <alignment horizontal="center" vertical="center"/>
    </xf>
    <xf numFmtId="0" fontId="4" fillId="19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center" vertical="center" wrapText="1"/>
    </xf>
    <xf numFmtId="167" fontId="17" fillId="19" borderId="4" applyAlignment="1" pivotButton="0" quotePrefix="0" xfId="0">
      <alignment horizontal="center" vertical="center" wrapText="1"/>
    </xf>
    <xf numFmtId="0" fontId="22" fillId="20" borderId="4" applyAlignment="1" pivotButton="0" quotePrefix="0" xfId="0">
      <alignment horizontal="left" vertical="center"/>
    </xf>
    <xf numFmtId="0" fontId="22" fillId="20" borderId="4" applyAlignment="1" pivotButton="0" quotePrefix="0" xfId="0">
      <alignment horizontal="center" vertical="center"/>
    </xf>
    <xf numFmtId="167" fontId="22" fillId="20" borderId="4" applyAlignment="1" pivotButton="0" quotePrefix="0" xfId="0">
      <alignment horizontal="center" vertical="center"/>
    </xf>
    <xf numFmtId="168" fontId="22" fillId="20" borderId="4" applyAlignment="1" pivotButton="0" quotePrefix="0" xfId="0">
      <alignment horizontal="center" vertical="center"/>
    </xf>
    <xf numFmtId="167" fontId="22" fillId="20" borderId="4" applyAlignment="1" pivotButton="0" quotePrefix="0" xfId="0">
      <alignment horizontal="center" vertical="center"/>
    </xf>
    <xf numFmtId="1" fontId="22" fillId="20" borderId="4" applyAlignment="1" pivotButton="0" quotePrefix="0" xfId="0">
      <alignment horizontal="center" vertical="center"/>
    </xf>
    <xf numFmtId="168" fontId="22" fillId="20" borderId="4" applyAlignment="1" pivotButton="0" quotePrefix="0" xfId="0">
      <alignment horizontal="center" vertical="center"/>
    </xf>
    <xf numFmtId="0" fontId="22" fillId="21" borderId="4" applyAlignment="1" pivotButton="0" quotePrefix="0" xfId="0">
      <alignment horizontal="left" vertical="center"/>
    </xf>
    <xf numFmtId="0" fontId="22" fillId="21" borderId="4" applyAlignment="1" pivotButton="0" quotePrefix="0" xfId="0">
      <alignment horizontal="center" vertical="center"/>
    </xf>
    <xf numFmtId="168" fontId="22" fillId="21" borderId="4" applyAlignment="1" pivotButton="0" quotePrefix="0" xfId="0">
      <alignment horizontal="center" vertical="center"/>
    </xf>
    <xf numFmtId="0" fontId="22" fillId="21" borderId="4" applyAlignment="1" pivotButton="0" quotePrefix="0" xfId="0">
      <alignment horizontal="center" vertical="center"/>
    </xf>
    <xf numFmtId="167" fontId="22" fillId="21" borderId="4" applyAlignment="1" pivotButton="0" quotePrefix="0" xfId="0">
      <alignment horizontal="center" vertical="center"/>
    </xf>
    <xf numFmtId="1" fontId="22" fillId="21" borderId="4" applyAlignment="1" pivotButton="0" quotePrefix="0" xfId="0">
      <alignment horizontal="center" vertical="center"/>
    </xf>
    <xf numFmtId="168" fontId="22" fillId="21" borderId="4" applyAlignment="1" pivotButton="0" quotePrefix="0" xfId="0">
      <alignment horizontal="center" vertical="center"/>
    </xf>
    <xf numFmtId="0" fontId="22" fillId="20" borderId="4" applyAlignment="1" pivotButton="0" quotePrefix="0" xfId="0">
      <alignment horizontal="left" vertical="center"/>
    </xf>
    <xf numFmtId="0" fontId="22" fillId="20" borderId="4" applyAlignment="1" pivotButton="0" quotePrefix="0" xfId="0">
      <alignment horizontal="center" vertical="center"/>
    </xf>
    <xf numFmtId="0" fontId="22" fillId="21" borderId="4" applyAlignment="1" pivotButton="0" quotePrefix="0" xfId="0">
      <alignment horizontal="left" vertical="center"/>
    </xf>
    <xf numFmtId="0" fontId="23" fillId="22" borderId="0" applyAlignment="1" pivotButton="0" quotePrefix="0" xfId="0">
      <alignment horizontal="center" vertical="center"/>
    </xf>
    <xf numFmtId="0" fontId="16" fillId="23" borderId="0" applyAlignment="1" pivotButton="0" quotePrefix="0" xfId="0">
      <alignment horizontal="center" vertical="center"/>
    </xf>
    <xf numFmtId="0" fontId="17" fillId="22" borderId="4" applyAlignment="1" pivotButton="0" quotePrefix="0" xfId="0">
      <alignment horizontal="center" vertical="center" wrapText="1"/>
    </xf>
    <xf numFmtId="167" fontId="17" fillId="22" borderId="4" applyAlignment="1" pivotButton="0" quotePrefix="0" xfId="0">
      <alignment horizontal="center" vertical="center" wrapText="1"/>
    </xf>
    <xf numFmtId="0" fontId="24" fillId="10" borderId="4" applyAlignment="1" pivotButton="0" quotePrefix="0" xfId="0">
      <alignment horizontal="left" vertical="center"/>
    </xf>
    <xf numFmtId="169" fontId="22" fillId="20" borderId="4" applyAlignment="1" pivotButton="0" quotePrefix="0" xfId="0">
      <alignment horizontal="center" vertical="center"/>
    </xf>
    <xf numFmtId="170" fontId="22" fillId="20" borderId="4" applyAlignment="1" pivotButton="0" quotePrefix="0" xfId="0">
      <alignment horizontal="center" vertical="center"/>
    </xf>
    <xf numFmtId="0" fontId="2" fillId="10" borderId="0" pivotButton="0" quotePrefix="0" xfId="0"/>
    <xf numFmtId="0" fontId="22" fillId="23" borderId="4" applyAlignment="1" pivotButton="0" quotePrefix="0" xfId="0">
      <alignment horizontal="center" vertical="center"/>
    </xf>
    <xf numFmtId="167" fontId="22" fillId="23" borderId="4" applyAlignment="1" pivotButton="0" quotePrefix="0" xfId="0">
      <alignment horizontal="center" vertical="center"/>
    </xf>
    <xf numFmtId="169" fontId="22" fillId="23" borderId="4" applyAlignment="1" pivotButton="0" quotePrefix="0" xfId="0">
      <alignment horizontal="center" vertical="center"/>
    </xf>
    <xf numFmtId="170" fontId="22" fillId="23" borderId="4" applyAlignment="1" pivotButton="0" quotePrefix="0" xfId="0">
      <alignment horizontal="center" vertical="center"/>
    </xf>
    <xf numFmtId="168" fontId="22" fillId="23" borderId="4" applyAlignment="1" pivotButton="0" quotePrefix="0" xfId="0">
      <alignment horizontal="center" vertical="center"/>
    </xf>
    <xf numFmtId="0" fontId="24" fillId="10" borderId="4" applyAlignment="1" pivotButton="0" quotePrefix="0" xfId="0">
      <alignment horizontal="left" vertical="center"/>
    </xf>
    <xf numFmtId="0" fontId="25" fillId="24" borderId="0" applyAlignment="1" pivotButton="0" quotePrefix="0" xfId="0">
      <alignment horizontal="center" vertical="center"/>
    </xf>
    <xf numFmtId="0" fontId="16" fillId="25" borderId="0" applyAlignment="1" pivotButton="0" quotePrefix="0" xfId="0">
      <alignment horizontal="center" vertical="center"/>
    </xf>
    <xf numFmtId="0" fontId="17" fillId="24" borderId="4" applyAlignment="1" pivotButton="0" quotePrefix="0" xfId="0">
      <alignment horizontal="center" vertical="center"/>
    </xf>
    <xf numFmtId="0" fontId="26" fillId="24" borderId="4" applyAlignment="1" pivotButton="0" quotePrefix="0" xfId="0">
      <alignment horizontal="center" vertical="center"/>
    </xf>
    <xf numFmtId="167" fontId="26" fillId="24" borderId="4" applyAlignment="1" pivotButton="0" quotePrefix="0" xfId="0">
      <alignment horizontal="center" vertical="center"/>
    </xf>
    <xf numFmtId="0" fontId="27" fillId="21" borderId="5" applyAlignment="1" pivotButton="0" quotePrefix="0" xfId="0">
      <alignment horizontal="center" vertical="center"/>
    </xf>
    <xf numFmtId="0" fontId="2" fillId="26" borderId="4" pivotButton="0" quotePrefix="0" xfId="0"/>
    <xf numFmtId="167" fontId="2" fillId="26" borderId="4" pivotButton="0" quotePrefix="0" xfId="0"/>
    <xf numFmtId="0" fontId="28" fillId="20" borderId="4" applyAlignment="1" pivotButton="0" quotePrefix="0" xfId="0">
      <alignment horizontal="center" vertical="center"/>
    </xf>
    <xf numFmtId="0" fontId="5" fillId="0" borderId="6" pivotButton="0" quotePrefix="0" xfId="0"/>
    <xf numFmtId="0" fontId="29" fillId="20" borderId="4" applyAlignment="1" pivotButton="0" quotePrefix="0" xfId="0">
      <alignment horizontal="center" vertical="center" wrapText="1"/>
    </xf>
    <xf numFmtId="167" fontId="28" fillId="20" borderId="4" applyAlignment="1" pivotButton="0" quotePrefix="0" xfId="0">
      <alignment horizontal="center" vertical="center"/>
    </xf>
    <xf numFmtId="0" fontId="30" fillId="10" borderId="4" applyAlignment="1" pivotButton="0" quotePrefix="0" xfId="0">
      <alignment horizontal="center" vertical="center"/>
    </xf>
    <xf numFmtId="167" fontId="29" fillId="20" borderId="4" applyAlignment="1" pivotButton="0" quotePrefix="0" xfId="0">
      <alignment horizontal="center" vertical="center" wrapText="1"/>
    </xf>
    <xf numFmtId="0" fontId="23" fillId="14" borderId="0" applyAlignment="1" pivotButton="0" quotePrefix="0" xfId="0">
      <alignment horizontal="center" vertical="center"/>
    </xf>
    <xf numFmtId="0" fontId="17" fillId="14" borderId="4" applyAlignment="1" pivotButton="0" quotePrefix="0" xfId="0">
      <alignment horizontal="center" vertical="center"/>
    </xf>
    <xf numFmtId="167" fontId="17" fillId="14" borderId="4" applyAlignment="1" pivotButton="0" quotePrefix="0" xfId="0">
      <alignment horizontal="center" vertical="center"/>
    </xf>
    <xf numFmtId="0" fontId="22" fillId="15" borderId="4" applyAlignment="1" pivotButton="0" quotePrefix="0" xfId="0">
      <alignment horizontal="left" vertical="center"/>
    </xf>
    <xf numFmtId="0" fontId="22" fillId="15" borderId="4" applyAlignment="1" pivotButton="0" quotePrefix="0" xfId="0">
      <alignment horizontal="center" vertical="center"/>
    </xf>
    <xf numFmtId="1" fontId="22" fillId="15" borderId="4" applyAlignment="1" pivotButton="0" quotePrefix="0" xfId="0">
      <alignment horizontal="center" vertical="center"/>
    </xf>
    <xf numFmtId="169" fontId="22" fillId="15" borderId="4" applyAlignment="1" pivotButton="0" quotePrefix="0" xfId="0">
      <alignment horizontal="center" vertical="center"/>
    </xf>
    <xf numFmtId="167" fontId="22" fillId="15" borderId="4" applyAlignment="1" pivotButton="0" quotePrefix="0" xfId="0">
      <alignment horizontal="center" vertical="center"/>
    </xf>
    <xf numFmtId="168" fontId="22" fillId="15" borderId="4" applyAlignment="1" pivotButton="0" quotePrefix="0" xfId="0">
      <alignment horizontal="center" vertical="center"/>
    </xf>
    <xf numFmtId="0" fontId="26" fillId="27" borderId="0" applyAlignment="1" pivotButton="0" quotePrefix="0" xfId="0">
      <alignment horizontal="center" vertical="center"/>
    </xf>
    <xf numFmtId="0" fontId="26" fillId="28" borderId="4" applyAlignment="1" pivotButton="0" quotePrefix="0" xfId="0">
      <alignment horizontal="center" vertical="center"/>
    </xf>
    <xf numFmtId="0" fontId="22" fillId="0" borderId="1" applyAlignment="1" pivotButton="0" quotePrefix="0" xfId="0">
      <alignment horizontal="left" vertical="center"/>
    </xf>
    <xf numFmtId="0" fontId="26" fillId="14" borderId="4" applyAlignment="1" pivotButton="0" quotePrefix="0" xfId="0">
      <alignment horizontal="center" vertical="center"/>
    </xf>
    <xf numFmtId="0" fontId="26" fillId="29" borderId="4" applyAlignment="1" pivotButton="0" quotePrefix="0" xfId="0">
      <alignment horizontal="center" vertical="center"/>
    </xf>
    <xf numFmtId="0" fontId="31" fillId="30" borderId="4" applyAlignment="1" pivotButton="0" quotePrefix="0" xfId="0">
      <alignment horizontal="center" vertical="center"/>
    </xf>
    <xf numFmtId="0" fontId="26" fillId="12" borderId="4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bottom"/>
    </xf>
    <xf numFmtId="0" fontId="4" fillId="31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vertical="bottom"/>
    </xf>
    <xf numFmtId="0" fontId="33" fillId="32" borderId="4" applyAlignment="1" pivotButton="0" quotePrefix="0" xfId="0">
      <alignment vertical="bottom"/>
    </xf>
    <xf numFmtId="171" fontId="10" fillId="32" borderId="4" applyAlignment="1" pivotButton="0" quotePrefix="0" xfId="0">
      <alignment vertical="bottom"/>
    </xf>
    <xf numFmtId="172" fontId="33" fillId="32" borderId="4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173" fontId="9" fillId="0" borderId="0" applyAlignment="1" pivotButton="0" quotePrefix="0" xfId="0">
      <alignment vertical="bottom"/>
    </xf>
    <xf numFmtId="0" fontId="4" fillId="33" borderId="4" applyAlignment="1" pivotButton="0" quotePrefix="0" xfId="0">
      <alignment horizontal="center" vertical="center" wrapText="1"/>
    </xf>
    <xf numFmtId="0" fontId="2" fillId="32" borderId="4" applyAlignment="1" pivotButton="0" quotePrefix="0" xfId="0">
      <alignment vertical="bottom"/>
    </xf>
    <xf numFmtId="4" fontId="33" fillId="32" borderId="4" applyAlignment="1" pivotButton="0" quotePrefix="0" xfId="0">
      <alignment vertical="bottom"/>
    </xf>
    <xf numFmtId="173" fontId="2" fillId="32" borderId="4" applyAlignment="1" pivotButton="0" quotePrefix="0" xfId="0">
      <alignment vertical="bottom"/>
    </xf>
    <xf numFmtId="0" fontId="6" fillId="34" borderId="4" applyAlignment="1" pivotButton="0" quotePrefix="0" xfId="0">
      <alignment vertical="bottom"/>
    </xf>
    <xf numFmtId="0" fontId="9" fillId="34" borderId="4" applyAlignment="1" pivotButton="0" quotePrefix="0" xfId="0">
      <alignment vertical="bottom"/>
    </xf>
    <xf numFmtId="0" fontId="4" fillId="35" borderId="4" applyAlignment="1" pivotButton="0" quotePrefix="0" xfId="0">
      <alignment horizontal="center" vertical="center" wrapText="1"/>
    </xf>
    <xf numFmtId="4" fontId="2" fillId="32" borderId="4" applyAlignment="1" pivotButton="0" quotePrefix="0" xfId="0">
      <alignment vertical="bottom"/>
    </xf>
    <xf numFmtId="0" fontId="10" fillId="0" borderId="4" applyAlignment="1" pivotButton="0" quotePrefix="0" xfId="0">
      <alignment vertical="bottom"/>
    </xf>
    <xf numFmtId="4" fontId="10" fillId="32" borderId="4" applyAlignment="1" pivotButton="0" quotePrefix="0" xfId="0">
      <alignment vertical="bottom"/>
    </xf>
    <xf numFmtId="0" fontId="34" fillId="32" borderId="5" applyAlignment="1" pivotButton="0" quotePrefix="0" xfId="0">
      <alignment horizontal="center" vertical="bottom" textRotation="45" wrapText="1"/>
    </xf>
    <xf numFmtId="0" fontId="5" fillId="0" borderId="7" pivotButton="0" quotePrefix="0" xfId="0"/>
    <xf numFmtId="0" fontId="35" fillId="32" borderId="4" applyAlignment="1" pivotButton="0" quotePrefix="0" xfId="0">
      <alignment vertical="bottom"/>
    </xf>
    <xf numFmtId="0" fontId="4" fillId="36" borderId="4" applyAlignment="1" pivotButton="0" quotePrefix="0" xfId="0">
      <alignment horizontal="center" vertical="center" wrapText="1"/>
    </xf>
    <xf numFmtId="0" fontId="4" fillId="37" borderId="4" applyAlignment="1" pivotButton="0" quotePrefix="0" xfId="0">
      <alignment horizontal="center" vertical="center" wrapText="1"/>
    </xf>
    <xf numFmtId="173" fontId="9" fillId="32" borderId="4" applyAlignment="1" pivotButton="0" quotePrefix="0" xfId="0">
      <alignment vertical="bottom"/>
    </xf>
    <xf numFmtId="0" fontId="9" fillId="32" borderId="4" applyAlignment="1" pivotButton="0" quotePrefix="0" xfId="0">
      <alignment vertical="bottom"/>
    </xf>
    <xf numFmtId="4" fontId="9" fillId="32" borderId="4" applyAlignment="1" pivotButton="0" quotePrefix="0" xfId="0">
      <alignment vertical="bottom"/>
    </xf>
    <xf numFmtId="0" fontId="36" fillId="0" borderId="0" pivotButton="0" quotePrefix="0" xfId="0"/>
    <xf numFmtId="0" fontId="4" fillId="4" borderId="4" applyAlignment="1" pivotButton="0" quotePrefix="0" xfId="0">
      <alignment horizontal="center" vertical="center" wrapText="1"/>
    </xf>
    <xf numFmtId="4" fontId="10" fillId="0" borderId="4" applyAlignment="1" pivotButton="0" quotePrefix="0" xfId="0">
      <alignment vertical="bottom"/>
    </xf>
    <xf numFmtId="4" fontId="6" fillId="0" borderId="4" applyAlignment="1" pivotButton="0" quotePrefix="0" xfId="0">
      <alignment vertical="bottom"/>
    </xf>
    <xf numFmtId="4" fontId="10" fillId="34" borderId="4" applyAlignment="1" pivotButton="0" quotePrefix="0" xfId="0">
      <alignment vertical="bottom"/>
    </xf>
    <xf numFmtId="4" fontId="36" fillId="0" borderId="0" pivotButton="0" quotePrefix="0" xfId="0"/>
    <xf numFmtId="164" fontId="6" fillId="0" borderId="4" applyAlignment="1" pivotButton="0" quotePrefix="0" xfId="0">
      <alignment vertical="bottom"/>
    </xf>
    <xf numFmtId="0" fontId="4" fillId="2" borderId="4" applyAlignment="1" pivotButton="0" quotePrefix="0" xfId="0">
      <alignment horizontal="center" vertical="center" wrapText="1"/>
    </xf>
    <xf numFmtId="0" fontId="26" fillId="38" borderId="4" applyAlignment="1" pivotButton="0" quotePrefix="0" xfId="0">
      <alignment vertical="bottom"/>
    </xf>
    <xf numFmtId="164" fontId="26" fillId="38" borderId="4" applyAlignment="1" pivotButton="0" quotePrefix="0" xfId="0">
      <alignment vertical="bottom"/>
    </xf>
    <xf numFmtId="164" fontId="33" fillId="32" borderId="4" applyAlignment="1" pivotButton="0" quotePrefix="0" xfId="0">
      <alignment vertical="bottom"/>
    </xf>
    <xf numFmtId="164" fontId="6" fillId="5" borderId="4" applyAlignment="1" pivotButton="0" quotePrefix="0" xfId="0">
      <alignment vertical="bottom"/>
    </xf>
    <xf numFmtId="0" fontId="32" fillId="0" borderId="0" applyAlignment="1" pivotButton="0" quotePrefix="0" xfId="0">
      <alignment vertical="bottom"/>
    </xf>
    <xf numFmtId="165" fontId="10" fillId="0" borderId="4" applyAlignment="1" pivotButton="0" quotePrefix="0" xfId="0">
      <alignment vertical="bottom"/>
    </xf>
    <xf numFmtId="165" fontId="6" fillId="0" borderId="4" applyAlignment="1" pivotButton="0" quotePrefix="0" xfId="0">
      <alignment vertical="bottom"/>
    </xf>
    <xf numFmtId="165" fontId="26" fillId="38" borderId="4" applyAlignment="1" pivotButton="0" quotePrefix="0" xfId="0">
      <alignment vertical="bottom"/>
    </xf>
    <xf numFmtId="165" fontId="33" fillId="32" borderId="4" applyAlignment="1" pivotButton="0" quotePrefix="0" xfId="0">
      <alignment vertical="bottom"/>
    </xf>
    <xf numFmtId="165" fontId="6" fillId="5" borderId="4" applyAlignment="1" pivotButton="0" quotePrefix="0" xfId="0">
      <alignment vertical="bottom"/>
    </xf>
    <xf numFmtId="174" fontId="9" fillId="0" borderId="4" applyAlignment="1" pivotButton="0" quotePrefix="0" xfId="0">
      <alignment vertical="bottom"/>
    </xf>
    <xf numFmtId="0" fontId="4" fillId="2" borderId="4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2" fillId="3" borderId="4" applyAlignment="1" pivotButton="0" quotePrefix="0" xfId="0">
      <alignment vertical="bottom"/>
    </xf>
    <xf numFmtId="0" fontId="6" fillId="3" borderId="4" applyAlignment="1" pivotButton="0" quotePrefix="0" xfId="0">
      <alignment horizontal="center" vertical="bottom"/>
    </xf>
    <xf numFmtId="174" fontId="6" fillId="0" borderId="4" applyAlignment="1" pivotButton="0" quotePrefix="0" xfId="0">
      <alignment vertical="bottom"/>
    </xf>
    <xf numFmtId="164" fontId="9" fillId="32" borderId="4" applyAlignment="1" pivotButton="0" quotePrefix="0" xfId="0">
      <alignment vertical="bottom"/>
    </xf>
    <xf numFmtId="165" fontId="9" fillId="32" borderId="4" applyAlignment="1" pivotButton="0" quotePrefix="0" xfId="0">
      <alignment vertical="bottom"/>
    </xf>
    <xf numFmtId="10" fontId="9" fillId="32" borderId="4" applyAlignment="1" pivotButton="0" quotePrefix="0" xfId="0">
      <alignment vertical="bottom"/>
    </xf>
    <xf numFmtId="4" fontId="26" fillId="38" borderId="4" applyAlignment="1" pivotButton="0" quotePrefix="0" xfId="0">
      <alignment vertical="bottom"/>
    </xf>
    <xf numFmtId="0" fontId="4" fillId="39" borderId="4" applyAlignment="1" pivotButton="0" quotePrefix="0" xfId="0">
      <alignment horizontal="center" vertical="center" wrapText="1"/>
    </xf>
    <xf numFmtId="172" fontId="10" fillId="0" borderId="4" applyAlignment="1" pivotButton="0" quotePrefix="0" xfId="0">
      <alignment vertical="bottom"/>
    </xf>
    <xf numFmtId="0" fontId="4" fillId="40" borderId="4" applyAlignment="1" pivotButton="0" quotePrefix="0" xfId="0">
      <alignment horizontal="center" vertical="center" wrapText="1"/>
    </xf>
    <xf numFmtId="0" fontId="26" fillId="2" borderId="4" applyAlignment="1" pivotButton="0" quotePrefix="0" xfId="0">
      <alignment vertical="bottom"/>
    </xf>
    <xf numFmtId="4" fontId="26" fillId="2" borderId="4" applyAlignment="1" pivotButton="0" quotePrefix="0" xfId="0">
      <alignment vertical="bottom"/>
    </xf>
    <xf numFmtId="0" fontId="4" fillId="41" borderId="4" applyAlignment="1" pivotButton="0" quotePrefix="0" xfId="0">
      <alignment horizontal="center" vertical="center" wrapText="1"/>
    </xf>
    <xf numFmtId="164" fontId="2" fillId="0" borderId="4" applyAlignment="1" pivotButton="0" quotePrefix="0" xfId="0">
      <alignment vertical="bottom"/>
    </xf>
    <xf numFmtId="172" fontId="2" fillId="0" borderId="4" applyAlignment="1" pivotButton="0" quotePrefix="0" xfId="0">
      <alignment vertical="bottom"/>
    </xf>
    <xf numFmtId="165" fontId="2" fillId="0" borderId="4" applyAlignment="1" pivotButton="0" quotePrefix="0" xfId="0">
      <alignment vertical="bottom"/>
    </xf>
    <xf numFmtId="0" fontId="4" fillId="42" borderId="4" applyAlignment="1" pivotButton="0" quotePrefix="0" xfId="0">
      <alignment horizontal="center" vertical="center" wrapText="1"/>
    </xf>
    <xf numFmtId="175" fontId="2" fillId="32" borderId="4" applyAlignment="1" pivotButton="0" quotePrefix="0" xfId="0">
      <alignment vertical="bottom"/>
    </xf>
    <xf numFmtId="175" fontId="6" fillId="0" borderId="4" applyAlignment="1" pivotButton="0" quotePrefix="0" xfId="0">
      <alignment vertical="bottom"/>
    </xf>
    <xf numFmtId="0" fontId="0" fillId="0" borderId="0" pivotButton="0" quotePrefix="0" xfId="0"/>
    <xf numFmtId="0" fontId="39" fillId="45" borderId="0" applyAlignment="1" pivotButton="0" quotePrefix="0" xfId="0">
      <alignment horizontal="center" vertical="center"/>
    </xf>
    <xf numFmtId="176" fontId="40" fillId="46" borderId="0" applyAlignment="1" pivotButton="0" quotePrefix="0" xfId="0">
      <alignment horizontal="left" vertical="center"/>
    </xf>
    <xf numFmtId="0" fontId="41" fillId="46" borderId="0" applyAlignment="1" pivotButton="0" quotePrefix="0" xfId="0">
      <alignment horizontal="right" vertical="center"/>
    </xf>
    <xf numFmtId="0" fontId="42" fillId="47" borderId="0" applyAlignment="1" pivotButton="0" quotePrefix="0" xfId="0">
      <alignment horizontal="center" vertical="center"/>
    </xf>
    <xf numFmtId="0" fontId="43" fillId="48" borderId="12" applyAlignment="1" pivotButton="0" quotePrefix="0" xfId="0">
      <alignment horizontal="center" vertical="center"/>
    </xf>
    <xf numFmtId="0" fontId="43" fillId="50" borderId="12" applyAlignment="1" pivotButton="0" quotePrefix="0" xfId="0">
      <alignment horizontal="center" vertical="center"/>
    </xf>
    <xf numFmtId="0" fontId="43" fillId="52" borderId="12" applyAlignment="1" pivotButton="0" quotePrefix="0" xfId="0">
      <alignment horizontal="center" vertical="center"/>
    </xf>
    <xf numFmtId="0" fontId="43" fillId="54" borderId="12" applyAlignment="1" pivotButton="0" quotePrefix="0" xfId="0">
      <alignment horizontal="center" vertical="center"/>
    </xf>
    <xf numFmtId="168" fontId="44" fillId="49" borderId="0" applyAlignment="1" pivotButton="0" quotePrefix="0" xfId="0">
      <alignment horizontal="center" vertical="center"/>
    </xf>
    <xf numFmtId="168" fontId="45" fillId="51" borderId="0" applyAlignment="1" pivotButton="0" quotePrefix="0" xfId="0">
      <alignment horizontal="center" vertical="center"/>
    </xf>
    <xf numFmtId="168" fontId="46" fillId="53" borderId="0" applyAlignment="1" pivotButton="0" quotePrefix="0" xfId="0">
      <alignment horizontal="center" vertical="center"/>
    </xf>
    <xf numFmtId="172" fontId="47" fillId="55" borderId="0" applyAlignment="1" pivotButton="0" quotePrefix="0" xfId="0">
      <alignment horizontal="center" vertical="center"/>
    </xf>
    <xf numFmtId="0" fontId="0" fillId="49" borderId="0" pivotButton="0" quotePrefix="0" xfId="0"/>
    <xf numFmtId="0" fontId="0" fillId="51" borderId="0" pivotButton="0" quotePrefix="0" xfId="0"/>
    <xf numFmtId="0" fontId="0" fillId="53" borderId="0" pivotButton="0" quotePrefix="0" xfId="0"/>
    <xf numFmtId="0" fontId="0" fillId="55" borderId="0" pivotButton="0" quotePrefix="0" xfId="0"/>
    <xf numFmtId="0" fontId="42" fillId="45" borderId="0" applyAlignment="1" pivotButton="0" quotePrefix="0" xfId="0">
      <alignment horizontal="center" vertical="center"/>
    </xf>
    <xf numFmtId="0" fontId="43" fillId="47" borderId="12" applyAlignment="1" pivotButton="0" quotePrefix="0" xfId="0">
      <alignment horizontal="center" vertical="center"/>
    </xf>
    <xf numFmtId="168" fontId="48" fillId="56" borderId="0" applyAlignment="1" pivotButton="0" quotePrefix="0" xfId="0">
      <alignment horizontal="center" vertical="center"/>
    </xf>
    <xf numFmtId="0" fontId="0" fillId="56" borderId="0" pivotButton="0" quotePrefix="0" xfId="0"/>
    <xf numFmtId="0" fontId="42" fillId="57" borderId="0" applyAlignment="1" pivotButton="0" quotePrefix="0" xfId="0">
      <alignment horizontal="center" vertical="center"/>
    </xf>
    <xf numFmtId="0" fontId="49" fillId="43" borderId="0" applyAlignment="1" pivotButton="0" quotePrefix="0" xfId="0">
      <alignment horizontal="center" vertical="center"/>
    </xf>
    <xf numFmtId="0" fontId="43" fillId="58" borderId="11" applyAlignment="1" pivotButton="0" quotePrefix="0" xfId="0">
      <alignment horizontal="center" vertical="center"/>
    </xf>
    <xf numFmtId="0" fontId="49" fillId="43" borderId="11" applyAlignment="1" pivotButton="0" quotePrefix="0" xfId="0">
      <alignment horizontal="left" vertical="center"/>
    </xf>
    <xf numFmtId="168" fontId="49" fillId="43" borderId="11" applyAlignment="1" pivotButton="0" quotePrefix="0" xfId="0">
      <alignment horizontal="center" vertical="center"/>
    </xf>
    <xf numFmtId="0" fontId="49" fillId="43" borderId="11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6" fontId="14" fillId="10" borderId="4" applyAlignment="1" pivotButton="0" quotePrefix="0" xfId="0">
      <alignment horizontal="center" vertical="center"/>
    </xf>
    <xf numFmtId="167" fontId="15" fillId="11" borderId="4" applyAlignment="1" pivotButton="0" quotePrefix="0" xfId="0">
      <alignment horizontal="center" vertical="center"/>
    </xf>
    <xf numFmtId="0" fontId="17" fillId="12" borderId="4" applyAlignment="1" pivotButton="0" quotePrefix="0" xfId="0">
      <alignment horizontal="center" vertical="center"/>
    </xf>
    <xf numFmtId="168" fontId="18" fillId="13" borderId="4" applyAlignment="1" pivotButton="0" quotePrefix="0" xfId="0">
      <alignment horizontal="center" vertical="center"/>
    </xf>
    <xf numFmtId="168" fontId="19" fillId="15" borderId="4" applyAlignment="1" pivotButton="0" quotePrefix="0" xfId="0">
      <alignment horizontal="center" vertical="center"/>
    </xf>
    <xf numFmtId="167" fontId="17" fillId="16" borderId="4" applyAlignment="1" pivotButton="0" quotePrefix="0" xfId="0">
      <alignment horizontal="center" vertical="center"/>
    </xf>
    <xf numFmtId="168" fontId="20" fillId="17" borderId="4" applyAlignment="1" pivotButton="0" quotePrefix="0" xfId="0">
      <alignment horizontal="center" vertical="center"/>
    </xf>
    <xf numFmtId="0" fontId="27" fillId="21" borderId="4" applyAlignment="1" pivotButton="0" quotePrefix="0" xfId="0">
      <alignment horizontal="center" vertical="center"/>
    </xf>
    <xf numFmtId="0" fontId="0" fillId="0" borderId="6" pivotButton="0" quotePrefix="0" xfId="0"/>
    <xf numFmtId="0" fontId="22" fillId="0" borderId="4" applyAlignment="1" pivotButton="0" quotePrefix="0" xfId="0">
      <alignment horizontal="left" vertical="center"/>
    </xf>
    <xf numFmtId="0" fontId="37" fillId="43" borderId="4" applyAlignment="1" pivotButton="0" quotePrefix="0" xfId="0">
      <alignment vertical="bottom"/>
    </xf>
    <xf numFmtId="4" fontId="37" fillId="43" borderId="4" applyAlignment="1" pivotButton="0" quotePrefix="0" xfId="0">
      <alignment vertical="bottom"/>
    </xf>
    <xf numFmtId="173" fontId="37" fillId="43" borderId="4" applyAlignment="1" pivotButton="0" quotePrefix="0" xfId="0">
      <alignment vertical="bottom"/>
    </xf>
    <xf numFmtId="0" fontId="38" fillId="44" borderId="11" applyAlignment="1" pivotButton="0" quotePrefix="0" xfId="0">
      <alignment horizontal="left" vertical="center"/>
    </xf>
    <xf numFmtId="0" fontId="38" fillId="44" borderId="11" applyAlignment="1" pivotButton="0" quotePrefix="0" xfId="0">
      <alignment horizontal="center" vertical="center"/>
    </xf>
    <xf numFmtId="0" fontId="38" fillId="43" borderId="11" applyAlignment="1" pivotButton="0" quotePrefix="0" xfId="0">
      <alignment horizontal="left" vertical="center"/>
    </xf>
    <xf numFmtId="0" fontId="38" fillId="43" borderId="11" applyAlignment="1" pivotButton="0" quotePrefix="0" xfId="0">
      <alignment horizontal="center" vertical="center"/>
    </xf>
    <xf numFmtId="0" fontId="34" fillId="32" borderId="4" applyAlignment="1" pivotButton="0" quotePrefix="0" xfId="0">
      <alignment horizontal="center" vertical="bottom" textRotation="45" wrapText="1"/>
    </xf>
    <xf numFmtId="0" fontId="0" fillId="0" borderId="7" pivotButton="0" quotePrefix="0" xfId="0"/>
  </cellXfs>
  <cellStyles count="1">
    <cellStyle name="Normal" xfId="0" builtinId="0"/>
  </cellStyles>
  <dxfs count="8">
    <dxf>
      <font>
        <name val="Arial"/>
        <b val="1"/>
        <color rgb="FFFFFFFF"/>
      </font>
      <fill>
        <patternFill patternType="solid">
          <fgColor rgb="FFB71C1C"/>
          <bgColor rgb="FFB71C1C"/>
        </patternFill>
      </fill>
      <border/>
    </dxf>
    <dxf>
      <font>
        <name val="Arial"/>
        <b val="1"/>
        <color rgb="FFFFFFFF"/>
      </font>
      <fill>
        <patternFill patternType="solid">
          <fgColor rgb="FFE65100"/>
          <bgColor rgb="FFE65100"/>
        </patternFill>
      </fill>
      <border/>
    </dxf>
    <dxf>
      <font>
        <name val="Arial"/>
        <b val="1"/>
        <color rgb="FFFFFFFF"/>
      </font>
      <fill>
        <patternFill patternType="solid">
          <fgColor rgb="FFFF8F00"/>
          <bgColor rgb="FFFF8F00"/>
        </patternFill>
      </fill>
      <border/>
    </dxf>
    <dxf>
      <font>
        <name val="Arial"/>
        <color rgb="FF333333"/>
      </font>
      <fill>
        <patternFill patternType="solid">
          <fgColor rgb="FFFFF176"/>
          <bgColor rgb="FFFFF176"/>
        </patternFill>
      </fill>
      <border/>
    </dxf>
    <dxf>
      <font>
        <name val="Arial"/>
        <color rgb="FF1B5E20"/>
      </font>
      <fill>
        <patternFill patternType="solid">
          <fgColor rgb="FFC8E6C9"/>
          <bgColor rgb="FFC8E6C9"/>
        </patternFill>
      </fill>
      <border/>
    </dxf>
    <dxf>
      <font/>
      <fill>
        <patternFill patternType="solid">
          <fgColor rgb="FFFFCDD2"/>
          <bgColor rgb="FFFFCDD2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Income vs Expenses (GBP)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Overview GBP'!P2</f>
            </strRef>
          </tx>
          <spPr>
            <a:solidFill>
              <a:srgbClr val="EF5350"/>
            </a:solidFill>
            <a:ln>
              <a:solidFill>
                <a:srgbClr val="EF5350"/>
              </a:solidFill>
              <a:prstDash val="solid"/>
            </a:ln>
          </spPr>
          <cat>
            <numRef>
              <f>'Monthly Overview GBP'!$A$3:$A$14</f>
            </numRef>
          </cat>
          <val>
            <numRef>
              <f>'Monthly Overview GBP'!$P$3:$P$14</f>
            </numRef>
          </val>
        </ser>
        <ser>
          <idx val="1"/>
          <order val="1"/>
          <tx>
            <strRef>
              <f>'Monthly Overview GBP'!Q2</f>
            </strRef>
          </tx>
          <spPr>
            <a:solidFill>
              <a:srgbClr val="66BB6A"/>
            </a:solidFill>
            <a:ln>
              <a:solidFill>
                <a:srgbClr val="66BB6A"/>
              </a:solidFill>
              <a:prstDash val="solid"/>
            </a:ln>
          </spPr>
          <cat>
            <numRef>
              <f>'Monthly Overview GBP'!$A$3:$A$14</f>
            </numRef>
          </cat>
          <val>
            <numRef>
              <f>'Monthly Overview GBP'!$Q$3:$Q$14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(£)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Savings Trend (GBP)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Overview GBP'!R2</f>
            </strRef>
          </tx>
          <spPr>
            <a:ln w="2500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Overview GBP'!$A$3:$A$14</f>
            </numRef>
          </cat>
          <val>
            <numRef>
              <f>'Monthly Overview GBP'!$R$3:$R$14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Savings (£)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Spending by Category — This Month</a:t>
            </a:r>
          </a:p>
        </rich>
      </tx>
    </title>
    <plotArea>
      <pieChart>
        <varyColors val="1"/>
        <ser>
          <idx val="0"/>
          <order val="0"/>
          <tx>
            <strRef>
              <f>'Dashboard'!B55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EF5350"/>
              </a:solidFill>
              <a:ln>
                <a:prstDash val="solid"/>
              </a:ln>
            </spPr>
          </dPt>
          <dPt>
            <idx val="1"/>
            <spPr>
              <a:solidFill>
                <a:srgbClr val="FF7043"/>
              </a:solidFill>
              <a:ln>
                <a:prstDash val="solid"/>
              </a:ln>
            </spPr>
          </dPt>
          <dPt>
            <idx val="2"/>
            <spPr>
              <a:solidFill>
                <a:srgbClr val="FFA726"/>
              </a:solidFill>
              <a:ln>
                <a:prstDash val="solid"/>
              </a:ln>
            </spPr>
          </dPt>
          <dPt>
            <idx val="3"/>
            <spPr>
              <a:solidFill>
                <a:srgbClr val="FFCA28"/>
              </a:solidFill>
              <a:ln>
                <a:prstDash val="solid"/>
              </a:ln>
            </spPr>
          </dPt>
          <dPt>
            <idx val="4"/>
            <spPr>
              <a:solidFill>
                <a:srgbClr val="D4E157"/>
              </a:solidFill>
              <a:ln>
                <a:prstDash val="solid"/>
              </a:ln>
            </spPr>
          </dPt>
          <dPt>
            <idx val="5"/>
            <spPr>
              <a:solidFill>
                <a:srgbClr val="66BB6A"/>
              </a:solidFill>
              <a:ln>
                <a:prstDash val="solid"/>
              </a:ln>
            </spPr>
          </dPt>
          <dPt>
            <idx val="6"/>
            <spPr>
              <a:solidFill>
                <a:srgbClr val="26A69A"/>
              </a:solidFill>
              <a:ln>
                <a:prstDash val="solid"/>
              </a:ln>
            </spPr>
          </dPt>
          <dPt>
            <idx val="7"/>
            <spPr>
              <a:solidFill>
                <a:srgbClr val="42A5F5"/>
              </a:solidFill>
              <a:ln>
                <a:prstDash val="solid"/>
              </a:ln>
            </spPr>
          </dPt>
          <dPt>
            <idx val="8"/>
            <spPr>
              <a:solidFill>
                <a:srgbClr val="5C6BC0"/>
              </a:solidFill>
              <a:ln>
                <a:prstDash val="solid"/>
              </a:ln>
            </spPr>
          </dPt>
          <dPt>
            <idx val="9"/>
            <spPr>
              <a:solidFill>
                <a:srgbClr val="AB47BC"/>
              </a:solidFill>
              <a:ln>
                <a:prstDash val="solid"/>
              </a:ln>
            </spPr>
          </dPt>
          <dPt>
            <idx val="10"/>
            <spPr>
              <a:solidFill>
                <a:srgbClr val="EC407A"/>
              </a:solidFill>
              <a:ln>
                <a:prstDash val="solid"/>
              </a:ln>
            </spPr>
          </dPt>
          <dPt>
            <idx val="11"/>
            <spPr>
              <a:solidFill>
                <a:srgbClr val="8D6E63"/>
              </a:solidFill>
              <a:ln>
                <a:prstDash val="solid"/>
              </a:ln>
            </spPr>
          </dPt>
          <dPt>
            <idx val="12"/>
            <spPr>
              <a:solidFill>
                <a:srgbClr val="78909C"/>
              </a:solidFill>
              <a:ln>
                <a:prstDash val="solid"/>
              </a:ln>
            </spPr>
          </dPt>
          <dPt>
            <idx val="13"/>
            <spPr>
              <a:solidFill>
                <a:srgbClr val="26C6DA"/>
              </a:solidFill>
              <a:ln>
                <a:prstDash val="solid"/>
              </a:ln>
            </spPr>
          </dPt>
          <cat>
            <numRef>
              <f>'Dashboard'!$A$56:$A$69</f>
            </numRef>
          </cat>
          <val>
            <numRef>
              <f>'Dashboard'!$B$56:$B$69</f>
            </numRef>
          </val>
        </ser>
        <dLbls/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GBP Account Balances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'Dashboard'!E55</f>
            </strRef>
          </tx>
          <spPr>
            <a:solidFill>
              <a:srgbClr val="42A5F5"/>
            </a:solidFill>
            <a:ln>
              <a:solidFill>
                <a:srgbClr val="1565C0"/>
              </a:solidFill>
              <a:prstDash val="solid"/>
            </a:ln>
          </spPr>
          <cat>
            <numRef>
              <f>'Dashboard'!$D$56:$D$62</f>
            </numRef>
          </cat>
          <val>
            <numRef>
              <f>'Dashboard'!$E$56:$E$62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Balance (£)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Monthly Spending</a:t>
            </a:r>
          </a:p>
        </rich>
      </tx>
      <overlay val="0"/>
    </title>
    <plotArea>
      <layout/>
      <barChart>
        <barDir val="bar"/>
        <grouping val="clustered"/>
        <ser>
          <idx val="0"/>
          <order val="0"/>
          <tx>
            <v>Total Expenditure</v>
          </tx>
          <spPr>
            <a:solidFill>
              <a:srgbClr val="4F81BD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'Monthly Overview GBP'!$A$3:$A$14</f>
            </strRef>
          </cat>
          <val>
            <numRef>
              <f>'Monthly Overview GBP'!$P$3:$P$14</f>
              <numCache/>
            </numRef>
          </val>
        </ser>
        <gapWidth val="150"/>
        <axId val="667116538"/>
        <axId val="888724677"/>
      </barChart>
      <catAx>
        <axId val="667116538"/>
        <scaling>
          <orientation val="maxMin"/>
        </scaling>
        <delete val="0"/>
        <axPos val="l"/>
        <title>
          <tx>
            <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88724677"/>
        <lblOffset val="100"/>
      </catAx>
      <valAx>
        <axId val="888724677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67116538"/>
        <crosses val="max"/>
      </valAx>
    </plotArea>
    <legend>
      <legendPos val="r"/>
      <overlay val="0"/>
      <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Category Breakdown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416A9C"/>
              </a:solidFill>
              <a:ln>
                <a:prstDash val="solid"/>
              </a:ln>
            </spPr>
          </dPt>
          <dLbls>
            <dLbl>
              <idx val="0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2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3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4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5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6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7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8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9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0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1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2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3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cat>
            <strRef>
              <f>'Monthly Overview GBP'!$B$2:$O$2</f>
            </strRef>
          </cat>
          <val>
            <numRef>
              <f>'Monthly Overview GBP'!$B$16:$O$16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Monthly Spending</a:t>
            </a:r>
          </a:p>
        </rich>
      </tx>
      <overlay val="0"/>
    </title>
    <plotArea>
      <layout/>
      <barChart>
        <barDir val="bar"/>
        <grouping val="clustered"/>
        <ser>
          <idx val="0"/>
          <order val="0"/>
          <tx>
            <v>Total Expenditure</v>
          </tx>
          <spPr>
            <a:solidFill>
              <a:srgbClr val="4F81BD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'Monthly Overview INR'!$A$3:$A$14</f>
            </strRef>
          </cat>
          <val>
            <numRef>
              <f>'Monthly Overview INR'!$P$3:$P$14</f>
              <numCache/>
            </numRef>
          </val>
        </ser>
        <gapWidth val="150"/>
        <axId val="1846320319"/>
        <axId val="761838420"/>
      </barChart>
      <catAx>
        <axId val="1846320319"/>
        <scaling>
          <orientation val="maxMin"/>
        </scaling>
        <delete val="0"/>
        <axPos val="l"/>
        <title>
          <tx>
            <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61838420"/>
        <lblOffset val="100"/>
      </catAx>
      <valAx>
        <axId val="761838420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846320319"/>
        <crosses val="max"/>
      </valAx>
    </plotArea>
    <legend>
      <legendPos val="r"/>
      <overlay val="0"/>
      <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Category Breakdown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416A9C"/>
              </a:solidFill>
              <a:ln>
                <a:prstDash val="solid"/>
              </a:ln>
            </spPr>
          </dPt>
          <dLbls>
            <dLbl>
              <idx val="0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2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3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4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5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6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7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8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9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0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1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2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3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cat>
            <strRef>
              <f>'Monthly Overview INR'!$B$2:$O$2</f>
            </strRef>
          </cat>
          <val>
            <numRef>
              <f>'Monthly Overview INR'!$B$16:$O$16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>
      <a:prstDash val="solid"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Balance Trend (GBP)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v>Ending Balance</v>
          </tx>
          <spPr>
            <a:ln w="19050" cmpd="sng">
              <a:solidFill>
                <a:srgbClr val="4A7EB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'Cashflow GBP'!$G$3:$G$367</f>
              <numCache/>
            </numRef>
          </val>
          <smooth val="1"/>
        </ser>
        <axId val="184149798"/>
        <axId val="2129472200"/>
      </lineChart>
      <catAx>
        <axId val="184149798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800000"/>
                </a:solidFill>
                <a:latin typeface="Calibri"/>
              </a:defRPr>
            </a:pPr>
            <a:r>
              <a:t/>
            </a:r>
          </a:p>
        </txPr>
        <crossAx val="2129472200"/>
        <lblOffset val="100"/>
      </catAx>
      <valAx>
        <axId val="2129472200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Balance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84149798"/>
      </valAx>
    </plotArea>
    <legend>
      <legendPos val="r"/>
      <overlay val="0"/>
      <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>
      <a:prstDash val="solid"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Balance Trend (INR)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v>Ending Balance</v>
          </tx>
          <spPr>
            <a:ln w="19050" cmpd="sng">
              <a:solidFill>
                <a:srgbClr val="4A7EB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'Cashflow INR'!$B$3:$B$367</f>
            </strRef>
          </cat>
          <val>
            <numRef>
              <f>'Cashflow INR'!$G$3:$G$367</f>
              <numCache/>
            </numRef>
          </val>
          <smooth val="1"/>
        </ser>
        <axId val="172072863"/>
        <axId val="12118614"/>
      </lineChart>
      <catAx>
        <axId val="172072863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2118614"/>
        <lblOffset val="100"/>
      </catAx>
      <valAx>
        <axId val="12118614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Balance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72072863"/>
      </valAx>
    </plotArea>
    <legend>
      <legendPos val="r"/>
      <overlay val="0"/>
      <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21</row>
      <rowOff>0</rowOff>
    </from>
    <ext cx="684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21</row>
      <rowOff>0</rowOff>
    </from>
    <ext cx="6120000" cy="46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39</row>
      <rowOff>0</rowOff>
    </from>
    <ext cx="684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39</row>
      <rowOff>0</rowOff>
    </from>
    <ext cx="612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9525</rowOff>
    </from>
    <ext cx="8553450" cy="562927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9</col>
      <colOff>0</colOff>
      <row>20</row>
      <rowOff>9525</rowOff>
    </from>
    <ext cx="6810375" cy="56292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9525</rowOff>
    </from>
    <ext cx="8553450" cy="562927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9</col>
      <colOff>0</colOff>
      <row>20</row>
      <rowOff>9525</rowOff>
    </from>
    <ext cx="6810375" cy="56292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0</row>
      <rowOff>180975</rowOff>
    </from>
    <ext cx="10277475" cy="56483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0</row>
      <rowOff>180975</rowOff>
    </from>
    <ext cx="10277475" cy="56483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cols>
    <col width="3" customWidth="1" style="168" min="1" max="1"/>
    <col width="18" customWidth="1" style="168" min="2" max="2"/>
    <col width="16" customWidth="1" style="168" min="3" max="3"/>
    <col width="3" customWidth="1" style="168" min="4" max="4"/>
    <col width="18" customWidth="1" style="168" min="5" max="5"/>
    <col width="16" customWidth="1" style="168" min="6" max="6"/>
    <col width="3" customWidth="1" style="168" min="7" max="7"/>
    <col width="18" customWidth="1" style="168" min="8" max="8"/>
    <col width="16" customWidth="1" style="168" min="9" max="9"/>
    <col width="3" customWidth="1" style="168" min="10" max="10"/>
    <col width="18" customWidth="1" style="168" min="11" max="11"/>
    <col width="16" customWidth="1" style="168" min="12" max="12"/>
    <col width="3" customWidth="1" style="168" min="13" max="13"/>
  </cols>
  <sheetData>
    <row r="1" ht="55" customHeight="1" s="168">
      <c r="A1" s="169" t="inlineStr">
        <is>
          <t>💰  FINANCIAL DASHBOARD 2026</t>
        </is>
      </c>
    </row>
    <row r="2" ht="22" customHeight="1" s="168">
      <c r="A2" s="170">
        <f>TODAY()</f>
        <v/>
      </c>
      <c r="H2" s="171" t="inlineStr">
        <is>
          <t>Version 6.0  |  Multi-currency Personal Finance Tracker</t>
        </is>
      </c>
    </row>
    <row r="3" ht="10" customHeight="1" s="168"/>
    <row r="4" ht="20" customHeight="1" s="168">
      <c r="A4" s="172" t="inlineStr">
        <is>
          <t>THIS MONTH — GBP</t>
        </is>
      </c>
    </row>
    <row r="5" ht="22" customHeight="1" s="168">
      <c r="B5" s="173" t="inlineStr">
        <is>
          <t>GBP EXPENSES</t>
        </is>
      </c>
      <c r="E5" s="174" t="inlineStr">
        <is>
          <t>GBP INCOME</t>
        </is>
      </c>
      <c r="H5" s="175" t="inlineStr">
        <is>
          <t>NET SAVINGS</t>
        </is>
      </c>
      <c r="K5" s="176" t="inlineStr">
        <is>
          <t>SAVINGS RATE</t>
        </is>
      </c>
    </row>
    <row r="6" ht="44" customHeight="1" s="168">
      <c r="B6" s="177">
        <f>SUMPRODUCT((Expenses!E$3:E$999="GBP")*(MONTH(Expenses!A$3:A$999)=MONTH(TODAY()))*(YEAR(Expenses!A$3:A$999)=2026)*(Expenses!A$3:A$999&lt;&gt;"")*Expenses!D$3:D$999)</f>
        <v/>
      </c>
      <c r="E6" s="178">
        <f>SUMPRODUCT((Income!D$3:D$502="GBP")*(MONTH(Income!A$3:A$502)=MONTH(TODAY()))*(YEAR(Income!A$3:A$502)=2026)*(Income!A$3:A$502&lt;&gt;"")*Income!C$3:C$502)</f>
        <v/>
      </c>
      <c r="H6" s="179">
        <f>E6-B6</f>
        <v/>
      </c>
      <c r="K6" s="180">
        <f>IFERROR((E6-B6)/E6,0)</f>
        <v/>
      </c>
    </row>
    <row r="7" ht="20" customHeight="1" s="168">
      <c r="B7" s="181" t="n"/>
      <c r="E7" s="182" t="n"/>
      <c r="H7" s="183" t="n"/>
      <c r="K7" s="184" t="n"/>
    </row>
    <row r="9" ht="8" customHeight="1" s="168"/>
    <row r="10" ht="20" customHeight="1" s="168">
      <c r="A10" s="185" t="inlineStr">
        <is>
          <t>ACCOUNT BALANCES SUMMARY</t>
        </is>
      </c>
    </row>
    <row r="11" ht="22" customHeight="1" s="168">
      <c r="B11" s="174" t="inlineStr">
        <is>
          <t>TOTAL GBP ASSETS</t>
        </is>
      </c>
      <c r="E11" s="173" t="inlineStr">
        <is>
          <t>GBP CC DEBT</t>
        </is>
      </c>
      <c r="H11" s="175" t="inlineStr">
        <is>
          <t>NET GBP WORTH</t>
        </is>
      </c>
      <c r="K11" s="186" t="inlineStr">
        <is>
          <t>COMBINED GBP EQUIV</t>
        </is>
      </c>
    </row>
    <row r="12" ht="44" customHeight="1" s="168">
      <c r="B12" s="178">
        <f>Balances!B21</f>
        <v/>
      </c>
      <c r="E12" s="177">
        <f>Balances!B22</f>
        <v/>
      </c>
      <c r="H12" s="179">
        <f>Balances!B21-Balances!B22</f>
        <v/>
      </c>
      <c r="K12" s="187">
        <f>Balances!B26</f>
        <v/>
      </c>
    </row>
    <row r="13" ht="20" customHeight="1" s="168">
      <c r="B13" s="182" t="n"/>
      <c r="E13" s="181" t="n"/>
      <c r="H13" s="183" t="n"/>
      <c r="K13" s="188" t="n"/>
    </row>
    <row r="15" ht="8" customHeight="1" s="168"/>
    <row r="16" ht="20" customHeight="1" s="168">
      <c r="A16" s="189" t="inlineStr">
        <is>
          <t>YEAR TO DATE — 2026</t>
        </is>
      </c>
    </row>
    <row r="17" ht="22" customHeight="1" s="168">
      <c r="B17" s="173" t="inlineStr">
        <is>
          <t>YTD GBP EXPENSES</t>
        </is>
      </c>
      <c r="E17" s="174" t="inlineStr">
        <is>
          <t>YTD GBP INCOME</t>
        </is>
      </c>
      <c r="H17" s="175" t="inlineStr">
        <is>
          <t>YTD NET SAVINGS</t>
        </is>
      </c>
      <c r="K17" s="176" t="inlineStr">
        <is>
          <t>YTD SAVINGS RATE</t>
        </is>
      </c>
    </row>
    <row r="18" ht="44" customHeight="1" s="168">
      <c r="B18" s="177">
        <f>SUMPRODUCT((Expenses!E$3:E$999="GBP")*(YEAR(Expenses!A$3:A$999)=2026)*(Expenses!A$3:A$999&lt;&gt;"")*Expenses!D$3:D$999)</f>
        <v/>
      </c>
      <c r="E18" s="178">
        <f>SUMPRODUCT((Income!D$3:D$502="GBP")*(YEAR(Income!A$3:A$502)=2026)*(Income!A$3:A$502&lt;&gt;"")*Income!C$3:C$502)</f>
        <v/>
      </c>
      <c r="H18" s="179">
        <f>E18-B18</f>
        <v/>
      </c>
      <c r="K18" s="180">
        <f>IFERROR((E18-B18)/E18,0)</f>
        <v/>
      </c>
    </row>
    <row r="19" ht="20" customHeight="1" s="168">
      <c r="B19" s="181" t="n"/>
      <c r="E19" s="182" t="n"/>
      <c r="H19" s="183" t="n"/>
      <c r="K19" s="184" t="n"/>
    </row>
    <row r="21" ht="12" customHeight="1" s="168"/>
    <row r="54" ht="12" customHeight="1" s="168">
      <c r="A54" s="190" t="inlineStr">
        <is>
          <t>📊  Chart data below (do not edit)</t>
        </is>
      </c>
    </row>
    <row r="55" ht="18" customHeight="1" s="168">
      <c r="A55" s="191" t="inlineStr">
        <is>
          <t>Category</t>
        </is>
      </c>
      <c r="B55" s="191" t="inlineStr">
        <is>
          <t>This Month (GBP)</t>
        </is>
      </c>
      <c r="D55" s="191" t="inlineStr">
        <is>
          <t>Account</t>
        </is>
      </c>
      <c r="E55" s="191" t="inlineStr">
        <is>
          <t>Balance (GBP)</t>
        </is>
      </c>
    </row>
    <row r="56">
      <c r="A56" s="192" t="inlineStr">
        <is>
          <t>Rent</t>
        </is>
      </c>
      <c r="B56" s="193">
        <f>SUMPRODUCT((Expenses!C$3:C$999=A56)*(Expenses!E$3:E$999="GBP")*(MONTH(Expenses!A$3:A$999)=MONTH(TODAY()))*(YEAR(Expenses!A$3:A$999)=2026)*(Expenses!A$3:A$999&lt;&gt;"")*Expenses!D$3:D$999)</f>
        <v/>
      </c>
      <c r="D56" s="192" t="inlineStr">
        <is>
          <t>Lloyds Bank (GBP)</t>
        </is>
      </c>
      <c r="E56" s="193">
        <f>IFERROR(INDEX(Balances!G$3:G$19,MATCH(D56,Balances!A$3:A$19,0)),0)</f>
        <v/>
      </c>
    </row>
    <row r="57">
      <c r="A57" s="192" t="inlineStr">
        <is>
          <t>Transport</t>
        </is>
      </c>
      <c r="B57" s="193">
        <f>SUMPRODUCT((Expenses!C$3:C$999=A57)*(Expenses!E$3:E$999="GBP")*(MONTH(Expenses!A$3:A$999)=MONTH(TODAY()))*(YEAR(Expenses!A$3:A$999)=2026)*(Expenses!A$3:A$999&lt;&gt;"")*Expenses!D$3:D$999)</f>
        <v/>
      </c>
      <c r="D57" s="192" t="inlineStr">
        <is>
          <t>HSBC Bank (GBP)</t>
        </is>
      </c>
      <c r="E57" s="193">
        <f>IFERROR(INDEX(Balances!G$3:G$19,MATCH(D57,Balances!A$3:A$19,0)),0)</f>
        <v/>
      </c>
    </row>
    <row r="58">
      <c r="A58" s="192" t="inlineStr">
        <is>
          <t>Travel</t>
        </is>
      </c>
      <c r="B58" s="193">
        <f>SUMPRODUCT((Expenses!C$3:C$999=A58)*(Expenses!E$3:E$999="GBP")*(MONTH(Expenses!A$3:A$999)=MONTH(TODAY()))*(YEAR(Expenses!A$3:A$999)=2026)*(Expenses!A$3:A$999&lt;&gt;"")*Expenses!D$3:D$999)</f>
        <v/>
      </c>
      <c r="D58" s="192" t="inlineStr">
        <is>
          <t>Barclays Bank (GBP)</t>
        </is>
      </c>
      <c r="E58" s="193">
        <f>IFERROR(INDEX(Balances!G$3:G$19,MATCH(D58,Balances!A$3:A$19,0)),0)</f>
        <v/>
      </c>
    </row>
    <row r="59">
      <c r="A59" s="192" t="inlineStr">
        <is>
          <t>Shopping</t>
        </is>
      </c>
      <c r="B59" s="193">
        <f>SUMPRODUCT((Expenses!C$3:C$999=A59)*(Expenses!E$3:E$999="GBP")*(MONTH(Expenses!A$3:A$999)=MONTH(TODAY()))*(YEAR(Expenses!A$3:A$999)=2026)*(Expenses!A$3:A$999&lt;&gt;"")*Expenses!D$3:D$999)</f>
        <v/>
      </c>
      <c r="D59" s="192" t="inlineStr">
        <is>
          <t>Klarna Pay (GBP)</t>
        </is>
      </c>
      <c r="E59" s="193">
        <f>IFERROR(INDEX(Balances!G$3:G$19,MATCH(D59,Balances!A$3:A$19,0)),0)</f>
        <v/>
      </c>
    </row>
    <row r="60">
      <c r="A60" s="192" t="inlineStr">
        <is>
          <t>Electronics</t>
        </is>
      </c>
      <c r="B60" s="193">
        <f>SUMPRODUCT((Expenses!C$3:C$999=A60)*(Expenses!E$3:E$999="GBP")*(MONTH(Expenses!A$3:A$999)=MONTH(TODAY()))*(YEAR(Expenses!A$3:A$999)=2026)*(Expenses!A$3:A$999&lt;&gt;"")*Expenses!D$3:D$999)</f>
        <v/>
      </c>
      <c r="D60" s="192" t="inlineStr">
        <is>
          <t>Oyster Travel Card (GBP)</t>
        </is>
      </c>
      <c r="E60" s="193">
        <f>IFERROR(INDEX(Balances!G$3:G$19,MATCH(D60,Balances!A$3:A$19,0)),0)</f>
        <v/>
      </c>
    </row>
    <row r="61">
      <c r="A61" s="192" t="inlineStr">
        <is>
          <t>Subscriptions</t>
        </is>
      </c>
      <c r="B61" s="193">
        <f>SUMPRODUCT((Expenses!C$3:C$999=A61)*(Expenses!E$3:E$999="GBP")*(MONTH(Expenses!A$3:A$999)=MONTH(TODAY()))*(YEAR(Expenses!A$3:A$999)=2026)*(Expenses!A$3:A$999&lt;&gt;"")*Expenses!D$3:D$999)</f>
        <v/>
      </c>
      <c r="D61" s="192" t="inlineStr">
        <is>
          <t>Chase Bank (GBP)</t>
        </is>
      </c>
      <c r="E61" s="193">
        <f>IFERROR(INDEX(Balances!G$3:G$19,MATCH(D61,Balances!A$3:A$19,0)),0)</f>
        <v/>
      </c>
    </row>
    <row r="62">
      <c r="A62" s="192" t="inlineStr">
        <is>
          <t>Bills</t>
        </is>
      </c>
      <c r="B62" s="193">
        <f>SUMPRODUCT((Expenses!C$3:C$999=A62)*(Expenses!E$3:E$999="GBP")*(MONTH(Expenses!A$3:A$999)=MONTH(TODAY()))*(YEAR(Expenses!A$3:A$999)=2026)*(Expenses!A$3:A$999&lt;&gt;"")*Expenses!D$3:D$999)</f>
        <v/>
      </c>
      <c r="D62" s="192" t="inlineStr">
        <is>
          <t>Monzo (GBP)</t>
        </is>
      </c>
      <c r="E62" s="193">
        <f>IFERROR(INDEX(Balances!G$3:G$19,MATCH(D62,Balances!A$3:A$19,0)),0)</f>
        <v/>
      </c>
    </row>
    <row r="63">
      <c r="A63" s="192" t="inlineStr">
        <is>
          <t>Entertainment</t>
        </is>
      </c>
      <c r="B63" s="193">
        <f>SUMPRODUCT((Expenses!C$3:C$999=A63)*(Expenses!E$3:E$999="GBP")*(MONTH(Expenses!A$3:A$999)=MONTH(TODAY()))*(YEAR(Expenses!A$3:A$999)=2026)*(Expenses!A$3:A$999&lt;&gt;"")*Expenses!D$3:D$999)</f>
        <v/>
      </c>
      <c r="D63" s="192" t="n"/>
      <c r="E63" s="194" t="n"/>
    </row>
    <row r="64">
      <c r="A64" s="192" t="inlineStr">
        <is>
          <t>Food and Drinks</t>
        </is>
      </c>
      <c r="B64" s="193">
        <f>SUMPRODUCT((Expenses!C$3:C$999=A64)*(Expenses!E$3:E$999="GBP")*(MONTH(Expenses!A$3:A$999)=MONTH(TODAY()))*(YEAR(Expenses!A$3:A$999)=2026)*(Expenses!A$3:A$999&lt;&gt;"")*Expenses!D$3:D$999)</f>
        <v/>
      </c>
      <c r="D64" s="192" t="n"/>
      <c r="E64" s="194" t="n"/>
    </row>
    <row r="65">
      <c r="A65" s="192" t="inlineStr">
        <is>
          <t>Groceries</t>
        </is>
      </c>
      <c r="B65" s="193">
        <f>SUMPRODUCT((Expenses!C$3:C$999=A65)*(Expenses!E$3:E$999="GBP")*(MONTH(Expenses!A$3:A$999)=MONTH(TODAY()))*(YEAR(Expenses!A$3:A$999)=2026)*(Expenses!A$3:A$999&lt;&gt;"")*Expenses!D$3:D$999)</f>
        <v/>
      </c>
      <c r="D65" s="192" t="n"/>
      <c r="E65" s="194" t="n"/>
    </row>
    <row r="66">
      <c r="A66" s="192" t="inlineStr">
        <is>
          <t>Others</t>
        </is>
      </c>
      <c r="B66" s="193">
        <f>SUMPRODUCT((Expenses!C$3:C$999=A66)*(Expenses!E$3:E$999="GBP")*(MONTH(Expenses!A$3:A$999)=MONTH(TODAY()))*(YEAR(Expenses!A$3:A$999)=2026)*(Expenses!A$3:A$999&lt;&gt;"")*Expenses!D$3:D$999)</f>
        <v/>
      </c>
      <c r="D66" s="192" t="n"/>
      <c r="E66" s="194" t="n"/>
    </row>
    <row r="67">
      <c r="A67" s="192" t="inlineStr">
        <is>
          <t>Gifts</t>
        </is>
      </c>
      <c r="B67" s="193">
        <f>SUMPRODUCT((Expenses!C$3:C$999=A67)*(Expenses!E$3:E$999="GBP")*(MONTH(Expenses!A$3:A$999)=MONTH(TODAY()))*(YEAR(Expenses!A$3:A$999)=2026)*(Expenses!A$3:A$999&lt;&gt;"")*Expenses!D$3:D$999)</f>
        <v/>
      </c>
      <c r="D67" s="192" t="n"/>
      <c r="E67" s="194" t="n"/>
    </row>
    <row r="68">
      <c r="A68" s="192" t="inlineStr">
        <is>
          <t>Donations</t>
        </is>
      </c>
      <c r="B68" s="193">
        <f>SUMPRODUCT((Expenses!C$3:C$999=A68)*(Expenses!E$3:E$999="GBP")*(MONTH(Expenses!A$3:A$999)=MONTH(TODAY()))*(YEAR(Expenses!A$3:A$999)=2026)*(Expenses!A$3:A$999&lt;&gt;"")*Expenses!D$3:D$999)</f>
        <v/>
      </c>
      <c r="D68" s="192" t="n"/>
      <c r="E68" s="194" t="n"/>
    </row>
    <row r="69">
      <c r="A69" s="192" t="inlineStr">
        <is>
          <t>Investments</t>
        </is>
      </c>
      <c r="B69" s="193">
        <f>SUMPRODUCT((Expenses!C$3:C$999=A69)*(Expenses!E$3:E$999="GBP")*(MONTH(Expenses!A$3:A$999)=MONTH(TODAY()))*(YEAR(Expenses!A$3:A$999)=2026)*(Expenses!A$3:A$999&lt;&gt;"")*Expenses!D$3:D$999)</f>
        <v/>
      </c>
      <c r="D69" s="192" t="n"/>
      <c r="E69" s="194" t="n"/>
    </row>
  </sheetData>
  <mergeCells count="43">
    <mergeCell ref="E12:F12"/>
    <mergeCell ref="B7:C7"/>
    <mergeCell ref="A4:M4"/>
    <mergeCell ref="E5:F5"/>
    <mergeCell ref="K5:L5"/>
    <mergeCell ref="B18:C18"/>
    <mergeCell ref="E17:F17"/>
    <mergeCell ref="H2:M2"/>
    <mergeCell ref="A10:M10"/>
    <mergeCell ref="B12:C12"/>
    <mergeCell ref="K11:L11"/>
    <mergeCell ref="H6:I6"/>
    <mergeCell ref="B11:C11"/>
    <mergeCell ref="E19:F19"/>
    <mergeCell ref="E13:F13"/>
    <mergeCell ref="B17:C17"/>
    <mergeCell ref="H17:I17"/>
    <mergeCell ref="B13:C13"/>
    <mergeCell ref="H11:I11"/>
    <mergeCell ref="E6:F6"/>
    <mergeCell ref="A1:M1"/>
    <mergeCell ref="K12:L12"/>
    <mergeCell ref="H7:I7"/>
    <mergeCell ref="B19:C19"/>
    <mergeCell ref="E11:F11"/>
    <mergeCell ref="H19:I19"/>
    <mergeCell ref="H13:I13"/>
    <mergeCell ref="A16:M16"/>
    <mergeCell ref="A54:M54"/>
    <mergeCell ref="K17:L17"/>
    <mergeCell ref="B6:C6"/>
    <mergeCell ref="K7:L7"/>
    <mergeCell ref="H12:I12"/>
    <mergeCell ref="E7:F7"/>
    <mergeCell ref="B5:C5"/>
    <mergeCell ref="H18:I18"/>
    <mergeCell ref="K19:L19"/>
    <mergeCell ref="A2:G2"/>
    <mergeCell ref="H5:I5"/>
    <mergeCell ref="K6:L6"/>
    <mergeCell ref="K13:L13"/>
    <mergeCell ref="E18:F18"/>
    <mergeCell ref="K18:L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pane ySplit="9" topLeftCell="A10" activePane="bottomLeft" state="frozen"/>
      <selection pane="bottomLeft" activeCell="B11" sqref="B11"/>
    </sheetView>
  </sheetViews>
  <sheetFormatPr baseColWidth="8" defaultColWidth="14.43" defaultRowHeight="15" customHeight="1"/>
  <cols>
    <col width="24" customWidth="1" style="168" min="1" max="1"/>
    <col width="14" customWidth="1" style="168" min="2" max="2"/>
    <col width="10" customWidth="1" style="168" min="3" max="3"/>
    <col width="14" customWidth="1" style="168" min="4" max="4"/>
    <col width="16" customWidth="1" style="168" min="5" max="5"/>
    <col width="12" customWidth="1" style="168" min="6" max="6"/>
    <col width="18" customWidth="1" style="168" min="7" max="7"/>
    <col width="12" customWidth="1" style="168" min="8" max="8"/>
    <col width="16" customWidth="1" style="168" min="9" max="9"/>
    <col width="13" customWidth="1" style="168" min="10" max="10"/>
    <col width="12" customWidth="1" style="168" min="11" max="11"/>
    <col width="16" customWidth="1" style="168" min="12" max="12"/>
    <col width="15" customWidth="1" style="168" min="13" max="13"/>
    <col width="8.710000000000001" customWidth="1" style="168" min="14" max="26"/>
  </cols>
  <sheetData>
    <row r="1" ht="51.75" customHeight="1" s="168">
      <c r="A1" s="195" t="inlineStr">
        <is>
          <t>GROCERY PROCUREMENT CALENDAR</t>
        </is>
      </c>
      <c r="B1" s="196" t="n"/>
      <c r="C1" s="196" t="n"/>
      <c r="D1" s="196" t="n"/>
      <c r="E1" s="196" t="n"/>
      <c r="F1" s="196" t="n"/>
      <c r="G1" s="196" t="n"/>
      <c r="H1" s="196" t="n"/>
      <c r="I1" s="196" t="n"/>
      <c r="J1" s="196" t="n"/>
      <c r="K1" s="196" t="n"/>
      <c r="L1" s="196" t="n"/>
      <c r="M1" s="197" t="n"/>
    </row>
    <row r="2" ht="19.5" customHeight="1" s="168">
      <c r="A2" s="22" t="inlineStr">
        <is>
          <t>Plan purchases · Track daily consumption · Auto reprocurement alerts</t>
        </is>
      </c>
    </row>
    <row r="3" ht="25.5" customHeight="1" s="168">
      <c r="A3" s="23" t="inlineStr">
        <is>
          <t>Reference Date:</t>
        </is>
      </c>
      <c r="B3" s="198">
        <f>TODAY()</f>
        <v/>
      </c>
      <c r="C3" s="196" t="n"/>
      <c r="D3" s="197" t="n"/>
      <c r="E3" s="25" t="inlineStr">
        <is>
          <t>Monthly Grocery Budget:</t>
        </is>
      </c>
      <c r="I3" s="199">
        <f>'Monthly Overview GBP'!K18</f>
        <v/>
      </c>
      <c r="J3" s="197" t="n"/>
      <c r="K3" s="27" t="inlineStr">
        <is>
          <t>Version 5.1 — Multi-purchase pooling</t>
        </is>
      </c>
    </row>
    <row r="4" ht="7.5" customHeight="1" s="168">
      <c r="A4" s="2" t="n"/>
      <c r="B4" s="2" t="n"/>
      <c r="C4" s="2" t="n"/>
      <c r="D4" s="2" t="n"/>
      <c r="E4" s="28" t="n"/>
      <c r="F4" s="2" t="n"/>
      <c r="G4" s="2" t="n"/>
      <c r="H4" s="2" t="n"/>
      <c r="I4" s="28" t="n"/>
      <c r="J4" s="2" t="n"/>
      <c r="K4" s="2" t="n"/>
      <c r="L4" s="2" t="n"/>
      <c r="M4" s="2" t="n"/>
    </row>
    <row r="5" ht="27.75" customHeight="1" s="168">
      <c r="A5" s="29" t="inlineStr">
        <is>
          <t>GROCERY BUDGET SNAPSHOT — THIS MONTH</t>
        </is>
      </c>
    </row>
    <row r="6" ht="37.5" customHeight="1" s="168">
      <c r="A6" s="200" t="inlineStr">
        <is>
          <t>Monthly Budget</t>
        </is>
      </c>
      <c r="B6" s="197" t="n"/>
      <c r="C6" s="201">
        <f>'Monthly Overview GBP'!K18</f>
        <v/>
      </c>
      <c r="D6" s="197" t="n"/>
      <c r="E6" s="87" t="inlineStr">
        <is>
          <t>Spent This Month</t>
        </is>
      </c>
      <c r="F6" s="197" t="n"/>
      <c r="G6" s="202">
        <f>SUMPRODUCT((TEXT(Expenses!A3:A200,"YYYY-MM")=TEXT(TODAY(),"YYYY-MM"))*(Expenses!C3:C200="Groceries")*IF(ISNUMBER(Expenses!H3:H200),Expenses!H3:H200,0))</f>
        <v/>
      </c>
      <c r="H6" s="197" t="n"/>
      <c r="I6" s="203" t="inlineStr">
        <is>
          <t>Remaining Budget</t>
        </is>
      </c>
      <c r="J6" s="197" t="n"/>
      <c r="K6" s="204">
        <f>C6-G6</f>
        <v/>
      </c>
      <c r="L6" s="197" t="n"/>
      <c r="M6" s="36">
        <f>COUNTIF(K10:K44,"DEPLETED")+COUNTIF(K10:K44,"TODAY!")+COUNTIF(K10:K44,"URGENT")</f>
        <v/>
      </c>
    </row>
    <row r="7" ht="7.5" customHeight="1" s="168">
      <c r="A7" s="2" t="n"/>
      <c r="B7" s="2" t="n"/>
      <c r="C7" s="2" t="n"/>
      <c r="D7" s="2" t="n"/>
      <c r="E7" s="28" t="n"/>
      <c r="F7" s="2" t="n"/>
      <c r="G7" s="2" t="n"/>
      <c r="H7" s="2" t="n"/>
      <c r="I7" s="28" t="n"/>
      <c r="J7" s="2" t="n"/>
      <c r="K7" s="2" t="n"/>
      <c r="L7" s="2" t="n"/>
      <c r="M7" s="2" t="n"/>
    </row>
    <row r="8" ht="27.75" customHeight="1" s="168">
      <c r="A8" s="37" t="inlineStr">
        <is>
          <t>GROCERY INVENTORY &amp; PURCHASE LOG  (add same item in multiple rows — pooled below)</t>
        </is>
      </c>
    </row>
    <row r="9" ht="51.75" customHeight="1" s="168">
      <c r="A9" s="38" t="inlineStr">
        <is>
          <t>Item Name</t>
        </is>
      </c>
      <c r="B9" s="38" t="inlineStr">
        <is>
          <t>Category</t>
        </is>
      </c>
      <c r="C9" s="38" t="inlineStr">
        <is>
          <t>Unit</t>
        </is>
      </c>
      <c r="D9" s="38" t="inlineStr">
        <is>
          <t>Qty
Purchased</t>
        </is>
      </c>
      <c r="E9" s="39" t="inlineStr">
        <is>
          <t>Purchase
Date</t>
        </is>
      </c>
      <c r="F9" s="38" t="inlineStr">
        <is>
          <t>Price
Paid (£)</t>
        </is>
      </c>
      <c r="G9" s="38" t="inlineStr">
        <is>
          <t>Daily
Consumption
(same unit)</t>
        </is>
      </c>
      <c r="H9" s="38" t="inlineStr">
        <is>
          <t>Days
Supply</t>
        </is>
      </c>
      <c r="I9" s="39" t="inlineStr">
        <is>
          <t>Depletion
Date</t>
        </is>
      </c>
      <c r="J9" s="38" t="inlineStr">
        <is>
          <t>Days
Left</t>
        </is>
      </c>
      <c r="K9" s="38" t="inlineStr">
        <is>
          <t>Status</t>
        </is>
      </c>
      <c r="L9" s="38" t="inlineStr">
        <is>
          <t>Reprocure
By</t>
        </is>
      </c>
      <c r="M9" s="38" t="inlineStr">
        <is>
          <t>Est. Monthly
Cost (£)</t>
        </is>
      </c>
    </row>
    <row r="10" ht="19.5" customHeight="1" s="168">
      <c r="A10" s="54" t="inlineStr">
        <is>
          <t>Chicken (Whole)</t>
        </is>
      </c>
      <c r="B10" s="55" t="inlineStr">
        <is>
          <t>Protein</t>
        </is>
      </c>
      <c r="C10" s="55" t="inlineStr">
        <is>
          <t>g</t>
        </is>
      </c>
      <c r="D10" s="55" t="n">
        <v>2000</v>
      </c>
      <c r="E10" s="44" t="n">
        <v>46153</v>
      </c>
      <c r="F10" s="46" t="n">
        <v>12.29</v>
      </c>
      <c r="G10" s="55" t="n">
        <v>400</v>
      </c>
      <c r="H10" s="55">
        <f>IFERROR(ROUND(D10/G10,0),"")</f>
        <v/>
      </c>
      <c r="I10" s="44">
        <f>IFERROR(DATEVALUE(E10)+H10,"")</f>
        <v/>
      </c>
      <c r="J10" s="45">
        <f>IFERROR(I10-TODAY(),"")</f>
        <v/>
      </c>
      <c r="K10" s="55">
        <f>IFERROR(IF(J10&lt;0,"DEPLETED",IF(J10=0,"TODAY!",IF(J10&lt;=3,"URGENT",IF(J10&lt;=7,"LOW","OK")))),"")</f>
        <v/>
      </c>
      <c r="L10" s="55">
        <f>IFERROR(TEXT(I10,"DD/MM/YYYY"),"")</f>
        <v/>
      </c>
      <c r="M10" s="46">
        <f>IFERROR(ROUND((F10/H10)*30,2),"")</f>
        <v/>
      </c>
    </row>
    <row r="11" ht="19.5" customHeight="1" s="168">
      <c r="A11" s="56" t="inlineStr">
        <is>
          <t>Eggs (30 Pack)</t>
        </is>
      </c>
      <c r="B11" s="50" t="inlineStr">
        <is>
          <t>Protein</t>
        </is>
      </c>
      <c r="C11" s="50" t="inlineStr">
        <is>
          <t>units</t>
        </is>
      </c>
      <c r="D11" s="50" t="n">
        <v>30</v>
      </c>
      <c r="E11" s="44" t="n">
        <v>46153</v>
      </c>
      <c r="F11" s="53" t="n">
        <v>4.5</v>
      </c>
      <c r="G11" s="50" t="n">
        <v>4</v>
      </c>
      <c r="H11" s="50">
        <f>IFERROR(ROUND(D11/G11,0),"")</f>
        <v/>
      </c>
      <c r="I11" s="51">
        <f>IFERROR(DATEVALUE(E11)+H11,"")</f>
        <v/>
      </c>
      <c r="J11" s="52">
        <f>IFERROR(I11-TODAY(),"")</f>
        <v/>
      </c>
      <c r="K11" s="50">
        <f>IFERROR(IF(J11&lt;0,"DEPLETED",IF(J11=0,"TODAY!",IF(J11&lt;=3,"URGENT",IF(J11&lt;=7,"LOW","OK")))),"")</f>
        <v/>
      </c>
      <c r="L11" s="50">
        <f>IFERROR(TEXT(I11,"DD/MM/YYYY"),"")</f>
        <v/>
      </c>
      <c r="M11" s="53">
        <f>IFERROR(ROUND((F11/H11)*30,2),"")</f>
        <v/>
      </c>
    </row>
    <row r="12" ht="19.5" customHeight="1" s="168">
      <c r="A12" s="54" t="inlineStr">
        <is>
          <t>Sweet Potatoes</t>
        </is>
      </c>
      <c r="B12" s="55" t="inlineStr">
        <is>
          <t>Protein</t>
        </is>
      </c>
      <c r="C12" s="55" t="inlineStr">
        <is>
          <t>units</t>
        </is>
      </c>
      <c r="D12" s="55" t="n">
        <v>4</v>
      </c>
      <c r="E12" s="44" t="n">
        <v>46153</v>
      </c>
      <c r="F12" s="46" t="n">
        <v>1.19</v>
      </c>
      <c r="G12" s="55" t="n">
        <v>1</v>
      </c>
      <c r="H12" s="55">
        <f>IFERROR(ROUND(D12/G12,0),"")</f>
        <v/>
      </c>
      <c r="I12" s="44">
        <f>IFERROR(DATEVALUE(E12)+H12,"")</f>
        <v/>
      </c>
      <c r="J12" s="45">
        <f>IFERROR(I12-TODAY(),"")</f>
        <v/>
      </c>
      <c r="K12" s="55">
        <f>IFERROR(IF(J12&lt;0,"DEPLETED",IF(J12=0,"TODAY!",IF(J12&lt;=3,"URGENT",IF(J12&lt;=7,"LOW","OK")))),"")</f>
        <v/>
      </c>
      <c r="L12" s="55">
        <f>IFERROR(TEXT(I12,"DD/MM/YYYY"),"")</f>
        <v/>
      </c>
      <c r="M12" s="46">
        <f>IFERROR(ROUND((F12/H12)*30,2),"")</f>
        <v/>
      </c>
    </row>
    <row r="13" ht="19.5" customHeight="1" s="168">
      <c r="A13" s="56" t="inlineStr">
        <is>
          <t>Yellow Pepper</t>
        </is>
      </c>
      <c r="B13" s="50" t="inlineStr">
        <is>
          <t>Vegetables</t>
        </is>
      </c>
      <c r="C13" s="50" t="inlineStr">
        <is>
          <t>units</t>
        </is>
      </c>
      <c r="D13" s="50" t="n">
        <v>2</v>
      </c>
      <c r="E13" s="44" t="n">
        <v>46153</v>
      </c>
      <c r="F13" s="53">
        <f>1.4-0.22</f>
        <v/>
      </c>
      <c r="G13" s="50" t="n">
        <v>1</v>
      </c>
      <c r="H13" s="50">
        <f>IFERROR(ROUND(D13/G13,0),"")</f>
        <v/>
      </c>
      <c r="I13" s="51">
        <f>IFERROR(DATEVALUE(E13)+H13,"")</f>
        <v/>
      </c>
      <c r="J13" s="52">
        <f>IFERROR(I13-TODAY(),"")</f>
        <v/>
      </c>
      <c r="K13" s="50">
        <f>IFERROR(IF(J13&lt;0,"DEPLETED",IF(J13=0,"TODAY!",IF(J13&lt;=3,"URGENT",IF(J13&lt;=7,"LOW","OK")))),"")</f>
        <v/>
      </c>
      <c r="L13" s="50">
        <f>IFERROR(TEXT(I13,"DD/MM/YYYY"),"")</f>
        <v/>
      </c>
      <c r="M13" s="53">
        <f>IFERROR(ROUND((F13/H13)*30,2),"")</f>
        <v/>
      </c>
    </row>
    <row r="14" ht="19.5" customHeight="1" s="168">
      <c r="A14" s="54" t="inlineStr">
        <is>
          <t>Full Fat Greek yougurt</t>
        </is>
      </c>
      <c r="B14" s="55" t="inlineStr">
        <is>
          <t>Dairy</t>
        </is>
      </c>
      <c r="C14" s="55" t="inlineStr">
        <is>
          <t>g</t>
        </is>
      </c>
      <c r="D14" s="55" t="n">
        <v>1000</v>
      </c>
      <c r="E14" s="44" t="n">
        <v>46152</v>
      </c>
      <c r="F14" s="46" t="n">
        <v>2.69</v>
      </c>
      <c r="G14" s="55" t="n">
        <v>200</v>
      </c>
      <c r="H14" s="55">
        <f>IFERROR(ROUND(D14/G14,0),"")</f>
        <v/>
      </c>
      <c r="I14" s="44">
        <f>IFERROR(DATEVALUE(E14)+H14,"")</f>
        <v/>
      </c>
      <c r="J14" s="45">
        <f>IFERROR(I14-TODAY(),"")</f>
        <v/>
      </c>
      <c r="K14" s="55">
        <f>IFERROR(IF(J14&lt;0,"DEPLETED",IF(J14=0,"TODAY!",IF(J14&lt;=3,"URGENT",IF(J14&lt;=7,"LOW","OK")))),"")</f>
        <v/>
      </c>
      <c r="L14" s="55">
        <f>IFERROR(TEXT(I14,"DD/MM/YYYY"),"")</f>
        <v/>
      </c>
      <c r="M14" s="46">
        <f>IFERROR(ROUND((F14/H14)*30,2),"")</f>
        <v/>
      </c>
    </row>
    <row r="15" ht="19.5" customHeight="1" s="168">
      <c r="A15" s="56" t="inlineStr">
        <is>
          <t>Blueberries</t>
        </is>
      </c>
      <c r="B15" s="50" t="inlineStr">
        <is>
          <t>Fruits</t>
        </is>
      </c>
      <c r="C15" s="50" t="inlineStr">
        <is>
          <t>g</t>
        </is>
      </c>
      <c r="D15" s="50" t="n">
        <v>350</v>
      </c>
      <c r="E15" s="44" t="n">
        <v>46152</v>
      </c>
      <c r="F15" s="53" t="n">
        <v>2.95</v>
      </c>
      <c r="G15" s="50" t="n">
        <v>50</v>
      </c>
      <c r="H15" s="50">
        <f>IFERROR(ROUND(D15/G15,0),"")</f>
        <v/>
      </c>
      <c r="I15" s="51">
        <f>IFERROR(DATEVALUE(E15)+H15,"")</f>
        <v/>
      </c>
      <c r="J15" s="52">
        <f>IFERROR(I15-TODAY(),"")</f>
        <v/>
      </c>
      <c r="K15" s="50">
        <f>IFERROR(IF(J15&lt;0,"DEPLETED",IF(J15=0,"TODAY!",IF(J15&lt;=3,"URGENT",IF(J15&lt;=7,"LOW","OK")))),"")</f>
        <v/>
      </c>
      <c r="L15" s="50">
        <f>IFERROR(TEXT(I15,"DD/MM/YYYY"),"")</f>
        <v/>
      </c>
      <c r="M15" s="53">
        <f>IFERROR(ROUND((F15/H15)*30,2),"")</f>
        <v/>
      </c>
    </row>
    <row r="16" ht="19.5" customHeight="1" s="168">
      <c r="A16" s="54" t="inlineStr">
        <is>
          <t>Mango Fruit</t>
        </is>
      </c>
      <c r="B16" s="55" t="inlineStr">
        <is>
          <t>Fruits</t>
        </is>
      </c>
      <c r="C16" s="55" t="inlineStr">
        <is>
          <t>g</t>
        </is>
      </c>
      <c r="D16" s="55" t="n">
        <v>1000</v>
      </c>
      <c r="E16" s="44" t="n">
        <v>46149</v>
      </c>
      <c r="F16" s="46" t="n">
        <v>3.49</v>
      </c>
      <c r="G16" s="55" t="n">
        <v>100</v>
      </c>
      <c r="H16" s="55">
        <f>IFERROR(ROUND(D16/G16,0),"")</f>
        <v/>
      </c>
      <c r="I16" s="44">
        <f>IFERROR(DATEVALUE(E16)+H16,"")</f>
        <v/>
      </c>
      <c r="J16" s="45">
        <f>IFERROR(I16-TODAY(),"")</f>
        <v/>
      </c>
      <c r="K16" s="55">
        <f>IFERROR(IF(J16&lt;0,"DEPLETED",IF(J16=0,"TODAY!",IF(J16&lt;=3,"URGENT",IF(J16&lt;=7,"LOW","OK")))),"")</f>
        <v/>
      </c>
      <c r="L16" s="55">
        <f>IFERROR(TEXT(I16,"DD/MM/YYYY"),"")</f>
        <v/>
      </c>
      <c r="M16" s="46">
        <f>IFERROR(ROUND((F16/H16)*30,2),"")</f>
        <v/>
      </c>
    </row>
    <row r="17" ht="19.5" customHeight="1" s="168">
      <c r="A17" s="56" t="inlineStr">
        <is>
          <t>Sweet Corn</t>
        </is>
      </c>
      <c r="B17" s="50" t="inlineStr">
        <is>
          <t>Vegetables</t>
        </is>
      </c>
      <c r="C17" s="50" t="inlineStr">
        <is>
          <t>units</t>
        </is>
      </c>
      <c r="D17" s="50" t="n">
        <v>8</v>
      </c>
      <c r="E17" s="44" t="n">
        <v>46153</v>
      </c>
      <c r="F17" s="53" t="n">
        <v>3.38</v>
      </c>
      <c r="G17" s="50" t="n">
        <v>1</v>
      </c>
      <c r="H17" s="50">
        <f>IFERROR(ROUND(D17/G17,0),"")</f>
        <v/>
      </c>
      <c r="I17" s="51">
        <f>IFERROR(DATEVALUE(E17)+H17,"")</f>
        <v/>
      </c>
      <c r="J17" s="52">
        <f>IFERROR(I17-TODAY(),"")</f>
        <v/>
      </c>
      <c r="K17" s="50">
        <f>IFERROR(IF(J17&lt;0,"DEPLETED",IF(J17=0,"TODAY!",IF(J17&lt;=3,"URGENT",IF(J17&lt;=7,"LOW","OK")))),"")</f>
        <v/>
      </c>
      <c r="L17" s="50">
        <f>IFERROR(TEXT(I17,"DD/MM/YYYY"),"")</f>
        <v/>
      </c>
      <c r="M17" s="53">
        <f>IFERROR(ROUND((F17/H17)*30,2),"")</f>
        <v/>
      </c>
    </row>
    <row r="18" ht="19.5" customHeight="1" s="168">
      <c r="A18" s="54" t="inlineStr">
        <is>
          <t>Garden Peas</t>
        </is>
      </c>
      <c r="B18" s="50" t="inlineStr">
        <is>
          <t>Vegetables</t>
        </is>
      </c>
      <c r="C18" s="55" t="inlineStr">
        <is>
          <t>g</t>
        </is>
      </c>
      <c r="D18" s="55" t="n">
        <v>800</v>
      </c>
      <c r="E18" s="44" t="n">
        <v>46153</v>
      </c>
      <c r="F18" s="46" t="n">
        <v>2.25</v>
      </c>
      <c r="G18" s="55" t="n">
        <v>200</v>
      </c>
      <c r="H18" s="55">
        <f>IFERROR(ROUND(D18/G18,0),"")</f>
        <v/>
      </c>
      <c r="I18" s="44">
        <f>IFERROR(DATEVALUE(E18)+H18,"")</f>
        <v/>
      </c>
      <c r="J18" s="45">
        <f>IFERROR(I18-TODAY(),"")</f>
        <v/>
      </c>
      <c r="K18" s="55">
        <f>IFERROR(IF(J18&lt;0,"DEPLETED",IF(J18=0,"TODAY!",IF(J18&lt;=3,"URGENT",IF(J18&lt;=7,"LOW","OK")))),"")</f>
        <v/>
      </c>
      <c r="L18" s="55">
        <f>IFERROR(TEXT(I18,"DD/MM/YYYY"),"")</f>
        <v/>
      </c>
      <c r="M18" s="46">
        <f>IFERROR(ROUND((F18/H18)*30,2),"")</f>
        <v/>
      </c>
    </row>
    <row r="19" ht="19.5" customHeight="1" s="168">
      <c r="A19" s="54" t="inlineStr">
        <is>
          <t>Chicken (Whole)</t>
        </is>
      </c>
      <c r="B19" s="55" t="inlineStr">
        <is>
          <t>Protein</t>
        </is>
      </c>
      <c r="C19" s="55" t="inlineStr">
        <is>
          <t>g</t>
        </is>
      </c>
      <c r="D19" s="55" t="n">
        <v>2000</v>
      </c>
      <c r="E19" s="44" t="n">
        <v>46159</v>
      </c>
      <c r="F19" s="46" t="n">
        <v>12.29</v>
      </c>
      <c r="G19" s="50" t="n">
        <v>400</v>
      </c>
      <c r="H19" s="50">
        <f>IFERROR(ROUND(D19/G19,0),"")</f>
        <v/>
      </c>
      <c r="I19" s="51">
        <f>IFERROR(DATEVALUE(E19)+H19,"")</f>
        <v/>
      </c>
      <c r="J19" s="52">
        <f>IFERROR(I19-TODAY(),"")</f>
        <v/>
      </c>
      <c r="K19" s="50">
        <f>IFERROR(IF(J19&lt;0,"DEPLETED",IF(J19=0,"TODAY!",IF(J19&lt;=3,"URGENT",IF(J19&lt;=7,"LOW","OK")))),"")</f>
        <v/>
      </c>
      <c r="L19" s="50">
        <f>IFERROR(TEXT(I19,"DD/MM/YYYY"),"")</f>
        <v/>
      </c>
      <c r="M19" s="53" t="n"/>
    </row>
    <row r="20" ht="19.5" customHeight="1" s="168">
      <c r="A20" s="54" t="inlineStr">
        <is>
          <t>Garden Peas</t>
        </is>
      </c>
      <c r="B20" s="50" t="inlineStr">
        <is>
          <t>Vegetables</t>
        </is>
      </c>
      <c r="C20" s="55" t="inlineStr">
        <is>
          <t>g</t>
        </is>
      </c>
      <c r="D20" s="55" t="n">
        <v>800</v>
      </c>
      <c r="E20" s="44" t="n">
        <v>46159</v>
      </c>
      <c r="F20" s="46" t="n">
        <v>2.25</v>
      </c>
      <c r="G20" s="55" t="n">
        <v>200</v>
      </c>
      <c r="H20" s="55">
        <f>IFERROR(ROUND(D20/G20,0),"")</f>
        <v/>
      </c>
      <c r="I20" s="44">
        <f>IFERROR(DATEVALUE(E20)+H20,"")</f>
        <v/>
      </c>
      <c r="J20" s="45">
        <f>IFERROR(I20-TODAY(),"")</f>
        <v/>
      </c>
      <c r="K20" s="55">
        <f>IFERROR(IF(J20&lt;0,"DEPLETED",IF(J20=0,"TODAY!",IF(J20&lt;=3,"URGENT",IF(J20&lt;=7,"LOW","OK")))),"")</f>
        <v/>
      </c>
      <c r="L20" s="55">
        <f>IFERROR(TEXT(I20,"DD/MM/YYYY"),"")</f>
        <v/>
      </c>
      <c r="M20" s="46">
        <f>IFERROR(ROUND((F20/H20)*30,2),"")</f>
        <v/>
      </c>
    </row>
    <row r="21" ht="19.5" customHeight="1" s="168">
      <c r="A21" s="56" t="inlineStr">
        <is>
          <t>Blueberries</t>
        </is>
      </c>
      <c r="B21" s="50" t="inlineStr">
        <is>
          <t>Fruits</t>
        </is>
      </c>
      <c r="C21" s="50" t="inlineStr">
        <is>
          <t>g</t>
        </is>
      </c>
      <c r="D21" s="50" t="n">
        <v>350</v>
      </c>
      <c r="E21" s="44" t="n">
        <v>46159</v>
      </c>
      <c r="F21" s="53" t="n">
        <v>2.95</v>
      </c>
      <c r="G21" s="50" t="n">
        <v>50</v>
      </c>
      <c r="H21" s="50">
        <f>IFERROR(ROUND(D21/G21,0),"")</f>
        <v/>
      </c>
      <c r="I21" s="51">
        <f>IFERROR(DATEVALUE(E21)+H21,"")</f>
        <v/>
      </c>
      <c r="J21" s="52">
        <f>IFERROR(I21-TODAY(),"")</f>
        <v/>
      </c>
      <c r="K21" s="50">
        <f>IFERROR(IF(J21&lt;0,"DEPLETED",IF(J21=0,"TODAY!",IF(J21&lt;=3,"URGENT",IF(J21&lt;=7,"LOW","OK")))),"")</f>
        <v/>
      </c>
      <c r="L21" s="50">
        <f>IFERROR(TEXT(I21,"DD/MM/YYYY"),"")</f>
        <v/>
      </c>
      <c r="M21" s="53">
        <f>IFERROR(ROUND((F21/H21)*30,2),"")</f>
        <v/>
      </c>
    </row>
    <row r="22" ht="19.5" customHeight="1" s="168">
      <c r="A22" s="54" t="inlineStr">
        <is>
          <t>Mango Fruit</t>
        </is>
      </c>
      <c r="B22" s="55" t="inlineStr">
        <is>
          <t>Fruits</t>
        </is>
      </c>
      <c r="C22" s="55" t="inlineStr">
        <is>
          <t>g</t>
        </is>
      </c>
      <c r="D22" s="55" t="n">
        <v>500</v>
      </c>
      <c r="E22" s="44" t="n">
        <v>46159</v>
      </c>
      <c r="F22" s="46" t="n">
        <v>1.75</v>
      </c>
      <c r="G22" s="55" t="n">
        <v>100</v>
      </c>
      <c r="H22" s="55">
        <f>IFERROR(ROUND(D22/G22,0),"")</f>
        <v/>
      </c>
      <c r="I22" s="44">
        <f>IFERROR(DATEVALUE(E22)+H22,"")</f>
        <v/>
      </c>
      <c r="J22" s="45">
        <f>IFERROR(I22-TODAY(),"")</f>
        <v/>
      </c>
      <c r="K22" s="55">
        <f>IFERROR(IF(J22&lt;0,"DEPLETED",IF(J22=0,"TODAY!",IF(J22&lt;=3,"URGENT",IF(J22&lt;=7,"LOW","OK")))),"")</f>
        <v/>
      </c>
      <c r="L22" s="55">
        <f>IFERROR(TEXT(I22,"DD/MM/YYYY"),"")</f>
        <v/>
      </c>
      <c r="M22" s="46">
        <f>IFERROR(ROUND((F22/H22)*30,2),"")</f>
        <v/>
      </c>
    </row>
    <row r="23" ht="19.5" customHeight="1" s="168">
      <c r="A23" s="54" t="inlineStr">
        <is>
          <t>Sweet Potatoes</t>
        </is>
      </c>
      <c r="B23" s="55" t="inlineStr">
        <is>
          <t>Protein</t>
        </is>
      </c>
      <c r="C23" s="55" t="inlineStr">
        <is>
          <t>units</t>
        </is>
      </c>
      <c r="D23" s="55" t="n">
        <v>4</v>
      </c>
      <c r="E23" s="44" t="n">
        <v>46159</v>
      </c>
      <c r="F23" s="53" t="n">
        <v>1.19</v>
      </c>
      <c r="G23" s="50" t="n">
        <v>1</v>
      </c>
      <c r="H23" s="50">
        <f>IFERROR(ROUND(D23/G23,0),"")</f>
        <v/>
      </c>
      <c r="I23" s="51">
        <f>IFERROR(DATEVALUE(E23)+H23,"")</f>
        <v/>
      </c>
      <c r="J23" s="52">
        <f>IFERROR(I23-TODAY(),"")</f>
        <v/>
      </c>
      <c r="K23" s="50">
        <f>IFERROR(IF(J23&lt;0,"DEPLETED",IF(J23=0,"TODAY!",IF(J23&lt;=3,"URGENT",IF(J23&lt;=7,"LOW","OK")))),"")</f>
        <v/>
      </c>
      <c r="L23" s="50">
        <f>IFERROR(TEXT(I23,"DD/MM/YYYY"),"")</f>
        <v/>
      </c>
      <c r="M23" s="53">
        <f>IFERROR(ROUND((F23/H23)*30,2),"")</f>
        <v/>
      </c>
    </row>
    <row r="24" ht="19.5" customHeight="1" s="168">
      <c r="A24" s="54" t="n"/>
      <c r="B24" s="55" t="n"/>
      <c r="C24" s="55" t="n"/>
      <c r="D24" s="55" t="n"/>
      <c r="E24" s="44" t="n"/>
      <c r="F24" s="46" t="n"/>
      <c r="G24" s="55" t="n"/>
      <c r="H24" s="55">
        <f>IFERROR(ROUND(D24/G24,0),"")</f>
        <v/>
      </c>
      <c r="I24" s="44">
        <f>IFERROR(DATEVALUE(E24)+H24,"")</f>
        <v/>
      </c>
      <c r="J24" s="45">
        <f>IFERROR(I24-TODAY(),"")</f>
        <v/>
      </c>
      <c r="K24" s="55">
        <f>IFERROR(IF(J24&lt;0,"DEPLETED",IF(J24=0,"TODAY!",IF(J24&lt;=3,"URGENT",IF(J24&lt;=7,"LOW","OK")))),"")</f>
        <v/>
      </c>
      <c r="L24" s="55">
        <f>IFERROR(TEXT(I24,"DD/MM/YYYY"),"")</f>
        <v/>
      </c>
      <c r="M24" s="46">
        <f>IFERROR(ROUND((F24/H24)*30,2),"")</f>
        <v/>
      </c>
    </row>
    <row r="25" ht="19.5" customHeight="1" s="168">
      <c r="A25" s="56" t="n"/>
      <c r="B25" s="50" t="n"/>
      <c r="C25" s="50" t="n"/>
      <c r="D25" s="50" t="n"/>
      <c r="E25" s="51" t="n"/>
      <c r="F25" s="53" t="n"/>
      <c r="G25" s="50" t="n"/>
      <c r="H25" s="50">
        <f>IFERROR(ROUND(D25/G25,0),"")</f>
        <v/>
      </c>
      <c r="I25" s="51">
        <f>IFERROR(DATEVALUE(E25)+H25,"")</f>
        <v/>
      </c>
      <c r="J25" s="52">
        <f>IFERROR(I25-TODAY(),"")</f>
        <v/>
      </c>
      <c r="K25" s="50">
        <f>IFERROR(IF(J25&lt;0,"DEPLETED",IF(J25=0,"TODAY!",IF(J25&lt;=3,"URGENT",IF(J25&lt;=7,"LOW","OK")))),"")</f>
        <v/>
      </c>
      <c r="L25" s="50">
        <f>IFERROR(TEXT(I25,"DD/MM/YYYY"),"")</f>
        <v/>
      </c>
      <c r="M25" s="53">
        <f>IFERROR(ROUND((F25/H25)*30,2),"")</f>
        <v/>
      </c>
    </row>
    <row r="26" ht="19.5" customHeight="1" s="168">
      <c r="A26" s="54" t="n"/>
      <c r="B26" s="55" t="n"/>
      <c r="C26" s="55" t="n"/>
      <c r="D26" s="55" t="n"/>
      <c r="E26" s="44" t="n"/>
      <c r="F26" s="46" t="n"/>
      <c r="G26" s="55" t="n"/>
      <c r="H26" s="55">
        <f>IFERROR(ROUND(D26/G26,0),"")</f>
        <v/>
      </c>
      <c r="I26" s="44">
        <f>IFERROR(DATEVALUE(E26)+H26,"")</f>
        <v/>
      </c>
      <c r="J26" s="45">
        <f>IFERROR(I26-TODAY(),"")</f>
        <v/>
      </c>
      <c r="K26" s="55">
        <f>IFERROR(IF(J26&lt;0,"DEPLETED",IF(J26=0,"TODAY!",IF(J26&lt;=3,"URGENT",IF(J26&lt;=7,"LOW","OK")))),"")</f>
        <v/>
      </c>
      <c r="L26" s="55">
        <f>IFERROR(TEXT(I26,"DD/MM/YYYY"),"")</f>
        <v/>
      </c>
      <c r="M26" s="46">
        <f>IFERROR(ROUND((F26/H26)*30,2),"")</f>
        <v/>
      </c>
    </row>
    <row r="27" ht="19.5" customHeight="1" s="168">
      <c r="A27" s="56" t="n"/>
      <c r="B27" s="50" t="n"/>
      <c r="C27" s="50" t="n"/>
      <c r="D27" s="50" t="n"/>
      <c r="E27" s="51" t="n"/>
      <c r="F27" s="53" t="n"/>
      <c r="G27" s="50" t="n"/>
      <c r="H27" s="50">
        <f>IFERROR(ROUND(D27/G27,0),"")</f>
        <v/>
      </c>
      <c r="I27" s="51">
        <f>IFERROR(DATEVALUE(E27)+H27,"")</f>
        <v/>
      </c>
      <c r="J27" s="52">
        <f>IFERROR(I27-TODAY(),"")</f>
        <v/>
      </c>
      <c r="K27" s="50">
        <f>IFERROR(IF(J27&lt;0,"DEPLETED",IF(J27=0,"TODAY!",IF(J27&lt;=3,"URGENT",IF(J27&lt;=7,"LOW","OK")))),"")</f>
        <v/>
      </c>
      <c r="L27" s="50">
        <f>IFERROR(TEXT(I27,"DD/MM/YYYY"),"")</f>
        <v/>
      </c>
      <c r="M27" s="53">
        <f>IFERROR(ROUND((F27/H27)*30,2),"")</f>
        <v/>
      </c>
    </row>
    <row r="28" ht="19.5" customHeight="1" s="168">
      <c r="A28" s="54" t="n"/>
      <c r="B28" s="55" t="n"/>
      <c r="C28" s="55" t="n"/>
      <c r="D28" s="55" t="n"/>
      <c r="E28" s="44" t="n"/>
      <c r="F28" s="46" t="n"/>
      <c r="G28" s="55" t="n"/>
      <c r="H28" s="55">
        <f>IFERROR(ROUND(D28/G28,0),"")</f>
        <v/>
      </c>
      <c r="I28" s="44">
        <f>IFERROR(DATEVALUE(E28)+H28,"")</f>
        <v/>
      </c>
      <c r="J28" s="45">
        <f>IFERROR(I28-TODAY(),"")</f>
        <v/>
      </c>
      <c r="K28" s="55">
        <f>IFERROR(IF(J28&lt;0,"DEPLETED",IF(J28=0,"TODAY!",IF(J28&lt;=3,"URGENT",IF(J28&lt;=7,"LOW","OK")))),"")</f>
        <v/>
      </c>
      <c r="L28" s="55">
        <f>IFERROR(TEXT(I28,"DD/MM/YYYY"),"")</f>
        <v/>
      </c>
      <c r="M28" s="46">
        <f>IFERROR(ROUND((F28/H28)*30,2),"")</f>
        <v/>
      </c>
    </row>
    <row r="29" ht="19.5" customHeight="1" s="168">
      <c r="A29" s="56" t="n"/>
      <c r="B29" s="50" t="n"/>
      <c r="C29" s="50" t="n"/>
      <c r="D29" s="50" t="n"/>
      <c r="E29" s="51" t="n"/>
      <c r="F29" s="53" t="n"/>
      <c r="G29" s="50" t="n"/>
      <c r="H29" s="50">
        <f>IFERROR(ROUND(D29/G29,0),"")</f>
        <v/>
      </c>
      <c r="I29" s="51">
        <f>IFERROR(DATEVALUE(E29)+H29,"")</f>
        <v/>
      </c>
      <c r="J29" s="52">
        <f>IFERROR(I29-TODAY(),"")</f>
        <v/>
      </c>
      <c r="K29" s="50">
        <f>IFERROR(IF(J29&lt;0,"DEPLETED",IF(J29=0,"TODAY!",IF(J29&lt;=3,"URGENT",IF(J29&lt;=7,"LOW","OK")))),"")</f>
        <v/>
      </c>
      <c r="L29" s="50">
        <f>IFERROR(TEXT(I29,"DD/MM/YYYY"),"")</f>
        <v/>
      </c>
      <c r="M29" s="53">
        <f>IFERROR(ROUND((F29/H29)*30,2),"")</f>
        <v/>
      </c>
    </row>
    <row r="30" ht="19.5" customHeight="1" s="168">
      <c r="A30" s="54" t="n"/>
      <c r="B30" s="55" t="n"/>
      <c r="C30" s="55" t="n"/>
      <c r="D30" s="55" t="n"/>
      <c r="E30" s="44" t="n"/>
      <c r="F30" s="46" t="n"/>
      <c r="G30" s="55" t="n"/>
      <c r="H30" s="55">
        <f>IFERROR(ROUND(D30/G30,0),"")</f>
        <v/>
      </c>
      <c r="I30" s="44">
        <f>IFERROR(DATEVALUE(E30)+H30,"")</f>
        <v/>
      </c>
      <c r="J30" s="45">
        <f>IFERROR(I30-TODAY(),"")</f>
        <v/>
      </c>
      <c r="K30" s="55">
        <f>IFERROR(IF(J30&lt;0,"DEPLETED",IF(J30=0,"TODAY!",IF(J30&lt;=3,"URGENT",IF(J30&lt;=7,"LOW","OK")))),"")</f>
        <v/>
      </c>
      <c r="L30" s="55">
        <f>IFERROR(TEXT(I30,"DD/MM/YYYY"),"")</f>
        <v/>
      </c>
      <c r="M30" s="46">
        <f>IFERROR(ROUND((F30/H30)*30,2),"")</f>
        <v/>
      </c>
    </row>
    <row r="31" ht="19.5" customHeight="1" s="168">
      <c r="A31" s="56" t="n"/>
      <c r="B31" s="50" t="n"/>
      <c r="C31" s="50" t="n"/>
      <c r="D31" s="50" t="n"/>
      <c r="E31" s="51" t="n"/>
      <c r="F31" s="53" t="n"/>
      <c r="G31" s="50" t="n"/>
      <c r="H31" s="50">
        <f>IFERROR(ROUND(D31/G31,0),"")</f>
        <v/>
      </c>
      <c r="I31" s="51">
        <f>IFERROR(DATEVALUE(E31)+H31,"")</f>
        <v/>
      </c>
      <c r="J31" s="52">
        <f>IFERROR(I31-TODAY(),"")</f>
        <v/>
      </c>
      <c r="K31" s="50">
        <f>IFERROR(IF(J31&lt;0,"DEPLETED",IF(J31=0,"TODAY!",IF(J31&lt;=3,"URGENT",IF(J31&lt;=7,"LOW","OK")))),"")</f>
        <v/>
      </c>
      <c r="L31" s="50">
        <f>IFERROR(TEXT(I31,"DD/MM/YYYY"),"")</f>
        <v/>
      </c>
      <c r="M31" s="53">
        <f>IFERROR(ROUND((F31/H31)*30,2),"")</f>
        <v/>
      </c>
    </row>
    <row r="32" ht="19.5" customHeight="1" s="168">
      <c r="A32" s="54" t="n"/>
      <c r="B32" s="55" t="n"/>
      <c r="C32" s="55" t="n"/>
      <c r="D32" s="55" t="n"/>
      <c r="E32" s="44" t="n"/>
      <c r="F32" s="46" t="n"/>
      <c r="G32" s="55" t="n"/>
      <c r="H32" s="55">
        <f>IFERROR(ROUND(D32/G32,0),"")</f>
        <v/>
      </c>
      <c r="I32" s="44">
        <f>IFERROR(DATEVALUE(E32)+H32,"")</f>
        <v/>
      </c>
      <c r="J32" s="45">
        <f>IFERROR(I32-TODAY(),"")</f>
        <v/>
      </c>
      <c r="K32" s="55">
        <f>IFERROR(IF(J32&lt;0,"DEPLETED",IF(J32=0,"TODAY!",IF(J32&lt;=3,"URGENT",IF(J32&lt;=7,"LOW","OK")))),"")</f>
        <v/>
      </c>
      <c r="L32" s="55">
        <f>IFERROR(TEXT(I32,"DD/MM/YYYY"),"")</f>
        <v/>
      </c>
      <c r="M32" s="46">
        <f>IFERROR(ROUND((F32/H32)*30,2),"")</f>
        <v/>
      </c>
    </row>
    <row r="33" ht="19.5" customHeight="1" s="168">
      <c r="A33" s="56" t="n"/>
      <c r="B33" s="50" t="n"/>
      <c r="C33" s="50" t="n"/>
      <c r="D33" s="50" t="n"/>
      <c r="E33" s="51" t="n"/>
      <c r="F33" s="53" t="n"/>
      <c r="G33" s="50" t="n"/>
      <c r="H33" s="50">
        <f>IFERROR(ROUND(D33/G33,0),"")</f>
        <v/>
      </c>
      <c r="I33" s="51">
        <f>IFERROR(DATEVALUE(E33)+H33,"")</f>
        <v/>
      </c>
      <c r="J33" s="52">
        <f>IFERROR(I33-TODAY(),"")</f>
        <v/>
      </c>
      <c r="K33" s="50">
        <f>IFERROR(IF(J33&lt;0,"DEPLETED",IF(J33=0,"TODAY!",IF(J33&lt;=3,"URGENT",IF(J33&lt;=7,"LOW","OK")))),"")</f>
        <v/>
      </c>
      <c r="L33" s="50">
        <f>IFERROR(TEXT(I33,"DD/MM/YYYY"),"")</f>
        <v/>
      </c>
      <c r="M33" s="53">
        <f>IFERROR(ROUND((F33/H33)*30,2),"")</f>
        <v/>
      </c>
    </row>
    <row r="34" ht="19.5" customHeight="1" s="168">
      <c r="A34" s="54" t="n"/>
      <c r="B34" s="55" t="n"/>
      <c r="C34" s="55" t="n"/>
      <c r="D34" s="55" t="n"/>
      <c r="E34" s="44" t="n"/>
      <c r="F34" s="46" t="n"/>
      <c r="G34" s="55" t="n"/>
      <c r="H34" s="55">
        <f>IFERROR(ROUND(D34/G34,0),"")</f>
        <v/>
      </c>
      <c r="I34" s="44">
        <f>IFERROR(DATEVALUE(E34)+H34,"")</f>
        <v/>
      </c>
      <c r="J34" s="45">
        <f>IFERROR(I34-TODAY(),"")</f>
        <v/>
      </c>
      <c r="K34" s="55">
        <f>IFERROR(IF(J34&lt;0,"DEPLETED",IF(J34=0,"TODAY!",IF(J34&lt;=3,"URGENT",IF(J34&lt;=7,"LOW","OK")))),"")</f>
        <v/>
      </c>
      <c r="L34" s="55">
        <f>IFERROR(TEXT(I34,"DD/MM/YYYY"),"")</f>
        <v/>
      </c>
      <c r="M34" s="46">
        <f>IFERROR(ROUND((F34/H34)*30,2),"")</f>
        <v/>
      </c>
    </row>
    <row r="35" ht="19.5" customHeight="1" s="168">
      <c r="A35" s="56" t="n"/>
      <c r="B35" s="50" t="n"/>
      <c r="C35" s="50" t="n"/>
      <c r="D35" s="50" t="n"/>
      <c r="E35" s="51" t="n"/>
      <c r="F35" s="53" t="n"/>
      <c r="G35" s="50" t="n"/>
      <c r="H35" s="50">
        <f>IFERROR(ROUND(D35/G35,0),"")</f>
        <v/>
      </c>
      <c r="I35" s="51">
        <f>IFERROR(DATEVALUE(E35)+H35,"")</f>
        <v/>
      </c>
      <c r="J35" s="52">
        <f>IFERROR(I35-TODAY(),"")</f>
        <v/>
      </c>
      <c r="K35" s="50">
        <f>IFERROR(IF(J35&lt;0,"DEPLETED",IF(J35=0,"TODAY!",IF(J35&lt;=3,"URGENT",IF(J35&lt;=7,"LOW","OK")))),"")</f>
        <v/>
      </c>
      <c r="L35" s="50">
        <f>IFERROR(TEXT(I35,"DD/MM/YYYY"),"")</f>
        <v/>
      </c>
      <c r="M35" s="53">
        <f>IFERROR(ROUND((F35/H35)*30,2),"")</f>
        <v/>
      </c>
    </row>
    <row r="36" ht="19.5" customHeight="1" s="168">
      <c r="A36" s="54" t="n"/>
      <c r="B36" s="55" t="n"/>
      <c r="C36" s="55" t="n"/>
      <c r="D36" s="55" t="n"/>
      <c r="E36" s="44" t="n"/>
      <c r="F36" s="46" t="n"/>
      <c r="G36" s="55" t="n"/>
      <c r="H36" s="55">
        <f>IFERROR(ROUND(D36/G36,0),"")</f>
        <v/>
      </c>
      <c r="I36" s="44">
        <f>IFERROR(DATEVALUE(E36)+H36,"")</f>
        <v/>
      </c>
      <c r="J36" s="45">
        <f>IFERROR(I36-TODAY(),"")</f>
        <v/>
      </c>
      <c r="K36" s="55">
        <f>IFERROR(IF(J36&lt;0,"DEPLETED",IF(J36=0,"TODAY!",IF(J36&lt;=3,"URGENT",IF(J36&lt;=7,"LOW","OK")))),"")</f>
        <v/>
      </c>
      <c r="L36" s="55">
        <f>IFERROR(TEXT(I36,"DD/MM/YYYY"),"")</f>
        <v/>
      </c>
      <c r="M36" s="46">
        <f>IFERROR(ROUND((F36/H36)*30,2),"")</f>
        <v/>
      </c>
    </row>
    <row r="37" ht="19.5" customHeight="1" s="168">
      <c r="A37" s="56" t="n"/>
      <c r="B37" s="50" t="n"/>
      <c r="C37" s="50" t="n"/>
      <c r="D37" s="50" t="n"/>
      <c r="E37" s="51" t="n"/>
      <c r="F37" s="53" t="n"/>
      <c r="G37" s="50" t="n"/>
      <c r="H37" s="50">
        <f>IFERROR(ROUND(D37/G37,0),"")</f>
        <v/>
      </c>
      <c r="I37" s="51">
        <f>IFERROR(DATEVALUE(E37)+H37,"")</f>
        <v/>
      </c>
      <c r="J37" s="52">
        <f>IFERROR(I37-TODAY(),"")</f>
        <v/>
      </c>
      <c r="K37" s="50">
        <f>IFERROR(IF(J37&lt;0,"DEPLETED",IF(J37=0,"TODAY!",IF(J37&lt;=3,"URGENT",IF(J37&lt;=7,"LOW","OK")))),"")</f>
        <v/>
      </c>
      <c r="L37" s="50">
        <f>IFERROR(TEXT(I37,"DD/MM/YYYY"),"")</f>
        <v/>
      </c>
      <c r="M37" s="53">
        <f>IFERROR(ROUND((F37/H37)*30,2),"")</f>
        <v/>
      </c>
    </row>
    <row r="38" ht="19.5" customHeight="1" s="168">
      <c r="A38" s="54" t="n"/>
      <c r="B38" s="55" t="n"/>
      <c r="C38" s="55" t="n"/>
      <c r="D38" s="55" t="n"/>
      <c r="E38" s="44" t="n"/>
      <c r="F38" s="46" t="n"/>
      <c r="G38" s="55" t="n"/>
      <c r="H38" s="55">
        <f>IFERROR(ROUND(D38/G38,0),"")</f>
        <v/>
      </c>
      <c r="I38" s="44">
        <f>IFERROR(DATEVALUE(E38)+H38,"")</f>
        <v/>
      </c>
      <c r="J38" s="45">
        <f>IFERROR(I38-TODAY(),"")</f>
        <v/>
      </c>
      <c r="K38" s="55">
        <f>IFERROR(IF(J38&lt;0,"DEPLETED",IF(J38=0,"TODAY!",IF(J38&lt;=3,"URGENT",IF(J38&lt;=7,"LOW","OK")))),"")</f>
        <v/>
      </c>
      <c r="L38" s="55">
        <f>IFERROR(TEXT(I38,"DD/MM/YYYY"),"")</f>
        <v/>
      </c>
      <c r="M38" s="46">
        <f>IFERROR(ROUND((F38/H38)*30,2),"")</f>
        <v/>
      </c>
    </row>
    <row r="39" ht="19.5" customHeight="1" s="168">
      <c r="A39" s="56" t="n"/>
      <c r="B39" s="50" t="n"/>
      <c r="C39" s="50" t="n"/>
      <c r="D39" s="50" t="n"/>
      <c r="E39" s="51" t="n"/>
      <c r="F39" s="53" t="n"/>
      <c r="G39" s="50" t="n"/>
      <c r="H39" s="50">
        <f>IFERROR(ROUND(D39/G39,0),"")</f>
        <v/>
      </c>
      <c r="I39" s="51">
        <f>IFERROR(DATEVALUE(E39)+H39,"")</f>
        <v/>
      </c>
      <c r="J39" s="52">
        <f>IFERROR(I39-TODAY(),"")</f>
        <v/>
      </c>
      <c r="K39" s="50">
        <f>IFERROR(IF(J39&lt;0,"DEPLETED",IF(J39=0,"TODAY!",IF(J39&lt;=3,"URGENT",IF(J39&lt;=7,"LOW","OK")))),"")</f>
        <v/>
      </c>
      <c r="L39" s="50">
        <f>IFERROR(TEXT(I39,"DD/MM/YYYY"),"")</f>
        <v/>
      </c>
      <c r="M39" s="53">
        <f>IFERROR(ROUND((F39/H39)*30,2),"")</f>
        <v/>
      </c>
    </row>
    <row r="40" ht="19.5" customHeight="1" s="168">
      <c r="A40" s="54" t="n"/>
      <c r="B40" s="55" t="n"/>
      <c r="C40" s="55" t="n"/>
      <c r="D40" s="55" t="n"/>
      <c r="E40" s="44" t="n"/>
      <c r="F40" s="46" t="n"/>
      <c r="G40" s="55" t="n"/>
      <c r="H40" s="55">
        <f>IFERROR(ROUND(D40/G40,0),"")</f>
        <v/>
      </c>
      <c r="I40" s="44">
        <f>IFERROR(DATEVALUE(E40)+H40,"")</f>
        <v/>
      </c>
      <c r="J40" s="45">
        <f>IFERROR(I40-TODAY(),"")</f>
        <v/>
      </c>
      <c r="K40" s="55">
        <f>IFERROR(IF(J40&lt;0,"DEPLETED",IF(J40=0,"TODAY!",IF(J40&lt;=3,"URGENT",IF(J40&lt;=7,"LOW","OK")))),"")</f>
        <v/>
      </c>
      <c r="L40" s="55">
        <f>IFERROR(TEXT(I40,"DD/MM/YYYY"),"")</f>
        <v/>
      </c>
      <c r="M40" s="46">
        <f>IFERROR(ROUND((F40/H40)*30,2),"")</f>
        <v/>
      </c>
    </row>
    <row r="41" ht="19.5" customHeight="1" s="168">
      <c r="A41" s="56" t="n"/>
      <c r="B41" s="50" t="n"/>
      <c r="C41" s="50" t="n"/>
      <c r="D41" s="50" t="n"/>
      <c r="E41" s="51" t="n"/>
      <c r="F41" s="53" t="n"/>
      <c r="G41" s="50" t="n"/>
      <c r="H41" s="50">
        <f>IFERROR(ROUND(D41/G41,0),"")</f>
        <v/>
      </c>
      <c r="I41" s="51">
        <f>IFERROR(DATEVALUE(E41)+H41,"")</f>
        <v/>
      </c>
      <c r="J41" s="52">
        <f>IFERROR(I41-TODAY(),"")</f>
        <v/>
      </c>
      <c r="K41" s="50">
        <f>IFERROR(IF(J41&lt;0,"DEPLETED",IF(J41=0,"TODAY!",IF(J41&lt;=3,"URGENT",IF(J41&lt;=7,"LOW","OK")))),"")</f>
        <v/>
      </c>
      <c r="L41" s="50">
        <f>IFERROR(TEXT(I41,"DD/MM/YYYY"),"")</f>
        <v/>
      </c>
      <c r="M41" s="53">
        <f>IFERROR(ROUND((F41/H41)*30,2),"")</f>
        <v/>
      </c>
    </row>
    <row r="42" ht="19.5" customHeight="1" s="168">
      <c r="A42" s="54" t="n"/>
      <c r="B42" s="55" t="n"/>
      <c r="C42" s="55" t="n"/>
      <c r="D42" s="55" t="n"/>
      <c r="E42" s="44" t="n"/>
      <c r="F42" s="46" t="n"/>
      <c r="G42" s="55" t="n"/>
      <c r="H42" s="55">
        <f>IFERROR(ROUND(D42/G42,0),"")</f>
        <v/>
      </c>
      <c r="I42" s="44">
        <f>IFERROR(DATEVALUE(E42)+H42,"")</f>
        <v/>
      </c>
      <c r="J42" s="45">
        <f>IFERROR(I42-TODAY(),"")</f>
        <v/>
      </c>
      <c r="K42" s="55">
        <f>IFERROR(IF(J42&lt;0,"DEPLETED",IF(J42=0,"TODAY!",IF(J42&lt;=3,"URGENT",IF(J42&lt;=7,"LOW","OK")))),"")</f>
        <v/>
      </c>
      <c r="L42" s="55">
        <f>IFERROR(TEXT(I42,"DD/MM/YYYY"),"")</f>
        <v/>
      </c>
      <c r="M42" s="46">
        <f>IFERROR(ROUND((F42/H42)*30,2),"")</f>
        <v/>
      </c>
    </row>
    <row r="43" ht="19.5" customHeight="1" s="168">
      <c r="A43" s="56" t="n"/>
      <c r="B43" s="50" t="n"/>
      <c r="C43" s="50" t="n"/>
      <c r="D43" s="50" t="n"/>
      <c r="E43" s="51" t="n"/>
      <c r="F43" s="53" t="n"/>
      <c r="G43" s="50" t="n"/>
      <c r="H43" s="50">
        <f>IFERROR(ROUND(D43/G43,0),"")</f>
        <v/>
      </c>
      <c r="I43" s="51">
        <f>IFERROR(DATEVALUE(E43)+H43,"")</f>
        <v/>
      </c>
      <c r="J43" s="52">
        <f>IFERROR(I43-TODAY(),"")</f>
        <v/>
      </c>
      <c r="K43" s="50">
        <f>IFERROR(IF(J43&lt;0,"DEPLETED",IF(J43=0,"TODAY!",IF(J43&lt;=3,"URGENT",IF(J43&lt;=7,"LOW","OK")))),"")</f>
        <v/>
      </c>
      <c r="L43" s="50">
        <f>IFERROR(TEXT(I43,"DD/MM/YYYY"),"")</f>
        <v/>
      </c>
      <c r="M43" s="53">
        <f>IFERROR(ROUND((F43/H43)*30,2),"")</f>
        <v/>
      </c>
    </row>
    <row r="44" ht="19.5" customHeight="1" s="168">
      <c r="A44" s="54" t="n"/>
      <c r="B44" s="55" t="n"/>
      <c r="C44" s="55" t="n"/>
      <c r="D44" s="55" t="n"/>
      <c r="E44" s="44" t="n"/>
      <c r="F44" s="46" t="n"/>
      <c r="G44" s="55" t="n"/>
      <c r="H44" s="55">
        <f>IFERROR(ROUND(D44/G44,0),"")</f>
        <v/>
      </c>
      <c r="I44" s="44">
        <f>IFERROR(DATEVALUE(E44)+H44,"")</f>
        <v/>
      </c>
      <c r="J44" s="45">
        <f>IFERROR(I44-TODAY(),"")</f>
        <v/>
      </c>
      <c r="K44" s="55">
        <f>IFERROR(IF(J44&lt;0,"DEPLETED",IF(J44=0,"TODAY!",IF(J44&lt;=3,"URGENT",IF(J44&lt;=7,"LOW","OK")))),"")</f>
        <v/>
      </c>
      <c r="L44" s="55">
        <f>IFERROR(TEXT(I44,"DD/MM/YYYY"),"")</f>
        <v/>
      </c>
      <c r="M44" s="46">
        <f>IFERROR(ROUND((F44/H44)*30,2),"")</f>
        <v/>
      </c>
    </row>
    <row r="45" ht="12" customHeight="1" s="168">
      <c r="A45" s="2" t="n"/>
      <c r="B45" s="2" t="n"/>
      <c r="C45" s="2" t="n"/>
      <c r="D45" s="2" t="n"/>
      <c r="E45" s="28" t="n"/>
      <c r="F45" s="2" t="n"/>
      <c r="G45" s="2" t="n"/>
      <c r="H45" s="2" t="n"/>
      <c r="I45" s="28" t="n"/>
      <c r="J45" s="2" t="n"/>
      <c r="K45" s="2" t="n"/>
      <c r="L45" s="2" t="n"/>
      <c r="M45" s="2" t="n"/>
    </row>
    <row r="46" ht="30" customHeight="1" s="168">
      <c r="A46" s="57" t="inlineStr">
        <is>
          <t>CONSOLIDATED ITEM SUMMARY  — same item across multiple rows is pooled here</t>
        </is>
      </c>
    </row>
    <row r="47" ht="18" customHeight="1" s="168">
      <c r="A47" s="58" t="inlineStr">
        <is>
          <t>Enter each unique item name once below (must match spelling in the log above). Remaining stock = Σ MAX(0, Qty − DailyRate × days elapsed) across ALL matching rows.</t>
        </is>
      </c>
    </row>
    <row r="48" ht="45.75" customHeight="1" s="168">
      <c r="A48" s="59" t="inlineStr">
        <is>
          <t>Item Name
(type to match)</t>
        </is>
      </c>
      <c r="B48" s="59" t="inlineStr">
        <is>
          <t>Purchases
Logged</t>
        </is>
      </c>
      <c r="C48" s="59" t="inlineStr">
        <is>
          <t>Unit</t>
        </is>
      </c>
      <c r="D48" s="59" t="inlineStr">
        <is>
          <t>Total Qty
Bought</t>
        </is>
      </c>
      <c r="E48" s="60" t="inlineStr">
        <is>
          <t>Daily
Rate</t>
        </is>
      </c>
      <c r="F48" s="59" t="inlineStr">
        <is>
          <t>Total Stock
Remaining</t>
        </is>
      </c>
      <c r="G48" s="59" t="inlineStr">
        <is>
          <t>Days
Left</t>
        </is>
      </c>
      <c r="H48" s="59" t="inlineStr">
        <is>
          <t>Depletion
Date</t>
        </is>
      </c>
      <c r="I48" s="60" t="inlineStr">
        <is>
          <t>Status</t>
        </is>
      </c>
      <c r="J48" s="59" t="inlineStr">
        <is>
          <t>Avg Cost
/Unit (£)</t>
        </is>
      </c>
      <c r="K48" s="59" t="inlineStr">
        <is>
          <t>Est. Monthly
Cost (£)</t>
        </is>
      </c>
      <c r="L48" s="59" t="inlineStr">
        <is>
          <t>Next
Procure By</t>
        </is>
      </c>
      <c r="M48" s="59" t="inlineStr">
        <is>
          <t>Notes</t>
        </is>
      </c>
    </row>
    <row r="49" ht="21.75" customHeight="1" s="168">
      <c r="A49" s="70" t="inlineStr">
        <is>
          <t>Chicken (Whole)</t>
        </is>
      </c>
      <c r="B49" s="55">
        <f>IFERROR(COUNTIF($A$10:$A$44,A49),"")</f>
        <v/>
      </c>
      <c r="C49" s="55">
        <f>IFERROR(INDEX($C$10:$C$44,MATCH(A49,$A$10:$A$44,0)),"")</f>
        <v/>
      </c>
      <c r="D49" s="55">
        <f>IFERROR(SUMIF($A$10:$A$44,A49,$D$10:$D$44),"")</f>
        <v/>
      </c>
      <c r="E49" s="44">
        <f>IFERROR(INDEX($G$10:$G$44,MATCH(A49,$A$10:$A$44,0)),"")</f>
        <v/>
      </c>
      <c r="F49" s="55">
        <f>IFERROR(SUMPRODUCT(($A$10:$A$44=A49)*IF($D$10:$D$44-$G$10:$G$44*(TODAY()-IFERROR(DATEVALUE($E$10:$E$44),TODAY()))&gt;0,$D$10:$D$44-$G$10:$G$44*(TODAY()-IFERROR(DATEVALUE($E$10:$E$44),TODAY())),0)),"")</f>
        <v/>
      </c>
      <c r="G49" s="55">
        <f>IFERROR(ROUND(F49/E49,0),"")</f>
        <v/>
      </c>
      <c r="H49" s="62">
        <f>IFERROR(TODAY()+G49,"")</f>
        <v/>
      </c>
      <c r="I49" s="44">
        <f>IFERROR(IF(G49&lt;0,"DEPLETED",IF(G49=0,"TODAY!",IF(G49&lt;=3,"URGENT",IF(G49&lt;=7,"LOW","OK")))),"")</f>
        <v/>
      </c>
      <c r="J49" s="63">
        <f>IFERROR(SUMIF($A$10:$A$44,A49,$F$10:$F$44)/SUMIF($A$10:$A$44,A49,$D$10:$D$44),"")</f>
        <v/>
      </c>
      <c r="K49" s="46">
        <f>IFERROR(ROUND(E49*30*J49,2),"")</f>
        <v/>
      </c>
      <c r="L49" s="55">
        <f>IFERROR(TEXT(H49,"DD/MM/YYYY"),"")</f>
        <v/>
      </c>
      <c r="M49" s="64" t="n"/>
    </row>
    <row r="50" ht="21.75" customHeight="1" s="168">
      <c r="A50" s="70" t="inlineStr">
        <is>
          <t>Basmati Rice</t>
        </is>
      </c>
      <c r="B50" s="65">
        <f>IFERROR(COUNTIF($A$10:$A$44,A50),"")</f>
        <v/>
      </c>
      <c r="C50" s="65">
        <f>IFERROR(INDEX($C$10:$C$44,MATCH(A50,$A$10:$A$44,0)),"")</f>
        <v/>
      </c>
      <c r="D50" s="65">
        <f>IFERROR(SUMIF($A$10:$A$44,A50,$D$10:$D$44),"")</f>
        <v/>
      </c>
      <c r="E50" s="66">
        <f>IFERROR(INDEX($G$10:$G$44,MATCH(A50,$A$10:$A$44,0)),"")</f>
        <v/>
      </c>
      <c r="F50" s="65">
        <f>IFERROR(SUMPRODUCT(($A$10:$A$44=A50)*IF($D$10:$D$44-$G$10:$G$44*(TODAY()-IFERROR(DATEVALUE($E$10:$E$44),TODAY()))&gt;0,$D$10:$D$44-$G$10:$G$44*(TODAY()-IFERROR(DATEVALUE($E$10:$E$44),TODAY())),0)),"")</f>
        <v/>
      </c>
      <c r="G50" s="65">
        <f>IFERROR(ROUND(F50/E50,0),"")</f>
        <v/>
      </c>
      <c r="H50" s="67">
        <f>IFERROR(TODAY()+G50,"")</f>
        <v/>
      </c>
      <c r="I50" s="66">
        <f>IFERROR(IF(G50&lt;0,"DEPLETED",IF(G50=0,"TODAY!",IF(G50&lt;=3,"URGENT",IF(G50&lt;=7,"LOW","OK")))),"")</f>
        <v/>
      </c>
      <c r="J50" s="68">
        <f>IFERROR(SUMIF($A$10:$A$44,A50,$F$10:$F$44)/SUMIF($A$10:$A$44,A50,$D$10:$D$44),"")</f>
        <v/>
      </c>
      <c r="K50" s="69">
        <f>IFERROR(ROUND(E50*30*J50,2),"")</f>
        <v/>
      </c>
      <c r="L50" s="65">
        <f>IFERROR(TEXT(H50,"DD/MM/YYYY"),"")</f>
        <v/>
      </c>
      <c r="M50" s="64" t="n"/>
    </row>
    <row r="51" ht="21.75" customHeight="1" s="168">
      <c r="A51" s="70" t="inlineStr">
        <is>
          <t>Eggs (30 Pack)</t>
        </is>
      </c>
      <c r="B51" s="55">
        <f>IFERROR(COUNTIF($A$10:$A$44,A51),"")</f>
        <v/>
      </c>
      <c r="C51" s="55">
        <f>IFERROR(INDEX($C$10:$C$44,MATCH(A51,$A$10:$A$44,0)),"")</f>
        <v/>
      </c>
      <c r="D51" s="55">
        <f>IFERROR(SUMIF($A$10:$A$44,A51,$D$10:$D$44),"")</f>
        <v/>
      </c>
      <c r="E51" s="44">
        <f>IFERROR(INDEX($G$10:$G$44,MATCH(A51,$A$10:$A$44,0)),"")</f>
        <v/>
      </c>
      <c r="F51" s="55">
        <f>IFERROR(SUMPRODUCT(($A$10:$A$44=A51)*IF($D$10:$D$44-$G$10:$G$44*(TODAY()-IFERROR(DATEVALUE($E$10:$E$44),TODAY()))&gt;0,$D$10:$D$44-$G$10:$G$44*(TODAY()-IFERROR(DATEVALUE($E$10:$E$44),TODAY())),0)),"")</f>
        <v/>
      </c>
      <c r="G51" s="55">
        <f>IFERROR(ROUND(F51/E51,0),"")</f>
        <v/>
      </c>
      <c r="H51" s="62">
        <f>IFERROR(TODAY()+G51,"")</f>
        <v/>
      </c>
      <c r="I51" s="44">
        <f>IFERROR(IF(G51&lt;0,"DEPLETED",IF(G51=0,"TODAY!",IF(G51&lt;=3,"URGENT",IF(G51&lt;=7,"LOW","OK")))),"")</f>
        <v/>
      </c>
      <c r="J51" s="63">
        <f>IFERROR(SUMIF($A$10:$A$44,A51,$F$10:$F$44)/SUMIF($A$10:$A$44,A51,$D$10:$D$44),"")</f>
        <v/>
      </c>
      <c r="K51" s="46">
        <f>IFERROR(ROUND(E51*30*J51,2),"")</f>
        <v/>
      </c>
      <c r="L51" s="55">
        <f>IFERROR(TEXT(H51,"DD/MM/YYYY"),"")</f>
        <v/>
      </c>
      <c r="M51" s="64" t="n"/>
    </row>
    <row r="52" ht="21.75" customHeight="1" s="168">
      <c r="A52" s="70" t="inlineStr">
        <is>
          <t>Onions</t>
        </is>
      </c>
      <c r="B52" s="65">
        <f>IFERROR(COUNTIF($A$10:$A$44,A52),"")</f>
        <v/>
      </c>
      <c r="C52" s="65">
        <f>IFERROR(INDEX($C$10:$C$44,MATCH(A52,$A$10:$A$44,0)),"")</f>
        <v/>
      </c>
      <c r="D52" s="65">
        <f>IFERROR(SUMIF($A$10:$A$44,A52,$D$10:$D$44),"")</f>
        <v/>
      </c>
      <c r="E52" s="66">
        <f>IFERROR(INDEX($G$10:$G$44,MATCH(A52,$A$10:$A$44,0)),"")</f>
        <v/>
      </c>
      <c r="F52" s="65">
        <f>IFERROR(SUMPRODUCT(($A$10:$A$44=A52)*IF($D$10:$D$44-$G$10:$G$44*(TODAY()-IFERROR(DATEVALUE($E$10:$E$44),TODAY()))&gt;0,$D$10:$D$44-$G$10:$G$44*(TODAY()-IFERROR(DATEVALUE($E$10:$E$44),TODAY())),0)),"")</f>
        <v/>
      </c>
      <c r="G52" s="65">
        <f>IFERROR(ROUND(F52/E52,0),"")</f>
        <v/>
      </c>
      <c r="H52" s="67">
        <f>IFERROR(TODAY()+G52,"")</f>
        <v/>
      </c>
      <c r="I52" s="66">
        <f>IFERROR(IF(G52&lt;0,"DEPLETED",IF(G52=0,"TODAY!",IF(G52&lt;=3,"URGENT",IF(G52&lt;=7,"LOW","OK")))),"")</f>
        <v/>
      </c>
      <c r="J52" s="68">
        <f>IFERROR(SUMIF($A$10:$A$44,A52,$F$10:$F$44)/SUMIF($A$10:$A$44,A52,$D$10:$D$44),"")</f>
        <v/>
      </c>
      <c r="K52" s="69">
        <f>IFERROR(ROUND(E52*30*J52,2),"")</f>
        <v/>
      </c>
      <c r="L52" s="65">
        <f>IFERROR(TEXT(H52,"DD/MM/YYYY"),"")</f>
        <v/>
      </c>
      <c r="M52" s="64" t="n"/>
    </row>
    <row r="53" ht="21.75" customHeight="1" s="168">
      <c r="A53" s="70" t="inlineStr">
        <is>
          <t>Full Fat Milk</t>
        </is>
      </c>
      <c r="B53" s="55">
        <f>IFERROR(COUNTIF($A$10:$A$44,A53),"")</f>
        <v/>
      </c>
      <c r="C53" s="55">
        <f>IFERROR(INDEX($C$10:$C$44,MATCH(A53,$A$10:$A$44,0)),"")</f>
        <v/>
      </c>
      <c r="D53" s="55">
        <f>IFERROR(SUMIF($A$10:$A$44,A53,$D$10:$D$44),"")</f>
        <v/>
      </c>
      <c r="E53" s="44">
        <f>IFERROR(INDEX($G$10:$G$44,MATCH(A53,$A$10:$A$44,0)),"")</f>
        <v/>
      </c>
      <c r="F53" s="55">
        <f>IFERROR(SUMPRODUCT(($A$10:$A$44=A53)*IF($D$10:$D$44-$G$10:$G$44*(TODAY()-IFERROR(DATEVALUE($E$10:$E$44),TODAY()))&gt;0,$D$10:$D$44-$G$10:$G$44*(TODAY()-IFERROR(DATEVALUE($E$10:$E$44),TODAY())),0)),"")</f>
        <v/>
      </c>
      <c r="G53" s="55">
        <f>IFERROR(ROUND(F53/E53,0),"")</f>
        <v/>
      </c>
      <c r="H53" s="62">
        <f>IFERROR(TODAY()+G53,"")</f>
        <v/>
      </c>
      <c r="I53" s="44">
        <f>IFERROR(IF(G53&lt;0,"DEPLETED",IF(G53=0,"TODAY!",IF(G53&lt;=3,"URGENT",IF(G53&lt;=7,"LOW","OK")))),"")</f>
        <v/>
      </c>
      <c r="J53" s="63">
        <f>IFERROR(SUMIF($A$10:$A$44,A53,$F$10:$F$44)/SUMIF($A$10:$A$44,A53,$D$10:$D$44),"")</f>
        <v/>
      </c>
      <c r="K53" s="46">
        <f>IFERROR(ROUND(E53*30*J53,2),"")</f>
        <v/>
      </c>
      <c r="L53" s="55">
        <f>IFERROR(TEXT(H53,"DD/MM/YYYY"),"")</f>
        <v/>
      </c>
      <c r="M53" s="64" t="n"/>
    </row>
    <row r="54" ht="21.75" customHeight="1" s="168">
      <c r="A54" s="70" t="inlineStr">
        <is>
          <t>Brown Bread</t>
        </is>
      </c>
      <c r="B54" s="65">
        <f>IFERROR(COUNTIF($A$10:$A$44,A54),"")</f>
        <v/>
      </c>
      <c r="C54" s="65">
        <f>IFERROR(INDEX($C$10:$C$44,MATCH(A54,$A$10:$A$44,0)),"")</f>
        <v/>
      </c>
      <c r="D54" s="65">
        <f>IFERROR(SUMIF($A$10:$A$44,A54,$D$10:$D$44),"")</f>
        <v/>
      </c>
      <c r="E54" s="66">
        <f>IFERROR(INDEX($G$10:$G$44,MATCH(A54,$A$10:$A$44,0)),"")</f>
        <v/>
      </c>
      <c r="F54" s="65">
        <f>IFERROR(SUMPRODUCT(($A$10:$A$44=A54)*IF($D$10:$D$44-$G$10:$G$44*(TODAY()-IFERROR(DATEVALUE($E$10:$E$44),TODAY()))&gt;0,$D$10:$D$44-$G$10:$G$44*(TODAY()-IFERROR(DATEVALUE($E$10:$E$44),TODAY())),0)),"")</f>
        <v/>
      </c>
      <c r="G54" s="65">
        <f>IFERROR(ROUND(F54/E54,0),"")</f>
        <v/>
      </c>
      <c r="H54" s="67">
        <f>IFERROR(TODAY()+G54,"")</f>
        <v/>
      </c>
      <c r="I54" s="66">
        <f>IFERROR(IF(G54&lt;0,"DEPLETED",IF(G54=0,"TODAY!",IF(G54&lt;=3,"URGENT",IF(G54&lt;=7,"LOW","OK")))),"")</f>
        <v/>
      </c>
      <c r="J54" s="68">
        <f>IFERROR(SUMIF($A$10:$A$44,A54,$F$10:$F$44)/SUMIF($A$10:$A$44,A54,$D$10:$D$44),"")</f>
        <v/>
      </c>
      <c r="K54" s="69">
        <f>IFERROR(ROUND(E54*30*J54,2),"")</f>
        <v/>
      </c>
      <c r="L54" s="65">
        <f>IFERROR(TEXT(H54,"DD/MM/YYYY"),"")</f>
        <v/>
      </c>
      <c r="M54" s="64" t="n"/>
    </row>
    <row r="55" ht="21.75" customHeight="1" s="168">
      <c r="A55" s="70" t="inlineStr">
        <is>
          <t>Tomatoes</t>
        </is>
      </c>
      <c r="B55" s="55">
        <f>IFERROR(COUNTIF($A$10:$A$44,A55),"")</f>
        <v/>
      </c>
      <c r="C55" s="55">
        <f>IFERROR(INDEX($C$10:$C$44,MATCH(A55,$A$10:$A$44,0)),"")</f>
        <v/>
      </c>
      <c r="D55" s="55">
        <f>IFERROR(SUMIF($A$10:$A$44,A55,$D$10:$D$44),"")</f>
        <v/>
      </c>
      <c r="E55" s="44">
        <f>IFERROR(INDEX($G$10:$G$44,MATCH(A55,$A$10:$A$44,0)),"")</f>
        <v/>
      </c>
      <c r="F55" s="55">
        <f>IFERROR(SUMPRODUCT(($A$10:$A$44=A55)*IF($D$10:$D$44-$G$10:$G$44*(TODAY()-IFERROR(DATEVALUE($E$10:$E$44),TODAY()))&gt;0,$D$10:$D$44-$G$10:$G$44*(TODAY()-IFERROR(DATEVALUE($E$10:$E$44),TODAY())),0)),"")</f>
        <v/>
      </c>
      <c r="G55" s="55">
        <f>IFERROR(ROUND(F55/E55,0),"")</f>
        <v/>
      </c>
      <c r="H55" s="62">
        <f>IFERROR(TODAY()+G55,"")</f>
        <v/>
      </c>
      <c r="I55" s="44">
        <f>IFERROR(IF(G55&lt;0,"DEPLETED",IF(G55=0,"TODAY!",IF(G55&lt;=3,"URGENT",IF(G55&lt;=7,"LOW","OK")))),"")</f>
        <v/>
      </c>
      <c r="J55" s="63">
        <f>IFERROR(SUMIF($A$10:$A$44,A55,$F$10:$F$44)/SUMIF($A$10:$A$44,A55,$D$10:$D$44),"")</f>
        <v/>
      </c>
      <c r="K55" s="46">
        <f>IFERROR(ROUND(E55*30*J55,2),"")</f>
        <v/>
      </c>
      <c r="L55" s="55">
        <f>IFERROR(TEXT(H55,"DD/MM/YYYY"),"")</f>
        <v/>
      </c>
      <c r="M55" s="64" t="n"/>
    </row>
    <row r="56" ht="21.75" customHeight="1" s="168">
      <c r="A56" s="70" t="inlineStr">
        <is>
          <t>Greek Yogurt</t>
        </is>
      </c>
      <c r="B56" s="65">
        <f>IFERROR(COUNTIF($A$10:$A$44,A56),"")</f>
        <v/>
      </c>
      <c r="C56" s="65">
        <f>IFERROR(INDEX($C$10:$C$44,MATCH(A56,$A$10:$A$44,0)),"")</f>
        <v/>
      </c>
      <c r="D56" s="65">
        <f>IFERROR(SUMIF($A$10:$A$44,A56,$D$10:$D$44),"")</f>
        <v/>
      </c>
      <c r="E56" s="66">
        <f>IFERROR(INDEX($G$10:$G$44,MATCH(A56,$A$10:$A$44,0)),"")</f>
        <v/>
      </c>
      <c r="F56" s="65">
        <f>IFERROR(SUMPRODUCT(($A$10:$A$44=A56)*IF($D$10:$D$44-$G$10:$G$44*(TODAY()-IFERROR(DATEVALUE($E$10:$E$44),TODAY()))&gt;0,$D$10:$D$44-$G$10:$G$44*(TODAY()-IFERROR(DATEVALUE($E$10:$E$44),TODAY())),0)),"")</f>
        <v/>
      </c>
      <c r="G56" s="65">
        <f>IFERROR(ROUND(F56/E56,0),"")</f>
        <v/>
      </c>
      <c r="H56" s="67">
        <f>IFERROR(TODAY()+G56,"")</f>
        <v/>
      </c>
      <c r="I56" s="66">
        <f>IFERROR(IF(G56&lt;0,"DEPLETED",IF(G56=0,"TODAY!",IF(G56&lt;=3,"URGENT",IF(G56&lt;=7,"LOW","OK")))),"")</f>
        <v/>
      </c>
      <c r="J56" s="68">
        <f>IFERROR(SUMIF($A$10:$A$44,A56,$F$10:$F$44)/SUMIF($A$10:$A$44,A56,$D$10:$D$44),"")</f>
        <v/>
      </c>
      <c r="K56" s="69">
        <f>IFERROR(ROUND(E56*30*J56,2),"")</f>
        <v/>
      </c>
      <c r="L56" s="65">
        <f>IFERROR(TEXT(H56,"DD/MM/YYYY"),"")</f>
        <v/>
      </c>
      <c r="M56" s="64" t="n"/>
    </row>
    <row r="57" ht="21.75" customHeight="1" s="168">
      <c r="A57" s="70" t="inlineStr">
        <is>
          <t>Olive Oil</t>
        </is>
      </c>
      <c r="B57" s="55">
        <f>IFERROR(COUNTIF($A$10:$A$44,A57),"")</f>
        <v/>
      </c>
      <c r="C57" s="55">
        <f>IFERROR(INDEX($C$10:$C$44,MATCH(A57,$A$10:$A$44,0)),"")</f>
        <v/>
      </c>
      <c r="D57" s="55">
        <f>IFERROR(SUMIF($A$10:$A$44,A57,$D$10:$D$44),"")</f>
        <v/>
      </c>
      <c r="E57" s="44">
        <f>IFERROR(INDEX($G$10:$G$44,MATCH(A57,$A$10:$A$44,0)),"")</f>
        <v/>
      </c>
      <c r="F57" s="55">
        <f>IFERROR(SUMPRODUCT(($A$10:$A$44=A57)*IF($D$10:$D$44-$G$10:$G$44*(TODAY()-IFERROR(DATEVALUE($E$10:$E$44),TODAY()))&gt;0,$D$10:$D$44-$G$10:$G$44*(TODAY()-IFERROR(DATEVALUE($E$10:$E$44),TODAY())),0)),"")</f>
        <v/>
      </c>
      <c r="G57" s="55">
        <f>IFERROR(ROUND(F57/E57,0),"")</f>
        <v/>
      </c>
      <c r="H57" s="62">
        <f>IFERROR(TODAY()+G57,"")</f>
        <v/>
      </c>
      <c r="I57" s="44">
        <f>IFERROR(IF(G57&lt;0,"DEPLETED",IF(G57=0,"TODAY!",IF(G57&lt;=3,"URGENT",IF(G57&lt;=7,"LOW","OK")))),"")</f>
        <v/>
      </c>
      <c r="J57" s="63">
        <f>IFERROR(SUMIF($A$10:$A$44,A57,$F$10:$F$44)/SUMIF($A$10:$A$44,A57,$D$10:$D$44),"")</f>
        <v/>
      </c>
      <c r="K57" s="46">
        <f>IFERROR(ROUND(E57*30*J57,2),"")</f>
        <v/>
      </c>
      <c r="L57" s="55">
        <f>IFERROR(TEXT(H57,"DD/MM/YYYY"),"")</f>
        <v/>
      </c>
      <c r="M57" s="64" t="n"/>
    </row>
    <row r="58" ht="21.75" customHeight="1" s="168">
      <c r="A58" s="70" t="inlineStr">
        <is>
          <t>Garlic</t>
        </is>
      </c>
      <c r="B58" s="65">
        <f>IFERROR(COUNTIF($A$10:$A$44,A58),"")</f>
        <v/>
      </c>
      <c r="C58" s="65">
        <f>IFERROR(INDEX($C$10:$C$44,MATCH(A58,$A$10:$A$44,0)),"")</f>
        <v/>
      </c>
      <c r="D58" s="65">
        <f>IFERROR(SUMIF($A$10:$A$44,A58,$D$10:$D$44),"")</f>
        <v/>
      </c>
      <c r="E58" s="66">
        <f>IFERROR(INDEX($G$10:$G$44,MATCH(A58,$A$10:$A$44,0)),"")</f>
        <v/>
      </c>
      <c r="F58" s="65">
        <f>IFERROR(SUMPRODUCT(($A$10:$A$44=A58)*IF($D$10:$D$44-$G$10:$G$44*(TODAY()-IFERROR(DATEVALUE($E$10:$E$44),TODAY()))&gt;0,$D$10:$D$44-$G$10:$G$44*(TODAY()-IFERROR(DATEVALUE($E$10:$E$44),TODAY())),0)),"")</f>
        <v/>
      </c>
      <c r="G58" s="65">
        <f>IFERROR(ROUND(F58/E58,0),"")</f>
        <v/>
      </c>
      <c r="H58" s="67">
        <f>IFERROR(TODAY()+G58,"")</f>
        <v/>
      </c>
      <c r="I58" s="66">
        <f>IFERROR(IF(G58&lt;0,"DEPLETED",IF(G58=0,"TODAY!",IF(G58&lt;=3,"URGENT",IF(G58&lt;=7,"LOW","OK")))),"")</f>
        <v/>
      </c>
      <c r="J58" s="68">
        <f>IFERROR(SUMIF($A$10:$A$44,A58,$F$10:$F$44)/SUMIF($A$10:$A$44,A58,$D$10:$D$44),"")</f>
        <v/>
      </c>
      <c r="K58" s="69">
        <f>IFERROR(ROUND(E58*30*J58,2),"")</f>
        <v/>
      </c>
      <c r="L58" s="65">
        <f>IFERROR(TEXT(H58,"DD/MM/YYYY"),"")</f>
        <v/>
      </c>
      <c r="M58" s="64" t="n"/>
    </row>
    <row r="59" ht="21.75" customHeight="1" s="168">
      <c r="A59" s="70" t="n"/>
      <c r="B59" s="55">
        <f>IFERROR(COUNTIF($A$10:$A$44,A59),"")</f>
        <v/>
      </c>
      <c r="C59" s="55">
        <f>IFERROR(INDEX($C$10:$C$44,MATCH(A59,$A$10:$A$44,0)),"")</f>
        <v/>
      </c>
      <c r="D59" s="55">
        <f>IFERROR(SUMIF($A$10:$A$44,A59,$D$10:$D$44),"")</f>
        <v/>
      </c>
      <c r="E59" s="44">
        <f>IFERROR(INDEX($G$10:$G$44,MATCH(A59,$A$10:$A$44,0)),"")</f>
        <v/>
      </c>
      <c r="F59" s="55">
        <f>IFERROR(SUMPRODUCT(($A$10:$A$44=A59)*IF($D$10:$D$44-$G$10:$G$44*(TODAY()-IFERROR(DATEVALUE($E$10:$E$44),TODAY()))&gt;0,$D$10:$D$44-$G$10:$G$44*(TODAY()-IFERROR(DATEVALUE($E$10:$E$44),TODAY())),0)),"")</f>
        <v/>
      </c>
      <c r="G59" s="55">
        <f>IFERROR(ROUND(F59/E59,0),"")</f>
        <v/>
      </c>
      <c r="H59" s="62">
        <f>IFERROR(TODAY()+G59,"")</f>
        <v/>
      </c>
      <c r="I59" s="44">
        <f>IFERROR(IF(G59&lt;0,"DEPLETED",IF(G59=0,"TODAY!",IF(G59&lt;=3,"URGENT",IF(G59&lt;=7,"LOW","OK")))),"")</f>
        <v/>
      </c>
      <c r="J59" s="63">
        <f>IFERROR(SUMIF($A$10:$A$44,A59,$F$10:$F$44)/SUMIF($A$10:$A$44,A59,$D$10:$D$44),"")</f>
        <v/>
      </c>
      <c r="K59" s="46">
        <f>IFERROR(ROUND(E59*30*J59,2),"")</f>
        <v/>
      </c>
      <c r="L59" s="55">
        <f>IFERROR(TEXT(H59,"DD/MM/YYYY"),"")</f>
        <v/>
      </c>
      <c r="M59" s="64" t="n"/>
    </row>
    <row r="60" ht="21.75" customHeight="1" s="168">
      <c r="A60" s="70" t="n"/>
      <c r="B60" s="65">
        <f>IFERROR(COUNTIF($A$10:$A$44,A60),"")</f>
        <v/>
      </c>
      <c r="C60" s="65">
        <f>IFERROR(INDEX($C$10:$C$44,MATCH(A60,$A$10:$A$44,0)),"")</f>
        <v/>
      </c>
      <c r="D60" s="65">
        <f>IFERROR(SUMIF($A$10:$A$44,A60,$D$10:$D$44),"")</f>
        <v/>
      </c>
      <c r="E60" s="66">
        <f>IFERROR(INDEX($G$10:$G$44,MATCH(A60,$A$10:$A$44,0)),"")</f>
        <v/>
      </c>
      <c r="F60" s="65">
        <f>IFERROR(SUMPRODUCT(($A$10:$A$44=A60)*IF($D$10:$D$44-$G$10:$G$44*(TODAY()-IFERROR(DATEVALUE($E$10:$E$44),TODAY()))&gt;0,$D$10:$D$44-$G$10:$G$44*(TODAY()-IFERROR(DATEVALUE($E$10:$E$44),TODAY())),0)),"")</f>
        <v/>
      </c>
      <c r="G60" s="65">
        <f>IFERROR(ROUND(F60/E60,0),"")</f>
        <v/>
      </c>
      <c r="H60" s="67">
        <f>IFERROR(TODAY()+G60,"")</f>
        <v/>
      </c>
      <c r="I60" s="66">
        <f>IFERROR(IF(G60&lt;0,"DEPLETED",IF(G60=0,"TODAY!",IF(G60&lt;=3,"URGENT",IF(G60&lt;=7,"LOW","OK")))),"")</f>
        <v/>
      </c>
      <c r="J60" s="68">
        <f>IFERROR(SUMIF($A$10:$A$44,A60,$F$10:$F$44)/SUMIF($A$10:$A$44,A60,$D$10:$D$44),"")</f>
        <v/>
      </c>
      <c r="K60" s="69">
        <f>IFERROR(ROUND(E60*30*J60,2),"")</f>
        <v/>
      </c>
      <c r="L60" s="65">
        <f>IFERROR(TEXT(H60,"DD/MM/YYYY"),"")</f>
        <v/>
      </c>
      <c r="M60" s="64" t="n"/>
    </row>
    <row r="61" ht="21.75" customHeight="1" s="168">
      <c r="A61" s="70" t="n"/>
      <c r="B61" s="55">
        <f>IFERROR(COUNTIF($A$10:$A$44,A61),"")</f>
        <v/>
      </c>
      <c r="C61" s="55">
        <f>IFERROR(INDEX($C$10:$C$44,MATCH(A61,$A$10:$A$44,0)),"")</f>
        <v/>
      </c>
      <c r="D61" s="55">
        <f>IFERROR(SUMIF($A$10:$A$44,A61,$D$10:$D$44),"")</f>
        <v/>
      </c>
      <c r="E61" s="44">
        <f>IFERROR(INDEX($G$10:$G$44,MATCH(A61,$A$10:$A$44,0)),"")</f>
        <v/>
      </c>
      <c r="F61" s="55">
        <f>IFERROR(SUMPRODUCT(($A$10:$A$44=A61)*IF($D$10:$D$44-$G$10:$G$44*(TODAY()-IFERROR(DATEVALUE($E$10:$E$44),TODAY()))&gt;0,$D$10:$D$44-$G$10:$G$44*(TODAY()-IFERROR(DATEVALUE($E$10:$E$44),TODAY())),0)),"")</f>
        <v/>
      </c>
      <c r="G61" s="55">
        <f>IFERROR(ROUND(F61/E61,0),"")</f>
        <v/>
      </c>
      <c r="H61" s="62">
        <f>IFERROR(TODAY()+G61,"")</f>
        <v/>
      </c>
      <c r="I61" s="44">
        <f>IFERROR(IF(G61&lt;0,"DEPLETED",IF(G61=0,"TODAY!",IF(G61&lt;=3,"URGENT",IF(G61&lt;=7,"LOW","OK")))),"")</f>
        <v/>
      </c>
      <c r="J61" s="63">
        <f>IFERROR(SUMIF($A$10:$A$44,A61,$F$10:$F$44)/SUMIF($A$10:$A$44,A61,$D$10:$D$44),"")</f>
        <v/>
      </c>
      <c r="K61" s="46">
        <f>IFERROR(ROUND(E61*30*J61,2),"")</f>
        <v/>
      </c>
      <c r="L61" s="55">
        <f>IFERROR(TEXT(H61,"DD/MM/YYYY"),"")</f>
        <v/>
      </c>
      <c r="M61" s="64" t="n"/>
    </row>
    <row r="62" ht="21.75" customHeight="1" s="168">
      <c r="A62" s="70" t="n"/>
      <c r="B62" s="65">
        <f>IFERROR(COUNTIF($A$10:$A$44,A62),"")</f>
        <v/>
      </c>
      <c r="C62" s="65">
        <f>IFERROR(INDEX($C$10:$C$44,MATCH(A62,$A$10:$A$44,0)),"")</f>
        <v/>
      </c>
      <c r="D62" s="65">
        <f>IFERROR(SUMIF($A$10:$A$44,A62,$D$10:$D$44),"")</f>
        <v/>
      </c>
      <c r="E62" s="66">
        <f>IFERROR(INDEX($G$10:$G$44,MATCH(A62,$A$10:$A$44,0)),"")</f>
        <v/>
      </c>
      <c r="F62" s="65">
        <f>IFERROR(SUMPRODUCT(($A$10:$A$44=A62)*IF($D$10:$D$44-$G$10:$G$44*(TODAY()-IFERROR(DATEVALUE($E$10:$E$44),TODAY()))&gt;0,$D$10:$D$44-$G$10:$G$44*(TODAY()-IFERROR(DATEVALUE($E$10:$E$44),TODAY())),0)),"")</f>
        <v/>
      </c>
      <c r="G62" s="65">
        <f>IFERROR(ROUND(F62/E62,0),"")</f>
        <v/>
      </c>
      <c r="H62" s="67">
        <f>IFERROR(TODAY()+G62,"")</f>
        <v/>
      </c>
      <c r="I62" s="66">
        <f>IFERROR(IF(G62&lt;0,"DEPLETED",IF(G62=0,"TODAY!",IF(G62&lt;=3,"URGENT",IF(G62&lt;=7,"LOW","OK")))),"")</f>
        <v/>
      </c>
      <c r="J62" s="68">
        <f>IFERROR(SUMIF($A$10:$A$44,A62,$F$10:$F$44)/SUMIF($A$10:$A$44,A62,$D$10:$D$44),"")</f>
        <v/>
      </c>
      <c r="K62" s="69">
        <f>IFERROR(ROUND(E62*30*J62,2),"")</f>
        <v/>
      </c>
      <c r="L62" s="65">
        <f>IFERROR(TEXT(H62,"DD/MM/YYYY"),"")</f>
        <v/>
      </c>
      <c r="M62" s="64" t="n"/>
    </row>
    <row r="63" ht="21.75" customHeight="1" s="168">
      <c r="A63" s="70" t="n"/>
      <c r="B63" s="55">
        <f>IFERROR(COUNTIF($A$10:$A$44,A63),"")</f>
        <v/>
      </c>
      <c r="C63" s="55">
        <f>IFERROR(INDEX($C$10:$C$44,MATCH(A63,$A$10:$A$44,0)),"")</f>
        <v/>
      </c>
      <c r="D63" s="55">
        <f>IFERROR(SUMIF($A$10:$A$44,A63,$D$10:$D$44),"")</f>
        <v/>
      </c>
      <c r="E63" s="44">
        <f>IFERROR(INDEX($G$10:$G$44,MATCH(A63,$A$10:$A$44,0)),"")</f>
        <v/>
      </c>
      <c r="F63" s="55">
        <f>IFERROR(SUMPRODUCT(($A$10:$A$44=A63)*IF($D$10:$D$44-$G$10:$G$44*(TODAY()-IFERROR(DATEVALUE($E$10:$E$44),TODAY()))&gt;0,$D$10:$D$44-$G$10:$G$44*(TODAY()-IFERROR(DATEVALUE($E$10:$E$44),TODAY())),0)),"")</f>
        <v/>
      </c>
      <c r="G63" s="55">
        <f>IFERROR(ROUND(F63/E63,0),"")</f>
        <v/>
      </c>
      <c r="H63" s="62">
        <f>IFERROR(TODAY()+G63,"")</f>
        <v/>
      </c>
      <c r="I63" s="44">
        <f>IFERROR(IF(G63&lt;0,"DEPLETED",IF(G63=0,"TODAY!",IF(G63&lt;=3,"URGENT",IF(G63&lt;=7,"LOW","OK")))),"")</f>
        <v/>
      </c>
      <c r="J63" s="63">
        <f>IFERROR(SUMIF($A$10:$A$44,A63,$F$10:$F$44)/SUMIF($A$10:$A$44,A63,$D$10:$D$44),"")</f>
        <v/>
      </c>
      <c r="K63" s="46">
        <f>IFERROR(ROUND(E63*30*J63,2),"")</f>
        <v/>
      </c>
      <c r="L63" s="55">
        <f>IFERROR(TEXT(H63,"DD/MM/YYYY"),"")</f>
        <v/>
      </c>
      <c r="M63" s="64" t="n"/>
    </row>
    <row r="64" ht="15.75" customHeight="1" s="168">
      <c r="A64" s="2" t="n"/>
      <c r="B64" s="2" t="n"/>
      <c r="C64" s="2" t="n"/>
      <c r="D64" s="2" t="n"/>
      <c r="E64" s="28" t="n"/>
      <c r="F64" s="2" t="n"/>
      <c r="G64" s="2" t="n"/>
      <c r="H64" s="2" t="n"/>
      <c r="I64" s="28" t="n"/>
      <c r="J64" s="2" t="n"/>
      <c r="K64" s="2" t="n"/>
      <c r="L64" s="2" t="n"/>
      <c r="M64" s="2" t="n"/>
    </row>
    <row r="65" ht="12" customHeight="1" s="168">
      <c r="A65" s="2" t="n"/>
      <c r="B65" s="2" t="n"/>
      <c r="C65" s="2" t="n"/>
      <c r="D65" s="2" t="n"/>
      <c r="E65" s="28" t="n"/>
      <c r="F65" s="2" t="n"/>
      <c r="G65" s="2" t="n"/>
      <c r="H65" s="2" t="n"/>
      <c r="I65" s="28" t="n"/>
      <c r="J65" s="2" t="n"/>
      <c r="K65" s="2" t="n"/>
      <c r="L65" s="2" t="n"/>
      <c r="M65" s="2" t="n"/>
    </row>
    <row r="66" ht="30" customHeight="1" s="168">
      <c r="A66" s="71" t="inlineStr">
        <is>
          <t>📅  MONTHLY PROCUREMENT CALENDAR — MAY 2026</t>
        </is>
      </c>
    </row>
    <row r="67" ht="18" customHeight="1" s="168">
      <c r="A67" s="72" t="inlineStr">
        <is>
          <t>Highlighted = items depleting that day  |  RED = urgent/depleted  |  AMBER = 1–3 days  |  YELLOW = 4–7 days</t>
        </is>
      </c>
    </row>
    <row r="68" ht="24" customHeight="1" s="168">
      <c r="A68" s="73" t="inlineStr">
        <is>
          <t>Week</t>
        </is>
      </c>
      <c r="B68" s="74" t="inlineStr">
        <is>
          <t>MON</t>
        </is>
      </c>
      <c r="C68" s="74" t="inlineStr">
        <is>
          <t>TUE</t>
        </is>
      </c>
      <c r="D68" s="74" t="inlineStr">
        <is>
          <t>WED</t>
        </is>
      </c>
      <c r="E68" s="75" t="inlineStr">
        <is>
          <t>THU</t>
        </is>
      </c>
      <c r="F68" s="74" t="inlineStr">
        <is>
          <t>FRI</t>
        </is>
      </c>
      <c r="G68" s="74" t="inlineStr">
        <is>
          <t>SAT</t>
        </is>
      </c>
      <c r="H68" s="74" t="inlineStr">
        <is>
          <t>SUN</t>
        </is>
      </c>
      <c r="I68" s="28" t="n"/>
      <c r="J68" s="2" t="n"/>
      <c r="K68" s="2" t="n"/>
      <c r="L68" s="2" t="n"/>
      <c r="M68" s="2" t="n"/>
    </row>
    <row r="69" ht="21.75" customHeight="1" s="168">
      <c r="A69" s="205" t="inlineStr">
        <is>
          <t>W1</t>
        </is>
      </c>
      <c r="B69" s="77" t="n"/>
      <c r="C69" s="77" t="n"/>
      <c r="D69" s="77" t="n"/>
      <c r="E69" s="78" t="n"/>
      <c r="F69" s="79" t="n">
        <v>1</v>
      </c>
      <c r="G69" s="79" t="n">
        <v>2</v>
      </c>
      <c r="H69" s="79" t="n">
        <v>3</v>
      </c>
      <c r="I69" s="28" t="n"/>
      <c r="J69" s="2" t="n"/>
      <c r="K69" s="2" t="n"/>
      <c r="L69" s="2" t="n"/>
      <c r="M69" s="2" t="n"/>
    </row>
    <row r="70" ht="27.75" customHeight="1" s="168">
      <c r="A70" s="206" t="n"/>
      <c r="B70" s="77" t="n"/>
      <c r="C70" s="77" t="n"/>
      <c r="D70" s="77" t="n"/>
      <c r="E70" s="78" t="n"/>
      <c r="F70" s="81">
        <f>IFERROR(TEXTJOIN(", ",TRUE,IF(INT($I$10:$I$44)=DATE(2026,5,1),$A$10:$A$44,"")),"—")</f>
        <v/>
      </c>
      <c r="G70" s="81">
        <f>IFERROR(TEXTJOIN(", ",TRUE,IF(INT($I$10:$I$44)=DATE(2026,5,2),$A$10:$A$44,"")),"—")</f>
        <v/>
      </c>
      <c r="H70" s="81">
        <f>IFERROR(TEXTJOIN(", ",TRUE,IF(INT($I$10:$I$44)=DATE(2026,5,3),$A$10:$A$44,"")),"—")</f>
        <v/>
      </c>
      <c r="I70" s="28" t="n"/>
      <c r="J70" s="2" t="n"/>
      <c r="K70" s="2" t="n"/>
      <c r="L70" s="2" t="n"/>
      <c r="M70" s="2" t="n"/>
    </row>
    <row r="71" ht="21.75" customHeight="1" s="168">
      <c r="A71" s="205" t="inlineStr">
        <is>
          <t>W2</t>
        </is>
      </c>
      <c r="B71" s="79" t="n">
        <v>4</v>
      </c>
      <c r="C71" s="79" t="n">
        <v>5</v>
      </c>
      <c r="D71" s="79" t="n">
        <v>6</v>
      </c>
      <c r="E71" s="82" t="n">
        <v>7</v>
      </c>
      <c r="F71" s="79" t="n">
        <v>8</v>
      </c>
      <c r="G71" s="83" t="n">
        <v>9</v>
      </c>
      <c r="H71" s="79" t="n">
        <v>10</v>
      </c>
      <c r="I71" s="28" t="n"/>
      <c r="J71" s="2" t="n"/>
      <c r="K71" s="2" t="n"/>
      <c r="L71" s="2" t="n"/>
      <c r="M71" s="2" t="n"/>
    </row>
    <row r="72" ht="27.75" customHeight="1" s="168">
      <c r="A72" s="206" t="n"/>
      <c r="B72" s="81">
        <f>IFERROR(TEXTJOIN(", ",TRUE,IF(INT($I$10:$I$44)=DATE(2026,5,4),$A$10:$A$44,"")),"—")</f>
        <v/>
      </c>
      <c r="C72" s="81">
        <f>IFERROR(TEXTJOIN(", ",TRUE,IF(INT($I$10:$I$44)=DATE(2026,5,5),$A$10:$A$44,"")),"—")</f>
        <v/>
      </c>
      <c r="D72" s="81">
        <f>IFERROR(TEXTJOIN(", ",TRUE,IF(INT($I$10:$I$44)=DATE(2026,5,6),$A$10:$A$44,"")),"—")</f>
        <v/>
      </c>
      <c r="E72" s="84">
        <f>IFERROR(TEXTJOIN(", ",TRUE,IF(INT($I$10:$I$44)=DATE(2026,5,7),$A$10:$A$44,"")),"—")</f>
        <v/>
      </c>
      <c r="F72" s="81">
        <f>IFERROR(TEXTJOIN(", ",TRUE,IF(INT($I$10:$I$44)=DATE(2026,5,8),$A$10:$A$44,"")),"—")</f>
        <v/>
      </c>
      <c r="G72" s="81">
        <f>IFERROR(TEXTJOIN(", ",TRUE,IF(INT($I$10:$I$44)=DATE(2026,5,9),$A$10:$A$44,"")),"—")</f>
        <v/>
      </c>
      <c r="H72" s="81">
        <f>IFERROR(TEXTJOIN(", ",TRUE,IF(INT($I$10:$I$44)=DATE(2026,5,10),$A$10:$A$44,"")),"—")</f>
        <v/>
      </c>
      <c r="I72" s="28" t="n"/>
      <c r="J72" s="2" t="n"/>
      <c r="K72" s="2" t="n"/>
      <c r="L72" s="2" t="n"/>
      <c r="M72" s="2" t="n"/>
    </row>
    <row r="73" ht="21.75" customHeight="1" s="168">
      <c r="A73" s="205" t="inlineStr">
        <is>
          <t>W3</t>
        </is>
      </c>
      <c r="B73" s="79" t="n">
        <v>11</v>
      </c>
      <c r="C73" s="79" t="n">
        <v>12</v>
      </c>
      <c r="D73" s="79" t="n">
        <v>13</v>
      </c>
      <c r="E73" s="82" t="n">
        <v>14</v>
      </c>
      <c r="F73" s="79" t="n">
        <v>15</v>
      </c>
      <c r="G73" s="79" t="n">
        <v>16</v>
      </c>
      <c r="H73" s="79" t="n">
        <v>17</v>
      </c>
      <c r="I73" s="28" t="n"/>
      <c r="J73" s="2" t="n"/>
      <c r="K73" s="2" t="n"/>
      <c r="L73" s="2" t="n"/>
      <c r="M73" s="2" t="n"/>
    </row>
    <row r="74" ht="27.75" customHeight="1" s="168">
      <c r="A74" s="206" t="n"/>
      <c r="B74" s="81">
        <f>IFERROR(TEXTJOIN(", ",TRUE,IF(INT($I$10:$I$44)=DATE(2026,5,11),$A$10:$A$44,"")),"—")</f>
        <v/>
      </c>
      <c r="C74" s="81">
        <f>IFERROR(TEXTJOIN(", ",TRUE,IF(INT($I$10:$I$44)=DATE(2026,5,12),$A$10:$A$44,"")),"—")</f>
        <v/>
      </c>
      <c r="D74" s="81">
        <f>IFERROR(TEXTJOIN(", ",TRUE,IF(INT($I$10:$I$44)=DATE(2026,5,13),$A$10:$A$44,"")),"—")</f>
        <v/>
      </c>
      <c r="E74" s="84">
        <f>IFERROR(TEXTJOIN(", ",TRUE,IF(INT($I$10:$I$44)=DATE(2026,5,14),$A$10:$A$44,"")),"—")</f>
        <v/>
      </c>
      <c r="F74" s="81">
        <f>IFERROR(TEXTJOIN(", ",TRUE,IF(INT($I$10:$I$44)=DATE(2026,5,15),$A$10:$A$44,"")),"—")</f>
        <v/>
      </c>
      <c r="G74" s="81">
        <f>IFERROR(TEXTJOIN(", ",TRUE,IF(INT($I$10:$I$44)=DATE(2026,5,16),$A$10:$A$44,"")),"—")</f>
        <v/>
      </c>
      <c r="H74" s="81">
        <f>IFERROR(TEXTJOIN(", ",TRUE,IF(INT($I$10:$I$44)=DATE(2026,5,17),$A$10:$A$44,"")),"—")</f>
        <v/>
      </c>
      <c r="I74" s="28" t="n"/>
      <c r="J74" s="2" t="n"/>
      <c r="K74" s="2" t="n"/>
      <c r="L74" s="2" t="n"/>
      <c r="M74" s="2" t="n"/>
    </row>
    <row r="75" ht="21.75" customHeight="1" s="168">
      <c r="A75" s="205" t="inlineStr">
        <is>
          <t>W4</t>
        </is>
      </c>
      <c r="B75" s="79" t="n">
        <v>18</v>
      </c>
      <c r="C75" s="79" t="n">
        <v>19</v>
      </c>
      <c r="D75" s="79" t="n">
        <v>20</v>
      </c>
      <c r="E75" s="82" t="n">
        <v>21</v>
      </c>
      <c r="F75" s="79" t="n">
        <v>22</v>
      </c>
      <c r="G75" s="79" t="n">
        <v>23</v>
      </c>
      <c r="H75" s="79" t="n">
        <v>24</v>
      </c>
      <c r="I75" s="28" t="n"/>
      <c r="J75" s="2" t="n"/>
      <c r="K75" s="2" t="n"/>
      <c r="L75" s="2" t="n"/>
      <c r="M75" s="2" t="n"/>
    </row>
    <row r="76" ht="27.75" customHeight="1" s="168">
      <c r="A76" s="206" t="n"/>
      <c r="B76" s="81">
        <f>IFERROR(TEXTJOIN(", ",TRUE,IF(INT($I$10:$I$44)=DATE(2026,5,18),$A$10:$A$44,"")),"—")</f>
        <v/>
      </c>
      <c r="C76" s="81">
        <f>IFERROR(TEXTJOIN(", ",TRUE,IF(INT($I$10:$I$44)=DATE(2026,5,19),$A$10:$A$44,"")),"—")</f>
        <v/>
      </c>
      <c r="D76" s="81">
        <f>IFERROR(TEXTJOIN(", ",TRUE,IF(INT($I$10:$I$44)=DATE(2026,5,20),$A$10:$A$44,"")),"—")</f>
        <v/>
      </c>
      <c r="E76" s="84">
        <f>IFERROR(TEXTJOIN(", ",TRUE,IF(INT($I$10:$I$44)=DATE(2026,5,21),$A$10:$A$44,"")),"—")</f>
        <v/>
      </c>
      <c r="F76" s="81">
        <f>IFERROR(TEXTJOIN(", ",TRUE,IF(INT($I$10:$I$44)=DATE(2026,5,22),$A$10:$A$44,"")),"—")</f>
        <v/>
      </c>
      <c r="G76" s="81">
        <f>IFERROR(TEXTJOIN(", ",TRUE,IF(INT($I$10:$I$44)=DATE(2026,5,23),$A$10:$A$44,"")),"—")</f>
        <v/>
      </c>
      <c r="H76" s="81">
        <f>IFERROR(TEXTJOIN(", ",TRUE,IF(INT($I$10:$I$44)=DATE(2026,5,24),$A$10:$A$44,"")),"—")</f>
        <v/>
      </c>
      <c r="I76" s="28" t="n"/>
      <c r="J76" s="2" t="n"/>
      <c r="K76" s="2" t="n"/>
      <c r="L76" s="2" t="n"/>
      <c r="M76" s="2" t="n"/>
    </row>
    <row r="77" ht="21.75" customHeight="1" s="168">
      <c r="A77" s="205" t="inlineStr">
        <is>
          <t>W5</t>
        </is>
      </c>
      <c r="B77" s="79" t="n">
        <v>25</v>
      </c>
      <c r="C77" s="79" t="n">
        <v>26</v>
      </c>
      <c r="D77" s="79" t="n">
        <v>27</v>
      </c>
      <c r="E77" s="82" t="n">
        <v>28</v>
      </c>
      <c r="F77" s="79" t="n">
        <v>29</v>
      </c>
      <c r="G77" s="79" t="n">
        <v>30</v>
      </c>
      <c r="H77" s="79" t="n">
        <v>31</v>
      </c>
      <c r="I77" s="28" t="n"/>
      <c r="J77" s="2" t="n"/>
      <c r="K77" s="2" t="n"/>
      <c r="L77" s="2" t="n"/>
      <c r="M77" s="2" t="n"/>
    </row>
    <row r="78" ht="27.75" customHeight="1" s="168">
      <c r="A78" s="206" t="n"/>
      <c r="B78" s="81">
        <f>IFERROR(TEXTJOIN(", ",TRUE,IF(INT($I$10:$I$44)=DATE(2026,5,25),$A$10:$A$44,"")),"—")</f>
        <v/>
      </c>
      <c r="C78" s="81">
        <f>IFERROR(TEXTJOIN(", ",TRUE,IF(INT($I$10:$I$44)=DATE(2026,5,26),$A$10:$A$44,"")),"—")</f>
        <v/>
      </c>
      <c r="D78" s="81">
        <f>IFERROR(TEXTJOIN(", ",TRUE,IF(INT($I$10:$I$44)=DATE(2026,5,27),$A$10:$A$44,"")),"—")</f>
        <v/>
      </c>
      <c r="E78" s="84">
        <f>IFERROR(TEXTJOIN(", ",TRUE,IF(INT($I$10:$I$44)=DATE(2026,5,28),$A$10:$A$44,"")),"—")</f>
        <v/>
      </c>
      <c r="F78" s="81">
        <f>IFERROR(TEXTJOIN(", ",TRUE,IF(INT($I$10:$I$44)=DATE(2026,5,29),$A$10:$A$44,"")),"—")</f>
        <v/>
      </c>
      <c r="G78" s="81">
        <f>IFERROR(TEXTJOIN(", ",TRUE,IF(INT($I$10:$I$44)=DATE(2026,5,30),$A$10:$A$44,"")),"—")</f>
        <v/>
      </c>
      <c r="H78" s="81">
        <f>IFERROR(TEXTJOIN(", ",TRUE,IF(INT($I$10:$I$44)=DATE(2026,5,31),$A$10:$A$44,"")),"—")</f>
        <v/>
      </c>
      <c r="I78" s="28" t="n"/>
      <c r="J78" s="2" t="n"/>
      <c r="K78" s="2" t="n"/>
      <c r="L78" s="2" t="n"/>
      <c r="M78" s="2" t="n"/>
    </row>
    <row r="79" ht="15.75" customHeight="1" s="168">
      <c r="A79" s="2" t="n"/>
      <c r="B79" s="2" t="n"/>
      <c r="C79" s="2" t="n"/>
      <c r="D79" s="2" t="n"/>
      <c r="E79" s="28" t="n"/>
      <c r="F79" s="2" t="n"/>
      <c r="G79" s="2" t="n"/>
      <c r="H79" s="2" t="n"/>
      <c r="I79" s="28" t="n"/>
      <c r="J79" s="2" t="n"/>
      <c r="K79" s="2" t="n"/>
      <c r="L79" s="2" t="n"/>
      <c r="M79" s="2" t="n"/>
    </row>
    <row r="80" ht="12" customHeight="1" s="168">
      <c r="A80" s="2" t="n"/>
      <c r="B80" s="2" t="n"/>
      <c r="C80" s="2" t="n"/>
      <c r="D80" s="2" t="n"/>
      <c r="E80" s="28" t="n"/>
      <c r="F80" s="2" t="n"/>
      <c r="G80" s="2" t="n"/>
      <c r="H80" s="2" t="n"/>
      <c r="I80" s="28" t="n"/>
      <c r="J80" s="2" t="n"/>
      <c r="K80" s="2" t="n"/>
      <c r="L80" s="2" t="n"/>
      <c r="M80" s="2" t="n"/>
    </row>
    <row r="81" ht="27.75" customHeight="1" s="168">
      <c r="A81" s="85" t="inlineStr">
        <is>
          <t>UPCOMING PROCUREMENT ALERTS — SORTED BY URGENCY (uses Consolidated totals)</t>
        </is>
      </c>
    </row>
    <row r="82" ht="24" customHeight="1" s="168">
      <c r="A82" s="86" t="inlineStr">
        <is>
          <t>Item</t>
        </is>
      </c>
      <c r="B82" s="86" t="inlineStr">
        <is>
          <t>Status</t>
        </is>
      </c>
      <c r="C82" s="86" t="inlineStr">
        <is>
          <t>Days Left</t>
        </is>
      </c>
      <c r="D82" s="86" t="inlineStr">
        <is>
          <t>Depletion Date</t>
        </is>
      </c>
      <c r="E82" s="87" t="inlineStr">
        <is>
          <t>Unit</t>
        </is>
      </c>
      <c r="F82" s="86" t="inlineStr">
        <is>
          <t>Daily Rate</t>
        </is>
      </c>
      <c r="G82" s="86" t="inlineStr">
        <is>
          <t>Est. Monthly Cost</t>
        </is>
      </c>
      <c r="H82" s="86" t="inlineStr">
        <is>
          <t>Category</t>
        </is>
      </c>
      <c r="I82" s="28" t="n"/>
      <c r="J82" s="2" t="n"/>
      <c r="K82" s="2" t="n"/>
      <c r="L82" s="2" t="n"/>
      <c r="M82" s="2" t="n"/>
    </row>
    <row r="83" ht="19.5" customHeight="1" s="168">
      <c r="A83" s="88">
        <f t="array" ref="A83">IFERROR(INDEX($A$49:$A$63,MATCH(SMALL(IF(ISNUMBER($G$49:$G$63),$G$49:$G$63),1),$G$49:$G$63,0)),"")</f>
        <v/>
      </c>
      <c r="B83" s="89">
        <f t="array" ref="B83">IFERROR(INDEX($I$49:$I$63,MATCH(SMALL(IF(ISNUMBER($G$49:$G$63),$G$49:$G$63),1),$G$49:$G$63,0)),"")</f>
        <v/>
      </c>
      <c r="C83" s="90">
        <f>IFERROR(SMALL(IF(ISNUMBER($G$49:$G$63),$G$49:$G$63),1),"")</f>
        <v/>
      </c>
      <c r="D83" s="91">
        <f>IFERROR(TODAY()+SMALL(IF(ISNUMBER($G$49:$G$63),$G$49:$G$63),1),"")</f>
        <v/>
      </c>
      <c r="E83" s="92">
        <f t="array" ref="E83">IFERROR(INDEX($C$49:$C$63,MATCH(SMALL(IF(ISNUMBER($G$49:$G$63),$G$49:$G$63),1),$G$49:$G$63,0)),"")</f>
        <v/>
      </c>
      <c r="F83" s="89">
        <f t="array" ref="F83">IFERROR(INDEX($E$49:$E$63,MATCH(SMALL(IF(ISNUMBER($G$49:$G$63),$G$49:$G$63),1),$G$49:$G$63,0)),"")</f>
        <v/>
      </c>
      <c r="G83" s="93">
        <f t="array" ref="G83">IFERROR(INDEX($K$49:$K$63,MATCH(SMALL(IF(ISNUMBER($G$49:$G$63),$G$49:$G$63),1),$G$49:$G$63,0)),"")</f>
        <v/>
      </c>
      <c r="H83" s="89">
        <f t="array" ref="H83">IFERROR(INDEX($B$10:$B$44,MATCH(INDEX($A$49:$A$63,MATCH(SMALL(IF(ISNUMBER($G$49:$G$63),$G$49:$G$63),1),$G$49:$G$63,0)),$A$10:$A$44,0)),"")</f>
        <v/>
      </c>
      <c r="I83" s="28" t="n"/>
      <c r="J83" s="2" t="n"/>
      <c r="K83" s="2" t="n"/>
      <c r="L83" s="2" t="n"/>
      <c r="M83" s="2" t="n"/>
    </row>
    <row r="84" ht="19.5" customHeight="1" s="168">
      <c r="A84" s="54">
        <f t="array" ref="A84">IFERROR(INDEX($A$49:$A$63,MATCH(SMALL(IF(ISNUMBER($G$49:$G$63),$G$49:$G$63),2),$G$49:$G$63,0)),"")</f>
        <v/>
      </c>
      <c r="B84" s="55">
        <f t="array" ref="B84">IFERROR(INDEX($I$49:$I$63,MATCH(SMALL(IF(ISNUMBER($G$49:$G$63),$G$49:$G$63),2),$G$49:$G$63,0)),"")</f>
        <v/>
      </c>
      <c r="C84" s="45">
        <f>IFERROR(SMALL(IF(ISNUMBER($G$49:$G$63),$G$49:$G$63),2),"")</f>
        <v/>
      </c>
      <c r="D84" s="62">
        <f>IFERROR(TODAY()+SMALL(IF(ISNUMBER($G$49:$G$63),$G$49:$G$63),2),"")</f>
        <v/>
      </c>
      <c r="E84" s="44">
        <f t="array" ref="E84">IFERROR(INDEX($C$49:$C$63,MATCH(SMALL(IF(ISNUMBER($G$49:$G$63),$G$49:$G$63),2),$G$49:$G$63,0)),"")</f>
        <v/>
      </c>
      <c r="F84" s="55">
        <f t="array" ref="F84">IFERROR(INDEX($E$49:$E$63,MATCH(SMALL(IF(ISNUMBER($G$49:$G$63),$G$49:$G$63),2),$G$49:$G$63,0)),"")</f>
        <v/>
      </c>
      <c r="G84" s="46">
        <f t="array" ref="G84">IFERROR(INDEX($K$49:$K$63,MATCH(SMALL(IF(ISNUMBER($G$49:$G$63),$G$49:$G$63),2),$G$49:$G$63,0)),"")</f>
        <v/>
      </c>
      <c r="H84" s="55">
        <f t="array" ref="H84">IFERROR(INDEX($B$10:$B$44,MATCH(INDEX($A$49:$A$63,MATCH(SMALL(IF(ISNUMBER($G$49:$G$63),$G$49:$G$63),2),$G$49:$G$63,0)),$A$10:$A$44,0)),"")</f>
        <v/>
      </c>
      <c r="I84" s="28" t="n"/>
      <c r="J84" s="2" t="n"/>
      <c r="K84" s="2" t="n"/>
      <c r="L84" s="2" t="n"/>
      <c r="M84" s="2" t="n"/>
    </row>
    <row r="85" ht="19.5" customHeight="1" s="168">
      <c r="A85" s="88">
        <f t="array" ref="A85">IFERROR(INDEX($A$49:$A$63,MATCH(SMALL(IF(ISNUMBER($G$49:$G$63),$G$49:$G$63),3),$G$49:$G$63,0)),"")</f>
        <v/>
      </c>
      <c r="B85" s="89">
        <f t="array" ref="B85">IFERROR(INDEX($I$49:$I$63,MATCH(SMALL(IF(ISNUMBER($G$49:$G$63),$G$49:$G$63),3),$G$49:$G$63,0)),"")</f>
        <v/>
      </c>
      <c r="C85" s="90">
        <f>IFERROR(SMALL(IF(ISNUMBER($G$49:$G$63),$G$49:$G$63),3),"")</f>
        <v/>
      </c>
      <c r="D85" s="91">
        <f>IFERROR(TODAY()+SMALL(IF(ISNUMBER($G$49:$G$63),$G$49:$G$63),3),"")</f>
        <v/>
      </c>
      <c r="E85" s="92">
        <f t="array" ref="E85">IFERROR(INDEX($C$49:$C$63,MATCH(SMALL(IF(ISNUMBER($G$49:$G$63),$G$49:$G$63),3),$G$49:$G$63,0)),"")</f>
        <v/>
      </c>
      <c r="F85" s="89">
        <f t="array" ref="F85">IFERROR(INDEX($E$49:$E$63,MATCH(SMALL(IF(ISNUMBER($G$49:$G$63),$G$49:$G$63),3),$G$49:$G$63,0)),"")</f>
        <v/>
      </c>
      <c r="G85" s="93">
        <f t="array" ref="G85">IFERROR(INDEX($K$49:$K$63,MATCH(SMALL(IF(ISNUMBER($G$49:$G$63),$G$49:$G$63),3),$G$49:$G$63,0)),"")</f>
        <v/>
      </c>
      <c r="H85" s="89">
        <f t="array" ref="H85">IFERROR(INDEX($B$10:$B$44,MATCH(INDEX($A$49:$A$63,MATCH(SMALL(IF(ISNUMBER($G$49:$G$63),$G$49:$G$63),3),$G$49:$G$63,0)),$A$10:$A$44,0)),"")</f>
        <v/>
      </c>
      <c r="I85" s="28" t="n"/>
      <c r="J85" s="2" t="n"/>
      <c r="K85" s="2" t="n"/>
      <c r="L85" s="2" t="n"/>
      <c r="M85" s="2" t="n"/>
    </row>
    <row r="86" ht="19.5" customHeight="1" s="168">
      <c r="A86" s="54">
        <f t="array" ref="A86">IFERROR(INDEX($A$49:$A$63,MATCH(SMALL(IF(ISNUMBER($G$49:$G$63),$G$49:$G$63),4),$G$49:$G$63,0)),"")</f>
        <v/>
      </c>
      <c r="B86" s="55">
        <f t="array" ref="B86">IFERROR(INDEX($I$49:$I$63,MATCH(SMALL(IF(ISNUMBER($G$49:$G$63),$G$49:$G$63),4),$G$49:$G$63,0)),"")</f>
        <v/>
      </c>
      <c r="C86" s="45">
        <f>IFERROR(SMALL(IF(ISNUMBER($G$49:$G$63),$G$49:$G$63),4),"")</f>
        <v/>
      </c>
      <c r="D86" s="62">
        <f>IFERROR(TODAY()+SMALL(IF(ISNUMBER($G$49:$G$63),$G$49:$G$63),4),"")</f>
        <v/>
      </c>
      <c r="E86" s="44">
        <f t="array" ref="E86">IFERROR(INDEX($C$49:$C$63,MATCH(SMALL(IF(ISNUMBER($G$49:$G$63),$G$49:$G$63),4),$G$49:$G$63,0)),"")</f>
        <v/>
      </c>
      <c r="F86" s="55">
        <f t="array" ref="F86">IFERROR(INDEX($E$49:$E$63,MATCH(SMALL(IF(ISNUMBER($G$49:$G$63),$G$49:$G$63),4),$G$49:$G$63,0)),"")</f>
        <v/>
      </c>
      <c r="G86" s="46">
        <f t="array" ref="G86">IFERROR(INDEX($K$49:$K$63,MATCH(SMALL(IF(ISNUMBER($G$49:$G$63),$G$49:$G$63),4),$G$49:$G$63,0)),"")</f>
        <v/>
      </c>
      <c r="H86" s="55">
        <f t="array" ref="H86">IFERROR(INDEX($B$10:$B$44,MATCH(INDEX($A$49:$A$63,MATCH(SMALL(IF(ISNUMBER($G$49:$G$63),$G$49:$G$63),4),$G$49:$G$63,0)),$A$10:$A$44,0)),"")</f>
        <v/>
      </c>
      <c r="I86" s="28" t="n"/>
      <c r="J86" s="2" t="n"/>
      <c r="K86" s="2" t="n"/>
      <c r="L86" s="2" t="n"/>
      <c r="M86" s="2" t="n"/>
    </row>
    <row r="87" ht="19.5" customHeight="1" s="168">
      <c r="A87" s="88">
        <f t="array" ref="A87">IFERROR(INDEX($A$49:$A$63,MATCH(SMALL(IF(ISNUMBER($G$49:$G$63),$G$49:$G$63),5),$G$49:$G$63,0)),"")</f>
        <v/>
      </c>
      <c r="B87" s="89">
        <f t="array" ref="B87">IFERROR(INDEX($I$49:$I$63,MATCH(SMALL(IF(ISNUMBER($G$49:$G$63),$G$49:$G$63),5),$G$49:$G$63,0)),"")</f>
        <v/>
      </c>
      <c r="C87" s="90">
        <f>IFERROR(SMALL(IF(ISNUMBER($G$49:$G$63),$G$49:$G$63),5),"")</f>
        <v/>
      </c>
      <c r="D87" s="91">
        <f>IFERROR(TODAY()+SMALL(IF(ISNUMBER($G$49:$G$63),$G$49:$G$63),5),"")</f>
        <v/>
      </c>
      <c r="E87" s="92">
        <f t="array" ref="E87">IFERROR(INDEX($C$49:$C$63,MATCH(SMALL(IF(ISNUMBER($G$49:$G$63),$G$49:$G$63),5),$G$49:$G$63,0)),"")</f>
        <v/>
      </c>
      <c r="F87" s="89">
        <f t="array" ref="F87">IFERROR(INDEX($E$49:$E$63,MATCH(SMALL(IF(ISNUMBER($G$49:$G$63),$G$49:$G$63),5),$G$49:$G$63,0)),"")</f>
        <v/>
      </c>
      <c r="G87" s="93">
        <f t="array" ref="G87">IFERROR(INDEX($K$49:$K$63,MATCH(SMALL(IF(ISNUMBER($G$49:$G$63),$G$49:$G$63),5),$G$49:$G$63,0)),"")</f>
        <v/>
      </c>
      <c r="H87" s="89">
        <f t="array" ref="H87">IFERROR(INDEX($B$10:$B$44,MATCH(INDEX($A$49:$A$63,MATCH(SMALL(IF(ISNUMBER($G$49:$G$63),$G$49:$G$63),5),$G$49:$G$63,0)),$A$10:$A$44,0)),"")</f>
        <v/>
      </c>
      <c r="I87" s="28" t="n"/>
      <c r="J87" s="2" t="n"/>
      <c r="K87" s="2" t="n"/>
      <c r="L87" s="2" t="n"/>
      <c r="M87" s="2" t="n"/>
    </row>
    <row r="88" ht="19.5" customHeight="1" s="168">
      <c r="A88" s="54">
        <f t="array" ref="A88">IFERROR(INDEX($A$49:$A$63,MATCH(SMALL(IF(ISNUMBER($G$49:$G$63),$G$49:$G$63),6),$G$49:$G$63,0)),"")</f>
        <v/>
      </c>
      <c r="B88" s="55">
        <f t="array" ref="B88">IFERROR(INDEX($I$49:$I$63,MATCH(SMALL(IF(ISNUMBER($G$49:$G$63),$G$49:$G$63),6),$G$49:$G$63,0)),"")</f>
        <v/>
      </c>
      <c r="C88" s="45">
        <f>IFERROR(SMALL(IF(ISNUMBER($G$49:$G$63),$G$49:$G$63),6),"")</f>
        <v/>
      </c>
      <c r="D88" s="62">
        <f>IFERROR(TODAY()+SMALL(IF(ISNUMBER($G$49:$G$63),$G$49:$G$63),6),"")</f>
        <v/>
      </c>
      <c r="E88" s="44">
        <f t="array" ref="E88">IFERROR(INDEX($C$49:$C$63,MATCH(SMALL(IF(ISNUMBER($G$49:$G$63),$G$49:$G$63),6),$G$49:$G$63,0)),"")</f>
        <v/>
      </c>
      <c r="F88" s="55">
        <f t="array" ref="F88">IFERROR(INDEX($E$49:$E$63,MATCH(SMALL(IF(ISNUMBER($G$49:$G$63),$G$49:$G$63),6),$G$49:$G$63,0)),"")</f>
        <v/>
      </c>
      <c r="G88" s="46">
        <f t="array" ref="G88">IFERROR(INDEX($K$49:$K$63,MATCH(SMALL(IF(ISNUMBER($G$49:$G$63),$G$49:$G$63),6),$G$49:$G$63,0)),"")</f>
        <v/>
      </c>
      <c r="H88" s="55">
        <f t="array" ref="H88">IFERROR(INDEX($B$10:$B$44,MATCH(INDEX($A$49:$A$63,MATCH(SMALL(IF(ISNUMBER($G$49:$G$63),$G$49:$G$63),6),$G$49:$G$63,0)),$A$10:$A$44,0)),"")</f>
        <v/>
      </c>
      <c r="I88" s="28" t="n"/>
      <c r="J88" s="2" t="n"/>
      <c r="K88" s="2" t="n"/>
      <c r="L88" s="2" t="n"/>
      <c r="M88" s="2" t="n"/>
    </row>
    <row r="89" ht="19.5" customHeight="1" s="168">
      <c r="A89" s="88">
        <f t="array" ref="A89">IFERROR(INDEX($A$49:$A$63,MATCH(SMALL(IF(ISNUMBER($G$49:$G$63),$G$49:$G$63),7),$G$49:$G$63,0)),"")</f>
        <v/>
      </c>
      <c r="B89" s="89">
        <f t="array" ref="B89">IFERROR(INDEX($I$49:$I$63,MATCH(SMALL(IF(ISNUMBER($G$49:$G$63),$G$49:$G$63),7),$G$49:$G$63,0)),"")</f>
        <v/>
      </c>
      <c r="C89" s="90">
        <f>IFERROR(SMALL(IF(ISNUMBER($G$49:$G$63),$G$49:$G$63),7),"")</f>
        <v/>
      </c>
      <c r="D89" s="91">
        <f>IFERROR(TODAY()+SMALL(IF(ISNUMBER($G$49:$G$63),$G$49:$G$63),7),"")</f>
        <v/>
      </c>
      <c r="E89" s="92">
        <f t="array" ref="E89">IFERROR(INDEX($C$49:$C$63,MATCH(SMALL(IF(ISNUMBER($G$49:$G$63),$G$49:$G$63),7),$G$49:$G$63,0)),"")</f>
        <v/>
      </c>
      <c r="F89" s="89">
        <f t="array" ref="F89">IFERROR(INDEX($E$49:$E$63,MATCH(SMALL(IF(ISNUMBER($G$49:$G$63),$G$49:$G$63),7),$G$49:$G$63,0)),"")</f>
        <v/>
      </c>
      <c r="G89" s="93">
        <f t="array" ref="G89">IFERROR(INDEX($K$49:$K$63,MATCH(SMALL(IF(ISNUMBER($G$49:$G$63),$G$49:$G$63),7),$G$49:$G$63,0)),"")</f>
        <v/>
      </c>
      <c r="H89" s="89">
        <f t="array" ref="H89">IFERROR(INDEX($B$10:$B$44,MATCH(INDEX($A$49:$A$63,MATCH(SMALL(IF(ISNUMBER($G$49:$G$63),$G$49:$G$63),7),$G$49:$G$63,0)),$A$10:$A$44,0)),"")</f>
        <v/>
      </c>
      <c r="I89" s="28" t="n"/>
      <c r="J89" s="2" t="n"/>
      <c r="K89" s="2" t="n"/>
      <c r="L89" s="2" t="n"/>
      <c r="M89" s="2" t="n"/>
    </row>
    <row r="90" ht="19.5" customHeight="1" s="168">
      <c r="A90" s="54">
        <f t="array" ref="A90">IFERROR(INDEX($A$49:$A$63,MATCH(SMALL(IF(ISNUMBER($G$49:$G$63),$G$49:$G$63),8),$G$49:$G$63,0)),"")</f>
        <v/>
      </c>
      <c r="B90" s="55">
        <f t="array" ref="B90">IFERROR(INDEX($I$49:$I$63,MATCH(SMALL(IF(ISNUMBER($G$49:$G$63),$G$49:$G$63),8),$G$49:$G$63,0)),"")</f>
        <v/>
      </c>
      <c r="C90" s="45">
        <f>IFERROR(SMALL(IF(ISNUMBER($G$49:$G$63),$G$49:$G$63),8),"")</f>
        <v/>
      </c>
      <c r="D90" s="62">
        <f>IFERROR(TODAY()+SMALL(IF(ISNUMBER($G$49:$G$63),$G$49:$G$63),8),"")</f>
        <v/>
      </c>
      <c r="E90" s="44">
        <f t="array" ref="E90">IFERROR(INDEX($C$49:$C$63,MATCH(SMALL(IF(ISNUMBER($G$49:$G$63),$G$49:$G$63),8),$G$49:$G$63,0)),"")</f>
        <v/>
      </c>
      <c r="F90" s="55">
        <f t="array" ref="F90">IFERROR(INDEX($E$49:$E$63,MATCH(SMALL(IF(ISNUMBER($G$49:$G$63),$G$49:$G$63),8),$G$49:$G$63,0)),"")</f>
        <v/>
      </c>
      <c r="G90" s="46">
        <f t="array" ref="G90">IFERROR(INDEX($K$49:$K$63,MATCH(SMALL(IF(ISNUMBER($G$49:$G$63),$G$49:$G$63),8),$G$49:$G$63,0)),"")</f>
        <v/>
      </c>
      <c r="H90" s="55">
        <f t="array" ref="H90">IFERROR(INDEX($B$10:$B$44,MATCH(INDEX($A$49:$A$63,MATCH(SMALL(IF(ISNUMBER($G$49:$G$63),$G$49:$G$63),8),$G$49:$G$63,0)),$A$10:$A$44,0)),"")</f>
        <v/>
      </c>
      <c r="I90" s="28" t="n"/>
      <c r="J90" s="2" t="n"/>
      <c r="K90" s="2" t="n"/>
      <c r="L90" s="2" t="n"/>
      <c r="M90" s="2" t="n"/>
    </row>
    <row r="91" ht="19.5" customHeight="1" s="168">
      <c r="A91" s="88">
        <f t="array" ref="A91">IFERROR(INDEX($A$49:$A$63,MATCH(SMALL(IF(ISNUMBER($G$49:$G$63),$G$49:$G$63),9),$G$49:$G$63,0)),"")</f>
        <v/>
      </c>
      <c r="B91" s="89">
        <f t="array" ref="B91">IFERROR(INDEX($I$49:$I$63,MATCH(SMALL(IF(ISNUMBER($G$49:$G$63),$G$49:$G$63),9),$G$49:$G$63,0)),"")</f>
        <v/>
      </c>
      <c r="C91" s="90">
        <f>IFERROR(SMALL(IF(ISNUMBER($G$49:$G$63),$G$49:$G$63),9),"")</f>
        <v/>
      </c>
      <c r="D91" s="91">
        <f>IFERROR(TODAY()+SMALL(IF(ISNUMBER($G$49:$G$63),$G$49:$G$63),9),"")</f>
        <v/>
      </c>
      <c r="E91" s="92">
        <f t="array" ref="E91">IFERROR(INDEX($C$49:$C$63,MATCH(SMALL(IF(ISNUMBER($G$49:$G$63),$G$49:$G$63),9),$G$49:$G$63,0)),"")</f>
        <v/>
      </c>
      <c r="F91" s="89">
        <f t="array" ref="F91">IFERROR(INDEX($E$49:$E$63,MATCH(SMALL(IF(ISNUMBER($G$49:$G$63),$G$49:$G$63),9),$G$49:$G$63,0)),"")</f>
        <v/>
      </c>
      <c r="G91" s="93">
        <f t="array" ref="G91">IFERROR(INDEX($K$49:$K$63,MATCH(SMALL(IF(ISNUMBER($G$49:$G$63),$G$49:$G$63),9),$G$49:$G$63,0)),"")</f>
        <v/>
      </c>
      <c r="H91" s="89">
        <f t="array" ref="H91">IFERROR(INDEX($B$10:$B$44,MATCH(INDEX($A$49:$A$63,MATCH(SMALL(IF(ISNUMBER($G$49:$G$63),$G$49:$G$63),9),$G$49:$G$63,0)),$A$10:$A$44,0)),"")</f>
        <v/>
      </c>
      <c r="I91" s="28" t="n"/>
      <c r="J91" s="2" t="n"/>
      <c r="K91" s="2" t="n"/>
      <c r="L91" s="2" t="n"/>
      <c r="M91" s="2" t="n"/>
    </row>
    <row r="92" ht="19.5" customHeight="1" s="168">
      <c r="A92" s="54">
        <f t="array" ref="A92">IFERROR(INDEX($A$49:$A$63,MATCH(SMALL(IF(ISNUMBER($G$49:$G$63),$G$49:$G$63),10),$G$49:$G$63,0)),"")</f>
        <v/>
      </c>
      <c r="B92" s="55">
        <f t="array" ref="B92">IFERROR(INDEX($I$49:$I$63,MATCH(SMALL(IF(ISNUMBER($G$49:$G$63),$G$49:$G$63),10),$G$49:$G$63,0)),"")</f>
        <v/>
      </c>
      <c r="C92" s="45">
        <f>IFERROR(SMALL(IF(ISNUMBER($G$49:$G$63),$G$49:$G$63),10),"")</f>
        <v/>
      </c>
      <c r="D92" s="62">
        <f>IFERROR(TODAY()+SMALL(IF(ISNUMBER($G$49:$G$63),$G$49:$G$63),10),"")</f>
        <v/>
      </c>
      <c r="E92" s="44">
        <f t="array" ref="E92">IFERROR(INDEX($C$49:$C$63,MATCH(SMALL(IF(ISNUMBER($G$49:$G$63),$G$49:$G$63),10),$G$49:$G$63,0)),"")</f>
        <v/>
      </c>
      <c r="F92" s="55">
        <f t="array" ref="F92">IFERROR(INDEX($E$49:$E$63,MATCH(SMALL(IF(ISNUMBER($G$49:$G$63),$G$49:$G$63),10),$G$49:$G$63,0)),"")</f>
        <v/>
      </c>
      <c r="G92" s="46">
        <f t="array" ref="G92">IFERROR(INDEX($K$49:$K$63,MATCH(SMALL(IF(ISNUMBER($G$49:$G$63),$G$49:$G$63),10),$G$49:$G$63,0)),"")</f>
        <v/>
      </c>
      <c r="H92" s="55">
        <f t="array" ref="H92">IFERROR(INDEX($B$10:$B$44,MATCH(INDEX($A$49:$A$63,MATCH(SMALL(IF(ISNUMBER($G$49:$G$63),$G$49:$G$63),10),$G$49:$G$63,0)),$A$10:$A$44,0)),"")</f>
        <v/>
      </c>
      <c r="I92" s="28" t="n"/>
      <c r="J92" s="2" t="n"/>
      <c r="K92" s="2" t="n"/>
      <c r="L92" s="2" t="n"/>
      <c r="M92" s="2" t="n"/>
    </row>
    <row r="93" ht="15.75" customHeight="1" s="168">
      <c r="A93" s="2" t="n"/>
      <c r="B93" s="2" t="n"/>
      <c r="C93" s="2" t="n"/>
      <c r="D93" s="2" t="n"/>
      <c r="E93" s="28" t="n"/>
      <c r="F93" s="2" t="n"/>
      <c r="G93" s="2" t="n"/>
      <c r="H93" s="2" t="n"/>
      <c r="I93" s="28" t="n"/>
      <c r="J93" s="2" t="n"/>
      <c r="K93" s="2" t="n"/>
      <c r="L93" s="2" t="n"/>
      <c r="M93" s="2" t="n"/>
    </row>
    <row r="94" ht="21.75" customHeight="1" s="168">
      <c r="A94" s="94" t="inlineStr">
        <is>
          <t>STATUS LEGEND</t>
        </is>
      </c>
      <c r="I94" s="28" t="n"/>
      <c r="J94" s="2" t="n"/>
      <c r="K94" s="2" t="n"/>
      <c r="L94" s="2" t="n"/>
      <c r="M94" s="2" t="n"/>
    </row>
    <row r="95" ht="19.5" customHeight="1" s="168">
      <c r="A95" s="95" t="inlineStr">
        <is>
          <t>DEPLETED</t>
        </is>
      </c>
      <c r="B95" s="207" t="inlineStr">
        <is>
          <t>Item has run out — procure immediately</t>
        </is>
      </c>
      <c r="C95" s="196" t="n"/>
      <c r="D95" s="196" t="n"/>
      <c r="E95" s="196" t="n"/>
      <c r="F95" s="196" t="n"/>
      <c r="G95" s="196" t="n"/>
      <c r="H95" s="197" t="n"/>
      <c r="I95" s="28" t="n"/>
      <c r="J95" s="2" t="n"/>
      <c r="K95" s="2" t="n"/>
      <c r="L95" s="2" t="n"/>
      <c r="M95" s="2" t="n"/>
    </row>
    <row r="96" ht="19.5" customHeight="1" s="168">
      <c r="A96" s="97" t="inlineStr">
        <is>
          <t>TODAY!</t>
        </is>
      </c>
      <c r="B96" s="207" t="inlineStr">
        <is>
          <t>Item runs out today</t>
        </is>
      </c>
      <c r="C96" s="196" t="n"/>
      <c r="D96" s="196" t="n"/>
      <c r="E96" s="196" t="n"/>
      <c r="F96" s="196" t="n"/>
      <c r="G96" s="196" t="n"/>
      <c r="H96" s="197" t="n"/>
      <c r="I96" s="28" t="n"/>
      <c r="J96" s="2" t="n"/>
      <c r="K96" s="2" t="n"/>
      <c r="L96" s="2" t="n"/>
      <c r="M96" s="2" t="n"/>
    </row>
    <row r="97" ht="19.5" customHeight="1" s="168">
      <c r="A97" s="98" t="inlineStr">
        <is>
          <t>URGENT</t>
        </is>
      </c>
      <c r="B97" s="207" t="inlineStr">
        <is>
          <t>1–3 days remaining</t>
        </is>
      </c>
      <c r="C97" s="196" t="n"/>
      <c r="D97" s="196" t="n"/>
      <c r="E97" s="196" t="n"/>
      <c r="F97" s="196" t="n"/>
      <c r="G97" s="196" t="n"/>
      <c r="H97" s="197" t="n"/>
      <c r="I97" s="28" t="n"/>
      <c r="J97" s="2" t="n"/>
      <c r="K97" s="2" t="n"/>
      <c r="L97" s="2" t="n"/>
      <c r="M97" s="2" t="n"/>
    </row>
    <row r="98" ht="19.5" customHeight="1" s="168">
      <c r="A98" s="99" t="inlineStr">
        <is>
          <t>LOW</t>
        </is>
      </c>
      <c r="B98" s="207" t="inlineStr">
        <is>
          <t>4–7 days remaining — plan your next shop</t>
        </is>
      </c>
      <c r="C98" s="196" t="n"/>
      <c r="D98" s="196" t="n"/>
      <c r="E98" s="196" t="n"/>
      <c r="F98" s="196" t="n"/>
      <c r="G98" s="196" t="n"/>
      <c r="H98" s="197" t="n"/>
      <c r="I98" s="28" t="n"/>
      <c r="J98" s="2" t="n"/>
      <c r="K98" s="2" t="n"/>
      <c r="L98" s="2" t="n"/>
      <c r="M98" s="2" t="n"/>
    </row>
    <row r="99" ht="19.5" customHeight="1" s="168">
      <c r="A99" s="100" t="inlineStr">
        <is>
          <t>OK</t>
        </is>
      </c>
      <c r="B99" s="207" t="inlineStr">
        <is>
          <t>Well stocked (7+ days remaining)</t>
        </is>
      </c>
      <c r="C99" s="196" t="n"/>
      <c r="D99" s="196" t="n"/>
      <c r="E99" s="196" t="n"/>
      <c r="F99" s="196" t="n"/>
      <c r="G99" s="196" t="n"/>
      <c r="H99" s="197" t="n"/>
      <c r="I99" s="28" t="n"/>
      <c r="J99" s="2" t="n"/>
      <c r="K99" s="2" t="n"/>
      <c r="L99" s="2" t="n"/>
      <c r="M99" s="2" t="n"/>
    </row>
    <row r="100" ht="15.75" customHeight="1" s="168">
      <c r="A100" s="2" t="n"/>
      <c r="B100" s="2" t="n"/>
      <c r="C100" s="2" t="n"/>
      <c r="D100" s="2" t="n"/>
      <c r="E100" s="28" t="n"/>
      <c r="F100" s="2" t="n"/>
      <c r="G100" s="2" t="n"/>
      <c r="H100" s="2" t="n"/>
      <c r="I100" s="28" t="n"/>
      <c r="J100" s="2" t="n"/>
      <c r="K100" s="2" t="n"/>
      <c r="L100" s="2" t="n"/>
      <c r="M100" s="2" t="n"/>
    </row>
    <row r="101" ht="15.75" customHeight="1" s="168">
      <c r="A101" s="2" t="n"/>
      <c r="B101" s="2" t="n"/>
      <c r="C101" s="2" t="n"/>
      <c r="D101" s="2" t="n"/>
      <c r="E101" s="28" t="n"/>
      <c r="F101" s="2" t="n"/>
      <c r="G101" s="2" t="n"/>
      <c r="H101" s="2" t="n"/>
      <c r="I101" s="28" t="n"/>
      <c r="J101" s="2" t="n"/>
      <c r="K101" s="2" t="n"/>
      <c r="L101" s="2" t="n"/>
      <c r="M101" s="2" t="n"/>
    </row>
    <row r="102" ht="15.75" customHeight="1" s="168">
      <c r="A102" s="2" t="n"/>
      <c r="B102" s="2" t="n"/>
      <c r="C102" s="2" t="n"/>
      <c r="D102" s="2" t="n"/>
      <c r="E102" s="28" t="n"/>
      <c r="F102" s="2" t="n"/>
      <c r="G102" s="2" t="n"/>
      <c r="H102" s="2" t="n"/>
      <c r="I102" s="28" t="n"/>
      <c r="J102" s="2" t="n"/>
      <c r="K102" s="2" t="n"/>
      <c r="L102" s="2" t="n"/>
      <c r="M102" s="2" t="n"/>
    </row>
    <row r="103" ht="15.75" customHeight="1" s="168">
      <c r="A103" s="2" t="n"/>
      <c r="B103" s="2" t="n"/>
      <c r="C103" s="2" t="n"/>
      <c r="D103" s="2" t="n"/>
      <c r="E103" s="28" t="n"/>
      <c r="F103" s="2" t="n"/>
      <c r="G103" s="2" t="n"/>
      <c r="H103" s="2" t="n"/>
      <c r="I103" s="28" t="n"/>
      <c r="J103" s="2" t="n"/>
      <c r="K103" s="2" t="n"/>
      <c r="L103" s="2" t="n"/>
      <c r="M103" s="2" t="n"/>
    </row>
    <row r="104" ht="15.75" customHeight="1" s="168">
      <c r="A104" s="2" t="n"/>
      <c r="B104" s="2" t="n"/>
      <c r="C104" s="2" t="n"/>
      <c r="D104" s="2" t="n"/>
      <c r="E104" s="28" t="n"/>
      <c r="F104" s="2" t="n"/>
      <c r="G104" s="2" t="n"/>
      <c r="H104" s="2" t="n"/>
      <c r="I104" s="28" t="n"/>
      <c r="J104" s="2" t="n"/>
      <c r="K104" s="2" t="n"/>
      <c r="L104" s="2" t="n"/>
      <c r="M104" s="2" t="n"/>
    </row>
    <row r="105" ht="15.75" customHeight="1" s="168">
      <c r="A105" s="2" t="n"/>
      <c r="B105" s="2" t="n"/>
      <c r="C105" s="2" t="n"/>
      <c r="D105" s="2" t="n"/>
      <c r="E105" s="28" t="n"/>
      <c r="F105" s="2" t="n"/>
      <c r="G105" s="2" t="n"/>
      <c r="H105" s="2" t="n"/>
      <c r="I105" s="28" t="n"/>
      <c r="J105" s="2" t="n"/>
      <c r="K105" s="2" t="n"/>
      <c r="L105" s="2" t="n"/>
      <c r="M105" s="2" t="n"/>
    </row>
    <row r="106" ht="15.75" customHeight="1" s="168">
      <c r="A106" s="2" t="n"/>
      <c r="B106" s="2" t="n"/>
      <c r="C106" s="2" t="n"/>
      <c r="D106" s="2" t="n"/>
      <c r="E106" s="28" t="n"/>
      <c r="F106" s="2" t="n"/>
      <c r="G106" s="2" t="n"/>
      <c r="H106" s="2" t="n"/>
      <c r="I106" s="28" t="n"/>
      <c r="J106" s="2" t="n"/>
      <c r="K106" s="2" t="n"/>
      <c r="L106" s="2" t="n"/>
      <c r="M106" s="2" t="n"/>
    </row>
    <row r="107" ht="15.75" customHeight="1" s="168">
      <c r="A107" s="2" t="n"/>
      <c r="B107" s="2" t="n"/>
      <c r="C107" s="2" t="n"/>
      <c r="D107" s="2" t="n"/>
      <c r="E107" s="28" t="n"/>
      <c r="F107" s="2" t="n"/>
      <c r="G107" s="2" t="n"/>
      <c r="H107" s="2" t="n"/>
      <c r="I107" s="28" t="n"/>
      <c r="J107" s="2" t="n"/>
      <c r="K107" s="2" t="n"/>
      <c r="L107" s="2" t="n"/>
      <c r="M107" s="2" t="n"/>
    </row>
    <row r="108" ht="15.75" customHeight="1" s="168">
      <c r="A108" s="2" t="n"/>
      <c r="B108" s="2" t="n"/>
      <c r="C108" s="2" t="n"/>
      <c r="D108" s="2" t="n"/>
      <c r="E108" s="28" t="n"/>
      <c r="F108" s="2" t="n"/>
      <c r="G108" s="2" t="n"/>
      <c r="H108" s="2" t="n"/>
      <c r="I108" s="28" t="n"/>
      <c r="J108" s="2" t="n"/>
      <c r="K108" s="2" t="n"/>
      <c r="L108" s="2" t="n"/>
      <c r="M108" s="2" t="n"/>
    </row>
    <row r="109" ht="15.75" customHeight="1" s="168">
      <c r="A109" s="2" t="n"/>
      <c r="B109" s="2" t="n"/>
      <c r="C109" s="2" t="n"/>
      <c r="D109" s="2" t="n"/>
      <c r="E109" s="28" t="n"/>
      <c r="F109" s="2" t="n"/>
      <c r="G109" s="2" t="n"/>
      <c r="H109" s="2" t="n"/>
      <c r="I109" s="28" t="n"/>
      <c r="J109" s="2" t="n"/>
      <c r="K109" s="2" t="n"/>
      <c r="L109" s="2" t="n"/>
      <c r="M109" s="2" t="n"/>
    </row>
    <row r="110" ht="15.75" customHeight="1" s="168">
      <c r="A110" s="2" t="n"/>
      <c r="B110" s="2" t="n"/>
      <c r="C110" s="2" t="n"/>
      <c r="D110" s="2" t="n"/>
      <c r="E110" s="28" t="n"/>
      <c r="F110" s="2" t="n"/>
      <c r="G110" s="2" t="n"/>
      <c r="H110" s="2" t="n"/>
      <c r="I110" s="28" t="n"/>
      <c r="J110" s="2" t="n"/>
      <c r="K110" s="2" t="n"/>
      <c r="L110" s="2" t="n"/>
      <c r="M110" s="2" t="n"/>
    </row>
    <row r="111" ht="15.75" customHeight="1" s="168">
      <c r="A111" s="2" t="n"/>
      <c r="B111" s="2" t="n"/>
      <c r="C111" s="2" t="n"/>
      <c r="D111" s="2" t="n"/>
      <c r="E111" s="28" t="n"/>
      <c r="F111" s="2" t="n"/>
      <c r="G111" s="2" t="n"/>
      <c r="H111" s="2" t="n"/>
      <c r="I111" s="28" t="n"/>
      <c r="J111" s="2" t="n"/>
      <c r="K111" s="2" t="n"/>
      <c r="L111" s="2" t="n"/>
      <c r="M111" s="2" t="n"/>
    </row>
    <row r="112" ht="15.75" customHeight="1" s="168">
      <c r="A112" s="2" t="n"/>
      <c r="B112" s="2" t="n"/>
      <c r="C112" s="2" t="n"/>
      <c r="D112" s="2" t="n"/>
      <c r="E112" s="28" t="n"/>
      <c r="F112" s="2" t="n"/>
      <c r="G112" s="2" t="n"/>
      <c r="H112" s="2" t="n"/>
      <c r="I112" s="28" t="n"/>
      <c r="J112" s="2" t="n"/>
      <c r="K112" s="2" t="n"/>
      <c r="L112" s="2" t="n"/>
      <c r="M112" s="2" t="n"/>
    </row>
    <row r="113" ht="15.75" customHeight="1" s="168">
      <c r="A113" s="2" t="n"/>
      <c r="B113" s="2" t="n"/>
      <c r="C113" s="2" t="n"/>
      <c r="D113" s="2" t="n"/>
      <c r="E113" s="28" t="n"/>
      <c r="F113" s="2" t="n"/>
      <c r="G113" s="2" t="n"/>
      <c r="H113" s="2" t="n"/>
      <c r="I113" s="28" t="n"/>
      <c r="J113" s="2" t="n"/>
      <c r="K113" s="2" t="n"/>
      <c r="L113" s="2" t="n"/>
      <c r="M113" s="2" t="n"/>
    </row>
    <row r="114" ht="15.75" customHeight="1" s="168">
      <c r="A114" s="2" t="n"/>
      <c r="B114" s="2" t="n"/>
      <c r="C114" s="2" t="n"/>
      <c r="D114" s="2" t="n"/>
      <c r="E114" s="28" t="n"/>
      <c r="F114" s="2" t="n"/>
      <c r="G114" s="2" t="n"/>
      <c r="H114" s="2" t="n"/>
      <c r="I114" s="28" t="n"/>
      <c r="J114" s="2" t="n"/>
      <c r="K114" s="2" t="n"/>
      <c r="L114" s="2" t="n"/>
      <c r="M114" s="2" t="n"/>
    </row>
    <row r="115" ht="15.75" customHeight="1" s="168">
      <c r="A115" s="2" t="n"/>
      <c r="B115" s="2" t="n"/>
      <c r="C115" s="2" t="n"/>
      <c r="D115" s="2" t="n"/>
      <c r="E115" s="28" t="n"/>
      <c r="F115" s="2" t="n"/>
      <c r="G115" s="2" t="n"/>
      <c r="H115" s="2" t="n"/>
      <c r="I115" s="28" t="n"/>
      <c r="J115" s="2" t="n"/>
      <c r="K115" s="2" t="n"/>
      <c r="L115" s="2" t="n"/>
      <c r="M115" s="2" t="n"/>
    </row>
    <row r="116" ht="15.75" customHeight="1" s="168">
      <c r="A116" s="2" t="n"/>
      <c r="B116" s="2" t="n"/>
      <c r="C116" s="2" t="n"/>
      <c r="D116" s="2" t="n"/>
      <c r="E116" s="28" t="n"/>
      <c r="F116" s="2" t="n"/>
      <c r="G116" s="2" t="n"/>
      <c r="H116" s="2" t="n"/>
      <c r="I116" s="28" t="n"/>
      <c r="J116" s="2" t="n"/>
      <c r="K116" s="2" t="n"/>
      <c r="L116" s="2" t="n"/>
      <c r="M116" s="2" t="n"/>
    </row>
    <row r="117" ht="15.75" customHeight="1" s="168">
      <c r="A117" s="2" t="n"/>
      <c r="B117" s="2" t="n"/>
      <c r="C117" s="2" t="n"/>
      <c r="D117" s="2" t="n"/>
      <c r="E117" s="28" t="n"/>
      <c r="F117" s="2" t="n"/>
      <c r="G117" s="2" t="n"/>
      <c r="H117" s="2" t="n"/>
      <c r="I117" s="28" t="n"/>
      <c r="J117" s="2" t="n"/>
      <c r="K117" s="2" t="n"/>
      <c r="L117" s="2" t="n"/>
      <c r="M117" s="2" t="n"/>
    </row>
    <row r="118" ht="15.75" customHeight="1" s="168">
      <c r="A118" s="2" t="n"/>
      <c r="B118" s="2" t="n"/>
      <c r="C118" s="2" t="n"/>
      <c r="D118" s="2" t="n"/>
      <c r="E118" s="28" t="n"/>
      <c r="F118" s="2" t="n"/>
      <c r="G118" s="2" t="n"/>
      <c r="H118" s="2" t="n"/>
      <c r="I118" s="28" t="n"/>
      <c r="J118" s="2" t="n"/>
      <c r="K118" s="2" t="n"/>
      <c r="L118" s="2" t="n"/>
      <c r="M118" s="2" t="n"/>
    </row>
    <row r="119" ht="15.75" customHeight="1" s="168">
      <c r="A119" s="2" t="n"/>
      <c r="B119" s="2" t="n"/>
      <c r="C119" s="2" t="n"/>
      <c r="D119" s="2" t="n"/>
      <c r="E119" s="28" t="n"/>
      <c r="F119" s="2" t="n"/>
      <c r="G119" s="2" t="n"/>
      <c r="H119" s="2" t="n"/>
      <c r="I119" s="28" t="n"/>
      <c r="J119" s="2" t="n"/>
      <c r="K119" s="2" t="n"/>
      <c r="L119" s="2" t="n"/>
      <c r="M119" s="2" t="n"/>
    </row>
    <row r="120" ht="15.75" customHeight="1" s="168">
      <c r="A120" s="2" t="n"/>
      <c r="B120" s="2" t="n"/>
      <c r="C120" s="2" t="n"/>
      <c r="D120" s="2" t="n"/>
      <c r="E120" s="28" t="n"/>
      <c r="F120" s="2" t="n"/>
      <c r="G120" s="2" t="n"/>
      <c r="H120" s="2" t="n"/>
      <c r="I120" s="28" t="n"/>
      <c r="J120" s="2" t="n"/>
      <c r="K120" s="2" t="n"/>
      <c r="L120" s="2" t="n"/>
      <c r="M120" s="2" t="n"/>
    </row>
    <row r="121" ht="15.75" customHeight="1" s="168">
      <c r="A121" s="2" t="n"/>
      <c r="B121" s="2" t="n"/>
      <c r="C121" s="2" t="n"/>
      <c r="D121" s="2" t="n"/>
      <c r="E121" s="28" t="n"/>
      <c r="F121" s="2" t="n"/>
      <c r="G121" s="2" t="n"/>
      <c r="H121" s="2" t="n"/>
      <c r="I121" s="28" t="n"/>
      <c r="J121" s="2" t="n"/>
      <c r="K121" s="2" t="n"/>
      <c r="L121" s="2" t="n"/>
      <c r="M121" s="2" t="n"/>
    </row>
    <row r="122" ht="15.75" customHeight="1" s="168">
      <c r="A122" s="2" t="n"/>
      <c r="B122" s="2" t="n"/>
      <c r="C122" s="2" t="n"/>
      <c r="D122" s="2" t="n"/>
      <c r="E122" s="28" t="n"/>
      <c r="F122" s="2" t="n"/>
      <c r="G122" s="2" t="n"/>
      <c r="H122" s="2" t="n"/>
      <c r="I122" s="28" t="n"/>
      <c r="J122" s="2" t="n"/>
      <c r="K122" s="2" t="n"/>
      <c r="L122" s="2" t="n"/>
      <c r="M122" s="2" t="n"/>
    </row>
    <row r="123" ht="15.75" customHeight="1" s="168">
      <c r="A123" s="2" t="n"/>
      <c r="B123" s="2" t="n"/>
      <c r="C123" s="2" t="n"/>
      <c r="D123" s="2" t="n"/>
      <c r="E123" s="28" t="n"/>
      <c r="F123" s="2" t="n"/>
      <c r="G123" s="2" t="n"/>
      <c r="H123" s="2" t="n"/>
      <c r="I123" s="28" t="n"/>
      <c r="J123" s="2" t="n"/>
      <c r="K123" s="2" t="n"/>
      <c r="L123" s="2" t="n"/>
      <c r="M123" s="2" t="n"/>
    </row>
    <row r="124" ht="15.75" customHeight="1" s="168">
      <c r="A124" s="2" t="n"/>
      <c r="B124" s="2" t="n"/>
      <c r="C124" s="2" t="n"/>
      <c r="D124" s="2" t="n"/>
      <c r="E124" s="28" t="n"/>
      <c r="F124" s="2" t="n"/>
      <c r="G124" s="2" t="n"/>
      <c r="H124" s="2" t="n"/>
      <c r="I124" s="28" t="n"/>
      <c r="J124" s="2" t="n"/>
      <c r="K124" s="2" t="n"/>
      <c r="L124" s="2" t="n"/>
      <c r="M124" s="2" t="n"/>
    </row>
    <row r="125" ht="15.75" customHeight="1" s="168">
      <c r="A125" s="2" t="n"/>
      <c r="B125" s="2" t="n"/>
      <c r="C125" s="2" t="n"/>
      <c r="D125" s="2" t="n"/>
      <c r="E125" s="28" t="n"/>
      <c r="F125" s="2" t="n"/>
      <c r="G125" s="2" t="n"/>
      <c r="H125" s="2" t="n"/>
      <c r="I125" s="28" t="n"/>
      <c r="J125" s="2" t="n"/>
      <c r="K125" s="2" t="n"/>
      <c r="L125" s="2" t="n"/>
      <c r="M125" s="2" t="n"/>
    </row>
    <row r="126" ht="15.75" customHeight="1" s="168">
      <c r="A126" s="2" t="n"/>
      <c r="B126" s="2" t="n"/>
      <c r="C126" s="2" t="n"/>
      <c r="D126" s="2" t="n"/>
      <c r="E126" s="28" t="n"/>
      <c r="F126" s="2" t="n"/>
      <c r="G126" s="2" t="n"/>
      <c r="H126" s="2" t="n"/>
      <c r="I126" s="28" t="n"/>
      <c r="J126" s="2" t="n"/>
      <c r="K126" s="2" t="n"/>
      <c r="L126" s="2" t="n"/>
      <c r="M126" s="2" t="n"/>
    </row>
    <row r="127" ht="15.75" customHeight="1" s="168">
      <c r="A127" s="2" t="n"/>
      <c r="B127" s="2" t="n"/>
      <c r="C127" s="2" t="n"/>
      <c r="D127" s="2" t="n"/>
      <c r="E127" s="28" t="n"/>
      <c r="F127" s="2" t="n"/>
      <c r="G127" s="2" t="n"/>
      <c r="H127" s="2" t="n"/>
      <c r="I127" s="28" t="n"/>
      <c r="J127" s="2" t="n"/>
      <c r="K127" s="2" t="n"/>
      <c r="L127" s="2" t="n"/>
      <c r="M127" s="2" t="n"/>
    </row>
    <row r="128" ht="15.75" customHeight="1" s="168">
      <c r="A128" s="2" t="n"/>
      <c r="B128" s="2" t="n"/>
      <c r="C128" s="2" t="n"/>
      <c r="D128" s="2" t="n"/>
      <c r="E128" s="28" t="n"/>
      <c r="F128" s="2" t="n"/>
      <c r="G128" s="2" t="n"/>
      <c r="H128" s="2" t="n"/>
      <c r="I128" s="28" t="n"/>
      <c r="J128" s="2" t="n"/>
      <c r="K128" s="2" t="n"/>
      <c r="L128" s="2" t="n"/>
      <c r="M128" s="2" t="n"/>
    </row>
    <row r="129" ht="15.75" customHeight="1" s="168">
      <c r="A129" s="2" t="n"/>
      <c r="B129" s="2" t="n"/>
      <c r="C129" s="2" t="n"/>
      <c r="D129" s="2" t="n"/>
      <c r="E129" s="28" t="n"/>
      <c r="F129" s="2" t="n"/>
      <c r="G129" s="2" t="n"/>
      <c r="H129" s="2" t="n"/>
      <c r="I129" s="28" t="n"/>
      <c r="J129" s="2" t="n"/>
      <c r="K129" s="2" t="n"/>
      <c r="L129" s="2" t="n"/>
      <c r="M129" s="2" t="n"/>
    </row>
    <row r="130" ht="15.75" customHeight="1" s="168">
      <c r="A130" s="2" t="n"/>
      <c r="B130" s="2" t="n"/>
      <c r="C130" s="2" t="n"/>
      <c r="D130" s="2" t="n"/>
      <c r="E130" s="28" t="n"/>
      <c r="F130" s="2" t="n"/>
      <c r="G130" s="2" t="n"/>
      <c r="H130" s="2" t="n"/>
      <c r="I130" s="28" t="n"/>
      <c r="J130" s="2" t="n"/>
      <c r="K130" s="2" t="n"/>
      <c r="L130" s="2" t="n"/>
      <c r="M130" s="2" t="n"/>
    </row>
    <row r="131" ht="15.75" customHeight="1" s="168">
      <c r="A131" s="2" t="n"/>
      <c r="B131" s="2" t="n"/>
      <c r="C131" s="2" t="n"/>
      <c r="D131" s="2" t="n"/>
      <c r="E131" s="28" t="n"/>
      <c r="F131" s="2" t="n"/>
      <c r="G131" s="2" t="n"/>
      <c r="H131" s="2" t="n"/>
      <c r="I131" s="28" t="n"/>
      <c r="J131" s="2" t="n"/>
      <c r="K131" s="2" t="n"/>
      <c r="L131" s="2" t="n"/>
      <c r="M131" s="2" t="n"/>
    </row>
    <row r="132" ht="15.75" customHeight="1" s="168">
      <c r="A132" s="2" t="n"/>
      <c r="B132" s="2" t="n"/>
      <c r="C132" s="2" t="n"/>
      <c r="D132" s="2" t="n"/>
      <c r="E132" s="28" t="n"/>
      <c r="F132" s="2" t="n"/>
      <c r="G132" s="2" t="n"/>
      <c r="H132" s="2" t="n"/>
      <c r="I132" s="28" t="n"/>
      <c r="J132" s="2" t="n"/>
      <c r="K132" s="2" t="n"/>
      <c r="L132" s="2" t="n"/>
      <c r="M132" s="2" t="n"/>
    </row>
    <row r="133" ht="15.75" customHeight="1" s="168">
      <c r="A133" s="2" t="n"/>
      <c r="B133" s="2" t="n"/>
      <c r="C133" s="2" t="n"/>
      <c r="D133" s="2" t="n"/>
      <c r="E133" s="28" t="n"/>
      <c r="F133" s="2" t="n"/>
      <c r="G133" s="2" t="n"/>
      <c r="H133" s="2" t="n"/>
      <c r="I133" s="28" t="n"/>
      <c r="J133" s="2" t="n"/>
      <c r="K133" s="2" t="n"/>
      <c r="L133" s="2" t="n"/>
      <c r="M133" s="2" t="n"/>
    </row>
    <row r="134" ht="15.75" customHeight="1" s="168">
      <c r="A134" s="2" t="n"/>
      <c r="B134" s="2" t="n"/>
      <c r="C134" s="2" t="n"/>
      <c r="D134" s="2" t="n"/>
      <c r="E134" s="28" t="n"/>
      <c r="F134" s="2" t="n"/>
      <c r="G134" s="2" t="n"/>
      <c r="H134" s="2" t="n"/>
      <c r="I134" s="28" t="n"/>
      <c r="J134" s="2" t="n"/>
      <c r="K134" s="2" t="n"/>
      <c r="L134" s="2" t="n"/>
      <c r="M134" s="2" t="n"/>
    </row>
    <row r="135" ht="15.75" customHeight="1" s="168">
      <c r="A135" s="2" t="n"/>
      <c r="B135" s="2" t="n"/>
      <c r="C135" s="2" t="n"/>
      <c r="D135" s="2" t="n"/>
      <c r="E135" s="28" t="n"/>
      <c r="F135" s="2" t="n"/>
      <c r="G135" s="2" t="n"/>
      <c r="H135" s="2" t="n"/>
      <c r="I135" s="28" t="n"/>
      <c r="J135" s="2" t="n"/>
      <c r="K135" s="2" t="n"/>
      <c r="L135" s="2" t="n"/>
      <c r="M135" s="2" t="n"/>
    </row>
    <row r="136" ht="15.75" customHeight="1" s="168">
      <c r="A136" s="2" t="n"/>
      <c r="B136" s="2" t="n"/>
      <c r="C136" s="2" t="n"/>
      <c r="D136" s="2" t="n"/>
      <c r="E136" s="28" t="n"/>
      <c r="F136" s="2" t="n"/>
      <c r="G136" s="2" t="n"/>
      <c r="H136" s="2" t="n"/>
      <c r="I136" s="28" t="n"/>
      <c r="J136" s="2" t="n"/>
      <c r="K136" s="2" t="n"/>
      <c r="L136" s="2" t="n"/>
      <c r="M136" s="2" t="n"/>
    </row>
    <row r="137" ht="15.75" customHeight="1" s="168">
      <c r="A137" s="2" t="n"/>
      <c r="B137" s="2" t="n"/>
      <c r="C137" s="2" t="n"/>
      <c r="D137" s="2" t="n"/>
      <c r="E137" s="28" t="n"/>
      <c r="F137" s="2" t="n"/>
      <c r="G137" s="2" t="n"/>
      <c r="H137" s="2" t="n"/>
      <c r="I137" s="28" t="n"/>
      <c r="J137" s="2" t="n"/>
      <c r="K137" s="2" t="n"/>
      <c r="L137" s="2" t="n"/>
      <c r="M137" s="2" t="n"/>
    </row>
    <row r="138" ht="15.75" customHeight="1" s="168">
      <c r="A138" s="2" t="n"/>
      <c r="B138" s="2" t="n"/>
      <c r="C138" s="2" t="n"/>
      <c r="D138" s="2" t="n"/>
      <c r="E138" s="28" t="n"/>
      <c r="F138" s="2" t="n"/>
      <c r="G138" s="2" t="n"/>
      <c r="H138" s="2" t="n"/>
      <c r="I138" s="28" t="n"/>
      <c r="J138" s="2" t="n"/>
      <c r="K138" s="2" t="n"/>
      <c r="L138" s="2" t="n"/>
      <c r="M138" s="2" t="n"/>
    </row>
    <row r="139" ht="15.75" customHeight="1" s="168">
      <c r="A139" s="2" t="n"/>
      <c r="B139" s="2" t="n"/>
      <c r="C139" s="2" t="n"/>
      <c r="D139" s="2" t="n"/>
      <c r="E139" s="28" t="n"/>
      <c r="F139" s="2" t="n"/>
      <c r="G139" s="2" t="n"/>
      <c r="H139" s="2" t="n"/>
      <c r="I139" s="28" t="n"/>
      <c r="J139" s="2" t="n"/>
      <c r="K139" s="2" t="n"/>
      <c r="L139" s="2" t="n"/>
      <c r="M139" s="2" t="n"/>
    </row>
    <row r="140" ht="15.75" customHeight="1" s="168">
      <c r="A140" s="2" t="n"/>
      <c r="B140" s="2" t="n"/>
      <c r="C140" s="2" t="n"/>
      <c r="D140" s="2" t="n"/>
      <c r="E140" s="28" t="n"/>
      <c r="F140" s="2" t="n"/>
      <c r="G140" s="2" t="n"/>
      <c r="H140" s="2" t="n"/>
      <c r="I140" s="28" t="n"/>
      <c r="J140" s="2" t="n"/>
      <c r="K140" s="2" t="n"/>
      <c r="L140" s="2" t="n"/>
      <c r="M140" s="2" t="n"/>
    </row>
    <row r="141" ht="15.75" customHeight="1" s="168">
      <c r="A141" s="2" t="n"/>
      <c r="B141" s="2" t="n"/>
      <c r="C141" s="2" t="n"/>
      <c r="D141" s="2" t="n"/>
      <c r="E141" s="28" t="n"/>
      <c r="F141" s="2" t="n"/>
      <c r="G141" s="2" t="n"/>
      <c r="H141" s="2" t="n"/>
      <c r="I141" s="28" t="n"/>
      <c r="J141" s="2" t="n"/>
      <c r="K141" s="2" t="n"/>
      <c r="L141" s="2" t="n"/>
      <c r="M141" s="2" t="n"/>
    </row>
    <row r="142" ht="15.75" customHeight="1" s="168">
      <c r="A142" s="2" t="n"/>
      <c r="B142" s="2" t="n"/>
      <c r="C142" s="2" t="n"/>
      <c r="D142" s="2" t="n"/>
      <c r="E142" s="28" t="n"/>
      <c r="F142" s="2" t="n"/>
      <c r="G142" s="2" t="n"/>
      <c r="H142" s="2" t="n"/>
      <c r="I142" s="28" t="n"/>
      <c r="J142" s="2" t="n"/>
      <c r="K142" s="2" t="n"/>
      <c r="L142" s="2" t="n"/>
      <c r="M142" s="2" t="n"/>
    </row>
    <row r="143" ht="15.75" customHeight="1" s="168">
      <c r="A143" s="2" t="n"/>
      <c r="B143" s="2" t="n"/>
      <c r="C143" s="2" t="n"/>
      <c r="D143" s="2" t="n"/>
      <c r="E143" s="28" t="n"/>
      <c r="F143" s="2" t="n"/>
      <c r="G143" s="2" t="n"/>
      <c r="H143" s="2" t="n"/>
      <c r="I143" s="28" t="n"/>
      <c r="J143" s="2" t="n"/>
      <c r="K143" s="2" t="n"/>
      <c r="L143" s="2" t="n"/>
      <c r="M143" s="2" t="n"/>
    </row>
    <row r="144" ht="15.75" customHeight="1" s="168">
      <c r="A144" s="2" t="n"/>
      <c r="B144" s="2" t="n"/>
      <c r="C144" s="2" t="n"/>
      <c r="D144" s="2" t="n"/>
      <c r="E144" s="28" t="n"/>
      <c r="F144" s="2" t="n"/>
      <c r="G144" s="2" t="n"/>
      <c r="H144" s="2" t="n"/>
      <c r="I144" s="28" t="n"/>
      <c r="J144" s="2" t="n"/>
      <c r="K144" s="2" t="n"/>
      <c r="L144" s="2" t="n"/>
      <c r="M144" s="2" t="n"/>
    </row>
    <row r="145" ht="15.75" customHeight="1" s="168">
      <c r="A145" s="2" t="n"/>
      <c r="B145" s="2" t="n"/>
      <c r="C145" s="2" t="n"/>
      <c r="D145" s="2" t="n"/>
      <c r="E145" s="28" t="n"/>
      <c r="F145" s="2" t="n"/>
      <c r="G145" s="2" t="n"/>
      <c r="H145" s="2" t="n"/>
      <c r="I145" s="28" t="n"/>
      <c r="J145" s="2" t="n"/>
      <c r="K145" s="2" t="n"/>
      <c r="L145" s="2" t="n"/>
      <c r="M145" s="2" t="n"/>
    </row>
    <row r="146" ht="15.75" customHeight="1" s="168">
      <c r="A146" s="2" t="n"/>
      <c r="B146" s="2" t="n"/>
      <c r="C146" s="2" t="n"/>
      <c r="D146" s="2" t="n"/>
      <c r="E146" s="28" t="n"/>
      <c r="F146" s="2" t="n"/>
      <c r="G146" s="2" t="n"/>
      <c r="H146" s="2" t="n"/>
      <c r="I146" s="28" t="n"/>
      <c r="J146" s="2" t="n"/>
      <c r="K146" s="2" t="n"/>
      <c r="L146" s="2" t="n"/>
      <c r="M146" s="2" t="n"/>
    </row>
    <row r="147" ht="15.75" customHeight="1" s="168">
      <c r="A147" s="2" t="n"/>
      <c r="B147" s="2" t="n"/>
      <c r="C147" s="2" t="n"/>
      <c r="D147" s="2" t="n"/>
      <c r="E147" s="28" t="n"/>
      <c r="F147" s="2" t="n"/>
      <c r="G147" s="2" t="n"/>
      <c r="H147" s="2" t="n"/>
      <c r="I147" s="28" t="n"/>
      <c r="J147" s="2" t="n"/>
      <c r="K147" s="2" t="n"/>
      <c r="L147" s="2" t="n"/>
      <c r="M147" s="2" t="n"/>
    </row>
    <row r="148" ht="15.75" customHeight="1" s="168">
      <c r="A148" s="2" t="n"/>
      <c r="B148" s="2" t="n"/>
      <c r="C148" s="2" t="n"/>
      <c r="D148" s="2" t="n"/>
      <c r="E148" s="28" t="n"/>
      <c r="F148" s="2" t="n"/>
      <c r="G148" s="2" t="n"/>
      <c r="H148" s="2" t="n"/>
      <c r="I148" s="28" t="n"/>
      <c r="J148" s="2" t="n"/>
      <c r="K148" s="2" t="n"/>
      <c r="L148" s="2" t="n"/>
      <c r="M148" s="2" t="n"/>
    </row>
    <row r="149" ht="15.75" customHeight="1" s="168">
      <c r="A149" s="2" t="n"/>
      <c r="B149" s="2" t="n"/>
      <c r="C149" s="2" t="n"/>
      <c r="D149" s="2" t="n"/>
      <c r="E149" s="28" t="n"/>
      <c r="F149" s="2" t="n"/>
      <c r="G149" s="2" t="n"/>
      <c r="H149" s="2" t="n"/>
      <c r="I149" s="28" t="n"/>
      <c r="J149" s="2" t="n"/>
      <c r="K149" s="2" t="n"/>
      <c r="L149" s="2" t="n"/>
      <c r="M149" s="2" t="n"/>
    </row>
    <row r="150" ht="15.75" customHeight="1" s="168">
      <c r="A150" s="2" t="n"/>
      <c r="B150" s="2" t="n"/>
      <c r="C150" s="2" t="n"/>
      <c r="D150" s="2" t="n"/>
      <c r="E150" s="28" t="n"/>
      <c r="F150" s="2" t="n"/>
      <c r="G150" s="2" t="n"/>
      <c r="H150" s="2" t="n"/>
      <c r="I150" s="28" t="n"/>
      <c r="J150" s="2" t="n"/>
      <c r="K150" s="2" t="n"/>
      <c r="L150" s="2" t="n"/>
      <c r="M150" s="2" t="n"/>
    </row>
    <row r="151" ht="15.75" customHeight="1" s="168">
      <c r="A151" s="2" t="n"/>
      <c r="B151" s="2" t="n"/>
      <c r="C151" s="2" t="n"/>
      <c r="D151" s="2" t="n"/>
      <c r="E151" s="28" t="n"/>
      <c r="F151" s="2" t="n"/>
      <c r="G151" s="2" t="n"/>
      <c r="H151" s="2" t="n"/>
      <c r="I151" s="28" t="n"/>
      <c r="J151" s="2" t="n"/>
      <c r="K151" s="2" t="n"/>
      <c r="L151" s="2" t="n"/>
      <c r="M151" s="2" t="n"/>
    </row>
    <row r="152" ht="15.75" customHeight="1" s="168">
      <c r="A152" s="2" t="n"/>
      <c r="B152" s="2" t="n"/>
      <c r="C152" s="2" t="n"/>
      <c r="D152" s="2" t="n"/>
      <c r="E152" s="28" t="n"/>
      <c r="F152" s="2" t="n"/>
      <c r="G152" s="2" t="n"/>
      <c r="H152" s="2" t="n"/>
      <c r="I152" s="28" t="n"/>
      <c r="J152" s="2" t="n"/>
      <c r="K152" s="2" t="n"/>
      <c r="L152" s="2" t="n"/>
      <c r="M152" s="2" t="n"/>
    </row>
    <row r="153" ht="15.75" customHeight="1" s="168">
      <c r="A153" s="2" t="n"/>
      <c r="B153" s="2" t="n"/>
      <c r="C153" s="2" t="n"/>
      <c r="D153" s="2" t="n"/>
      <c r="E153" s="28" t="n"/>
      <c r="F153" s="2" t="n"/>
      <c r="G153" s="2" t="n"/>
      <c r="H153" s="2" t="n"/>
      <c r="I153" s="28" t="n"/>
      <c r="J153" s="2" t="n"/>
      <c r="K153" s="2" t="n"/>
      <c r="L153" s="2" t="n"/>
      <c r="M153" s="2" t="n"/>
    </row>
    <row r="154" ht="15.75" customHeight="1" s="168">
      <c r="A154" s="2" t="n"/>
      <c r="B154" s="2" t="n"/>
      <c r="C154" s="2" t="n"/>
      <c r="D154" s="2" t="n"/>
      <c r="E154" s="28" t="n"/>
      <c r="F154" s="2" t="n"/>
      <c r="G154" s="2" t="n"/>
      <c r="H154" s="2" t="n"/>
      <c r="I154" s="28" t="n"/>
      <c r="J154" s="2" t="n"/>
      <c r="K154" s="2" t="n"/>
      <c r="L154" s="2" t="n"/>
      <c r="M154" s="2" t="n"/>
    </row>
    <row r="155" ht="15.75" customHeight="1" s="168">
      <c r="A155" s="2" t="n"/>
      <c r="B155" s="2" t="n"/>
      <c r="C155" s="2" t="n"/>
      <c r="D155" s="2" t="n"/>
      <c r="E155" s="28" t="n"/>
      <c r="F155" s="2" t="n"/>
      <c r="G155" s="2" t="n"/>
      <c r="H155" s="2" t="n"/>
      <c r="I155" s="28" t="n"/>
      <c r="J155" s="2" t="n"/>
      <c r="K155" s="2" t="n"/>
      <c r="L155" s="2" t="n"/>
      <c r="M155" s="2" t="n"/>
    </row>
    <row r="156" ht="15.75" customHeight="1" s="168">
      <c r="A156" s="2" t="n"/>
      <c r="B156" s="2" t="n"/>
      <c r="C156" s="2" t="n"/>
      <c r="D156" s="2" t="n"/>
      <c r="E156" s="28" t="n"/>
      <c r="F156" s="2" t="n"/>
      <c r="G156" s="2" t="n"/>
      <c r="H156" s="2" t="n"/>
      <c r="I156" s="28" t="n"/>
      <c r="J156" s="2" t="n"/>
      <c r="K156" s="2" t="n"/>
      <c r="L156" s="2" t="n"/>
      <c r="M156" s="2" t="n"/>
    </row>
    <row r="157" ht="15.75" customHeight="1" s="168">
      <c r="A157" s="2" t="n"/>
      <c r="B157" s="2" t="n"/>
      <c r="C157" s="2" t="n"/>
      <c r="D157" s="2" t="n"/>
      <c r="E157" s="28" t="n"/>
      <c r="F157" s="2" t="n"/>
      <c r="G157" s="2" t="n"/>
      <c r="H157" s="2" t="n"/>
      <c r="I157" s="28" t="n"/>
      <c r="J157" s="2" t="n"/>
      <c r="K157" s="2" t="n"/>
      <c r="L157" s="2" t="n"/>
      <c r="M157" s="2" t="n"/>
    </row>
    <row r="158" ht="15.75" customHeight="1" s="168">
      <c r="A158" s="2" t="n"/>
      <c r="B158" s="2" t="n"/>
      <c r="C158" s="2" t="n"/>
      <c r="D158" s="2" t="n"/>
      <c r="E158" s="28" t="n"/>
      <c r="F158" s="2" t="n"/>
      <c r="G158" s="2" t="n"/>
      <c r="H158" s="2" t="n"/>
      <c r="I158" s="28" t="n"/>
      <c r="J158" s="2" t="n"/>
      <c r="K158" s="2" t="n"/>
      <c r="L158" s="2" t="n"/>
      <c r="M158" s="2" t="n"/>
    </row>
    <row r="159" ht="15.75" customHeight="1" s="168">
      <c r="A159" s="2" t="n"/>
      <c r="B159" s="2" t="n"/>
      <c r="C159" s="2" t="n"/>
      <c r="D159" s="2" t="n"/>
      <c r="E159" s="28" t="n"/>
      <c r="F159" s="2" t="n"/>
      <c r="G159" s="2" t="n"/>
      <c r="H159" s="2" t="n"/>
      <c r="I159" s="28" t="n"/>
      <c r="J159" s="2" t="n"/>
      <c r="K159" s="2" t="n"/>
      <c r="L159" s="2" t="n"/>
      <c r="M159" s="2" t="n"/>
    </row>
    <row r="160" ht="15.75" customHeight="1" s="168">
      <c r="A160" s="2" t="n"/>
      <c r="B160" s="2" t="n"/>
      <c r="C160" s="2" t="n"/>
      <c r="D160" s="2" t="n"/>
      <c r="E160" s="28" t="n"/>
      <c r="F160" s="2" t="n"/>
      <c r="G160" s="2" t="n"/>
      <c r="H160" s="2" t="n"/>
      <c r="I160" s="28" t="n"/>
      <c r="J160" s="2" t="n"/>
      <c r="K160" s="2" t="n"/>
      <c r="L160" s="2" t="n"/>
      <c r="M160" s="2" t="n"/>
    </row>
    <row r="161" ht="15.75" customHeight="1" s="168">
      <c r="A161" s="2" t="n"/>
      <c r="B161" s="2" t="n"/>
      <c r="C161" s="2" t="n"/>
      <c r="D161" s="2" t="n"/>
      <c r="E161" s="28" t="n"/>
      <c r="F161" s="2" t="n"/>
      <c r="G161" s="2" t="n"/>
      <c r="H161" s="2" t="n"/>
      <c r="I161" s="28" t="n"/>
      <c r="J161" s="2" t="n"/>
      <c r="K161" s="2" t="n"/>
      <c r="L161" s="2" t="n"/>
      <c r="M161" s="2" t="n"/>
    </row>
    <row r="162" ht="15.75" customHeight="1" s="168">
      <c r="A162" s="2" t="n"/>
      <c r="B162" s="2" t="n"/>
      <c r="C162" s="2" t="n"/>
      <c r="D162" s="2" t="n"/>
      <c r="E162" s="28" t="n"/>
      <c r="F162" s="2" t="n"/>
      <c r="G162" s="2" t="n"/>
      <c r="H162" s="2" t="n"/>
      <c r="I162" s="28" t="n"/>
      <c r="J162" s="2" t="n"/>
      <c r="K162" s="2" t="n"/>
      <c r="L162" s="2" t="n"/>
      <c r="M162" s="2" t="n"/>
    </row>
    <row r="163" ht="15.75" customHeight="1" s="168">
      <c r="A163" s="2" t="n"/>
      <c r="B163" s="2" t="n"/>
      <c r="C163" s="2" t="n"/>
      <c r="D163" s="2" t="n"/>
      <c r="E163" s="28" t="n"/>
      <c r="F163" s="2" t="n"/>
      <c r="G163" s="2" t="n"/>
      <c r="H163" s="2" t="n"/>
      <c r="I163" s="28" t="n"/>
      <c r="J163" s="2" t="n"/>
      <c r="K163" s="2" t="n"/>
      <c r="L163" s="2" t="n"/>
      <c r="M163" s="2" t="n"/>
    </row>
    <row r="164" ht="15.75" customHeight="1" s="168">
      <c r="A164" s="2" t="n"/>
      <c r="B164" s="2" t="n"/>
      <c r="C164" s="2" t="n"/>
      <c r="D164" s="2" t="n"/>
      <c r="E164" s="28" t="n"/>
      <c r="F164" s="2" t="n"/>
      <c r="G164" s="2" t="n"/>
      <c r="H164" s="2" t="n"/>
      <c r="I164" s="28" t="n"/>
      <c r="J164" s="2" t="n"/>
      <c r="K164" s="2" t="n"/>
      <c r="L164" s="2" t="n"/>
      <c r="M164" s="2" t="n"/>
    </row>
    <row r="165" ht="15.75" customHeight="1" s="168">
      <c r="A165" s="2" t="n"/>
      <c r="B165" s="2" t="n"/>
      <c r="C165" s="2" t="n"/>
      <c r="D165" s="2" t="n"/>
      <c r="E165" s="28" t="n"/>
      <c r="F165" s="2" t="n"/>
      <c r="G165" s="2" t="n"/>
      <c r="H165" s="2" t="n"/>
      <c r="I165" s="28" t="n"/>
      <c r="J165" s="2" t="n"/>
      <c r="K165" s="2" t="n"/>
      <c r="L165" s="2" t="n"/>
      <c r="M165" s="2" t="n"/>
    </row>
    <row r="166" ht="15.75" customHeight="1" s="168">
      <c r="A166" s="2" t="n"/>
      <c r="B166" s="2" t="n"/>
      <c r="C166" s="2" t="n"/>
      <c r="D166" s="2" t="n"/>
      <c r="E166" s="28" t="n"/>
      <c r="F166" s="2" t="n"/>
      <c r="G166" s="2" t="n"/>
      <c r="H166" s="2" t="n"/>
      <c r="I166" s="28" t="n"/>
      <c r="J166" s="2" t="n"/>
      <c r="K166" s="2" t="n"/>
      <c r="L166" s="2" t="n"/>
      <c r="M166" s="2" t="n"/>
    </row>
    <row r="167" ht="15.75" customHeight="1" s="168">
      <c r="A167" s="2" t="n"/>
      <c r="B167" s="2" t="n"/>
      <c r="C167" s="2" t="n"/>
      <c r="D167" s="2" t="n"/>
      <c r="E167" s="28" t="n"/>
      <c r="F167" s="2" t="n"/>
      <c r="G167" s="2" t="n"/>
      <c r="H167" s="2" t="n"/>
      <c r="I167" s="28" t="n"/>
      <c r="J167" s="2" t="n"/>
      <c r="K167" s="2" t="n"/>
      <c r="L167" s="2" t="n"/>
      <c r="M167" s="2" t="n"/>
    </row>
    <row r="168" ht="15.75" customHeight="1" s="168">
      <c r="A168" s="2" t="n"/>
      <c r="B168" s="2" t="n"/>
      <c r="C168" s="2" t="n"/>
      <c r="D168" s="2" t="n"/>
      <c r="E168" s="28" t="n"/>
      <c r="F168" s="2" t="n"/>
      <c r="G168" s="2" t="n"/>
      <c r="H168" s="2" t="n"/>
      <c r="I168" s="28" t="n"/>
      <c r="J168" s="2" t="n"/>
      <c r="K168" s="2" t="n"/>
      <c r="L168" s="2" t="n"/>
      <c r="M168" s="2" t="n"/>
    </row>
    <row r="169" ht="15.75" customHeight="1" s="168">
      <c r="A169" s="2" t="n"/>
      <c r="B169" s="2" t="n"/>
      <c r="C169" s="2" t="n"/>
      <c r="D169" s="2" t="n"/>
      <c r="E169" s="28" t="n"/>
      <c r="F169" s="2" t="n"/>
      <c r="G169" s="2" t="n"/>
      <c r="H169" s="2" t="n"/>
      <c r="I169" s="28" t="n"/>
      <c r="J169" s="2" t="n"/>
      <c r="K169" s="2" t="n"/>
      <c r="L169" s="2" t="n"/>
      <c r="M169" s="2" t="n"/>
    </row>
    <row r="170" ht="15.75" customHeight="1" s="168">
      <c r="A170" s="2" t="n"/>
      <c r="B170" s="2" t="n"/>
      <c r="C170" s="2" t="n"/>
      <c r="D170" s="2" t="n"/>
      <c r="E170" s="28" t="n"/>
      <c r="F170" s="2" t="n"/>
      <c r="G170" s="2" t="n"/>
      <c r="H170" s="2" t="n"/>
      <c r="I170" s="28" t="n"/>
      <c r="J170" s="2" t="n"/>
      <c r="K170" s="2" t="n"/>
      <c r="L170" s="2" t="n"/>
      <c r="M170" s="2" t="n"/>
    </row>
    <row r="171" ht="15.75" customHeight="1" s="168">
      <c r="A171" s="2" t="n"/>
      <c r="B171" s="2" t="n"/>
      <c r="C171" s="2" t="n"/>
      <c r="D171" s="2" t="n"/>
      <c r="E171" s="28" t="n"/>
      <c r="F171" s="2" t="n"/>
      <c r="G171" s="2" t="n"/>
      <c r="H171" s="2" t="n"/>
      <c r="I171" s="28" t="n"/>
      <c r="J171" s="2" t="n"/>
      <c r="K171" s="2" t="n"/>
      <c r="L171" s="2" t="n"/>
      <c r="M171" s="2" t="n"/>
    </row>
    <row r="172" ht="15.75" customHeight="1" s="168">
      <c r="A172" s="2" t="n"/>
      <c r="B172" s="2" t="n"/>
      <c r="C172" s="2" t="n"/>
      <c r="D172" s="2" t="n"/>
      <c r="E172" s="28" t="n"/>
      <c r="F172" s="2" t="n"/>
      <c r="G172" s="2" t="n"/>
      <c r="H172" s="2" t="n"/>
      <c r="I172" s="28" t="n"/>
      <c r="J172" s="2" t="n"/>
      <c r="K172" s="2" t="n"/>
      <c r="L172" s="2" t="n"/>
      <c r="M172" s="2" t="n"/>
    </row>
    <row r="173" ht="15.75" customHeight="1" s="168">
      <c r="A173" s="2" t="n"/>
      <c r="B173" s="2" t="n"/>
      <c r="C173" s="2" t="n"/>
      <c r="D173" s="2" t="n"/>
      <c r="E173" s="28" t="n"/>
      <c r="F173" s="2" t="n"/>
      <c r="G173" s="2" t="n"/>
      <c r="H173" s="2" t="n"/>
      <c r="I173" s="28" t="n"/>
      <c r="J173" s="2" t="n"/>
      <c r="K173" s="2" t="n"/>
      <c r="L173" s="2" t="n"/>
      <c r="M173" s="2" t="n"/>
    </row>
    <row r="174" ht="15.75" customHeight="1" s="168">
      <c r="A174" s="2" t="n"/>
      <c r="B174" s="2" t="n"/>
      <c r="C174" s="2" t="n"/>
      <c r="D174" s="2" t="n"/>
      <c r="E174" s="28" t="n"/>
      <c r="F174" s="2" t="n"/>
      <c r="G174" s="2" t="n"/>
      <c r="H174" s="2" t="n"/>
      <c r="I174" s="28" t="n"/>
      <c r="J174" s="2" t="n"/>
      <c r="K174" s="2" t="n"/>
      <c r="L174" s="2" t="n"/>
      <c r="M174" s="2" t="n"/>
    </row>
    <row r="175" ht="15.75" customHeight="1" s="168">
      <c r="A175" s="2" t="n"/>
      <c r="B175" s="2" t="n"/>
      <c r="C175" s="2" t="n"/>
      <c r="D175" s="2" t="n"/>
      <c r="E175" s="28" t="n"/>
      <c r="F175" s="2" t="n"/>
      <c r="G175" s="2" t="n"/>
      <c r="H175" s="2" t="n"/>
      <c r="I175" s="28" t="n"/>
      <c r="J175" s="2" t="n"/>
      <c r="K175" s="2" t="n"/>
      <c r="L175" s="2" t="n"/>
      <c r="M175" s="2" t="n"/>
    </row>
    <row r="176" ht="15.75" customHeight="1" s="168">
      <c r="A176" s="2" t="n"/>
      <c r="B176" s="2" t="n"/>
      <c r="C176" s="2" t="n"/>
      <c r="D176" s="2" t="n"/>
      <c r="E176" s="28" t="n"/>
      <c r="F176" s="2" t="n"/>
      <c r="G176" s="2" t="n"/>
      <c r="H176" s="2" t="n"/>
      <c r="I176" s="28" t="n"/>
      <c r="J176" s="2" t="n"/>
      <c r="K176" s="2" t="n"/>
      <c r="L176" s="2" t="n"/>
      <c r="M176" s="2" t="n"/>
    </row>
    <row r="177" ht="15.75" customHeight="1" s="168">
      <c r="A177" s="2" t="n"/>
      <c r="B177" s="2" t="n"/>
      <c r="C177" s="2" t="n"/>
      <c r="D177" s="2" t="n"/>
      <c r="E177" s="28" t="n"/>
      <c r="F177" s="2" t="n"/>
      <c r="G177" s="2" t="n"/>
      <c r="H177" s="2" t="n"/>
      <c r="I177" s="28" t="n"/>
      <c r="J177" s="2" t="n"/>
      <c r="K177" s="2" t="n"/>
      <c r="L177" s="2" t="n"/>
      <c r="M177" s="2" t="n"/>
    </row>
    <row r="178" ht="15.75" customHeight="1" s="168">
      <c r="A178" s="2" t="n"/>
      <c r="B178" s="2" t="n"/>
      <c r="C178" s="2" t="n"/>
      <c r="D178" s="2" t="n"/>
      <c r="E178" s="28" t="n"/>
      <c r="F178" s="2" t="n"/>
      <c r="G178" s="2" t="n"/>
      <c r="H178" s="2" t="n"/>
      <c r="I178" s="28" t="n"/>
      <c r="J178" s="2" t="n"/>
      <c r="K178" s="2" t="n"/>
      <c r="L178" s="2" t="n"/>
      <c r="M178" s="2" t="n"/>
    </row>
    <row r="179" ht="15.75" customHeight="1" s="168">
      <c r="A179" s="2" t="n"/>
      <c r="B179" s="2" t="n"/>
      <c r="C179" s="2" t="n"/>
      <c r="D179" s="2" t="n"/>
      <c r="E179" s="28" t="n"/>
      <c r="F179" s="2" t="n"/>
      <c r="G179" s="2" t="n"/>
      <c r="H179" s="2" t="n"/>
      <c r="I179" s="28" t="n"/>
      <c r="J179" s="2" t="n"/>
      <c r="K179" s="2" t="n"/>
      <c r="L179" s="2" t="n"/>
      <c r="M179" s="2" t="n"/>
    </row>
    <row r="180" ht="15.75" customHeight="1" s="168">
      <c r="A180" s="2" t="n"/>
      <c r="B180" s="2" t="n"/>
      <c r="C180" s="2" t="n"/>
      <c r="D180" s="2" t="n"/>
      <c r="E180" s="28" t="n"/>
      <c r="F180" s="2" t="n"/>
      <c r="G180" s="2" t="n"/>
      <c r="H180" s="2" t="n"/>
      <c r="I180" s="28" t="n"/>
      <c r="J180" s="2" t="n"/>
      <c r="K180" s="2" t="n"/>
      <c r="L180" s="2" t="n"/>
      <c r="M180" s="2" t="n"/>
    </row>
    <row r="181" ht="15.75" customHeight="1" s="168">
      <c r="A181" s="2" t="n"/>
      <c r="B181" s="2" t="n"/>
      <c r="C181" s="2" t="n"/>
      <c r="D181" s="2" t="n"/>
      <c r="E181" s="28" t="n"/>
      <c r="F181" s="2" t="n"/>
      <c r="G181" s="2" t="n"/>
      <c r="H181" s="2" t="n"/>
      <c r="I181" s="28" t="n"/>
      <c r="J181" s="2" t="n"/>
      <c r="K181" s="2" t="n"/>
      <c r="L181" s="2" t="n"/>
      <c r="M181" s="2" t="n"/>
    </row>
    <row r="182" ht="15.75" customHeight="1" s="168">
      <c r="A182" s="2" t="n"/>
      <c r="B182" s="2" t="n"/>
      <c r="C182" s="2" t="n"/>
      <c r="D182" s="2" t="n"/>
      <c r="E182" s="28" t="n"/>
      <c r="F182" s="2" t="n"/>
      <c r="G182" s="2" t="n"/>
      <c r="H182" s="2" t="n"/>
      <c r="I182" s="28" t="n"/>
      <c r="J182" s="2" t="n"/>
      <c r="K182" s="2" t="n"/>
      <c r="L182" s="2" t="n"/>
      <c r="M182" s="2" t="n"/>
    </row>
    <row r="183" ht="15.75" customHeight="1" s="168">
      <c r="A183" s="2" t="n"/>
      <c r="B183" s="2" t="n"/>
      <c r="C183" s="2" t="n"/>
      <c r="D183" s="2" t="n"/>
      <c r="E183" s="28" t="n"/>
      <c r="F183" s="2" t="n"/>
      <c r="G183" s="2" t="n"/>
      <c r="H183" s="2" t="n"/>
      <c r="I183" s="28" t="n"/>
      <c r="J183" s="2" t="n"/>
      <c r="K183" s="2" t="n"/>
      <c r="L183" s="2" t="n"/>
      <c r="M183" s="2" t="n"/>
    </row>
    <row r="184" ht="15.75" customHeight="1" s="168">
      <c r="A184" s="2" t="n"/>
      <c r="B184" s="2" t="n"/>
      <c r="C184" s="2" t="n"/>
      <c r="D184" s="2" t="n"/>
      <c r="E184" s="28" t="n"/>
      <c r="F184" s="2" t="n"/>
      <c r="G184" s="2" t="n"/>
      <c r="H184" s="2" t="n"/>
      <c r="I184" s="28" t="n"/>
      <c r="J184" s="2" t="n"/>
      <c r="K184" s="2" t="n"/>
      <c r="L184" s="2" t="n"/>
      <c r="M184" s="2" t="n"/>
    </row>
    <row r="185" ht="15.75" customHeight="1" s="168">
      <c r="A185" s="2" t="n"/>
      <c r="B185" s="2" t="n"/>
      <c r="C185" s="2" t="n"/>
      <c r="D185" s="2" t="n"/>
      <c r="E185" s="28" t="n"/>
      <c r="F185" s="2" t="n"/>
      <c r="G185" s="2" t="n"/>
      <c r="H185" s="2" t="n"/>
      <c r="I185" s="28" t="n"/>
      <c r="J185" s="2" t="n"/>
      <c r="K185" s="2" t="n"/>
      <c r="L185" s="2" t="n"/>
      <c r="M185" s="2" t="n"/>
    </row>
    <row r="186" ht="15.75" customHeight="1" s="168">
      <c r="A186" s="2" t="n"/>
      <c r="B186" s="2" t="n"/>
      <c r="C186" s="2" t="n"/>
      <c r="D186" s="2" t="n"/>
      <c r="E186" s="28" t="n"/>
      <c r="F186" s="2" t="n"/>
      <c r="G186" s="2" t="n"/>
      <c r="H186" s="2" t="n"/>
      <c r="I186" s="28" t="n"/>
      <c r="J186" s="2" t="n"/>
      <c r="K186" s="2" t="n"/>
      <c r="L186" s="2" t="n"/>
      <c r="M186" s="2" t="n"/>
    </row>
    <row r="187" ht="15.75" customHeight="1" s="168">
      <c r="A187" s="2" t="n"/>
      <c r="B187" s="2" t="n"/>
      <c r="C187" s="2" t="n"/>
      <c r="D187" s="2" t="n"/>
      <c r="E187" s="28" t="n"/>
      <c r="F187" s="2" t="n"/>
      <c r="G187" s="2" t="n"/>
      <c r="H187" s="2" t="n"/>
      <c r="I187" s="28" t="n"/>
      <c r="J187" s="2" t="n"/>
      <c r="K187" s="2" t="n"/>
      <c r="L187" s="2" t="n"/>
      <c r="M187" s="2" t="n"/>
    </row>
    <row r="188" ht="15.75" customHeight="1" s="168">
      <c r="A188" s="2" t="n"/>
      <c r="B188" s="2" t="n"/>
      <c r="C188" s="2" t="n"/>
      <c r="D188" s="2" t="n"/>
      <c r="E188" s="28" t="n"/>
      <c r="F188" s="2" t="n"/>
      <c r="G188" s="2" t="n"/>
      <c r="H188" s="2" t="n"/>
      <c r="I188" s="28" t="n"/>
      <c r="J188" s="2" t="n"/>
      <c r="K188" s="2" t="n"/>
      <c r="L188" s="2" t="n"/>
      <c r="M188" s="2" t="n"/>
    </row>
    <row r="189" ht="15.75" customHeight="1" s="168">
      <c r="A189" s="2" t="n"/>
      <c r="B189" s="2" t="n"/>
      <c r="C189" s="2" t="n"/>
      <c r="D189" s="2" t="n"/>
      <c r="E189" s="28" t="n"/>
      <c r="F189" s="2" t="n"/>
      <c r="G189" s="2" t="n"/>
      <c r="H189" s="2" t="n"/>
      <c r="I189" s="28" t="n"/>
      <c r="J189" s="2" t="n"/>
      <c r="K189" s="2" t="n"/>
      <c r="L189" s="2" t="n"/>
      <c r="M189" s="2" t="n"/>
    </row>
    <row r="190" ht="15.75" customHeight="1" s="168">
      <c r="A190" s="2" t="n"/>
      <c r="B190" s="2" t="n"/>
      <c r="C190" s="2" t="n"/>
      <c r="D190" s="2" t="n"/>
      <c r="E190" s="28" t="n"/>
      <c r="F190" s="2" t="n"/>
      <c r="G190" s="2" t="n"/>
      <c r="H190" s="2" t="n"/>
      <c r="I190" s="28" t="n"/>
      <c r="J190" s="2" t="n"/>
      <c r="K190" s="2" t="n"/>
      <c r="L190" s="2" t="n"/>
      <c r="M190" s="2" t="n"/>
    </row>
    <row r="191" ht="15.75" customHeight="1" s="168">
      <c r="A191" s="2" t="n"/>
      <c r="B191" s="2" t="n"/>
      <c r="C191" s="2" t="n"/>
      <c r="D191" s="2" t="n"/>
      <c r="E191" s="28" t="n"/>
      <c r="F191" s="2" t="n"/>
      <c r="G191" s="2" t="n"/>
      <c r="H191" s="2" t="n"/>
      <c r="I191" s="28" t="n"/>
      <c r="J191" s="2" t="n"/>
      <c r="K191" s="2" t="n"/>
      <c r="L191" s="2" t="n"/>
      <c r="M191" s="2" t="n"/>
    </row>
    <row r="192" ht="15.75" customHeight="1" s="168">
      <c r="A192" s="2" t="n"/>
      <c r="B192" s="2" t="n"/>
      <c r="C192" s="2" t="n"/>
      <c r="D192" s="2" t="n"/>
      <c r="E192" s="28" t="n"/>
      <c r="F192" s="2" t="n"/>
      <c r="G192" s="2" t="n"/>
      <c r="H192" s="2" t="n"/>
      <c r="I192" s="28" t="n"/>
      <c r="J192" s="2" t="n"/>
      <c r="K192" s="2" t="n"/>
      <c r="L192" s="2" t="n"/>
      <c r="M192" s="2" t="n"/>
    </row>
    <row r="193" ht="15.75" customHeight="1" s="168">
      <c r="A193" s="2" t="n"/>
      <c r="B193" s="2" t="n"/>
      <c r="C193" s="2" t="n"/>
      <c r="D193" s="2" t="n"/>
      <c r="E193" s="28" t="n"/>
      <c r="F193" s="2" t="n"/>
      <c r="G193" s="2" t="n"/>
      <c r="H193" s="2" t="n"/>
      <c r="I193" s="28" t="n"/>
      <c r="J193" s="2" t="n"/>
      <c r="K193" s="2" t="n"/>
      <c r="L193" s="2" t="n"/>
      <c r="M193" s="2" t="n"/>
    </row>
    <row r="194" ht="15.75" customHeight="1" s="168">
      <c r="A194" s="2" t="n"/>
      <c r="B194" s="2" t="n"/>
      <c r="C194" s="2" t="n"/>
      <c r="D194" s="2" t="n"/>
      <c r="E194" s="28" t="n"/>
      <c r="F194" s="2" t="n"/>
      <c r="G194" s="2" t="n"/>
      <c r="H194" s="2" t="n"/>
      <c r="I194" s="28" t="n"/>
      <c r="J194" s="2" t="n"/>
      <c r="K194" s="2" t="n"/>
      <c r="L194" s="2" t="n"/>
      <c r="M194" s="2" t="n"/>
    </row>
    <row r="195" ht="15.75" customHeight="1" s="168">
      <c r="A195" s="2" t="n"/>
      <c r="B195" s="2" t="n"/>
      <c r="C195" s="2" t="n"/>
      <c r="D195" s="2" t="n"/>
      <c r="E195" s="28" t="n"/>
      <c r="F195" s="2" t="n"/>
      <c r="G195" s="2" t="n"/>
      <c r="H195" s="2" t="n"/>
      <c r="I195" s="28" t="n"/>
      <c r="J195" s="2" t="n"/>
      <c r="K195" s="2" t="n"/>
      <c r="L195" s="2" t="n"/>
      <c r="M195" s="2" t="n"/>
    </row>
    <row r="196" ht="15.75" customHeight="1" s="168">
      <c r="A196" s="2" t="n"/>
      <c r="B196" s="2" t="n"/>
      <c r="C196" s="2" t="n"/>
      <c r="D196" s="2" t="n"/>
      <c r="E196" s="28" t="n"/>
      <c r="F196" s="2" t="n"/>
      <c r="G196" s="2" t="n"/>
      <c r="H196" s="2" t="n"/>
      <c r="I196" s="28" t="n"/>
      <c r="J196" s="2" t="n"/>
      <c r="K196" s="2" t="n"/>
      <c r="L196" s="2" t="n"/>
      <c r="M196" s="2" t="n"/>
    </row>
    <row r="197" ht="15.75" customHeight="1" s="168">
      <c r="A197" s="2" t="n"/>
      <c r="B197" s="2" t="n"/>
      <c r="C197" s="2" t="n"/>
      <c r="D197" s="2" t="n"/>
      <c r="E197" s="28" t="n"/>
      <c r="F197" s="2" t="n"/>
      <c r="G197" s="2" t="n"/>
      <c r="H197" s="2" t="n"/>
      <c r="I197" s="28" t="n"/>
      <c r="J197" s="2" t="n"/>
      <c r="K197" s="2" t="n"/>
      <c r="L197" s="2" t="n"/>
      <c r="M197" s="2" t="n"/>
    </row>
    <row r="198" ht="15.75" customHeight="1" s="168">
      <c r="A198" s="2" t="n"/>
      <c r="B198" s="2" t="n"/>
      <c r="C198" s="2" t="n"/>
      <c r="D198" s="2" t="n"/>
      <c r="E198" s="28" t="n"/>
      <c r="F198" s="2" t="n"/>
      <c r="G198" s="2" t="n"/>
      <c r="H198" s="2" t="n"/>
      <c r="I198" s="28" t="n"/>
      <c r="J198" s="2" t="n"/>
      <c r="K198" s="2" t="n"/>
      <c r="L198" s="2" t="n"/>
      <c r="M198" s="2" t="n"/>
    </row>
    <row r="199" ht="15.75" customHeight="1" s="168">
      <c r="A199" s="2" t="n"/>
      <c r="B199" s="2" t="n"/>
      <c r="C199" s="2" t="n"/>
      <c r="D199" s="2" t="n"/>
      <c r="E199" s="28" t="n"/>
      <c r="F199" s="2" t="n"/>
      <c r="G199" s="2" t="n"/>
      <c r="H199" s="2" t="n"/>
      <c r="I199" s="28" t="n"/>
      <c r="J199" s="2" t="n"/>
      <c r="K199" s="2" t="n"/>
      <c r="L199" s="2" t="n"/>
      <c r="M199" s="2" t="n"/>
    </row>
    <row r="200" ht="15.75" customHeight="1" s="168">
      <c r="A200" s="2" t="n"/>
      <c r="B200" s="2" t="n"/>
      <c r="C200" s="2" t="n"/>
      <c r="D200" s="2" t="n"/>
      <c r="E200" s="28" t="n"/>
      <c r="F200" s="2" t="n"/>
      <c r="G200" s="2" t="n"/>
      <c r="H200" s="2" t="n"/>
      <c r="I200" s="28" t="n"/>
      <c r="J200" s="2" t="n"/>
      <c r="K200" s="2" t="n"/>
      <c r="L200" s="2" t="n"/>
      <c r="M200" s="2" t="n"/>
    </row>
    <row r="201" ht="15.75" customHeight="1" s="168">
      <c r="A201" s="2" t="n"/>
      <c r="B201" s="2" t="n"/>
      <c r="C201" s="2" t="n"/>
      <c r="D201" s="2" t="n"/>
      <c r="E201" s="28" t="n"/>
      <c r="F201" s="2" t="n"/>
      <c r="G201" s="2" t="n"/>
      <c r="H201" s="2" t="n"/>
      <c r="I201" s="28" t="n"/>
      <c r="J201" s="2" t="n"/>
      <c r="K201" s="2" t="n"/>
      <c r="L201" s="2" t="n"/>
      <c r="M201" s="2" t="n"/>
    </row>
    <row r="202" ht="15.75" customHeight="1" s="168">
      <c r="A202" s="2" t="n"/>
      <c r="B202" s="2" t="n"/>
      <c r="C202" s="2" t="n"/>
      <c r="D202" s="2" t="n"/>
      <c r="E202" s="28" t="n"/>
      <c r="F202" s="2" t="n"/>
      <c r="G202" s="2" t="n"/>
      <c r="H202" s="2" t="n"/>
      <c r="I202" s="28" t="n"/>
      <c r="J202" s="2" t="n"/>
      <c r="K202" s="2" t="n"/>
      <c r="L202" s="2" t="n"/>
      <c r="M202" s="2" t="n"/>
    </row>
    <row r="203" ht="15.75" customHeight="1" s="168">
      <c r="A203" s="2" t="n"/>
      <c r="B203" s="2" t="n"/>
      <c r="C203" s="2" t="n"/>
      <c r="D203" s="2" t="n"/>
      <c r="E203" s="28" t="n"/>
      <c r="F203" s="2" t="n"/>
      <c r="G203" s="2" t="n"/>
      <c r="H203" s="2" t="n"/>
      <c r="I203" s="28" t="n"/>
      <c r="J203" s="2" t="n"/>
      <c r="K203" s="2" t="n"/>
      <c r="L203" s="2" t="n"/>
      <c r="M203" s="2" t="n"/>
    </row>
    <row r="204" ht="15.75" customHeight="1" s="168">
      <c r="A204" s="2" t="n"/>
      <c r="B204" s="2" t="n"/>
      <c r="C204" s="2" t="n"/>
      <c r="D204" s="2" t="n"/>
      <c r="E204" s="28" t="n"/>
      <c r="F204" s="2" t="n"/>
      <c r="G204" s="2" t="n"/>
      <c r="H204" s="2" t="n"/>
      <c r="I204" s="28" t="n"/>
      <c r="J204" s="2" t="n"/>
      <c r="K204" s="2" t="n"/>
      <c r="L204" s="2" t="n"/>
      <c r="M204" s="2" t="n"/>
    </row>
    <row r="205" ht="15.75" customHeight="1" s="168">
      <c r="A205" s="2" t="n"/>
      <c r="B205" s="2" t="n"/>
      <c r="C205" s="2" t="n"/>
      <c r="D205" s="2" t="n"/>
      <c r="E205" s="28" t="n"/>
      <c r="F205" s="2" t="n"/>
      <c r="G205" s="2" t="n"/>
      <c r="H205" s="2" t="n"/>
      <c r="I205" s="28" t="n"/>
      <c r="J205" s="2" t="n"/>
      <c r="K205" s="2" t="n"/>
      <c r="L205" s="2" t="n"/>
      <c r="M205" s="2" t="n"/>
    </row>
    <row r="206" ht="15.75" customHeight="1" s="168">
      <c r="A206" s="2" t="n"/>
      <c r="B206" s="2" t="n"/>
      <c r="C206" s="2" t="n"/>
      <c r="D206" s="2" t="n"/>
      <c r="E206" s="28" t="n"/>
      <c r="F206" s="2" t="n"/>
      <c r="G206" s="2" t="n"/>
      <c r="H206" s="2" t="n"/>
      <c r="I206" s="28" t="n"/>
      <c r="J206" s="2" t="n"/>
      <c r="K206" s="2" t="n"/>
      <c r="L206" s="2" t="n"/>
      <c r="M206" s="2" t="n"/>
    </row>
    <row r="207" ht="15.75" customHeight="1" s="168">
      <c r="A207" s="2" t="n"/>
      <c r="B207" s="2" t="n"/>
      <c r="C207" s="2" t="n"/>
      <c r="D207" s="2" t="n"/>
      <c r="E207" s="28" t="n"/>
      <c r="F207" s="2" t="n"/>
      <c r="G207" s="2" t="n"/>
      <c r="H207" s="2" t="n"/>
      <c r="I207" s="28" t="n"/>
      <c r="J207" s="2" t="n"/>
      <c r="K207" s="2" t="n"/>
      <c r="L207" s="2" t="n"/>
      <c r="M207" s="2" t="n"/>
    </row>
    <row r="208" ht="15.75" customHeight="1" s="168">
      <c r="A208" s="2" t="n"/>
      <c r="B208" s="2" t="n"/>
      <c r="C208" s="2" t="n"/>
      <c r="D208" s="2" t="n"/>
      <c r="E208" s="28" t="n"/>
      <c r="F208" s="2" t="n"/>
      <c r="G208" s="2" t="n"/>
      <c r="H208" s="2" t="n"/>
      <c r="I208" s="28" t="n"/>
      <c r="J208" s="2" t="n"/>
      <c r="K208" s="2" t="n"/>
      <c r="L208" s="2" t="n"/>
      <c r="M208" s="2" t="n"/>
    </row>
    <row r="209" ht="15.75" customHeight="1" s="168">
      <c r="A209" s="2" t="n"/>
      <c r="B209" s="2" t="n"/>
      <c r="C209" s="2" t="n"/>
      <c r="D209" s="2" t="n"/>
      <c r="E209" s="28" t="n"/>
      <c r="F209" s="2" t="n"/>
      <c r="G209" s="2" t="n"/>
      <c r="H209" s="2" t="n"/>
      <c r="I209" s="28" t="n"/>
      <c r="J209" s="2" t="n"/>
      <c r="K209" s="2" t="n"/>
      <c r="L209" s="2" t="n"/>
      <c r="M209" s="2" t="n"/>
    </row>
    <row r="210" ht="15.75" customHeight="1" s="168">
      <c r="A210" s="2" t="n"/>
      <c r="B210" s="2" t="n"/>
      <c r="C210" s="2" t="n"/>
      <c r="D210" s="2" t="n"/>
      <c r="E210" s="28" t="n"/>
      <c r="F210" s="2" t="n"/>
      <c r="G210" s="2" t="n"/>
      <c r="H210" s="2" t="n"/>
      <c r="I210" s="28" t="n"/>
      <c r="J210" s="2" t="n"/>
      <c r="K210" s="2" t="n"/>
      <c r="L210" s="2" t="n"/>
      <c r="M210" s="2" t="n"/>
    </row>
    <row r="211" ht="15.75" customHeight="1" s="168">
      <c r="A211" s="2" t="n"/>
      <c r="B211" s="2" t="n"/>
      <c r="C211" s="2" t="n"/>
      <c r="D211" s="2" t="n"/>
      <c r="E211" s="28" t="n"/>
      <c r="F211" s="2" t="n"/>
      <c r="G211" s="2" t="n"/>
      <c r="H211" s="2" t="n"/>
      <c r="I211" s="28" t="n"/>
      <c r="J211" s="2" t="n"/>
      <c r="K211" s="2" t="n"/>
      <c r="L211" s="2" t="n"/>
      <c r="M211" s="2" t="n"/>
    </row>
    <row r="212" ht="15.75" customHeight="1" s="168">
      <c r="A212" s="2" t="n"/>
      <c r="B212" s="2" t="n"/>
      <c r="C212" s="2" t="n"/>
      <c r="D212" s="2" t="n"/>
      <c r="E212" s="28" t="n"/>
      <c r="F212" s="2" t="n"/>
      <c r="G212" s="2" t="n"/>
      <c r="H212" s="2" t="n"/>
      <c r="I212" s="28" t="n"/>
      <c r="J212" s="2" t="n"/>
      <c r="K212" s="2" t="n"/>
      <c r="L212" s="2" t="n"/>
      <c r="M212" s="2" t="n"/>
    </row>
    <row r="213" ht="15.75" customHeight="1" s="168">
      <c r="A213" s="2" t="n"/>
      <c r="B213" s="2" t="n"/>
      <c r="C213" s="2" t="n"/>
      <c r="D213" s="2" t="n"/>
      <c r="E213" s="28" t="n"/>
      <c r="F213" s="2" t="n"/>
      <c r="G213" s="2" t="n"/>
      <c r="H213" s="2" t="n"/>
      <c r="I213" s="28" t="n"/>
      <c r="J213" s="2" t="n"/>
      <c r="K213" s="2" t="n"/>
      <c r="L213" s="2" t="n"/>
      <c r="M213" s="2" t="n"/>
    </row>
    <row r="214" ht="15.75" customHeight="1" s="168">
      <c r="A214" s="2" t="n"/>
      <c r="B214" s="2" t="n"/>
      <c r="C214" s="2" t="n"/>
      <c r="D214" s="2" t="n"/>
      <c r="E214" s="28" t="n"/>
      <c r="F214" s="2" t="n"/>
      <c r="G214" s="2" t="n"/>
      <c r="H214" s="2" t="n"/>
      <c r="I214" s="28" t="n"/>
      <c r="J214" s="2" t="n"/>
      <c r="K214" s="2" t="n"/>
      <c r="L214" s="2" t="n"/>
      <c r="M214" s="2" t="n"/>
    </row>
    <row r="215" ht="15.75" customHeight="1" s="168">
      <c r="A215" s="2" t="n"/>
      <c r="B215" s="2" t="n"/>
      <c r="C215" s="2" t="n"/>
      <c r="D215" s="2" t="n"/>
      <c r="E215" s="28" t="n"/>
      <c r="F215" s="2" t="n"/>
      <c r="G215" s="2" t="n"/>
      <c r="H215" s="2" t="n"/>
      <c r="I215" s="28" t="n"/>
      <c r="J215" s="2" t="n"/>
      <c r="K215" s="2" t="n"/>
      <c r="L215" s="2" t="n"/>
      <c r="M215" s="2" t="n"/>
    </row>
    <row r="216" ht="15.75" customHeight="1" s="168">
      <c r="A216" s="2" t="n"/>
      <c r="B216" s="2" t="n"/>
      <c r="C216" s="2" t="n"/>
      <c r="D216" s="2" t="n"/>
      <c r="E216" s="28" t="n"/>
      <c r="F216" s="2" t="n"/>
      <c r="G216" s="2" t="n"/>
      <c r="H216" s="2" t="n"/>
      <c r="I216" s="28" t="n"/>
      <c r="J216" s="2" t="n"/>
      <c r="K216" s="2" t="n"/>
      <c r="L216" s="2" t="n"/>
      <c r="M216" s="2" t="n"/>
    </row>
    <row r="217" ht="15.75" customHeight="1" s="168">
      <c r="A217" s="2" t="n"/>
      <c r="B217" s="2" t="n"/>
      <c r="C217" s="2" t="n"/>
      <c r="D217" s="2" t="n"/>
      <c r="E217" s="28" t="n"/>
      <c r="F217" s="2" t="n"/>
      <c r="G217" s="2" t="n"/>
      <c r="H217" s="2" t="n"/>
      <c r="I217" s="28" t="n"/>
      <c r="J217" s="2" t="n"/>
      <c r="K217" s="2" t="n"/>
      <c r="L217" s="2" t="n"/>
      <c r="M217" s="2" t="n"/>
    </row>
    <row r="218" ht="15.75" customHeight="1" s="168">
      <c r="A218" s="2" t="n"/>
      <c r="B218" s="2" t="n"/>
      <c r="C218" s="2" t="n"/>
      <c r="D218" s="2" t="n"/>
      <c r="E218" s="28" t="n"/>
      <c r="F218" s="2" t="n"/>
      <c r="G218" s="2" t="n"/>
      <c r="H218" s="2" t="n"/>
      <c r="I218" s="28" t="n"/>
      <c r="J218" s="2" t="n"/>
      <c r="K218" s="2" t="n"/>
      <c r="L218" s="2" t="n"/>
      <c r="M218" s="2" t="n"/>
    </row>
    <row r="219" ht="15.75" customHeight="1" s="168">
      <c r="A219" s="2" t="n"/>
      <c r="B219" s="2" t="n"/>
      <c r="C219" s="2" t="n"/>
      <c r="D219" s="2" t="n"/>
      <c r="E219" s="28" t="n"/>
      <c r="F219" s="2" t="n"/>
      <c r="G219" s="2" t="n"/>
      <c r="H219" s="2" t="n"/>
      <c r="I219" s="28" t="n"/>
      <c r="J219" s="2" t="n"/>
      <c r="K219" s="2" t="n"/>
      <c r="L219" s="2" t="n"/>
      <c r="M219" s="2" t="n"/>
    </row>
    <row r="220" ht="15.75" customHeight="1" s="168">
      <c r="A220" s="2" t="n"/>
      <c r="B220" s="2" t="n"/>
      <c r="C220" s="2" t="n"/>
      <c r="D220" s="2" t="n"/>
      <c r="E220" s="28" t="n"/>
      <c r="F220" s="2" t="n"/>
      <c r="G220" s="2" t="n"/>
      <c r="H220" s="2" t="n"/>
      <c r="I220" s="28" t="n"/>
      <c r="J220" s="2" t="n"/>
      <c r="K220" s="2" t="n"/>
      <c r="L220" s="2" t="n"/>
      <c r="M220" s="2" t="n"/>
    </row>
    <row r="221" ht="15.75" customHeight="1" s="168">
      <c r="A221" s="2" t="n"/>
      <c r="B221" s="2" t="n"/>
      <c r="C221" s="2" t="n"/>
      <c r="D221" s="2" t="n"/>
      <c r="E221" s="28" t="n"/>
      <c r="F221" s="2" t="n"/>
      <c r="G221" s="2" t="n"/>
      <c r="H221" s="2" t="n"/>
      <c r="I221" s="28" t="n"/>
      <c r="J221" s="2" t="n"/>
      <c r="K221" s="2" t="n"/>
      <c r="L221" s="2" t="n"/>
      <c r="M221" s="2" t="n"/>
    </row>
    <row r="222" ht="15.75" customHeight="1" s="168">
      <c r="A222" s="2" t="n"/>
      <c r="B222" s="2" t="n"/>
      <c r="C222" s="2" t="n"/>
      <c r="D222" s="2" t="n"/>
      <c r="E222" s="28" t="n"/>
      <c r="F222" s="2" t="n"/>
      <c r="G222" s="2" t="n"/>
      <c r="H222" s="2" t="n"/>
      <c r="I222" s="28" t="n"/>
      <c r="J222" s="2" t="n"/>
      <c r="K222" s="2" t="n"/>
      <c r="L222" s="2" t="n"/>
      <c r="M222" s="2" t="n"/>
    </row>
    <row r="223" ht="15.75" customHeight="1" s="168">
      <c r="A223" s="2" t="n"/>
      <c r="B223" s="2" t="n"/>
      <c r="C223" s="2" t="n"/>
      <c r="D223" s="2" t="n"/>
      <c r="E223" s="28" t="n"/>
      <c r="F223" s="2" t="n"/>
      <c r="G223" s="2" t="n"/>
      <c r="H223" s="2" t="n"/>
      <c r="I223" s="28" t="n"/>
      <c r="J223" s="2" t="n"/>
      <c r="K223" s="2" t="n"/>
      <c r="L223" s="2" t="n"/>
      <c r="M223" s="2" t="n"/>
    </row>
    <row r="224" ht="15.75" customHeight="1" s="168">
      <c r="A224" s="2" t="n"/>
      <c r="B224" s="2" t="n"/>
      <c r="C224" s="2" t="n"/>
      <c r="D224" s="2" t="n"/>
      <c r="E224" s="28" t="n"/>
      <c r="F224" s="2" t="n"/>
      <c r="G224" s="2" t="n"/>
      <c r="H224" s="2" t="n"/>
      <c r="I224" s="28" t="n"/>
      <c r="J224" s="2" t="n"/>
      <c r="K224" s="2" t="n"/>
      <c r="L224" s="2" t="n"/>
      <c r="M224" s="2" t="n"/>
    </row>
    <row r="225" ht="15.75" customHeight="1" s="168">
      <c r="A225" s="2" t="n"/>
      <c r="B225" s="2" t="n"/>
      <c r="C225" s="2" t="n"/>
      <c r="D225" s="2" t="n"/>
      <c r="E225" s="28" t="n"/>
      <c r="F225" s="2" t="n"/>
      <c r="G225" s="2" t="n"/>
      <c r="H225" s="2" t="n"/>
      <c r="I225" s="28" t="n"/>
      <c r="J225" s="2" t="n"/>
      <c r="K225" s="2" t="n"/>
      <c r="L225" s="2" t="n"/>
      <c r="M225" s="2" t="n"/>
    </row>
    <row r="226" ht="15.75" customHeight="1" s="168">
      <c r="A226" s="2" t="n"/>
      <c r="B226" s="2" t="n"/>
      <c r="C226" s="2" t="n"/>
      <c r="D226" s="2" t="n"/>
      <c r="E226" s="28" t="n"/>
      <c r="F226" s="2" t="n"/>
      <c r="G226" s="2" t="n"/>
      <c r="H226" s="2" t="n"/>
      <c r="I226" s="28" t="n"/>
      <c r="J226" s="2" t="n"/>
      <c r="K226" s="2" t="n"/>
      <c r="L226" s="2" t="n"/>
      <c r="M226" s="2" t="n"/>
    </row>
    <row r="227" ht="15.75" customHeight="1" s="168">
      <c r="A227" s="2" t="n"/>
      <c r="B227" s="2" t="n"/>
      <c r="C227" s="2" t="n"/>
      <c r="D227" s="2" t="n"/>
      <c r="E227" s="28" t="n"/>
      <c r="F227" s="2" t="n"/>
      <c r="G227" s="2" t="n"/>
      <c r="H227" s="2" t="n"/>
      <c r="I227" s="28" t="n"/>
      <c r="J227" s="2" t="n"/>
      <c r="K227" s="2" t="n"/>
      <c r="L227" s="2" t="n"/>
      <c r="M227" s="2" t="n"/>
    </row>
    <row r="228" ht="15.75" customHeight="1" s="168">
      <c r="A228" s="2" t="n"/>
      <c r="B228" s="2" t="n"/>
      <c r="C228" s="2" t="n"/>
      <c r="D228" s="2" t="n"/>
      <c r="E228" s="28" t="n"/>
      <c r="F228" s="2" t="n"/>
      <c r="G228" s="2" t="n"/>
      <c r="H228" s="2" t="n"/>
      <c r="I228" s="28" t="n"/>
      <c r="J228" s="2" t="n"/>
      <c r="K228" s="2" t="n"/>
      <c r="L228" s="2" t="n"/>
      <c r="M228" s="2" t="n"/>
    </row>
    <row r="229" ht="15.75" customHeight="1" s="168">
      <c r="A229" s="2" t="n"/>
      <c r="B229" s="2" t="n"/>
      <c r="C229" s="2" t="n"/>
      <c r="D229" s="2" t="n"/>
      <c r="E229" s="28" t="n"/>
      <c r="F229" s="2" t="n"/>
      <c r="G229" s="2" t="n"/>
      <c r="H229" s="2" t="n"/>
      <c r="I229" s="28" t="n"/>
      <c r="J229" s="2" t="n"/>
      <c r="K229" s="2" t="n"/>
      <c r="L229" s="2" t="n"/>
      <c r="M229" s="2" t="n"/>
    </row>
    <row r="230" ht="15.75" customHeight="1" s="168">
      <c r="A230" s="2" t="n"/>
      <c r="B230" s="2" t="n"/>
      <c r="C230" s="2" t="n"/>
      <c r="D230" s="2" t="n"/>
      <c r="E230" s="28" t="n"/>
      <c r="F230" s="2" t="n"/>
      <c r="G230" s="2" t="n"/>
      <c r="H230" s="2" t="n"/>
      <c r="I230" s="28" t="n"/>
      <c r="J230" s="2" t="n"/>
      <c r="K230" s="2" t="n"/>
      <c r="L230" s="2" t="n"/>
      <c r="M230" s="2" t="n"/>
    </row>
    <row r="231" ht="15.75" customHeight="1" s="168">
      <c r="A231" s="2" t="n"/>
      <c r="B231" s="2" t="n"/>
      <c r="C231" s="2" t="n"/>
      <c r="D231" s="2" t="n"/>
      <c r="E231" s="28" t="n"/>
      <c r="F231" s="2" t="n"/>
      <c r="G231" s="2" t="n"/>
      <c r="H231" s="2" t="n"/>
      <c r="I231" s="28" t="n"/>
      <c r="J231" s="2" t="n"/>
      <c r="K231" s="2" t="n"/>
      <c r="L231" s="2" t="n"/>
      <c r="M231" s="2" t="n"/>
    </row>
    <row r="232" ht="15.75" customHeight="1" s="168">
      <c r="A232" s="2" t="n"/>
      <c r="B232" s="2" t="n"/>
      <c r="C232" s="2" t="n"/>
      <c r="D232" s="2" t="n"/>
      <c r="E232" s="28" t="n"/>
      <c r="F232" s="2" t="n"/>
      <c r="G232" s="2" t="n"/>
      <c r="H232" s="2" t="n"/>
      <c r="I232" s="28" t="n"/>
      <c r="J232" s="2" t="n"/>
      <c r="K232" s="2" t="n"/>
      <c r="L232" s="2" t="n"/>
      <c r="M232" s="2" t="n"/>
    </row>
    <row r="233" ht="15.75" customHeight="1" s="168">
      <c r="A233" s="2" t="n"/>
      <c r="B233" s="2" t="n"/>
      <c r="C233" s="2" t="n"/>
      <c r="D233" s="2" t="n"/>
      <c r="E233" s="28" t="n"/>
      <c r="F233" s="2" t="n"/>
      <c r="G233" s="2" t="n"/>
      <c r="H233" s="2" t="n"/>
      <c r="I233" s="28" t="n"/>
      <c r="J233" s="2" t="n"/>
      <c r="K233" s="2" t="n"/>
      <c r="L233" s="2" t="n"/>
      <c r="M233" s="2" t="n"/>
    </row>
    <row r="234" ht="15.75" customHeight="1" s="168">
      <c r="A234" s="2" t="n"/>
      <c r="B234" s="2" t="n"/>
      <c r="C234" s="2" t="n"/>
      <c r="D234" s="2" t="n"/>
      <c r="E234" s="28" t="n"/>
      <c r="F234" s="2" t="n"/>
      <c r="G234" s="2" t="n"/>
      <c r="H234" s="2" t="n"/>
      <c r="I234" s="28" t="n"/>
      <c r="J234" s="2" t="n"/>
      <c r="K234" s="2" t="n"/>
      <c r="L234" s="2" t="n"/>
      <c r="M234" s="2" t="n"/>
    </row>
    <row r="235" ht="15.75" customHeight="1" s="168">
      <c r="A235" s="2" t="n"/>
      <c r="B235" s="2" t="n"/>
      <c r="C235" s="2" t="n"/>
      <c r="D235" s="2" t="n"/>
      <c r="E235" s="28" t="n"/>
      <c r="F235" s="2" t="n"/>
      <c r="G235" s="2" t="n"/>
      <c r="H235" s="2" t="n"/>
      <c r="I235" s="28" t="n"/>
      <c r="J235" s="2" t="n"/>
      <c r="K235" s="2" t="n"/>
      <c r="L235" s="2" t="n"/>
      <c r="M235" s="2" t="n"/>
    </row>
    <row r="236" ht="15.75" customHeight="1" s="168">
      <c r="A236" s="2" t="n"/>
      <c r="B236" s="2" t="n"/>
      <c r="C236" s="2" t="n"/>
      <c r="D236" s="2" t="n"/>
      <c r="E236" s="28" t="n"/>
      <c r="F236" s="2" t="n"/>
      <c r="G236" s="2" t="n"/>
      <c r="H236" s="2" t="n"/>
      <c r="I236" s="28" t="n"/>
      <c r="J236" s="2" t="n"/>
      <c r="K236" s="2" t="n"/>
      <c r="L236" s="2" t="n"/>
      <c r="M236" s="2" t="n"/>
    </row>
    <row r="237" ht="15.75" customHeight="1" s="168">
      <c r="A237" s="2" t="n"/>
      <c r="B237" s="2" t="n"/>
      <c r="C237" s="2" t="n"/>
      <c r="D237" s="2" t="n"/>
      <c r="E237" s="28" t="n"/>
      <c r="F237" s="2" t="n"/>
      <c r="G237" s="2" t="n"/>
      <c r="H237" s="2" t="n"/>
      <c r="I237" s="28" t="n"/>
      <c r="J237" s="2" t="n"/>
      <c r="K237" s="2" t="n"/>
      <c r="L237" s="2" t="n"/>
      <c r="M237" s="2" t="n"/>
    </row>
    <row r="238" ht="15.75" customHeight="1" s="168">
      <c r="A238" s="2" t="n"/>
      <c r="B238" s="2" t="n"/>
      <c r="C238" s="2" t="n"/>
      <c r="D238" s="2" t="n"/>
      <c r="E238" s="28" t="n"/>
      <c r="F238" s="2" t="n"/>
      <c r="G238" s="2" t="n"/>
      <c r="H238" s="2" t="n"/>
      <c r="I238" s="28" t="n"/>
      <c r="J238" s="2" t="n"/>
      <c r="K238" s="2" t="n"/>
      <c r="L238" s="2" t="n"/>
      <c r="M238" s="2" t="n"/>
    </row>
    <row r="239" ht="15.75" customHeight="1" s="168">
      <c r="A239" s="2" t="n"/>
      <c r="B239" s="2" t="n"/>
      <c r="C239" s="2" t="n"/>
      <c r="D239" s="2" t="n"/>
      <c r="E239" s="28" t="n"/>
      <c r="F239" s="2" t="n"/>
      <c r="G239" s="2" t="n"/>
      <c r="H239" s="2" t="n"/>
      <c r="I239" s="28" t="n"/>
      <c r="J239" s="2" t="n"/>
      <c r="K239" s="2" t="n"/>
      <c r="L239" s="2" t="n"/>
      <c r="M239" s="2" t="n"/>
    </row>
    <row r="240" ht="15.75" customHeight="1" s="168">
      <c r="A240" s="2" t="n"/>
      <c r="B240" s="2" t="n"/>
      <c r="C240" s="2" t="n"/>
      <c r="D240" s="2" t="n"/>
      <c r="E240" s="28" t="n"/>
      <c r="F240" s="2" t="n"/>
      <c r="G240" s="2" t="n"/>
      <c r="H240" s="2" t="n"/>
      <c r="I240" s="28" t="n"/>
      <c r="J240" s="2" t="n"/>
      <c r="K240" s="2" t="n"/>
      <c r="L240" s="2" t="n"/>
      <c r="M240" s="2" t="n"/>
    </row>
    <row r="241" ht="15.75" customHeight="1" s="168">
      <c r="A241" s="2" t="n"/>
      <c r="B241" s="2" t="n"/>
      <c r="C241" s="2" t="n"/>
      <c r="D241" s="2" t="n"/>
      <c r="E241" s="28" t="n"/>
      <c r="F241" s="2" t="n"/>
      <c r="G241" s="2" t="n"/>
      <c r="H241" s="2" t="n"/>
      <c r="I241" s="28" t="n"/>
      <c r="J241" s="2" t="n"/>
      <c r="K241" s="2" t="n"/>
      <c r="L241" s="2" t="n"/>
      <c r="M241" s="2" t="n"/>
    </row>
    <row r="242" ht="15.75" customHeight="1" s="168">
      <c r="A242" s="2" t="n"/>
      <c r="B242" s="2" t="n"/>
      <c r="C242" s="2" t="n"/>
      <c r="D242" s="2" t="n"/>
      <c r="E242" s="28" t="n"/>
      <c r="F242" s="2" t="n"/>
      <c r="G242" s="2" t="n"/>
      <c r="H242" s="2" t="n"/>
      <c r="I242" s="28" t="n"/>
      <c r="J242" s="2" t="n"/>
      <c r="K242" s="2" t="n"/>
      <c r="L242" s="2" t="n"/>
      <c r="M242" s="2" t="n"/>
    </row>
    <row r="243" ht="15.75" customHeight="1" s="168">
      <c r="A243" s="2" t="n"/>
      <c r="B243" s="2" t="n"/>
      <c r="C243" s="2" t="n"/>
      <c r="D243" s="2" t="n"/>
      <c r="E243" s="28" t="n"/>
      <c r="F243" s="2" t="n"/>
      <c r="G243" s="2" t="n"/>
      <c r="H243" s="2" t="n"/>
      <c r="I243" s="28" t="n"/>
      <c r="J243" s="2" t="n"/>
      <c r="K243" s="2" t="n"/>
      <c r="L243" s="2" t="n"/>
      <c r="M243" s="2" t="n"/>
    </row>
    <row r="244" ht="15.75" customHeight="1" s="168">
      <c r="A244" s="2" t="n"/>
      <c r="B244" s="2" t="n"/>
      <c r="C244" s="2" t="n"/>
      <c r="D244" s="2" t="n"/>
      <c r="E244" s="28" t="n"/>
      <c r="F244" s="2" t="n"/>
      <c r="G244" s="2" t="n"/>
      <c r="H244" s="2" t="n"/>
      <c r="I244" s="28" t="n"/>
      <c r="J244" s="2" t="n"/>
      <c r="K244" s="2" t="n"/>
      <c r="L244" s="2" t="n"/>
      <c r="M244" s="2" t="n"/>
    </row>
    <row r="245" ht="15.75" customHeight="1" s="168">
      <c r="A245" s="2" t="n"/>
      <c r="B245" s="2" t="n"/>
      <c r="C245" s="2" t="n"/>
      <c r="D245" s="2" t="n"/>
      <c r="E245" s="28" t="n"/>
      <c r="F245" s="2" t="n"/>
      <c r="G245" s="2" t="n"/>
      <c r="H245" s="2" t="n"/>
      <c r="I245" s="28" t="n"/>
      <c r="J245" s="2" t="n"/>
      <c r="K245" s="2" t="n"/>
      <c r="L245" s="2" t="n"/>
      <c r="M245" s="2" t="n"/>
    </row>
    <row r="246" ht="15.75" customHeight="1" s="168">
      <c r="A246" s="2" t="n"/>
      <c r="B246" s="2" t="n"/>
      <c r="C246" s="2" t="n"/>
      <c r="D246" s="2" t="n"/>
      <c r="E246" s="28" t="n"/>
      <c r="F246" s="2" t="n"/>
      <c r="G246" s="2" t="n"/>
      <c r="H246" s="2" t="n"/>
      <c r="I246" s="28" t="n"/>
      <c r="J246" s="2" t="n"/>
      <c r="K246" s="2" t="n"/>
      <c r="L246" s="2" t="n"/>
      <c r="M246" s="2" t="n"/>
    </row>
    <row r="247" ht="15.75" customHeight="1" s="168">
      <c r="A247" s="2" t="n"/>
      <c r="B247" s="2" t="n"/>
      <c r="C247" s="2" t="n"/>
      <c r="D247" s="2" t="n"/>
      <c r="E247" s="28" t="n"/>
      <c r="F247" s="2" t="n"/>
      <c r="G247" s="2" t="n"/>
      <c r="H247" s="2" t="n"/>
      <c r="I247" s="28" t="n"/>
      <c r="J247" s="2" t="n"/>
      <c r="K247" s="2" t="n"/>
      <c r="L247" s="2" t="n"/>
      <c r="M247" s="2" t="n"/>
    </row>
    <row r="248" ht="15.75" customHeight="1" s="168">
      <c r="A248" s="2" t="n"/>
      <c r="B248" s="2" t="n"/>
      <c r="C248" s="2" t="n"/>
      <c r="D248" s="2" t="n"/>
      <c r="E248" s="28" t="n"/>
      <c r="F248" s="2" t="n"/>
      <c r="G248" s="2" t="n"/>
      <c r="H248" s="2" t="n"/>
      <c r="I248" s="28" t="n"/>
      <c r="J248" s="2" t="n"/>
      <c r="K248" s="2" t="n"/>
      <c r="L248" s="2" t="n"/>
      <c r="M248" s="2" t="n"/>
    </row>
    <row r="249" ht="15.75" customHeight="1" s="168">
      <c r="A249" s="2" t="n"/>
      <c r="B249" s="2" t="n"/>
      <c r="C249" s="2" t="n"/>
      <c r="D249" s="2" t="n"/>
      <c r="E249" s="28" t="n"/>
      <c r="F249" s="2" t="n"/>
      <c r="G249" s="2" t="n"/>
      <c r="H249" s="2" t="n"/>
      <c r="I249" s="28" t="n"/>
      <c r="J249" s="2" t="n"/>
      <c r="K249" s="2" t="n"/>
      <c r="L249" s="2" t="n"/>
      <c r="M249" s="2" t="n"/>
    </row>
    <row r="250" ht="15.75" customHeight="1" s="168">
      <c r="A250" s="2" t="n"/>
      <c r="B250" s="2" t="n"/>
      <c r="C250" s="2" t="n"/>
      <c r="D250" s="2" t="n"/>
      <c r="E250" s="28" t="n"/>
      <c r="F250" s="2" t="n"/>
      <c r="G250" s="2" t="n"/>
      <c r="H250" s="2" t="n"/>
      <c r="I250" s="28" t="n"/>
      <c r="J250" s="2" t="n"/>
      <c r="K250" s="2" t="n"/>
      <c r="L250" s="2" t="n"/>
      <c r="M250" s="2" t="n"/>
    </row>
    <row r="251" ht="15.75" customHeight="1" s="168">
      <c r="A251" s="2" t="n"/>
      <c r="B251" s="2" t="n"/>
      <c r="C251" s="2" t="n"/>
      <c r="D251" s="2" t="n"/>
      <c r="E251" s="28" t="n"/>
      <c r="F251" s="2" t="n"/>
      <c r="G251" s="2" t="n"/>
      <c r="H251" s="2" t="n"/>
      <c r="I251" s="28" t="n"/>
      <c r="J251" s="2" t="n"/>
      <c r="K251" s="2" t="n"/>
      <c r="L251" s="2" t="n"/>
      <c r="M251" s="2" t="n"/>
    </row>
    <row r="252" ht="15.75" customHeight="1" s="168">
      <c r="A252" s="2" t="n"/>
      <c r="B252" s="2" t="n"/>
      <c r="C252" s="2" t="n"/>
      <c r="D252" s="2" t="n"/>
      <c r="E252" s="28" t="n"/>
      <c r="F252" s="2" t="n"/>
      <c r="G252" s="2" t="n"/>
      <c r="H252" s="2" t="n"/>
      <c r="I252" s="28" t="n"/>
      <c r="J252" s="2" t="n"/>
      <c r="K252" s="2" t="n"/>
      <c r="L252" s="2" t="n"/>
      <c r="M252" s="2" t="n"/>
    </row>
    <row r="253" ht="15.75" customHeight="1" s="168">
      <c r="A253" s="2" t="n"/>
      <c r="B253" s="2" t="n"/>
      <c r="C253" s="2" t="n"/>
      <c r="D253" s="2" t="n"/>
      <c r="E253" s="28" t="n"/>
      <c r="F253" s="2" t="n"/>
      <c r="G253" s="2" t="n"/>
      <c r="H253" s="2" t="n"/>
      <c r="I253" s="28" t="n"/>
      <c r="J253" s="2" t="n"/>
      <c r="K253" s="2" t="n"/>
      <c r="L253" s="2" t="n"/>
      <c r="M253" s="2" t="n"/>
    </row>
    <row r="254" ht="15.75" customHeight="1" s="168">
      <c r="A254" s="2" t="n"/>
      <c r="B254" s="2" t="n"/>
      <c r="C254" s="2" t="n"/>
      <c r="D254" s="2" t="n"/>
      <c r="E254" s="28" t="n"/>
      <c r="F254" s="2" t="n"/>
      <c r="G254" s="2" t="n"/>
      <c r="H254" s="2" t="n"/>
      <c r="I254" s="28" t="n"/>
      <c r="J254" s="2" t="n"/>
      <c r="K254" s="2" t="n"/>
      <c r="L254" s="2" t="n"/>
      <c r="M254" s="2" t="n"/>
    </row>
    <row r="255" ht="15.75" customHeight="1" s="168">
      <c r="A255" s="2" t="n"/>
      <c r="B255" s="2" t="n"/>
      <c r="C255" s="2" t="n"/>
      <c r="D255" s="2" t="n"/>
      <c r="E255" s="28" t="n"/>
      <c r="F255" s="2" t="n"/>
      <c r="G255" s="2" t="n"/>
      <c r="H255" s="2" t="n"/>
      <c r="I255" s="28" t="n"/>
      <c r="J255" s="2" t="n"/>
      <c r="K255" s="2" t="n"/>
      <c r="L255" s="2" t="n"/>
      <c r="M255" s="2" t="n"/>
    </row>
    <row r="256" ht="15.75" customHeight="1" s="168">
      <c r="A256" s="2" t="n"/>
      <c r="B256" s="2" t="n"/>
      <c r="C256" s="2" t="n"/>
      <c r="D256" s="2" t="n"/>
      <c r="E256" s="28" t="n"/>
      <c r="F256" s="2" t="n"/>
      <c r="G256" s="2" t="n"/>
      <c r="H256" s="2" t="n"/>
      <c r="I256" s="28" t="n"/>
      <c r="J256" s="2" t="n"/>
      <c r="K256" s="2" t="n"/>
      <c r="L256" s="2" t="n"/>
      <c r="M256" s="2" t="n"/>
    </row>
    <row r="257" ht="15.75" customHeight="1" s="168">
      <c r="A257" s="2" t="n"/>
      <c r="B257" s="2" t="n"/>
      <c r="C257" s="2" t="n"/>
      <c r="D257" s="2" t="n"/>
      <c r="E257" s="28" t="n"/>
      <c r="F257" s="2" t="n"/>
      <c r="G257" s="2" t="n"/>
      <c r="H257" s="2" t="n"/>
      <c r="I257" s="28" t="n"/>
      <c r="J257" s="2" t="n"/>
      <c r="K257" s="2" t="n"/>
      <c r="L257" s="2" t="n"/>
      <c r="M257" s="2" t="n"/>
    </row>
    <row r="258" ht="15.75" customHeight="1" s="168">
      <c r="A258" s="2" t="n"/>
      <c r="B258" s="2" t="n"/>
      <c r="C258" s="2" t="n"/>
      <c r="D258" s="2" t="n"/>
      <c r="E258" s="28" t="n"/>
      <c r="F258" s="2" t="n"/>
      <c r="G258" s="2" t="n"/>
      <c r="H258" s="2" t="n"/>
      <c r="I258" s="28" t="n"/>
      <c r="J258" s="2" t="n"/>
      <c r="K258" s="2" t="n"/>
      <c r="L258" s="2" t="n"/>
      <c r="M258" s="2" t="n"/>
    </row>
    <row r="259" ht="15.75" customHeight="1" s="168">
      <c r="A259" s="2" t="n"/>
      <c r="B259" s="2" t="n"/>
      <c r="C259" s="2" t="n"/>
      <c r="D259" s="2" t="n"/>
      <c r="E259" s="28" t="n"/>
      <c r="F259" s="2" t="n"/>
      <c r="G259" s="2" t="n"/>
      <c r="H259" s="2" t="n"/>
      <c r="I259" s="28" t="n"/>
      <c r="J259" s="2" t="n"/>
      <c r="K259" s="2" t="n"/>
      <c r="L259" s="2" t="n"/>
      <c r="M259" s="2" t="n"/>
    </row>
    <row r="260" ht="15.75" customHeight="1" s="168">
      <c r="A260" s="2" t="n"/>
      <c r="B260" s="2" t="n"/>
      <c r="C260" s="2" t="n"/>
      <c r="D260" s="2" t="n"/>
      <c r="E260" s="28" t="n"/>
      <c r="F260" s="2" t="n"/>
      <c r="G260" s="2" t="n"/>
      <c r="H260" s="2" t="n"/>
      <c r="I260" s="28" t="n"/>
      <c r="J260" s="2" t="n"/>
      <c r="K260" s="2" t="n"/>
      <c r="L260" s="2" t="n"/>
      <c r="M260" s="2" t="n"/>
    </row>
    <row r="261" ht="15.75" customHeight="1" s="168">
      <c r="A261" s="2" t="n"/>
      <c r="B261" s="2" t="n"/>
      <c r="C261" s="2" t="n"/>
      <c r="D261" s="2" t="n"/>
      <c r="E261" s="28" t="n"/>
      <c r="F261" s="2" t="n"/>
      <c r="G261" s="2" t="n"/>
      <c r="H261" s="2" t="n"/>
      <c r="I261" s="28" t="n"/>
      <c r="J261" s="2" t="n"/>
      <c r="K261" s="2" t="n"/>
      <c r="L261" s="2" t="n"/>
      <c r="M261" s="2" t="n"/>
    </row>
    <row r="262" ht="15.75" customHeight="1" s="168">
      <c r="A262" s="2" t="n"/>
      <c r="B262" s="2" t="n"/>
      <c r="C262" s="2" t="n"/>
      <c r="D262" s="2" t="n"/>
      <c r="E262" s="28" t="n"/>
      <c r="F262" s="2" t="n"/>
      <c r="G262" s="2" t="n"/>
      <c r="H262" s="2" t="n"/>
      <c r="I262" s="28" t="n"/>
      <c r="J262" s="2" t="n"/>
      <c r="K262" s="2" t="n"/>
      <c r="L262" s="2" t="n"/>
      <c r="M262" s="2" t="n"/>
    </row>
    <row r="263" ht="15.75" customHeight="1" s="168">
      <c r="A263" s="2" t="n"/>
      <c r="B263" s="2" t="n"/>
      <c r="C263" s="2" t="n"/>
      <c r="D263" s="2" t="n"/>
      <c r="E263" s="28" t="n"/>
      <c r="F263" s="2" t="n"/>
      <c r="G263" s="2" t="n"/>
      <c r="H263" s="2" t="n"/>
      <c r="I263" s="28" t="n"/>
      <c r="J263" s="2" t="n"/>
      <c r="K263" s="2" t="n"/>
      <c r="L263" s="2" t="n"/>
      <c r="M263" s="2" t="n"/>
    </row>
    <row r="264" ht="15.75" customHeight="1" s="168">
      <c r="A264" s="2" t="n"/>
      <c r="B264" s="2" t="n"/>
      <c r="C264" s="2" t="n"/>
      <c r="D264" s="2" t="n"/>
      <c r="E264" s="28" t="n"/>
      <c r="F264" s="2" t="n"/>
      <c r="G264" s="2" t="n"/>
      <c r="H264" s="2" t="n"/>
      <c r="I264" s="28" t="n"/>
      <c r="J264" s="2" t="n"/>
      <c r="K264" s="2" t="n"/>
      <c r="L264" s="2" t="n"/>
      <c r="M264" s="2" t="n"/>
    </row>
    <row r="265" ht="15.75" customHeight="1" s="168">
      <c r="A265" s="2" t="n"/>
      <c r="B265" s="2" t="n"/>
      <c r="C265" s="2" t="n"/>
      <c r="D265" s="2" t="n"/>
      <c r="E265" s="28" t="n"/>
      <c r="F265" s="2" t="n"/>
      <c r="G265" s="2" t="n"/>
      <c r="H265" s="2" t="n"/>
      <c r="I265" s="28" t="n"/>
      <c r="J265" s="2" t="n"/>
      <c r="K265" s="2" t="n"/>
      <c r="L265" s="2" t="n"/>
      <c r="M265" s="2" t="n"/>
    </row>
    <row r="266" ht="15.75" customHeight="1" s="168">
      <c r="A266" s="2" t="n"/>
      <c r="B266" s="2" t="n"/>
      <c r="C266" s="2" t="n"/>
      <c r="D266" s="2" t="n"/>
      <c r="E266" s="28" t="n"/>
      <c r="F266" s="2" t="n"/>
      <c r="G266" s="2" t="n"/>
      <c r="H266" s="2" t="n"/>
      <c r="I266" s="28" t="n"/>
      <c r="J266" s="2" t="n"/>
      <c r="K266" s="2" t="n"/>
      <c r="L266" s="2" t="n"/>
      <c r="M266" s="2" t="n"/>
    </row>
    <row r="267" ht="15.75" customHeight="1" s="168">
      <c r="A267" s="2" t="n"/>
      <c r="B267" s="2" t="n"/>
      <c r="C267" s="2" t="n"/>
      <c r="D267" s="2" t="n"/>
      <c r="E267" s="28" t="n"/>
      <c r="F267" s="2" t="n"/>
      <c r="G267" s="2" t="n"/>
      <c r="H267" s="2" t="n"/>
      <c r="I267" s="28" t="n"/>
      <c r="J267" s="2" t="n"/>
      <c r="K267" s="2" t="n"/>
      <c r="L267" s="2" t="n"/>
      <c r="M267" s="2" t="n"/>
    </row>
    <row r="268" ht="15.75" customHeight="1" s="168">
      <c r="A268" s="2" t="n"/>
      <c r="B268" s="2" t="n"/>
      <c r="C268" s="2" t="n"/>
      <c r="D268" s="2" t="n"/>
      <c r="E268" s="28" t="n"/>
      <c r="F268" s="2" t="n"/>
      <c r="G268" s="2" t="n"/>
      <c r="H268" s="2" t="n"/>
      <c r="I268" s="28" t="n"/>
      <c r="J268" s="2" t="n"/>
      <c r="K268" s="2" t="n"/>
      <c r="L268" s="2" t="n"/>
      <c r="M268" s="2" t="n"/>
    </row>
    <row r="269" ht="15.75" customHeight="1" s="168">
      <c r="A269" s="2" t="n"/>
      <c r="B269" s="2" t="n"/>
      <c r="C269" s="2" t="n"/>
      <c r="D269" s="2" t="n"/>
      <c r="E269" s="28" t="n"/>
      <c r="F269" s="2" t="n"/>
      <c r="G269" s="2" t="n"/>
      <c r="H269" s="2" t="n"/>
      <c r="I269" s="28" t="n"/>
      <c r="J269" s="2" t="n"/>
      <c r="K269" s="2" t="n"/>
      <c r="L269" s="2" t="n"/>
      <c r="M269" s="2" t="n"/>
    </row>
    <row r="270" ht="15.75" customHeight="1" s="168">
      <c r="A270" s="2" t="n"/>
      <c r="B270" s="2" t="n"/>
      <c r="C270" s="2" t="n"/>
      <c r="D270" s="2" t="n"/>
      <c r="E270" s="28" t="n"/>
      <c r="F270" s="2" t="n"/>
      <c r="G270" s="2" t="n"/>
      <c r="H270" s="2" t="n"/>
      <c r="I270" s="28" t="n"/>
      <c r="J270" s="2" t="n"/>
      <c r="K270" s="2" t="n"/>
      <c r="L270" s="2" t="n"/>
      <c r="M270" s="2" t="n"/>
    </row>
    <row r="271" ht="15.75" customHeight="1" s="168">
      <c r="A271" s="2" t="n"/>
      <c r="B271" s="2" t="n"/>
      <c r="C271" s="2" t="n"/>
      <c r="D271" s="2" t="n"/>
      <c r="E271" s="28" t="n"/>
      <c r="F271" s="2" t="n"/>
      <c r="G271" s="2" t="n"/>
      <c r="H271" s="2" t="n"/>
      <c r="I271" s="28" t="n"/>
      <c r="J271" s="2" t="n"/>
      <c r="K271" s="2" t="n"/>
      <c r="L271" s="2" t="n"/>
      <c r="M271" s="2" t="n"/>
    </row>
    <row r="272" ht="15.75" customHeight="1" s="168">
      <c r="A272" s="2" t="n"/>
      <c r="B272" s="2" t="n"/>
      <c r="C272" s="2" t="n"/>
      <c r="D272" s="2" t="n"/>
      <c r="E272" s="28" t="n"/>
      <c r="F272" s="2" t="n"/>
      <c r="G272" s="2" t="n"/>
      <c r="H272" s="2" t="n"/>
      <c r="I272" s="28" t="n"/>
      <c r="J272" s="2" t="n"/>
      <c r="K272" s="2" t="n"/>
      <c r="L272" s="2" t="n"/>
      <c r="M272" s="2" t="n"/>
    </row>
    <row r="273" ht="15.75" customHeight="1" s="168">
      <c r="A273" s="2" t="n"/>
      <c r="B273" s="2" t="n"/>
      <c r="C273" s="2" t="n"/>
      <c r="D273" s="2" t="n"/>
      <c r="E273" s="28" t="n"/>
      <c r="F273" s="2" t="n"/>
      <c r="G273" s="2" t="n"/>
      <c r="H273" s="2" t="n"/>
      <c r="I273" s="28" t="n"/>
      <c r="J273" s="2" t="n"/>
      <c r="K273" s="2" t="n"/>
      <c r="L273" s="2" t="n"/>
      <c r="M273" s="2" t="n"/>
    </row>
    <row r="274" ht="15.75" customHeight="1" s="168">
      <c r="A274" s="2" t="n"/>
      <c r="B274" s="2" t="n"/>
      <c r="C274" s="2" t="n"/>
      <c r="D274" s="2" t="n"/>
      <c r="E274" s="28" t="n"/>
      <c r="F274" s="2" t="n"/>
      <c r="G274" s="2" t="n"/>
      <c r="H274" s="2" t="n"/>
      <c r="I274" s="28" t="n"/>
      <c r="J274" s="2" t="n"/>
      <c r="K274" s="2" t="n"/>
      <c r="L274" s="2" t="n"/>
      <c r="M274" s="2" t="n"/>
    </row>
    <row r="275" ht="15.75" customHeight="1" s="168">
      <c r="A275" s="2" t="n"/>
      <c r="B275" s="2" t="n"/>
      <c r="C275" s="2" t="n"/>
      <c r="D275" s="2" t="n"/>
      <c r="E275" s="28" t="n"/>
      <c r="F275" s="2" t="n"/>
      <c r="G275" s="2" t="n"/>
      <c r="H275" s="2" t="n"/>
      <c r="I275" s="28" t="n"/>
      <c r="J275" s="2" t="n"/>
      <c r="K275" s="2" t="n"/>
      <c r="L275" s="2" t="n"/>
      <c r="M275" s="2" t="n"/>
    </row>
    <row r="276" ht="15.75" customHeight="1" s="168">
      <c r="A276" s="2" t="n"/>
      <c r="B276" s="2" t="n"/>
      <c r="C276" s="2" t="n"/>
      <c r="D276" s="2" t="n"/>
      <c r="E276" s="28" t="n"/>
      <c r="F276" s="2" t="n"/>
      <c r="G276" s="2" t="n"/>
      <c r="H276" s="2" t="n"/>
      <c r="I276" s="28" t="n"/>
      <c r="J276" s="2" t="n"/>
      <c r="K276" s="2" t="n"/>
      <c r="L276" s="2" t="n"/>
      <c r="M276" s="2" t="n"/>
    </row>
    <row r="277" ht="15.75" customHeight="1" s="168">
      <c r="A277" s="2" t="n"/>
      <c r="B277" s="2" t="n"/>
      <c r="C277" s="2" t="n"/>
      <c r="D277" s="2" t="n"/>
      <c r="E277" s="28" t="n"/>
      <c r="F277" s="2" t="n"/>
      <c r="G277" s="2" t="n"/>
      <c r="H277" s="2" t="n"/>
      <c r="I277" s="28" t="n"/>
      <c r="J277" s="2" t="n"/>
      <c r="K277" s="2" t="n"/>
      <c r="L277" s="2" t="n"/>
      <c r="M277" s="2" t="n"/>
    </row>
    <row r="278" ht="15.75" customHeight="1" s="168">
      <c r="A278" s="2" t="n"/>
      <c r="B278" s="2" t="n"/>
      <c r="C278" s="2" t="n"/>
      <c r="D278" s="2" t="n"/>
      <c r="E278" s="28" t="n"/>
      <c r="F278" s="2" t="n"/>
      <c r="G278" s="2" t="n"/>
      <c r="H278" s="2" t="n"/>
      <c r="I278" s="28" t="n"/>
      <c r="J278" s="2" t="n"/>
      <c r="K278" s="2" t="n"/>
      <c r="L278" s="2" t="n"/>
      <c r="M278" s="2" t="n"/>
    </row>
    <row r="279" ht="15.75" customHeight="1" s="168">
      <c r="A279" s="2" t="n"/>
      <c r="B279" s="2" t="n"/>
      <c r="C279" s="2" t="n"/>
      <c r="D279" s="2" t="n"/>
      <c r="E279" s="28" t="n"/>
      <c r="F279" s="2" t="n"/>
      <c r="G279" s="2" t="n"/>
      <c r="H279" s="2" t="n"/>
      <c r="I279" s="28" t="n"/>
      <c r="J279" s="2" t="n"/>
      <c r="K279" s="2" t="n"/>
      <c r="L279" s="2" t="n"/>
      <c r="M279" s="2" t="n"/>
    </row>
    <row r="280" ht="15.75" customHeight="1" s="168">
      <c r="A280" s="2" t="n"/>
      <c r="B280" s="2" t="n"/>
      <c r="C280" s="2" t="n"/>
      <c r="D280" s="2" t="n"/>
      <c r="E280" s="28" t="n"/>
      <c r="F280" s="2" t="n"/>
      <c r="G280" s="2" t="n"/>
      <c r="H280" s="2" t="n"/>
      <c r="I280" s="28" t="n"/>
      <c r="J280" s="2" t="n"/>
      <c r="K280" s="2" t="n"/>
      <c r="L280" s="2" t="n"/>
      <c r="M280" s="2" t="n"/>
    </row>
    <row r="281" ht="15.75" customHeight="1" s="168">
      <c r="A281" s="2" t="n"/>
      <c r="B281" s="2" t="n"/>
      <c r="C281" s="2" t="n"/>
      <c r="D281" s="2" t="n"/>
      <c r="E281" s="28" t="n"/>
      <c r="F281" s="2" t="n"/>
      <c r="G281" s="2" t="n"/>
      <c r="H281" s="2" t="n"/>
      <c r="I281" s="28" t="n"/>
      <c r="J281" s="2" t="n"/>
      <c r="K281" s="2" t="n"/>
      <c r="L281" s="2" t="n"/>
      <c r="M281" s="2" t="n"/>
    </row>
    <row r="282" ht="15.75" customHeight="1" s="168">
      <c r="A282" s="2" t="n"/>
      <c r="B282" s="2" t="n"/>
      <c r="C282" s="2" t="n"/>
      <c r="D282" s="2" t="n"/>
      <c r="E282" s="28" t="n"/>
      <c r="F282" s="2" t="n"/>
      <c r="G282" s="2" t="n"/>
      <c r="H282" s="2" t="n"/>
      <c r="I282" s="28" t="n"/>
      <c r="J282" s="2" t="n"/>
      <c r="K282" s="2" t="n"/>
      <c r="L282" s="2" t="n"/>
      <c r="M282" s="2" t="n"/>
    </row>
    <row r="283" ht="15.75" customHeight="1" s="168">
      <c r="A283" s="2" t="n"/>
      <c r="B283" s="2" t="n"/>
      <c r="C283" s="2" t="n"/>
      <c r="D283" s="2" t="n"/>
      <c r="E283" s="28" t="n"/>
      <c r="F283" s="2" t="n"/>
      <c r="G283" s="2" t="n"/>
      <c r="H283" s="2" t="n"/>
      <c r="I283" s="28" t="n"/>
      <c r="J283" s="2" t="n"/>
      <c r="K283" s="2" t="n"/>
      <c r="L283" s="2" t="n"/>
      <c r="M283" s="2" t="n"/>
    </row>
    <row r="284" ht="15.75" customHeight="1" s="168">
      <c r="A284" s="2" t="n"/>
      <c r="B284" s="2" t="n"/>
      <c r="C284" s="2" t="n"/>
      <c r="D284" s="2" t="n"/>
      <c r="E284" s="28" t="n"/>
      <c r="F284" s="2" t="n"/>
      <c r="G284" s="2" t="n"/>
      <c r="H284" s="2" t="n"/>
      <c r="I284" s="28" t="n"/>
      <c r="J284" s="2" t="n"/>
      <c r="K284" s="2" t="n"/>
      <c r="L284" s="2" t="n"/>
      <c r="M284" s="2" t="n"/>
    </row>
    <row r="285" ht="15.75" customHeight="1" s="168">
      <c r="A285" s="2" t="n"/>
      <c r="B285" s="2" t="n"/>
      <c r="C285" s="2" t="n"/>
      <c r="D285" s="2" t="n"/>
      <c r="E285" s="28" t="n"/>
      <c r="F285" s="2" t="n"/>
      <c r="G285" s="2" t="n"/>
      <c r="H285" s="2" t="n"/>
      <c r="I285" s="28" t="n"/>
      <c r="J285" s="2" t="n"/>
      <c r="K285" s="2" t="n"/>
      <c r="L285" s="2" t="n"/>
      <c r="M285" s="2" t="n"/>
    </row>
    <row r="286" ht="15.75" customHeight="1" s="168">
      <c r="A286" s="2" t="n"/>
      <c r="B286" s="2" t="n"/>
      <c r="C286" s="2" t="n"/>
      <c r="D286" s="2" t="n"/>
      <c r="E286" s="28" t="n"/>
      <c r="F286" s="2" t="n"/>
      <c r="G286" s="2" t="n"/>
      <c r="H286" s="2" t="n"/>
      <c r="I286" s="28" t="n"/>
      <c r="J286" s="2" t="n"/>
      <c r="K286" s="2" t="n"/>
      <c r="L286" s="2" t="n"/>
      <c r="M286" s="2" t="n"/>
    </row>
    <row r="287" ht="15.75" customHeight="1" s="168">
      <c r="A287" s="2" t="n"/>
      <c r="B287" s="2" t="n"/>
      <c r="C287" s="2" t="n"/>
      <c r="D287" s="2" t="n"/>
      <c r="E287" s="28" t="n"/>
      <c r="F287" s="2" t="n"/>
      <c r="G287" s="2" t="n"/>
      <c r="H287" s="2" t="n"/>
      <c r="I287" s="28" t="n"/>
      <c r="J287" s="2" t="n"/>
      <c r="K287" s="2" t="n"/>
      <c r="L287" s="2" t="n"/>
      <c r="M287" s="2" t="n"/>
    </row>
    <row r="288" ht="15.75" customHeight="1" s="168">
      <c r="A288" s="2" t="n"/>
      <c r="B288" s="2" t="n"/>
      <c r="C288" s="2" t="n"/>
      <c r="D288" s="2" t="n"/>
      <c r="E288" s="28" t="n"/>
      <c r="F288" s="2" t="n"/>
      <c r="G288" s="2" t="n"/>
      <c r="H288" s="2" t="n"/>
      <c r="I288" s="28" t="n"/>
      <c r="J288" s="2" t="n"/>
      <c r="K288" s="2" t="n"/>
      <c r="L288" s="2" t="n"/>
      <c r="M288" s="2" t="n"/>
    </row>
    <row r="289" ht="15.75" customHeight="1" s="168">
      <c r="A289" s="2" t="n"/>
      <c r="B289" s="2" t="n"/>
      <c r="C289" s="2" t="n"/>
      <c r="D289" s="2" t="n"/>
      <c r="E289" s="28" t="n"/>
      <c r="F289" s="2" t="n"/>
      <c r="G289" s="2" t="n"/>
      <c r="H289" s="2" t="n"/>
      <c r="I289" s="28" t="n"/>
      <c r="J289" s="2" t="n"/>
      <c r="K289" s="2" t="n"/>
      <c r="L289" s="2" t="n"/>
      <c r="M289" s="2" t="n"/>
    </row>
    <row r="290" ht="15.75" customHeight="1" s="168">
      <c r="A290" s="2" t="n"/>
      <c r="B290" s="2" t="n"/>
      <c r="C290" s="2" t="n"/>
      <c r="D290" s="2" t="n"/>
      <c r="E290" s="28" t="n"/>
      <c r="F290" s="2" t="n"/>
      <c r="G290" s="2" t="n"/>
      <c r="H290" s="2" t="n"/>
      <c r="I290" s="28" t="n"/>
      <c r="J290" s="2" t="n"/>
      <c r="K290" s="2" t="n"/>
      <c r="L290" s="2" t="n"/>
      <c r="M290" s="2" t="n"/>
    </row>
    <row r="291" ht="15.75" customHeight="1" s="168">
      <c r="A291" s="2" t="n"/>
      <c r="B291" s="2" t="n"/>
      <c r="C291" s="2" t="n"/>
      <c r="D291" s="2" t="n"/>
      <c r="E291" s="28" t="n"/>
      <c r="F291" s="2" t="n"/>
      <c r="G291" s="2" t="n"/>
      <c r="H291" s="2" t="n"/>
      <c r="I291" s="28" t="n"/>
      <c r="J291" s="2" t="n"/>
      <c r="K291" s="2" t="n"/>
      <c r="L291" s="2" t="n"/>
      <c r="M291" s="2" t="n"/>
    </row>
    <row r="292" ht="15.75" customHeight="1" s="168">
      <c r="A292" s="2" t="n"/>
      <c r="B292" s="2" t="n"/>
      <c r="C292" s="2" t="n"/>
      <c r="D292" s="2" t="n"/>
      <c r="E292" s="28" t="n"/>
      <c r="F292" s="2" t="n"/>
      <c r="G292" s="2" t="n"/>
      <c r="H292" s="2" t="n"/>
      <c r="I292" s="28" t="n"/>
      <c r="J292" s="2" t="n"/>
      <c r="K292" s="2" t="n"/>
      <c r="L292" s="2" t="n"/>
      <c r="M292" s="2" t="n"/>
    </row>
    <row r="293" ht="15.75" customHeight="1" s="168">
      <c r="A293" s="2" t="n"/>
      <c r="B293" s="2" t="n"/>
      <c r="C293" s="2" t="n"/>
      <c r="D293" s="2" t="n"/>
      <c r="E293" s="28" t="n"/>
      <c r="F293" s="2" t="n"/>
      <c r="G293" s="2" t="n"/>
      <c r="H293" s="2" t="n"/>
      <c r="I293" s="28" t="n"/>
      <c r="J293" s="2" t="n"/>
      <c r="K293" s="2" t="n"/>
      <c r="L293" s="2" t="n"/>
      <c r="M293" s="2" t="n"/>
    </row>
    <row r="294" ht="15.75" customHeight="1" s="168">
      <c r="A294" s="2" t="n"/>
      <c r="B294" s="2" t="n"/>
      <c r="C294" s="2" t="n"/>
      <c r="D294" s="2" t="n"/>
      <c r="E294" s="28" t="n"/>
      <c r="F294" s="2" t="n"/>
      <c r="G294" s="2" t="n"/>
      <c r="H294" s="2" t="n"/>
      <c r="I294" s="28" t="n"/>
      <c r="J294" s="2" t="n"/>
      <c r="K294" s="2" t="n"/>
      <c r="L294" s="2" t="n"/>
      <c r="M294" s="2" t="n"/>
    </row>
    <row r="295" ht="15.75" customHeight="1" s="168">
      <c r="A295" s="2" t="n"/>
      <c r="B295" s="2" t="n"/>
      <c r="C295" s="2" t="n"/>
      <c r="D295" s="2" t="n"/>
      <c r="E295" s="28" t="n"/>
      <c r="F295" s="2" t="n"/>
      <c r="G295" s="2" t="n"/>
      <c r="H295" s="2" t="n"/>
      <c r="I295" s="28" t="n"/>
      <c r="J295" s="2" t="n"/>
      <c r="K295" s="2" t="n"/>
      <c r="L295" s="2" t="n"/>
      <c r="M295" s="2" t="n"/>
    </row>
    <row r="296" ht="15.75" customHeight="1" s="168">
      <c r="A296" s="2" t="n"/>
      <c r="B296" s="2" t="n"/>
      <c r="C296" s="2" t="n"/>
      <c r="D296" s="2" t="n"/>
      <c r="E296" s="28" t="n"/>
      <c r="F296" s="2" t="n"/>
      <c r="G296" s="2" t="n"/>
      <c r="H296" s="2" t="n"/>
      <c r="I296" s="28" t="n"/>
      <c r="J296" s="2" t="n"/>
      <c r="K296" s="2" t="n"/>
      <c r="L296" s="2" t="n"/>
      <c r="M296" s="2" t="n"/>
    </row>
    <row r="297" ht="15.75" customHeight="1" s="168">
      <c r="A297" s="2" t="n"/>
      <c r="B297" s="2" t="n"/>
      <c r="C297" s="2" t="n"/>
      <c r="D297" s="2" t="n"/>
      <c r="E297" s="28" t="n"/>
      <c r="F297" s="2" t="n"/>
      <c r="G297" s="2" t="n"/>
      <c r="H297" s="2" t="n"/>
      <c r="I297" s="28" t="n"/>
      <c r="J297" s="2" t="n"/>
      <c r="K297" s="2" t="n"/>
      <c r="L297" s="2" t="n"/>
      <c r="M297" s="2" t="n"/>
    </row>
    <row r="298" ht="15.75" customHeight="1" s="168">
      <c r="A298" s="2" t="n"/>
      <c r="B298" s="2" t="n"/>
      <c r="C298" s="2" t="n"/>
      <c r="D298" s="2" t="n"/>
      <c r="E298" s="28" t="n"/>
      <c r="F298" s="2" t="n"/>
      <c r="G298" s="2" t="n"/>
      <c r="H298" s="2" t="n"/>
      <c r="I298" s="28" t="n"/>
      <c r="J298" s="2" t="n"/>
      <c r="K298" s="2" t="n"/>
      <c r="L298" s="2" t="n"/>
      <c r="M298" s="2" t="n"/>
    </row>
    <row r="299" ht="15.75" customHeight="1" s="168">
      <c r="A299" s="2" t="n"/>
      <c r="B299" s="2" t="n"/>
      <c r="C299" s="2" t="n"/>
      <c r="D299" s="2" t="n"/>
      <c r="E299" s="28" t="n"/>
      <c r="F299" s="2" t="n"/>
      <c r="G299" s="2" t="n"/>
      <c r="H299" s="2" t="n"/>
      <c r="I299" s="28" t="n"/>
      <c r="J299" s="2" t="n"/>
      <c r="K299" s="2" t="n"/>
      <c r="L299" s="2" t="n"/>
      <c r="M299" s="2" t="n"/>
    </row>
    <row r="300" ht="15.75" customHeight="1" s="168">
      <c r="A300" s="2" t="n"/>
      <c r="B300" s="2" t="n"/>
      <c r="C300" s="2" t="n"/>
      <c r="D300" s="2" t="n"/>
      <c r="E300" s="28" t="n"/>
      <c r="F300" s="2" t="n"/>
      <c r="G300" s="2" t="n"/>
      <c r="H300" s="2" t="n"/>
      <c r="I300" s="28" t="n"/>
      <c r="J300" s="2" t="n"/>
      <c r="K300" s="2" t="n"/>
      <c r="L300" s="2" t="n"/>
      <c r="M300" s="2" t="n"/>
    </row>
    <row r="301" ht="15.75" customHeight="1" s="168">
      <c r="A301" s="2" t="n"/>
      <c r="B301" s="2" t="n"/>
      <c r="C301" s="2" t="n"/>
      <c r="D301" s="2" t="n"/>
      <c r="E301" s="28" t="n"/>
      <c r="F301" s="2" t="n"/>
      <c r="G301" s="2" t="n"/>
      <c r="H301" s="2" t="n"/>
      <c r="I301" s="28" t="n"/>
      <c r="J301" s="2" t="n"/>
      <c r="K301" s="2" t="n"/>
      <c r="L301" s="2" t="n"/>
      <c r="M301" s="2" t="n"/>
    </row>
    <row r="302" ht="15.75" customHeight="1" s="168">
      <c r="A302" s="2" t="n"/>
      <c r="B302" s="2" t="n"/>
      <c r="C302" s="2" t="n"/>
      <c r="D302" s="2" t="n"/>
      <c r="E302" s="28" t="n"/>
      <c r="F302" s="2" t="n"/>
      <c r="G302" s="2" t="n"/>
      <c r="H302" s="2" t="n"/>
      <c r="I302" s="28" t="n"/>
      <c r="J302" s="2" t="n"/>
      <c r="K302" s="2" t="n"/>
      <c r="L302" s="2" t="n"/>
      <c r="M302" s="2" t="n"/>
    </row>
    <row r="303" ht="15.75" customHeight="1" s="168">
      <c r="A303" s="2" t="n"/>
      <c r="B303" s="2" t="n"/>
      <c r="C303" s="2" t="n"/>
      <c r="D303" s="2" t="n"/>
      <c r="E303" s="28" t="n"/>
      <c r="F303" s="2" t="n"/>
      <c r="G303" s="2" t="n"/>
      <c r="H303" s="2" t="n"/>
      <c r="I303" s="28" t="n"/>
      <c r="J303" s="2" t="n"/>
      <c r="K303" s="2" t="n"/>
      <c r="L303" s="2" t="n"/>
      <c r="M303" s="2" t="n"/>
    </row>
    <row r="304" ht="15.75" customHeight="1" s="168">
      <c r="A304" s="2" t="n"/>
      <c r="B304" s="2" t="n"/>
      <c r="C304" s="2" t="n"/>
      <c r="D304" s="2" t="n"/>
      <c r="E304" s="28" t="n"/>
      <c r="F304" s="2" t="n"/>
      <c r="G304" s="2" t="n"/>
      <c r="H304" s="2" t="n"/>
      <c r="I304" s="28" t="n"/>
      <c r="J304" s="2" t="n"/>
      <c r="K304" s="2" t="n"/>
      <c r="L304" s="2" t="n"/>
      <c r="M304" s="2" t="n"/>
    </row>
    <row r="305" ht="15.75" customHeight="1" s="168">
      <c r="A305" s="2" t="n"/>
      <c r="B305" s="2" t="n"/>
      <c r="C305" s="2" t="n"/>
      <c r="D305" s="2" t="n"/>
      <c r="E305" s="28" t="n"/>
      <c r="F305" s="2" t="n"/>
      <c r="G305" s="2" t="n"/>
      <c r="H305" s="2" t="n"/>
      <c r="I305" s="28" t="n"/>
      <c r="J305" s="2" t="n"/>
      <c r="K305" s="2" t="n"/>
      <c r="L305" s="2" t="n"/>
      <c r="M305" s="2" t="n"/>
    </row>
    <row r="306" ht="15.75" customHeight="1" s="168">
      <c r="A306" s="2" t="n"/>
      <c r="B306" s="2" t="n"/>
      <c r="C306" s="2" t="n"/>
      <c r="D306" s="2" t="n"/>
      <c r="E306" s="28" t="n"/>
      <c r="F306" s="2" t="n"/>
      <c r="G306" s="2" t="n"/>
      <c r="H306" s="2" t="n"/>
      <c r="I306" s="28" t="n"/>
      <c r="J306" s="2" t="n"/>
      <c r="K306" s="2" t="n"/>
      <c r="L306" s="2" t="n"/>
      <c r="M306" s="2" t="n"/>
    </row>
    <row r="307" ht="15.75" customHeight="1" s="168">
      <c r="A307" s="2" t="n"/>
      <c r="B307" s="2" t="n"/>
      <c r="C307" s="2" t="n"/>
      <c r="D307" s="2" t="n"/>
      <c r="E307" s="28" t="n"/>
      <c r="F307" s="2" t="n"/>
      <c r="G307" s="2" t="n"/>
      <c r="H307" s="2" t="n"/>
      <c r="I307" s="28" t="n"/>
      <c r="J307" s="2" t="n"/>
      <c r="K307" s="2" t="n"/>
      <c r="L307" s="2" t="n"/>
      <c r="M307" s="2" t="n"/>
    </row>
    <row r="308" ht="15.75" customHeight="1" s="168">
      <c r="A308" s="2" t="n"/>
      <c r="B308" s="2" t="n"/>
      <c r="C308" s="2" t="n"/>
      <c r="D308" s="2" t="n"/>
      <c r="E308" s="28" t="n"/>
      <c r="F308" s="2" t="n"/>
      <c r="G308" s="2" t="n"/>
      <c r="H308" s="2" t="n"/>
      <c r="I308" s="28" t="n"/>
      <c r="J308" s="2" t="n"/>
      <c r="K308" s="2" t="n"/>
      <c r="L308" s="2" t="n"/>
      <c r="M308" s="2" t="n"/>
    </row>
    <row r="309" ht="15.75" customHeight="1" s="168">
      <c r="A309" s="2" t="n"/>
      <c r="B309" s="2" t="n"/>
      <c r="C309" s="2" t="n"/>
      <c r="D309" s="2" t="n"/>
      <c r="E309" s="28" t="n"/>
      <c r="F309" s="2" t="n"/>
      <c r="G309" s="2" t="n"/>
      <c r="H309" s="2" t="n"/>
      <c r="I309" s="28" t="n"/>
      <c r="J309" s="2" t="n"/>
      <c r="K309" s="2" t="n"/>
      <c r="L309" s="2" t="n"/>
      <c r="M309" s="2" t="n"/>
    </row>
    <row r="310" ht="15.75" customHeight="1" s="168">
      <c r="A310" s="2" t="n"/>
      <c r="B310" s="2" t="n"/>
      <c r="C310" s="2" t="n"/>
      <c r="D310" s="2" t="n"/>
      <c r="E310" s="28" t="n"/>
      <c r="F310" s="2" t="n"/>
      <c r="G310" s="2" t="n"/>
      <c r="H310" s="2" t="n"/>
      <c r="I310" s="28" t="n"/>
      <c r="J310" s="2" t="n"/>
      <c r="K310" s="2" t="n"/>
      <c r="L310" s="2" t="n"/>
      <c r="M310" s="2" t="n"/>
    </row>
    <row r="311" ht="15.75" customHeight="1" s="168">
      <c r="A311" s="2" t="n"/>
      <c r="B311" s="2" t="n"/>
      <c r="C311" s="2" t="n"/>
      <c r="D311" s="2" t="n"/>
      <c r="E311" s="28" t="n"/>
      <c r="F311" s="2" t="n"/>
      <c r="G311" s="2" t="n"/>
      <c r="H311" s="2" t="n"/>
      <c r="I311" s="28" t="n"/>
      <c r="J311" s="2" t="n"/>
      <c r="K311" s="2" t="n"/>
      <c r="L311" s="2" t="n"/>
      <c r="M311" s="2" t="n"/>
    </row>
    <row r="312" ht="15.75" customHeight="1" s="168">
      <c r="A312" s="2" t="n"/>
      <c r="B312" s="2" t="n"/>
      <c r="C312" s="2" t="n"/>
      <c r="D312" s="2" t="n"/>
      <c r="E312" s="28" t="n"/>
      <c r="F312" s="2" t="n"/>
      <c r="G312" s="2" t="n"/>
      <c r="H312" s="2" t="n"/>
      <c r="I312" s="28" t="n"/>
      <c r="J312" s="2" t="n"/>
      <c r="K312" s="2" t="n"/>
      <c r="L312" s="2" t="n"/>
      <c r="M312" s="2" t="n"/>
    </row>
    <row r="313" ht="15.75" customHeight="1" s="168">
      <c r="A313" s="2" t="n"/>
      <c r="B313" s="2" t="n"/>
      <c r="C313" s="2" t="n"/>
      <c r="D313" s="2" t="n"/>
      <c r="E313" s="28" t="n"/>
      <c r="F313" s="2" t="n"/>
      <c r="G313" s="2" t="n"/>
      <c r="H313" s="2" t="n"/>
      <c r="I313" s="28" t="n"/>
      <c r="J313" s="2" t="n"/>
      <c r="K313" s="2" t="n"/>
      <c r="L313" s="2" t="n"/>
      <c r="M313" s="2" t="n"/>
    </row>
    <row r="314" ht="15.75" customHeight="1" s="168">
      <c r="A314" s="2" t="n"/>
      <c r="B314" s="2" t="n"/>
      <c r="C314" s="2" t="n"/>
      <c r="D314" s="2" t="n"/>
      <c r="E314" s="28" t="n"/>
      <c r="F314" s="2" t="n"/>
      <c r="G314" s="2" t="n"/>
      <c r="H314" s="2" t="n"/>
      <c r="I314" s="28" t="n"/>
      <c r="J314" s="2" t="n"/>
      <c r="K314" s="2" t="n"/>
      <c r="L314" s="2" t="n"/>
      <c r="M314" s="2" t="n"/>
    </row>
    <row r="315" ht="15.75" customHeight="1" s="168">
      <c r="A315" s="2" t="n"/>
      <c r="B315" s="2" t="n"/>
      <c r="C315" s="2" t="n"/>
      <c r="D315" s="2" t="n"/>
      <c r="E315" s="28" t="n"/>
      <c r="F315" s="2" t="n"/>
      <c r="G315" s="2" t="n"/>
      <c r="H315" s="2" t="n"/>
      <c r="I315" s="28" t="n"/>
      <c r="J315" s="2" t="n"/>
      <c r="K315" s="2" t="n"/>
      <c r="L315" s="2" t="n"/>
      <c r="M315" s="2" t="n"/>
    </row>
    <row r="316" ht="15.75" customHeight="1" s="168">
      <c r="A316" s="2" t="n"/>
      <c r="B316" s="2" t="n"/>
      <c r="C316" s="2" t="n"/>
      <c r="D316" s="2" t="n"/>
      <c r="E316" s="28" t="n"/>
      <c r="F316" s="2" t="n"/>
      <c r="G316" s="2" t="n"/>
      <c r="H316" s="2" t="n"/>
      <c r="I316" s="28" t="n"/>
      <c r="J316" s="2" t="n"/>
      <c r="K316" s="2" t="n"/>
      <c r="L316" s="2" t="n"/>
      <c r="M316" s="2" t="n"/>
    </row>
    <row r="317" ht="15.75" customHeight="1" s="168">
      <c r="A317" s="2" t="n"/>
      <c r="B317" s="2" t="n"/>
      <c r="C317" s="2" t="n"/>
      <c r="D317" s="2" t="n"/>
      <c r="E317" s="28" t="n"/>
      <c r="F317" s="2" t="n"/>
      <c r="G317" s="2" t="n"/>
      <c r="H317" s="2" t="n"/>
      <c r="I317" s="28" t="n"/>
      <c r="J317" s="2" t="n"/>
      <c r="K317" s="2" t="n"/>
      <c r="L317" s="2" t="n"/>
      <c r="M317" s="2" t="n"/>
    </row>
    <row r="318" ht="15.75" customHeight="1" s="168">
      <c r="A318" s="2" t="n"/>
      <c r="B318" s="2" t="n"/>
      <c r="C318" s="2" t="n"/>
      <c r="D318" s="2" t="n"/>
      <c r="E318" s="28" t="n"/>
      <c r="F318" s="2" t="n"/>
      <c r="G318" s="2" t="n"/>
      <c r="H318" s="2" t="n"/>
      <c r="I318" s="28" t="n"/>
      <c r="J318" s="2" t="n"/>
      <c r="K318" s="2" t="n"/>
      <c r="L318" s="2" t="n"/>
      <c r="M318" s="2" t="n"/>
    </row>
    <row r="319" ht="15.75" customHeight="1" s="168">
      <c r="A319" s="2" t="n"/>
      <c r="B319" s="2" t="n"/>
      <c r="C319" s="2" t="n"/>
      <c r="D319" s="2" t="n"/>
      <c r="E319" s="28" t="n"/>
      <c r="F319" s="2" t="n"/>
      <c r="G319" s="2" t="n"/>
      <c r="H319" s="2" t="n"/>
      <c r="I319" s="28" t="n"/>
      <c r="J319" s="2" t="n"/>
      <c r="K319" s="2" t="n"/>
      <c r="L319" s="2" t="n"/>
      <c r="M319" s="2" t="n"/>
    </row>
    <row r="320" ht="15.75" customHeight="1" s="168">
      <c r="A320" s="2" t="n"/>
      <c r="B320" s="2" t="n"/>
      <c r="C320" s="2" t="n"/>
      <c r="D320" s="2" t="n"/>
      <c r="E320" s="28" t="n"/>
      <c r="F320" s="2" t="n"/>
      <c r="G320" s="2" t="n"/>
      <c r="H320" s="2" t="n"/>
      <c r="I320" s="28" t="n"/>
      <c r="J320" s="2" t="n"/>
      <c r="K320" s="2" t="n"/>
      <c r="L320" s="2" t="n"/>
      <c r="M320" s="2" t="n"/>
    </row>
    <row r="321" ht="15.75" customHeight="1" s="168">
      <c r="A321" s="2" t="n"/>
      <c r="B321" s="2" t="n"/>
      <c r="C321" s="2" t="n"/>
      <c r="D321" s="2" t="n"/>
      <c r="E321" s="28" t="n"/>
      <c r="F321" s="2" t="n"/>
      <c r="G321" s="2" t="n"/>
      <c r="H321" s="2" t="n"/>
      <c r="I321" s="28" t="n"/>
      <c r="J321" s="2" t="n"/>
      <c r="K321" s="2" t="n"/>
      <c r="L321" s="2" t="n"/>
      <c r="M321" s="2" t="n"/>
    </row>
    <row r="322" ht="15.75" customHeight="1" s="168">
      <c r="A322" s="2" t="n"/>
      <c r="B322" s="2" t="n"/>
      <c r="C322" s="2" t="n"/>
      <c r="D322" s="2" t="n"/>
      <c r="E322" s="28" t="n"/>
      <c r="F322" s="2" t="n"/>
      <c r="G322" s="2" t="n"/>
      <c r="H322" s="2" t="n"/>
      <c r="I322" s="28" t="n"/>
      <c r="J322" s="2" t="n"/>
      <c r="K322" s="2" t="n"/>
      <c r="L322" s="2" t="n"/>
      <c r="M322" s="2" t="n"/>
    </row>
    <row r="323" ht="15.75" customHeight="1" s="168">
      <c r="A323" s="2" t="n"/>
      <c r="B323" s="2" t="n"/>
      <c r="C323" s="2" t="n"/>
      <c r="D323" s="2" t="n"/>
      <c r="E323" s="28" t="n"/>
      <c r="F323" s="2" t="n"/>
      <c r="G323" s="2" t="n"/>
      <c r="H323" s="2" t="n"/>
      <c r="I323" s="28" t="n"/>
      <c r="J323" s="2" t="n"/>
      <c r="K323" s="2" t="n"/>
      <c r="L323" s="2" t="n"/>
      <c r="M323" s="2" t="n"/>
    </row>
    <row r="324" ht="15.75" customHeight="1" s="168">
      <c r="A324" s="2" t="n"/>
      <c r="B324" s="2" t="n"/>
      <c r="C324" s="2" t="n"/>
      <c r="D324" s="2" t="n"/>
      <c r="E324" s="28" t="n"/>
      <c r="F324" s="2" t="n"/>
      <c r="G324" s="2" t="n"/>
      <c r="H324" s="2" t="n"/>
      <c r="I324" s="28" t="n"/>
      <c r="J324" s="2" t="n"/>
      <c r="K324" s="2" t="n"/>
      <c r="L324" s="2" t="n"/>
      <c r="M324" s="2" t="n"/>
    </row>
    <row r="325" ht="15.75" customHeight="1" s="168">
      <c r="A325" s="2" t="n"/>
      <c r="B325" s="2" t="n"/>
      <c r="C325" s="2" t="n"/>
      <c r="D325" s="2" t="n"/>
      <c r="E325" s="28" t="n"/>
      <c r="F325" s="2" t="n"/>
      <c r="G325" s="2" t="n"/>
      <c r="H325" s="2" t="n"/>
      <c r="I325" s="28" t="n"/>
      <c r="J325" s="2" t="n"/>
      <c r="K325" s="2" t="n"/>
      <c r="L325" s="2" t="n"/>
      <c r="M325" s="2" t="n"/>
    </row>
    <row r="326" ht="15.75" customHeight="1" s="168">
      <c r="A326" s="2" t="n"/>
      <c r="B326" s="2" t="n"/>
      <c r="C326" s="2" t="n"/>
      <c r="D326" s="2" t="n"/>
      <c r="E326" s="28" t="n"/>
      <c r="F326" s="2" t="n"/>
      <c r="G326" s="2" t="n"/>
      <c r="H326" s="2" t="n"/>
      <c r="I326" s="28" t="n"/>
      <c r="J326" s="2" t="n"/>
      <c r="K326" s="2" t="n"/>
      <c r="L326" s="2" t="n"/>
      <c r="M326" s="2" t="n"/>
    </row>
    <row r="327" ht="15.75" customHeight="1" s="168">
      <c r="A327" s="2" t="n"/>
      <c r="B327" s="2" t="n"/>
      <c r="C327" s="2" t="n"/>
      <c r="D327" s="2" t="n"/>
      <c r="E327" s="28" t="n"/>
      <c r="F327" s="2" t="n"/>
      <c r="G327" s="2" t="n"/>
      <c r="H327" s="2" t="n"/>
      <c r="I327" s="28" t="n"/>
      <c r="J327" s="2" t="n"/>
      <c r="K327" s="2" t="n"/>
      <c r="L327" s="2" t="n"/>
      <c r="M327" s="2" t="n"/>
    </row>
    <row r="328" ht="15.75" customHeight="1" s="168">
      <c r="A328" s="2" t="n"/>
      <c r="B328" s="2" t="n"/>
      <c r="C328" s="2" t="n"/>
      <c r="D328" s="2" t="n"/>
      <c r="E328" s="28" t="n"/>
      <c r="F328" s="2" t="n"/>
      <c r="G328" s="2" t="n"/>
      <c r="H328" s="2" t="n"/>
      <c r="I328" s="28" t="n"/>
      <c r="J328" s="2" t="n"/>
      <c r="K328" s="2" t="n"/>
      <c r="L328" s="2" t="n"/>
      <c r="M328" s="2" t="n"/>
    </row>
    <row r="329" ht="15.75" customHeight="1" s="168">
      <c r="A329" s="2" t="n"/>
      <c r="B329" s="2" t="n"/>
      <c r="C329" s="2" t="n"/>
      <c r="D329" s="2" t="n"/>
      <c r="E329" s="28" t="n"/>
      <c r="F329" s="2" t="n"/>
      <c r="G329" s="2" t="n"/>
      <c r="H329" s="2" t="n"/>
      <c r="I329" s="28" t="n"/>
      <c r="J329" s="2" t="n"/>
      <c r="K329" s="2" t="n"/>
      <c r="L329" s="2" t="n"/>
      <c r="M329" s="2" t="n"/>
    </row>
    <row r="330" ht="15.75" customHeight="1" s="168">
      <c r="A330" s="2" t="n"/>
      <c r="B330" s="2" t="n"/>
      <c r="C330" s="2" t="n"/>
      <c r="D330" s="2" t="n"/>
      <c r="E330" s="28" t="n"/>
      <c r="F330" s="2" t="n"/>
      <c r="G330" s="2" t="n"/>
      <c r="H330" s="2" t="n"/>
      <c r="I330" s="28" t="n"/>
      <c r="J330" s="2" t="n"/>
      <c r="K330" s="2" t="n"/>
      <c r="L330" s="2" t="n"/>
      <c r="M330" s="2" t="n"/>
    </row>
    <row r="331" ht="15.75" customHeight="1" s="168">
      <c r="A331" s="2" t="n"/>
      <c r="B331" s="2" t="n"/>
      <c r="C331" s="2" t="n"/>
      <c r="D331" s="2" t="n"/>
      <c r="E331" s="28" t="n"/>
      <c r="F331" s="2" t="n"/>
      <c r="G331" s="2" t="n"/>
      <c r="H331" s="2" t="n"/>
      <c r="I331" s="28" t="n"/>
      <c r="J331" s="2" t="n"/>
      <c r="K331" s="2" t="n"/>
      <c r="L331" s="2" t="n"/>
      <c r="M331" s="2" t="n"/>
    </row>
    <row r="332" ht="15.75" customHeight="1" s="168">
      <c r="A332" s="2" t="n"/>
      <c r="B332" s="2" t="n"/>
      <c r="C332" s="2" t="n"/>
      <c r="D332" s="2" t="n"/>
      <c r="E332" s="28" t="n"/>
      <c r="F332" s="2" t="n"/>
      <c r="G332" s="2" t="n"/>
      <c r="H332" s="2" t="n"/>
      <c r="I332" s="28" t="n"/>
      <c r="J332" s="2" t="n"/>
      <c r="K332" s="2" t="n"/>
      <c r="L332" s="2" t="n"/>
      <c r="M332" s="2" t="n"/>
    </row>
    <row r="333" ht="15.75" customHeight="1" s="168">
      <c r="A333" s="2" t="n"/>
      <c r="B333" s="2" t="n"/>
      <c r="C333" s="2" t="n"/>
      <c r="D333" s="2" t="n"/>
      <c r="E333" s="28" t="n"/>
      <c r="F333" s="2" t="n"/>
      <c r="G333" s="2" t="n"/>
      <c r="H333" s="2" t="n"/>
      <c r="I333" s="28" t="n"/>
      <c r="J333" s="2" t="n"/>
      <c r="K333" s="2" t="n"/>
      <c r="L333" s="2" t="n"/>
      <c r="M333" s="2" t="n"/>
    </row>
    <row r="334" ht="15.75" customHeight="1" s="168">
      <c r="A334" s="2" t="n"/>
      <c r="B334" s="2" t="n"/>
      <c r="C334" s="2" t="n"/>
      <c r="D334" s="2" t="n"/>
      <c r="E334" s="28" t="n"/>
      <c r="F334" s="2" t="n"/>
      <c r="G334" s="2" t="n"/>
      <c r="H334" s="2" t="n"/>
      <c r="I334" s="28" t="n"/>
      <c r="J334" s="2" t="n"/>
      <c r="K334" s="2" t="n"/>
      <c r="L334" s="2" t="n"/>
      <c r="M334" s="2" t="n"/>
    </row>
    <row r="335" ht="15.75" customHeight="1" s="168">
      <c r="A335" s="2" t="n"/>
      <c r="B335" s="2" t="n"/>
      <c r="C335" s="2" t="n"/>
      <c r="D335" s="2" t="n"/>
      <c r="E335" s="28" t="n"/>
      <c r="F335" s="2" t="n"/>
      <c r="G335" s="2" t="n"/>
      <c r="H335" s="2" t="n"/>
      <c r="I335" s="28" t="n"/>
      <c r="J335" s="2" t="n"/>
      <c r="K335" s="2" t="n"/>
      <c r="L335" s="2" t="n"/>
      <c r="M335" s="2" t="n"/>
    </row>
    <row r="336" ht="15.75" customHeight="1" s="168">
      <c r="A336" s="2" t="n"/>
      <c r="B336" s="2" t="n"/>
      <c r="C336" s="2" t="n"/>
      <c r="D336" s="2" t="n"/>
      <c r="E336" s="28" t="n"/>
      <c r="F336" s="2" t="n"/>
      <c r="G336" s="2" t="n"/>
      <c r="H336" s="2" t="n"/>
      <c r="I336" s="28" t="n"/>
      <c r="J336" s="2" t="n"/>
      <c r="K336" s="2" t="n"/>
      <c r="L336" s="2" t="n"/>
      <c r="M336" s="2" t="n"/>
    </row>
    <row r="337" ht="15.75" customHeight="1" s="168">
      <c r="A337" s="2" t="n"/>
      <c r="B337" s="2" t="n"/>
      <c r="C337" s="2" t="n"/>
      <c r="D337" s="2" t="n"/>
      <c r="E337" s="28" t="n"/>
      <c r="F337" s="2" t="n"/>
      <c r="G337" s="2" t="n"/>
      <c r="H337" s="2" t="n"/>
      <c r="I337" s="28" t="n"/>
      <c r="J337" s="2" t="n"/>
      <c r="K337" s="2" t="n"/>
      <c r="L337" s="2" t="n"/>
      <c r="M337" s="2" t="n"/>
    </row>
    <row r="338" ht="15.75" customHeight="1" s="168">
      <c r="A338" s="2" t="n"/>
      <c r="B338" s="2" t="n"/>
      <c r="C338" s="2" t="n"/>
      <c r="D338" s="2" t="n"/>
      <c r="E338" s="28" t="n"/>
      <c r="F338" s="2" t="n"/>
      <c r="G338" s="2" t="n"/>
      <c r="H338" s="2" t="n"/>
      <c r="I338" s="28" t="n"/>
      <c r="J338" s="2" t="n"/>
      <c r="K338" s="2" t="n"/>
      <c r="L338" s="2" t="n"/>
      <c r="M338" s="2" t="n"/>
    </row>
    <row r="339" ht="15.75" customHeight="1" s="168">
      <c r="A339" s="2" t="n"/>
      <c r="B339" s="2" t="n"/>
      <c r="C339" s="2" t="n"/>
      <c r="D339" s="2" t="n"/>
      <c r="E339" s="28" t="n"/>
      <c r="F339" s="2" t="n"/>
      <c r="G339" s="2" t="n"/>
      <c r="H339" s="2" t="n"/>
      <c r="I339" s="28" t="n"/>
      <c r="J339" s="2" t="n"/>
      <c r="K339" s="2" t="n"/>
      <c r="L339" s="2" t="n"/>
      <c r="M339" s="2" t="n"/>
    </row>
    <row r="340" ht="15.75" customHeight="1" s="168">
      <c r="A340" s="2" t="n"/>
      <c r="B340" s="2" t="n"/>
      <c r="C340" s="2" t="n"/>
      <c r="D340" s="2" t="n"/>
      <c r="E340" s="28" t="n"/>
      <c r="F340" s="2" t="n"/>
      <c r="G340" s="2" t="n"/>
      <c r="H340" s="2" t="n"/>
      <c r="I340" s="28" t="n"/>
      <c r="J340" s="2" t="n"/>
      <c r="K340" s="2" t="n"/>
      <c r="L340" s="2" t="n"/>
      <c r="M340" s="2" t="n"/>
    </row>
    <row r="341" ht="15.75" customHeight="1" s="168">
      <c r="A341" s="2" t="n"/>
      <c r="B341" s="2" t="n"/>
      <c r="C341" s="2" t="n"/>
      <c r="D341" s="2" t="n"/>
      <c r="E341" s="28" t="n"/>
      <c r="F341" s="2" t="n"/>
      <c r="G341" s="2" t="n"/>
      <c r="H341" s="2" t="n"/>
      <c r="I341" s="28" t="n"/>
      <c r="J341" s="2" t="n"/>
      <c r="K341" s="2" t="n"/>
      <c r="L341" s="2" t="n"/>
      <c r="M341" s="2" t="n"/>
    </row>
    <row r="342" ht="15.75" customHeight="1" s="168">
      <c r="A342" s="2" t="n"/>
      <c r="B342" s="2" t="n"/>
      <c r="C342" s="2" t="n"/>
      <c r="D342" s="2" t="n"/>
      <c r="E342" s="28" t="n"/>
      <c r="F342" s="2" t="n"/>
      <c r="G342" s="2" t="n"/>
      <c r="H342" s="2" t="n"/>
      <c r="I342" s="28" t="n"/>
      <c r="J342" s="2" t="n"/>
      <c r="K342" s="2" t="n"/>
      <c r="L342" s="2" t="n"/>
      <c r="M342" s="2" t="n"/>
    </row>
    <row r="343" ht="15.75" customHeight="1" s="168">
      <c r="A343" s="2" t="n"/>
      <c r="B343" s="2" t="n"/>
      <c r="C343" s="2" t="n"/>
      <c r="D343" s="2" t="n"/>
      <c r="E343" s="28" t="n"/>
      <c r="F343" s="2" t="n"/>
      <c r="G343" s="2" t="n"/>
      <c r="H343" s="2" t="n"/>
      <c r="I343" s="28" t="n"/>
      <c r="J343" s="2" t="n"/>
      <c r="K343" s="2" t="n"/>
      <c r="L343" s="2" t="n"/>
      <c r="M343" s="2" t="n"/>
    </row>
    <row r="344" ht="15.75" customHeight="1" s="168">
      <c r="A344" s="2" t="n"/>
      <c r="B344" s="2" t="n"/>
      <c r="C344" s="2" t="n"/>
      <c r="D344" s="2" t="n"/>
      <c r="E344" s="28" t="n"/>
      <c r="F344" s="2" t="n"/>
      <c r="G344" s="2" t="n"/>
      <c r="H344" s="2" t="n"/>
      <c r="I344" s="28" t="n"/>
      <c r="J344" s="2" t="n"/>
      <c r="K344" s="2" t="n"/>
      <c r="L344" s="2" t="n"/>
      <c r="M344" s="2" t="n"/>
    </row>
    <row r="345" ht="15.75" customHeight="1" s="168">
      <c r="A345" s="2" t="n"/>
      <c r="B345" s="2" t="n"/>
      <c r="C345" s="2" t="n"/>
      <c r="D345" s="2" t="n"/>
      <c r="E345" s="28" t="n"/>
      <c r="F345" s="2" t="n"/>
      <c r="G345" s="2" t="n"/>
      <c r="H345" s="2" t="n"/>
      <c r="I345" s="28" t="n"/>
      <c r="J345" s="2" t="n"/>
      <c r="K345" s="2" t="n"/>
      <c r="L345" s="2" t="n"/>
      <c r="M345" s="2" t="n"/>
    </row>
    <row r="346" ht="15.75" customHeight="1" s="168">
      <c r="A346" s="2" t="n"/>
      <c r="B346" s="2" t="n"/>
      <c r="C346" s="2" t="n"/>
      <c r="D346" s="2" t="n"/>
      <c r="E346" s="28" t="n"/>
      <c r="F346" s="2" t="n"/>
      <c r="G346" s="2" t="n"/>
      <c r="H346" s="2" t="n"/>
      <c r="I346" s="28" t="n"/>
      <c r="J346" s="2" t="n"/>
      <c r="K346" s="2" t="n"/>
      <c r="L346" s="2" t="n"/>
      <c r="M346" s="2" t="n"/>
    </row>
    <row r="347" ht="15.75" customHeight="1" s="168">
      <c r="A347" s="2" t="n"/>
      <c r="B347" s="2" t="n"/>
      <c r="C347" s="2" t="n"/>
      <c r="D347" s="2" t="n"/>
      <c r="E347" s="28" t="n"/>
      <c r="F347" s="2" t="n"/>
      <c r="G347" s="2" t="n"/>
      <c r="H347" s="2" t="n"/>
      <c r="I347" s="28" t="n"/>
      <c r="J347" s="2" t="n"/>
      <c r="K347" s="2" t="n"/>
      <c r="L347" s="2" t="n"/>
      <c r="M347" s="2" t="n"/>
    </row>
    <row r="348" ht="15.75" customHeight="1" s="168">
      <c r="A348" s="2" t="n"/>
      <c r="B348" s="2" t="n"/>
      <c r="C348" s="2" t="n"/>
      <c r="D348" s="2" t="n"/>
      <c r="E348" s="28" t="n"/>
      <c r="F348" s="2" t="n"/>
      <c r="G348" s="2" t="n"/>
      <c r="H348" s="2" t="n"/>
      <c r="I348" s="28" t="n"/>
      <c r="J348" s="2" t="n"/>
      <c r="K348" s="2" t="n"/>
      <c r="L348" s="2" t="n"/>
      <c r="M348" s="2" t="n"/>
    </row>
    <row r="349" ht="15.75" customHeight="1" s="168">
      <c r="A349" s="2" t="n"/>
      <c r="B349" s="2" t="n"/>
      <c r="C349" s="2" t="n"/>
      <c r="D349" s="2" t="n"/>
      <c r="E349" s="28" t="n"/>
      <c r="F349" s="2" t="n"/>
      <c r="G349" s="2" t="n"/>
      <c r="H349" s="2" t="n"/>
      <c r="I349" s="28" t="n"/>
      <c r="J349" s="2" t="n"/>
      <c r="K349" s="2" t="n"/>
      <c r="L349" s="2" t="n"/>
      <c r="M349" s="2" t="n"/>
    </row>
    <row r="350" ht="15.75" customHeight="1" s="168">
      <c r="A350" s="2" t="n"/>
      <c r="B350" s="2" t="n"/>
      <c r="C350" s="2" t="n"/>
      <c r="D350" s="2" t="n"/>
      <c r="E350" s="28" t="n"/>
      <c r="F350" s="2" t="n"/>
      <c r="G350" s="2" t="n"/>
      <c r="H350" s="2" t="n"/>
      <c r="I350" s="28" t="n"/>
      <c r="J350" s="2" t="n"/>
      <c r="K350" s="2" t="n"/>
      <c r="L350" s="2" t="n"/>
      <c r="M350" s="2" t="n"/>
    </row>
    <row r="351" ht="15.75" customHeight="1" s="168">
      <c r="A351" s="2" t="n"/>
      <c r="B351" s="2" t="n"/>
      <c r="C351" s="2" t="n"/>
      <c r="D351" s="2" t="n"/>
      <c r="E351" s="28" t="n"/>
      <c r="F351" s="2" t="n"/>
      <c r="G351" s="2" t="n"/>
      <c r="H351" s="2" t="n"/>
      <c r="I351" s="28" t="n"/>
      <c r="J351" s="2" t="n"/>
      <c r="K351" s="2" t="n"/>
      <c r="L351" s="2" t="n"/>
      <c r="M351" s="2" t="n"/>
    </row>
    <row r="352" ht="15.75" customHeight="1" s="168">
      <c r="A352" s="2" t="n"/>
      <c r="B352" s="2" t="n"/>
      <c r="C352" s="2" t="n"/>
      <c r="D352" s="2" t="n"/>
      <c r="E352" s="28" t="n"/>
      <c r="F352" s="2" t="n"/>
      <c r="G352" s="2" t="n"/>
      <c r="H352" s="2" t="n"/>
      <c r="I352" s="28" t="n"/>
      <c r="J352" s="2" t="n"/>
      <c r="K352" s="2" t="n"/>
      <c r="L352" s="2" t="n"/>
      <c r="M352" s="2" t="n"/>
    </row>
    <row r="353" ht="15.75" customHeight="1" s="168">
      <c r="A353" s="2" t="n"/>
      <c r="B353" s="2" t="n"/>
      <c r="C353" s="2" t="n"/>
      <c r="D353" s="2" t="n"/>
      <c r="E353" s="28" t="n"/>
      <c r="F353" s="2" t="n"/>
      <c r="G353" s="2" t="n"/>
      <c r="H353" s="2" t="n"/>
      <c r="I353" s="28" t="n"/>
      <c r="J353" s="2" t="n"/>
      <c r="K353" s="2" t="n"/>
      <c r="L353" s="2" t="n"/>
      <c r="M353" s="2" t="n"/>
    </row>
    <row r="354" ht="15.75" customHeight="1" s="168">
      <c r="A354" s="2" t="n"/>
      <c r="B354" s="2" t="n"/>
      <c r="C354" s="2" t="n"/>
      <c r="D354" s="2" t="n"/>
      <c r="E354" s="28" t="n"/>
      <c r="F354" s="2" t="n"/>
      <c r="G354" s="2" t="n"/>
      <c r="H354" s="2" t="n"/>
      <c r="I354" s="28" t="n"/>
      <c r="J354" s="2" t="n"/>
      <c r="K354" s="2" t="n"/>
      <c r="L354" s="2" t="n"/>
      <c r="M354" s="2" t="n"/>
    </row>
    <row r="355" ht="15.75" customHeight="1" s="168">
      <c r="A355" s="2" t="n"/>
      <c r="B355" s="2" t="n"/>
      <c r="C355" s="2" t="n"/>
      <c r="D355" s="2" t="n"/>
      <c r="E355" s="28" t="n"/>
      <c r="F355" s="2" t="n"/>
      <c r="G355" s="2" t="n"/>
      <c r="H355" s="2" t="n"/>
      <c r="I355" s="28" t="n"/>
      <c r="J355" s="2" t="n"/>
      <c r="K355" s="2" t="n"/>
      <c r="L355" s="2" t="n"/>
      <c r="M355" s="2" t="n"/>
    </row>
    <row r="356" ht="15.75" customHeight="1" s="168">
      <c r="A356" s="2" t="n"/>
      <c r="B356" s="2" t="n"/>
      <c r="C356" s="2" t="n"/>
      <c r="D356" s="2" t="n"/>
      <c r="E356" s="28" t="n"/>
      <c r="F356" s="2" t="n"/>
      <c r="G356" s="2" t="n"/>
      <c r="H356" s="2" t="n"/>
      <c r="I356" s="28" t="n"/>
      <c r="J356" s="2" t="n"/>
      <c r="K356" s="2" t="n"/>
      <c r="L356" s="2" t="n"/>
      <c r="M356" s="2" t="n"/>
    </row>
    <row r="357" ht="15.75" customHeight="1" s="168">
      <c r="A357" s="2" t="n"/>
      <c r="B357" s="2" t="n"/>
      <c r="C357" s="2" t="n"/>
      <c r="D357" s="2" t="n"/>
      <c r="E357" s="28" t="n"/>
      <c r="F357" s="2" t="n"/>
      <c r="G357" s="2" t="n"/>
      <c r="H357" s="2" t="n"/>
      <c r="I357" s="28" t="n"/>
      <c r="J357" s="2" t="n"/>
      <c r="K357" s="2" t="n"/>
      <c r="L357" s="2" t="n"/>
      <c r="M357" s="2" t="n"/>
    </row>
    <row r="358" ht="15.75" customHeight="1" s="168">
      <c r="A358" s="2" t="n"/>
      <c r="B358" s="2" t="n"/>
      <c r="C358" s="2" t="n"/>
      <c r="D358" s="2" t="n"/>
      <c r="E358" s="28" t="n"/>
      <c r="F358" s="2" t="n"/>
      <c r="G358" s="2" t="n"/>
      <c r="H358" s="2" t="n"/>
      <c r="I358" s="28" t="n"/>
      <c r="J358" s="2" t="n"/>
      <c r="K358" s="2" t="n"/>
      <c r="L358" s="2" t="n"/>
      <c r="M358" s="2" t="n"/>
    </row>
    <row r="359" ht="15.75" customHeight="1" s="168">
      <c r="A359" s="2" t="n"/>
      <c r="B359" s="2" t="n"/>
      <c r="C359" s="2" t="n"/>
      <c r="D359" s="2" t="n"/>
      <c r="E359" s="28" t="n"/>
      <c r="F359" s="2" t="n"/>
      <c r="G359" s="2" t="n"/>
      <c r="H359" s="2" t="n"/>
      <c r="I359" s="28" t="n"/>
      <c r="J359" s="2" t="n"/>
      <c r="K359" s="2" t="n"/>
      <c r="L359" s="2" t="n"/>
      <c r="M359" s="2" t="n"/>
    </row>
    <row r="360" ht="15.75" customHeight="1" s="168">
      <c r="A360" s="2" t="n"/>
      <c r="B360" s="2" t="n"/>
      <c r="C360" s="2" t="n"/>
      <c r="D360" s="2" t="n"/>
      <c r="E360" s="28" t="n"/>
      <c r="F360" s="2" t="n"/>
      <c r="G360" s="2" t="n"/>
      <c r="H360" s="2" t="n"/>
      <c r="I360" s="28" t="n"/>
      <c r="J360" s="2" t="n"/>
      <c r="K360" s="2" t="n"/>
      <c r="L360" s="2" t="n"/>
      <c r="M360" s="2" t="n"/>
    </row>
    <row r="361" ht="15.75" customHeight="1" s="168">
      <c r="A361" s="2" t="n"/>
      <c r="B361" s="2" t="n"/>
      <c r="C361" s="2" t="n"/>
      <c r="D361" s="2" t="n"/>
      <c r="E361" s="28" t="n"/>
      <c r="F361" s="2" t="n"/>
      <c r="G361" s="2" t="n"/>
      <c r="H361" s="2" t="n"/>
      <c r="I361" s="28" t="n"/>
      <c r="J361" s="2" t="n"/>
      <c r="K361" s="2" t="n"/>
      <c r="L361" s="2" t="n"/>
      <c r="M361" s="2" t="n"/>
    </row>
    <row r="362" ht="15.75" customHeight="1" s="168">
      <c r="A362" s="2" t="n"/>
      <c r="B362" s="2" t="n"/>
      <c r="C362" s="2" t="n"/>
      <c r="D362" s="2" t="n"/>
      <c r="E362" s="28" t="n"/>
      <c r="F362" s="2" t="n"/>
      <c r="G362" s="2" t="n"/>
      <c r="H362" s="2" t="n"/>
      <c r="I362" s="28" t="n"/>
      <c r="J362" s="2" t="n"/>
      <c r="K362" s="2" t="n"/>
      <c r="L362" s="2" t="n"/>
      <c r="M362" s="2" t="n"/>
    </row>
    <row r="363" ht="15.75" customHeight="1" s="168">
      <c r="A363" s="2" t="n"/>
      <c r="B363" s="2" t="n"/>
      <c r="C363" s="2" t="n"/>
      <c r="D363" s="2" t="n"/>
      <c r="E363" s="28" t="n"/>
      <c r="F363" s="2" t="n"/>
      <c r="G363" s="2" t="n"/>
      <c r="H363" s="2" t="n"/>
      <c r="I363" s="28" t="n"/>
      <c r="J363" s="2" t="n"/>
      <c r="K363" s="2" t="n"/>
      <c r="L363" s="2" t="n"/>
      <c r="M363" s="2" t="n"/>
    </row>
    <row r="364" ht="15.75" customHeight="1" s="168">
      <c r="A364" s="2" t="n"/>
      <c r="B364" s="2" t="n"/>
      <c r="C364" s="2" t="n"/>
      <c r="D364" s="2" t="n"/>
      <c r="E364" s="28" t="n"/>
      <c r="F364" s="2" t="n"/>
      <c r="G364" s="2" t="n"/>
      <c r="H364" s="2" t="n"/>
      <c r="I364" s="28" t="n"/>
      <c r="J364" s="2" t="n"/>
      <c r="K364" s="2" t="n"/>
      <c r="L364" s="2" t="n"/>
      <c r="M364" s="2" t="n"/>
    </row>
    <row r="365" ht="15.75" customHeight="1" s="168">
      <c r="A365" s="2" t="n"/>
      <c r="B365" s="2" t="n"/>
      <c r="C365" s="2" t="n"/>
      <c r="D365" s="2" t="n"/>
      <c r="E365" s="28" t="n"/>
      <c r="F365" s="2" t="n"/>
      <c r="G365" s="2" t="n"/>
      <c r="H365" s="2" t="n"/>
      <c r="I365" s="28" t="n"/>
      <c r="J365" s="2" t="n"/>
      <c r="K365" s="2" t="n"/>
      <c r="L365" s="2" t="n"/>
      <c r="M365" s="2" t="n"/>
    </row>
    <row r="366" ht="15.75" customHeight="1" s="168">
      <c r="A366" s="2" t="n"/>
      <c r="B366" s="2" t="n"/>
      <c r="C366" s="2" t="n"/>
      <c r="D366" s="2" t="n"/>
      <c r="E366" s="28" t="n"/>
      <c r="F366" s="2" t="n"/>
      <c r="G366" s="2" t="n"/>
      <c r="H366" s="2" t="n"/>
      <c r="I366" s="28" t="n"/>
      <c r="J366" s="2" t="n"/>
      <c r="K366" s="2" t="n"/>
      <c r="L366" s="2" t="n"/>
      <c r="M366" s="2" t="n"/>
    </row>
    <row r="367" ht="15.75" customHeight="1" s="168">
      <c r="A367" s="2" t="n"/>
      <c r="B367" s="2" t="n"/>
      <c r="C367" s="2" t="n"/>
      <c r="D367" s="2" t="n"/>
      <c r="E367" s="28" t="n"/>
      <c r="F367" s="2" t="n"/>
      <c r="G367" s="2" t="n"/>
      <c r="H367" s="2" t="n"/>
      <c r="I367" s="28" t="n"/>
      <c r="J367" s="2" t="n"/>
      <c r="K367" s="2" t="n"/>
      <c r="L367" s="2" t="n"/>
      <c r="M367" s="2" t="n"/>
    </row>
    <row r="368" ht="15.75" customHeight="1" s="168">
      <c r="A368" s="2" t="n"/>
      <c r="B368" s="2" t="n"/>
      <c r="C368" s="2" t="n"/>
      <c r="D368" s="2" t="n"/>
      <c r="E368" s="28" t="n"/>
      <c r="F368" s="2" t="n"/>
      <c r="G368" s="2" t="n"/>
      <c r="H368" s="2" t="n"/>
      <c r="I368" s="28" t="n"/>
      <c r="J368" s="2" t="n"/>
      <c r="K368" s="2" t="n"/>
      <c r="L368" s="2" t="n"/>
      <c r="M368" s="2" t="n"/>
    </row>
    <row r="369" ht="15.75" customHeight="1" s="168">
      <c r="A369" s="2" t="n"/>
      <c r="B369" s="2" t="n"/>
      <c r="C369" s="2" t="n"/>
      <c r="D369" s="2" t="n"/>
      <c r="E369" s="28" t="n"/>
      <c r="F369" s="2" t="n"/>
      <c r="G369" s="2" t="n"/>
      <c r="H369" s="2" t="n"/>
      <c r="I369" s="28" t="n"/>
      <c r="J369" s="2" t="n"/>
      <c r="K369" s="2" t="n"/>
      <c r="L369" s="2" t="n"/>
      <c r="M369" s="2" t="n"/>
    </row>
    <row r="370" ht="15.75" customHeight="1" s="168">
      <c r="A370" s="2" t="n"/>
      <c r="B370" s="2" t="n"/>
      <c r="C370" s="2" t="n"/>
      <c r="D370" s="2" t="n"/>
      <c r="E370" s="28" t="n"/>
      <c r="F370" s="2" t="n"/>
      <c r="G370" s="2" t="n"/>
      <c r="H370" s="2" t="n"/>
      <c r="I370" s="28" t="n"/>
      <c r="J370" s="2" t="n"/>
      <c r="K370" s="2" t="n"/>
      <c r="L370" s="2" t="n"/>
      <c r="M370" s="2" t="n"/>
    </row>
    <row r="371" ht="15.75" customHeight="1" s="168">
      <c r="A371" s="2" t="n"/>
      <c r="B371" s="2" t="n"/>
      <c r="C371" s="2" t="n"/>
      <c r="D371" s="2" t="n"/>
      <c r="E371" s="28" t="n"/>
      <c r="F371" s="2" t="n"/>
      <c r="G371" s="2" t="n"/>
      <c r="H371" s="2" t="n"/>
      <c r="I371" s="28" t="n"/>
      <c r="J371" s="2" t="n"/>
      <c r="K371" s="2" t="n"/>
      <c r="L371" s="2" t="n"/>
      <c r="M371" s="2" t="n"/>
    </row>
    <row r="372" ht="15.75" customHeight="1" s="168">
      <c r="A372" s="2" t="n"/>
      <c r="B372" s="2" t="n"/>
      <c r="C372" s="2" t="n"/>
      <c r="D372" s="2" t="n"/>
      <c r="E372" s="28" t="n"/>
      <c r="F372" s="2" t="n"/>
      <c r="G372" s="2" t="n"/>
      <c r="H372" s="2" t="n"/>
      <c r="I372" s="28" t="n"/>
      <c r="J372" s="2" t="n"/>
      <c r="K372" s="2" t="n"/>
      <c r="L372" s="2" t="n"/>
      <c r="M372" s="2" t="n"/>
    </row>
    <row r="373" ht="15.75" customHeight="1" s="168">
      <c r="A373" s="2" t="n"/>
      <c r="B373" s="2" t="n"/>
      <c r="C373" s="2" t="n"/>
      <c r="D373" s="2" t="n"/>
      <c r="E373" s="28" t="n"/>
      <c r="F373" s="2" t="n"/>
      <c r="G373" s="2" t="n"/>
      <c r="H373" s="2" t="n"/>
      <c r="I373" s="28" t="n"/>
      <c r="J373" s="2" t="n"/>
      <c r="K373" s="2" t="n"/>
      <c r="L373" s="2" t="n"/>
      <c r="M373" s="2" t="n"/>
    </row>
    <row r="374" ht="15.75" customHeight="1" s="168">
      <c r="A374" s="2" t="n"/>
      <c r="B374" s="2" t="n"/>
      <c r="C374" s="2" t="n"/>
      <c r="D374" s="2" t="n"/>
      <c r="E374" s="28" t="n"/>
      <c r="F374" s="2" t="n"/>
      <c r="G374" s="2" t="n"/>
      <c r="H374" s="2" t="n"/>
      <c r="I374" s="28" t="n"/>
      <c r="J374" s="2" t="n"/>
      <c r="K374" s="2" t="n"/>
      <c r="L374" s="2" t="n"/>
      <c r="M374" s="2" t="n"/>
    </row>
    <row r="375" ht="15.75" customHeight="1" s="168">
      <c r="A375" s="2" t="n"/>
      <c r="B375" s="2" t="n"/>
      <c r="C375" s="2" t="n"/>
      <c r="D375" s="2" t="n"/>
      <c r="E375" s="28" t="n"/>
      <c r="F375" s="2" t="n"/>
      <c r="G375" s="2" t="n"/>
      <c r="H375" s="2" t="n"/>
      <c r="I375" s="28" t="n"/>
      <c r="J375" s="2" t="n"/>
      <c r="K375" s="2" t="n"/>
      <c r="L375" s="2" t="n"/>
      <c r="M375" s="2" t="n"/>
    </row>
    <row r="376" ht="15.75" customHeight="1" s="168">
      <c r="A376" s="2" t="n"/>
      <c r="B376" s="2" t="n"/>
      <c r="C376" s="2" t="n"/>
      <c r="D376" s="2" t="n"/>
      <c r="E376" s="28" t="n"/>
      <c r="F376" s="2" t="n"/>
      <c r="G376" s="2" t="n"/>
      <c r="H376" s="2" t="n"/>
      <c r="I376" s="28" t="n"/>
      <c r="J376" s="2" t="n"/>
      <c r="K376" s="2" t="n"/>
      <c r="L376" s="2" t="n"/>
      <c r="M376" s="2" t="n"/>
    </row>
    <row r="377" ht="15.75" customHeight="1" s="168">
      <c r="A377" s="2" t="n"/>
      <c r="B377" s="2" t="n"/>
      <c r="C377" s="2" t="n"/>
      <c r="D377" s="2" t="n"/>
      <c r="E377" s="28" t="n"/>
      <c r="F377" s="2" t="n"/>
      <c r="G377" s="2" t="n"/>
      <c r="H377" s="2" t="n"/>
      <c r="I377" s="28" t="n"/>
      <c r="J377" s="2" t="n"/>
      <c r="K377" s="2" t="n"/>
      <c r="L377" s="2" t="n"/>
      <c r="M377" s="2" t="n"/>
    </row>
    <row r="378" ht="15.75" customHeight="1" s="168">
      <c r="A378" s="2" t="n"/>
      <c r="B378" s="2" t="n"/>
      <c r="C378" s="2" t="n"/>
      <c r="D378" s="2" t="n"/>
      <c r="E378" s="28" t="n"/>
      <c r="F378" s="2" t="n"/>
      <c r="G378" s="2" t="n"/>
      <c r="H378" s="2" t="n"/>
      <c r="I378" s="28" t="n"/>
      <c r="J378" s="2" t="n"/>
      <c r="K378" s="2" t="n"/>
      <c r="L378" s="2" t="n"/>
      <c r="M378" s="2" t="n"/>
    </row>
    <row r="379" ht="15.75" customHeight="1" s="168">
      <c r="A379" s="2" t="n"/>
      <c r="B379" s="2" t="n"/>
      <c r="C379" s="2" t="n"/>
      <c r="D379" s="2" t="n"/>
      <c r="E379" s="28" t="n"/>
      <c r="F379" s="2" t="n"/>
      <c r="G379" s="2" t="n"/>
      <c r="H379" s="2" t="n"/>
      <c r="I379" s="28" t="n"/>
      <c r="J379" s="2" t="n"/>
      <c r="K379" s="2" t="n"/>
      <c r="L379" s="2" t="n"/>
      <c r="M379" s="2" t="n"/>
    </row>
    <row r="380" ht="15.75" customHeight="1" s="168">
      <c r="A380" s="2" t="n"/>
      <c r="B380" s="2" t="n"/>
      <c r="C380" s="2" t="n"/>
      <c r="D380" s="2" t="n"/>
      <c r="E380" s="28" t="n"/>
      <c r="F380" s="2" t="n"/>
      <c r="G380" s="2" t="n"/>
      <c r="H380" s="2" t="n"/>
      <c r="I380" s="28" t="n"/>
      <c r="J380" s="2" t="n"/>
      <c r="K380" s="2" t="n"/>
      <c r="L380" s="2" t="n"/>
      <c r="M380" s="2" t="n"/>
    </row>
    <row r="381" ht="15.75" customHeight="1" s="168">
      <c r="A381" s="2" t="n"/>
      <c r="B381" s="2" t="n"/>
      <c r="C381" s="2" t="n"/>
      <c r="D381" s="2" t="n"/>
      <c r="E381" s="28" t="n"/>
      <c r="F381" s="2" t="n"/>
      <c r="G381" s="2" t="n"/>
      <c r="H381" s="2" t="n"/>
      <c r="I381" s="28" t="n"/>
      <c r="J381" s="2" t="n"/>
      <c r="K381" s="2" t="n"/>
      <c r="L381" s="2" t="n"/>
      <c r="M381" s="2" t="n"/>
    </row>
    <row r="382" ht="15.75" customHeight="1" s="168">
      <c r="A382" s="2" t="n"/>
      <c r="B382" s="2" t="n"/>
      <c r="C382" s="2" t="n"/>
      <c r="D382" s="2" t="n"/>
      <c r="E382" s="28" t="n"/>
      <c r="F382" s="2" t="n"/>
      <c r="G382" s="2" t="n"/>
      <c r="H382" s="2" t="n"/>
      <c r="I382" s="28" t="n"/>
      <c r="J382" s="2" t="n"/>
      <c r="K382" s="2" t="n"/>
      <c r="L382" s="2" t="n"/>
      <c r="M382" s="2" t="n"/>
    </row>
    <row r="383" ht="15.75" customHeight="1" s="168">
      <c r="A383" s="2" t="n"/>
      <c r="B383" s="2" t="n"/>
      <c r="C383" s="2" t="n"/>
      <c r="D383" s="2" t="n"/>
      <c r="E383" s="28" t="n"/>
      <c r="F383" s="2" t="n"/>
      <c r="G383" s="2" t="n"/>
      <c r="H383" s="2" t="n"/>
      <c r="I383" s="28" t="n"/>
      <c r="J383" s="2" t="n"/>
      <c r="K383" s="2" t="n"/>
      <c r="L383" s="2" t="n"/>
      <c r="M383" s="2" t="n"/>
    </row>
    <row r="384" ht="15.75" customHeight="1" s="168">
      <c r="A384" s="2" t="n"/>
      <c r="B384" s="2" t="n"/>
      <c r="C384" s="2" t="n"/>
      <c r="D384" s="2" t="n"/>
      <c r="E384" s="28" t="n"/>
      <c r="F384" s="2" t="n"/>
      <c r="G384" s="2" t="n"/>
      <c r="H384" s="2" t="n"/>
      <c r="I384" s="28" t="n"/>
      <c r="J384" s="2" t="n"/>
      <c r="K384" s="2" t="n"/>
      <c r="L384" s="2" t="n"/>
      <c r="M384" s="2" t="n"/>
    </row>
    <row r="385" ht="15.75" customHeight="1" s="168">
      <c r="A385" s="2" t="n"/>
      <c r="B385" s="2" t="n"/>
      <c r="C385" s="2" t="n"/>
      <c r="D385" s="2" t="n"/>
      <c r="E385" s="28" t="n"/>
      <c r="F385" s="2" t="n"/>
      <c r="G385" s="2" t="n"/>
      <c r="H385" s="2" t="n"/>
      <c r="I385" s="28" t="n"/>
      <c r="J385" s="2" t="n"/>
      <c r="K385" s="2" t="n"/>
      <c r="L385" s="2" t="n"/>
      <c r="M385" s="2" t="n"/>
    </row>
    <row r="386" ht="15.75" customHeight="1" s="168">
      <c r="A386" s="2" t="n"/>
      <c r="B386" s="2" t="n"/>
      <c r="C386" s="2" t="n"/>
      <c r="D386" s="2" t="n"/>
      <c r="E386" s="28" t="n"/>
      <c r="F386" s="2" t="n"/>
      <c r="G386" s="2" t="n"/>
      <c r="H386" s="2" t="n"/>
      <c r="I386" s="28" t="n"/>
      <c r="J386" s="2" t="n"/>
      <c r="K386" s="2" t="n"/>
      <c r="L386" s="2" t="n"/>
      <c r="M386" s="2" t="n"/>
    </row>
    <row r="387" ht="15.75" customHeight="1" s="168">
      <c r="A387" s="2" t="n"/>
      <c r="B387" s="2" t="n"/>
      <c r="C387" s="2" t="n"/>
      <c r="D387" s="2" t="n"/>
      <c r="E387" s="28" t="n"/>
      <c r="F387" s="2" t="n"/>
      <c r="G387" s="2" t="n"/>
      <c r="H387" s="2" t="n"/>
      <c r="I387" s="28" t="n"/>
      <c r="J387" s="2" t="n"/>
      <c r="K387" s="2" t="n"/>
      <c r="L387" s="2" t="n"/>
      <c r="M387" s="2" t="n"/>
    </row>
    <row r="388" ht="15.75" customHeight="1" s="168">
      <c r="A388" s="2" t="n"/>
      <c r="B388" s="2" t="n"/>
      <c r="C388" s="2" t="n"/>
      <c r="D388" s="2" t="n"/>
      <c r="E388" s="28" t="n"/>
      <c r="F388" s="2" t="n"/>
      <c r="G388" s="2" t="n"/>
      <c r="H388" s="2" t="n"/>
      <c r="I388" s="28" t="n"/>
      <c r="J388" s="2" t="n"/>
      <c r="K388" s="2" t="n"/>
      <c r="L388" s="2" t="n"/>
      <c r="M388" s="2" t="n"/>
    </row>
    <row r="389" ht="15.75" customHeight="1" s="168">
      <c r="A389" s="2" t="n"/>
      <c r="B389" s="2" t="n"/>
      <c r="C389" s="2" t="n"/>
      <c r="D389" s="2" t="n"/>
      <c r="E389" s="28" t="n"/>
      <c r="F389" s="2" t="n"/>
      <c r="G389" s="2" t="n"/>
      <c r="H389" s="2" t="n"/>
      <c r="I389" s="28" t="n"/>
      <c r="J389" s="2" t="n"/>
      <c r="K389" s="2" t="n"/>
      <c r="L389" s="2" t="n"/>
      <c r="M389" s="2" t="n"/>
    </row>
    <row r="390" ht="15.75" customHeight="1" s="168">
      <c r="A390" s="2" t="n"/>
      <c r="B390" s="2" t="n"/>
      <c r="C390" s="2" t="n"/>
      <c r="D390" s="2" t="n"/>
      <c r="E390" s="28" t="n"/>
      <c r="F390" s="2" t="n"/>
      <c r="G390" s="2" t="n"/>
      <c r="H390" s="2" t="n"/>
      <c r="I390" s="28" t="n"/>
      <c r="J390" s="2" t="n"/>
      <c r="K390" s="2" t="n"/>
      <c r="L390" s="2" t="n"/>
      <c r="M390" s="2" t="n"/>
    </row>
    <row r="391" ht="15.75" customHeight="1" s="168">
      <c r="A391" s="2" t="n"/>
      <c r="B391" s="2" t="n"/>
      <c r="C391" s="2" t="n"/>
      <c r="D391" s="2" t="n"/>
      <c r="E391" s="28" t="n"/>
      <c r="F391" s="2" t="n"/>
      <c r="G391" s="2" t="n"/>
      <c r="H391" s="2" t="n"/>
      <c r="I391" s="28" t="n"/>
      <c r="J391" s="2" t="n"/>
      <c r="K391" s="2" t="n"/>
      <c r="L391" s="2" t="n"/>
      <c r="M391" s="2" t="n"/>
    </row>
    <row r="392" ht="15.75" customHeight="1" s="168">
      <c r="A392" s="2" t="n"/>
      <c r="B392" s="2" t="n"/>
      <c r="C392" s="2" t="n"/>
      <c r="D392" s="2" t="n"/>
      <c r="E392" s="28" t="n"/>
      <c r="F392" s="2" t="n"/>
      <c r="G392" s="2" t="n"/>
      <c r="H392" s="2" t="n"/>
      <c r="I392" s="28" t="n"/>
      <c r="J392" s="2" t="n"/>
      <c r="K392" s="2" t="n"/>
      <c r="L392" s="2" t="n"/>
      <c r="M392" s="2" t="n"/>
    </row>
    <row r="393" ht="15.75" customHeight="1" s="168">
      <c r="A393" s="2" t="n"/>
      <c r="B393" s="2" t="n"/>
      <c r="C393" s="2" t="n"/>
      <c r="D393" s="2" t="n"/>
      <c r="E393" s="28" t="n"/>
      <c r="F393" s="2" t="n"/>
      <c r="G393" s="2" t="n"/>
      <c r="H393" s="2" t="n"/>
      <c r="I393" s="28" t="n"/>
      <c r="J393" s="2" t="n"/>
      <c r="K393" s="2" t="n"/>
      <c r="L393" s="2" t="n"/>
      <c r="M393" s="2" t="n"/>
    </row>
    <row r="394" ht="15.75" customHeight="1" s="168">
      <c r="A394" s="2" t="n"/>
      <c r="B394" s="2" t="n"/>
      <c r="C394" s="2" t="n"/>
      <c r="D394" s="2" t="n"/>
      <c r="E394" s="28" t="n"/>
      <c r="F394" s="2" t="n"/>
      <c r="G394" s="2" t="n"/>
      <c r="H394" s="2" t="n"/>
      <c r="I394" s="28" t="n"/>
      <c r="J394" s="2" t="n"/>
      <c r="K394" s="2" t="n"/>
      <c r="L394" s="2" t="n"/>
      <c r="M394" s="2" t="n"/>
    </row>
    <row r="395" ht="15.75" customHeight="1" s="168">
      <c r="A395" s="2" t="n"/>
      <c r="B395" s="2" t="n"/>
      <c r="C395" s="2" t="n"/>
      <c r="D395" s="2" t="n"/>
      <c r="E395" s="28" t="n"/>
      <c r="F395" s="2" t="n"/>
      <c r="G395" s="2" t="n"/>
      <c r="H395" s="2" t="n"/>
      <c r="I395" s="28" t="n"/>
      <c r="J395" s="2" t="n"/>
      <c r="K395" s="2" t="n"/>
      <c r="L395" s="2" t="n"/>
      <c r="M395" s="2" t="n"/>
    </row>
    <row r="396" ht="15.75" customHeight="1" s="168">
      <c r="A396" s="2" t="n"/>
      <c r="B396" s="2" t="n"/>
      <c r="C396" s="2" t="n"/>
      <c r="D396" s="2" t="n"/>
      <c r="E396" s="28" t="n"/>
      <c r="F396" s="2" t="n"/>
      <c r="G396" s="2" t="n"/>
      <c r="H396" s="2" t="n"/>
      <c r="I396" s="28" t="n"/>
      <c r="J396" s="2" t="n"/>
      <c r="K396" s="2" t="n"/>
      <c r="L396" s="2" t="n"/>
      <c r="M396" s="2" t="n"/>
    </row>
    <row r="397" ht="15.75" customHeight="1" s="168">
      <c r="A397" s="2" t="n"/>
      <c r="B397" s="2" t="n"/>
      <c r="C397" s="2" t="n"/>
      <c r="D397" s="2" t="n"/>
      <c r="E397" s="28" t="n"/>
      <c r="F397" s="2" t="n"/>
      <c r="G397" s="2" t="n"/>
      <c r="H397" s="2" t="n"/>
      <c r="I397" s="28" t="n"/>
      <c r="J397" s="2" t="n"/>
      <c r="K397" s="2" t="n"/>
      <c r="L397" s="2" t="n"/>
      <c r="M397" s="2" t="n"/>
    </row>
    <row r="398" ht="15.75" customHeight="1" s="168">
      <c r="A398" s="2" t="n"/>
      <c r="B398" s="2" t="n"/>
      <c r="C398" s="2" t="n"/>
      <c r="D398" s="2" t="n"/>
      <c r="E398" s="28" t="n"/>
      <c r="F398" s="2" t="n"/>
      <c r="G398" s="2" t="n"/>
      <c r="H398" s="2" t="n"/>
      <c r="I398" s="28" t="n"/>
      <c r="J398" s="2" t="n"/>
      <c r="K398" s="2" t="n"/>
      <c r="L398" s="2" t="n"/>
      <c r="M398" s="2" t="n"/>
    </row>
    <row r="399" ht="15.75" customHeight="1" s="168">
      <c r="A399" s="2" t="n"/>
      <c r="B399" s="2" t="n"/>
      <c r="C399" s="2" t="n"/>
      <c r="D399" s="2" t="n"/>
      <c r="E399" s="28" t="n"/>
      <c r="F399" s="2" t="n"/>
      <c r="G399" s="2" t="n"/>
      <c r="H399" s="2" t="n"/>
      <c r="I399" s="28" t="n"/>
      <c r="J399" s="2" t="n"/>
      <c r="K399" s="2" t="n"/>
      <c r="L399" s="2" t="n"/>
      <c r="M399" s="2" t="n"/>
    </row>
    <row r="400" ht="15.75" customHeight="1" s="168">
      <c r="A400" s="2" t="n"/>
      <c r="B400" s="2" t="n"/>
      <c r="C400" s="2" t="n"/>
      <c r="D400" s="2" t="n"/>
      <c r="E400" s="28" t="n"/>
      <c r="F400" s="2" t="n"/>
      <c r="G400" s="2" t="n"/>
      <c r="H400" s="2" t="n"/>
      <c r="I400" s="28" t="n"/>
      <c r="J400" s="2" t="n"/>
      <c r="K400" s="2" t="n"/>
      <c r="L400" s="2" t="n"/>
      <c r="M400" s="2" t="n"/>
    </row>
    <row r="401" ht="15.75" customHeight="1" s="168">
      <c r="A401" s="2" t="n"/>
      <c r="B401" s="2" t="n"/>
      <c r="C401" s="2" t="n"/>
      <c r="D401" s="2" t="n"/>
      <c r="E401" s="28" t="n"/>
      <c r="F401" s="2" t="n"/>
      <c r="G401" s="2" t="n"/>
      <c r="H401" s="2" t="n"/>
      <c r="I401" s="28" t="n"/>
      <c r="J401" s="2" t="n"/>
      <c r="K401" s="2" t="n"/>
      <c r="L401" s="2" t="n"/>
      <c r="M401" s="2" t="n"/>
    </row>
    <row r="402" ht="15.75" customHeight="1" s="168">
      <c r="A402" s="2" t="n"/>
      <c r="B402" s="2" t="n"/>
      <c r="C402" s="2" t="n"/>
      <c r="D402" s="2" t="n"/>
      <c r="E402" s="28" t="n"/>
      <c r="F402" s="2" t="n"/>
      <c r="G402" s="2" t="n"/>
      <c r="H402" s="2" t="n"/>
      <c r="I402" s="28" t="n"/>
      <c r="J402" s="2" t="n"/>
      <c r="K402" s="2" t="n"/>
      <c r="L402" s="2" t="n"/>
      <c r="M402" s="2" t="n"/>
    </row>
    <row r="403" ht="15.75" customHeight="1" s="168">
      <c r="A403" s="2" t="n"/>
      <c r="B403" s="2" t="n"/>
      <c r="C403" s="2" t="n"/>
      <c r="D403" s="2" t="n"/>
      <c r="E403" s="28" t="n"/>
      <c r="F403" s="2" t="n"/>
      <c r="G403" s="2" t="n"/>
      <c r="H403" s="2" t="n"/>
      <c r="I403" s="28" t="n"/>
      <c r="J403" s="2" t="n"/>
      <c r="K403" s="2" t="n"/>
      <c r="L403" s="2" t="n"/>
      <c r="M403" s="2" t="n"/>
    </row>
    <row r="404" ht="15.75" customHeight="1" s="168">
      <c r="A404" s="2" t="n"/>
      <c r="B404" s="2" t="n"/>
      <c r="C404" s="2" t="n"/>
      <c r="D404" s="2" t="n"/>
      <c r="E404" s="28" t="n"/>
      <c r="F404" s="2" t="n"/>
      <c r="G404" s="2" t="n"/>
      <c r="H404" s="2" t="n"/>
      <c r="I404" s="28" t="n"/>
      <c r="J404" s="2" t="n"/>
      <c r="K404" s="2" t="n"/>
      <c r="L404" s="2" t="n"/>
      <c r="M404" s="2" t="n"/>
    </row>
    <row r="405" ht="15.75" customHeight="1" s="168">
      <c r="A405" s="2" t="n"/>
      <c r="B405" s="2" t="n"/>
      <c r="C405" s="2" t="n"/>
      <c r="D405" s="2" t="n"/>
      <c r="E405" s="28" t="n"/>
      <c r="F405" s="2" t="n"/>
      <c r="G405" s="2" t="n"/>
      <c r="H405" s="2" t="n"/>
      <c r="I405" s="28" t="n"/>
      <c r="J405" s="2" t="n"/>
      <c r="K405" s="2" t="n"/>
      <c r="L405" s="2" t="n"/>
      <c r="M405" s="2" t="n"/>
    </row>
    <row r="406" ht="15.75" customHeight="1" s="168">
      <c r="A406" s="2" t="n"/>
      <c r="B406" s="2" t="n"/>
      <c r="C406" s="2" t="n"/>
      <c r="D406" s="2" t="n"/>
      <c r="E406" s="28" t="n"/>
      <c r="F406" s="2" t="n"/>
      <c r="G406" s="2" t="n"/>
      <c r="H406" s="2" t="n"/>
      <c r="I406" s="28" t="n"/>
      <c r="J406" s="2" t="n"/>
      <c r="K406" s="2" t="n"/>
      <c r="L406" s="2" t="n"/>
      <c r="M406" s="2" t="n"/>
    </row>
    <row r="407" ht="15.75" customHeight="1" s="168">
      <c r="A407" s="2" t="n"/>
      <c r="B407" s="2" t="n"/>
      <c r="C407" s="2" t="n"/>
      <c r="D407" s="2" t="n"/>
      <c r="E407" s="28" t="n"/>
      <c r="F407" s="2" t="n"/>
      <c r="G407" s="2" t="n"/>
      <c r="H407" s="2" t="n"/>
      <c r="I407" s="28" t="n"/>
      <c r="J407" s="2" t="n"/>
      <c r="K407" s="2" t="n"/>
      <c r="L407" s="2" t="n"/>
      <c r="M407" s="2" t="n"/>
    </row>
    <row r="408" ht="15.75" customHeight="1" s="168">
      <c r="A408" s="2" t="n"/>
      <c r="B408" s="2" t="n"/>
      <c r="C408" s="2" t="n"/>
      <c r="D408" s="2" t="n"/>
      <c r="E408" s="28" t="n"/>
      <c r="F408" s="2" t="n"/>
      <c r="G408" s="2" t="n"/>
      <c r="H408" s="2" t="n"/>
      <c r="I408" s="28" t="n"/>
      <c r="J408" s="2" t="n"/>
      <c r="K408" s="2" t="n"/>
      <c r="L408" s="2" t="n"/>
      <c r="M408" s="2" t="n"/>
    </row>
    <row r="409" ht="15.75" customHeight="1" s="168">
      <c r="A409" s="2" t="n"/>
      <c r="B409" s="2" t="n"/>
      <c r="C409" s="2" t="n"/>
      <c r="D409" s="2" t="n"/>
      <c r="E409" s="28" t="n"/>
      <c r="F409" s="2" t="n"/>
      <c r="G409" s="2" t="n"/>
      <c r="H409" s="2" t="n"/>
      <c r="I409" s="28" t="n"/>
      <c r="J409" s="2" t="n"/>
      <c r="K409" s="2" t="n"/>
      <c r="L409" s="2" t="n"/>
      <c r="M409" s="2" t="n"/>
    </row>
    <row r="410" ht="15.75" customHeight="1" s="168">
      <c r="A410" s="2" t="n"/>
      <c r="B410" s="2" t="n"/>
      <c r="C410" s="2" t="n"/>
      <c r="D410" s="2" t="n"/>
      <c r="E410" s="28" t="n"/>
      <c r="F410" s="2" t="n"/>
      <c r="G410" s="2" t="n"/>
      <c r="H410" s="2" t="n"/>
      <c r="I410" s="28" t="n"/>
      <c r="J410" s="2" t="n"/>
      <c r="K410" s="2" t="n"/>
      <c r="L410" s="2" t="n"/>
      <c r="M410" s="2" t="n"/>
    </row>
    <row r="411" ht="15.75" customHeight="1" s="168">
      <c r="A411" s="2" t="n"/>
      <c r="B411" s="2" t="n"/>
      <c r="C411" s="2" t="n"/>
      <c r="D411" s="2" t="n"/>
      <c r="E411" s="28" t="n"/>
      <c r="F411" s="2" t="n"/>
      <c r="G411" s="2" t="n"/>
      <c r="H411" s="2" t="n"/>
      <c r="I411" s="28" t="n"/>
      <c r="J411" s="2" t="n"/>
      <c r="K411" s="2" t="n"/>
      <c r="L411" s="2" t="n"/>
      <c r="M411" s="2" t="n"/>
    </row>
    <row r="412" ht="15.75" customHeight="1" s="168">
      <c r="A412" s="2" t="n"/>
      <c r="B412" s="2" t="n"/>
      <c r="C412" s="2" t="n"/>
      <c r="D412" s="2" t="n"/>
      <c r="E412" s="28" t="n"/>
      <c r="F412" s="2" t="n"/>
      <c r="G412" s="2" t="n"/>
      <c r="H412" s="2" t="n"/>
      <c r="I412" s="28" t="n"/>
      <c r="J412" s="2" t="n"/>
      <c r="K412" s="2" t="n"/>
      <c r="L412" s="2" t="n"/>
      <c r="M412" s="2" t="n"/>
    </row>
    <row r="413" ht="15.75" customHeight="1" s="168">
      <c r="A413" s="2" t="n"/>
      <c r="B413" s="2" t="n"/>
      <c r="C413" s="2" t="n"/>
      <c r="D413" s="2" t="n"/>
      <c r="E413" s="28" t="n"/>
      <c r="F413" s="2" t="n"/>
      <c r="G413" s="2" t="n"/>
      <c r="H413" s="2" t="n"/>
      <c r="I413" s="28" t="n"/>
      <c r="J413" s="2" t="n"/>
      <c r="K413" s="2" t="n"/>
      <c r="L413" s="2" t="n"/>
      <c r="M413" s="2" t="n"/>
    </row>
    <row r="414" ht="15.75" customHeight="1" s="168">
      <c r="A414" s="2" t="n"/>
      <c r="B414" s="2" t="n"/>
      <c r="C414" s="2" t="n"/>
      <c r="D414" s="2" t="n"/>
      <c r="E414" s="28" t="n"/>
      <c r="F414" s="2" t="n"/>
      <c r="G414" s="2" t="n"/>
      <c r="H414" s="2" t="n"/>
      <c r="I414" s="28" t="n"/>
      <c r="J414" s="2" t="n"/>
      <c r="K414" s="2" t="n"/>
      <c r="L414" s="2" t="n"/>
      <c r="M414" s="2" t="n"/>
    </row>
    <row r="415" ht="15.75" customHeight="1" s="168">
      <c r="A415" s="2" t="n"/>
      <c r="B415" s="2" t="n"/>
      <c r="C415" s="2" t="n"/>
      <c r="D415" s="2" t="n"/>
      <c r="E415" s="28" t="n"/>
      <c r="F415" s="2" t="n"/>
      <c r="G415" s="2" t="n"/>
      <c r="H415" s="2" t="n"/>
      <c r="I415" s="28" t="n"/>
      <c r="J415" s="2" t="n"/>
      <c r="K415" s="2" t="n"/>
      <c r="L415" s="2" t="n"/>
      <c r="M415" s="2" t="n"/>
    </row>
    <row r="416" ht="15.75" customHeight="1" s="168">
      <c r="A416" s="2" t="n"/>
      <c r="B416" s="2" t="n"/>
      <c r="C416" s="2" t="n"/>
      <c r="D416" s="2" t="n"/>
      <c r="E416" s="28" t="n"/>
      <c r="F416" s="2" t="n"/>
      <c r="G416" s="2" t="n"/>
      <c r="H416" s="2" t="n"/>
      <c r="I416" s="28" t="n"/>
      <c r="J416" s="2" t="n"/>
      <c r="K416" s="2" t="n"/>
      <c r="L416" s="2" t="n"/>
      <c r="M416" s="2" t="n"/>
    </row>
    <row r="417" ht="15.75" customHeight="1" s="168">
      <c r="A417" s="2" t="n"/>
      <c r="B417" s="2" t="n"/>
      <c r="C417" s="2" t="n"/>
      <c r="D417" s="2" t="n"/>
      <c r="E417" s="28" t="n"/>
      <c r="F417" s="2" t="n"/>
      <c r="G417" s="2" t="n"/>
      <c r="H417" s="2" t="n"/>
      <c r="I417" s="28" t="n"/>
      <c r="J417" s="2" t="n"/>
      <c r="K417" s="2" t="n"/>
      <c r="L417" s="2" t="n"/>
      <c r="M417" s="2" t="n"/>
    </row>
    <row r="418" ht="15.75" customHeight="1" s="168">
      <c r="A418" s="2" t="n"/>
      <c r="B418" s="2" t="n"/>
      <c r="C418" s="2" t="n"/>
      <c r="D418" s="2" t="n"/>
      <c r="E418" s="28" t="n"/>
      <c r="F418" s="2" t="n"/>
      <c r="G418" s="2" t="n"/>
      <c r="H418" s="2" t="n"/>
      <c r="I418" s="28" t="n"/>
      <c r="J418" s="2" t="n"/>
      <c r="K418" s="2" t="n"/>
      <c r="L418" s="2" t="n"/>
      <c r="M418" s="2" t="n"/>
    </row>
    <row r="419" ht="15.75" customHeight="1" s="168">
      <c r="A419" s="2" t="n"/>
      <c r="B419" s="2" t="n"/>
      <c r="C419" s="2" t="n"/>
      <c r="D419" s="2" t="n"/>
      <c r="E419" s="28" t="n"/>
      <c r="F419" s="2" t="n"/>
      <c r="G419" s="2" t="n"/>
      <c r="H419" s="2" t="n"/>
      <c r="I419" s="28" t="n"/>
      <c r="J419" s="2" t="n"/>
      <c r="K419" s="2" t="n"/>
      <c r="L419" s="2" t="n"/>
      <c r="M419" s="2" t="n"/>
    </row>
    <row r="420" ht="15.75" customHeight="1" s="168">
      <c r="A420" s="2" t="n"/>
      <c r="B420" s="2" t="n"/>
      <c r="C420" s="2" t="n"/>
      <c r="D420" s="2" t="n"/>
      <c r="E420" s="28" t="n"/>
      <c r="F420" s="2" t="n"/>
      <c r="G420" s="2" t="n"/>
      <c r="H420" s="2" t="n"/>
      <c r="I420" s="28" t="n"/>
      <c r="J420" s="2" t="n"/>
      <c r="K420" s="2" t="n"/>
      <c r="L420" s="2" t="n"/>
      <c r="M420" s="2" t="n"/>
    </row>
    <row r="421" ht="15.75" customHeight="1" s="168">
      <c r="A421" s="2" t="n"/>
      <c r="B421" s="2" t="n"/>
      <c r="C421" s="2" t="n"/>
      <c r="D421" s="2" t="n"/>
      <c r="E421" s="28" t="n"/>
      <c r="F421" s="2" t="n"/>
      <c r="G421" s="2" t="n"/>
      <c r="H421" s="2" t="n"/>
      <c r="I421" s="28" t="n"/>
      <c r="J421" s="2" t="n"/>
      <c r="K421" s="2" t="n"/>
      <c r="L421" s="2" t="n"/>
      <c r="M421" s="2" t="n"/>
    </row>
    <row r="422" ht="15.75" customHeight="1" s="168">
      <c r="A422" s="2" t="n"/>
      <c r="B422" s="2" t="n"/>
      <c r="C422" s="2" t="n"/>
      <c r="D422" s="2" t="n"/>
      <c r="E422" s="28" t="n"/>
      <c r="F422" s="2" t="n"/>
      <c r="G422" s="2" t="n"/>
      <c r="H422" s="2" t="n"/>
      <c r="I422" s="28" t="n"/>
      <c r="J422" s="2" t="n"/>
      <c r="K422" s="2" t="n"/>
      <c r="L422" s="2" t="n"/>
      <c r="M422" s="2" t="n"/>
    </row>
    <row r="423" ht="15.75" customHeight="1" s="168">
      <c r="A423" s="2" t="n"/>
      <c r="B423" s="2" t="n"/>
      <c r="C423" s="2" t="n"/>
      <c r="D423" s="2" t="n"/>
      <c r="E423" s="28" t="n"/>
      <c r="F423" s="2" t="n"/>
      <c r="G423" s="2" t="n"/>
      <c r="H423" s="2" t="n"/>
      <c r="I423" s="28" t="n"/>
      <c r="J423" s="2" t="n"/>
      <c r="K423" s="2" t="n"/>
      <c r="L423" s="2" t="n"/>
      <c r="M423" s="2" t="n"/>
    </row>
    <row r="424" ht="15.75" customHeight="1" s="168">
      <c r="A424" s="2" t="n"/>
      <c r="B424" s="2" t="n"/>
      <c r="C424" s="2" t="n"/>
      <c r="D424" s="2" t="n"/>
      <c r="E424" s="28" t="n"/>
      <c r="F424" s="2" t="n"/>
      <c r="G424" s="2" t="n"/>
      <c r="H424" s="2" t="n"/>
      <c r="I424" s="28" t="n"/>
      <c r="J424" s="2" t="n"/>
      <c r="K424" s="2" t="n"/>
      <c r="L424" s="2" t="n"/>
      <c r="M424" s="2" t="n"/>
    </row>
    <row r="425" ht="15.75" customHeight="1" s="168">
      <c r="A425" s="2" t="n"/>
      <c r="B425" s="2" t="n"/>
      <c r="C425" s="2" t="n"/>
      <c r="D425" s="2" t="n"/>
      <c r="E425" s="28" t="n"/>
      <c r="F425" s="2" t="n"/>
      <c r="G425" s="2" t="n"/>
      <c r="H425" s="2" t="n"/>
      <c r="I425" s="28" t="n"/>
      <c r="J425" s="2" t="n"/>
      <c r="K425" s="2" t="n"/>
      <c r="L425" s="2" t="n"/>
      <c r="M425" s="2" t="n"/>
    </row>
    <row r="426" ht="15.75" customHeight="1" s="168">
      <c r="A426" s="2" t="n"/>
      <c r="B426" s="2" t="n"/>
      <c r="C426" s="2" t="n"/>
      <c r="D426" s="2" t="n"/>
      <c r="E426" s="28" t="n"/>
      <c r="F426" s="2" t="n"/>
      <c r="G426" s="2" t="n"/>
      <c r="H426" s="2" t="n"/>
      <c r="I426" s="28" t="n"/>
      <c r="J426" s="2" t="n"/>
      <c r="K426" s="2" t="n"/>
      <c r="L426" s="2" t="n"/>
      <c r="M426" s="2" t="n"/>
    </row>
    <row r="427" ht="15.75" customHeight="1" s="168">
      <c r="A427" s="2" t="n"/>
      <c r="B427" s="2" t="n"/>
      <c r="C427" s="2" t="n"/>
      <c r="D427" s="2" t="n"/>
      <c r="E427" s="28" t="n"/>
      <c r="F427" s="2" t="n"/>
      <c r="G427" s="2" t="n"/>
      <c r="H427" s="2" t="n"/>
      <c r="I427" s="28" t="n"/>
      <c r="J427" s="2" t="n"/>
      <c r="K427" s="2" t="n"/>
      <c r="L427" s="2" t="n"/>
      <c r="M427" s="2" t="n"/>
    </row>
    <row r="428" ht="15.75" customHeight="1" s="168">
      <c r="A428" s="2" t="n"/>
      <c r="B428" s="2" t="n"/>
      <c r="C428" s="2" t="n"/>
      <c r="D428" s="2" t="n"/>
      <c r="E428" s="28" t="n"/>
      <c r="F428" s="2" t="n"/>
      <c r="G428" s="2" t="n"/>
      <c r="H428" s="2" t="n"/>
      <c r="I428" s="28" t="n"/>
      <c r="J428" s="2" t="n"/>
      <c r="K428" s="2" t="n"/>
      <c r="L428" s="2" t="n"/>
      <c r="M428" s="2" t="n"/>
    </row>
    <row r="429" ht="15.75" customHeight="1" s="168">
      <c r="A429" s="2" t="n"/>
      <c r="B429" s="2" t="n"/>
      <c r="C429" s="2" t="n"/>
      <c r="D429" s="2" t="n"/>
      <c r="E429" s="28" t="n"/>
      <c r="F429" s="2" t="n"/>
      <c r="G429" s="2" t="n"/>
      <c r="H429" s="2" t="n"/>
      <c r="I429" s="28" t="n"/>
      <c r="J429" s="2" t="n"/>
      <c r="K429" s="2" t="n"/>
      <c r="L429" s="2" t="n"/>
      <c r="M429" s="2" t="n"/>
    </row>
    <row r="430" ht="15.75" customHeight="1" s="168">
      <c r="A430" s="2" t="n"/>
      <c r="B430" s="2" t="n"/>
      <c r="C430" s="2" t="n"/>
      <c r="D430" s="2" t="n"/>
      <c r="E430" s="28" t="n"/>
      <c r="F430" s="2" t="n"/>
      <c r="G430" s="2" t="n"/>
      <c r="H430" s="2" t="n"/>
      <c r="I430" s="28" t="n"/>
      <c r="J430" s="2" t="n"/>
      <c r="K430" s="2" t="n"/>
      <c r="L430" s="2" t="n"/>
      <c r="M430" s="2" t="n"/>
    </row>
    <row r="431" ht="15.75" customHeight="1" s="168">
      <c r="A431" s="2" t="n"/>
      <c r="B431" s="2" t="n"/>
      <c r="C431" s="2" t="n"/>
      <c r="D431" s="2" t="n"/>
      <c r="E431" s="28" t="n"/>
      <c r="F431" s="2" t="n"/>
      <c r="G431" s="2" t="n"/>
      <c r="H431" s="2" t="n"/>
      <c r="I431" s="28" t="n"/>
      <c r="J431" s="2" t="n"/>
      <c r="K431" s="2" t="n"/>
      <c r="L431" s="2" t="n"/>
      <c r="M431" s="2" t="n"/>
    </row>
    <row r="432" ht="15.75" customHeight="1" s="168">
      <c r="A432" s="2" t="n"/>
      <c r="B432" s="2" t="n"/>
      <c r="C432" s="2" t="n"/>
      <c r="D432" s="2" t="n"/>
      <c r="E432" s="28" t="n"/>
      <c r="F432" s="2" t="n"/>
      <c r="G432" s="2" t="n"/>
      <c r="H432" s="2" t="n"/>
      <c r="I432" s="28" t="n"/>
      <c r="J432" s="2" t="n"/>
      <c r="K432" s="2" t="n"/>
      <c r="L432" s="2" t="n"/>
      <c r="M432" s="2" t="n"/>
    </row>
    <row r="433" ht="15.75" customHeight="1" s="168">
      <c r="A433" s="2" t="n"/>
      <c r="B433" s="2" t="n"/>
      <c r="C433" s="2" t="n"/>
      <c r="D433" s="2" t="n"/>
      <c r="E433" s="28" t="n"/>
      <c r="F433" s="2" t="n"/>
      <c r="G433" s="2" t="n"/>
      <c r="H433" s="2" t="n"/>
      <c r="I433" s="28" t="n"/>
      <c r="J433" s="2" t="n"/>
      <c r="K433" s="2" t="n"/>
      <c r="L433" s="2" t="n"/>
      <c r="M433" s="2" t="n"/>
    </row>
    <row r="434" ht="15.75" customHeight="1" s="168">
      <c r="A434" s="2" t="n"/>
      <c r="B434" s="2" t="n"/>
      <c r="C434" s="2" t="n"/>
      <c r="D434" s="2" t="n"/>
      <c r="E434" s="28" t="n"/>
      <c r="F434" s="2" t="n"/>
      <c r="G434" s="2" t="n"/>
      <c r="H434" s="2" t="n"/>
      <c r="I434" s="28" t="n"/>
      <c r="J434" s="2" t="n"/>
      <c r="K434" s="2" t="n"/>
      <c r="L434" s="2" t="n"/>
      <c r="M434" s="2" t="n"/>
    </row>
    <row r="435" ht="15.75" customHeight="1" s="168">
      <c r="A435" s="2" t="n"/>
      <c r="B435" s="2" t="n"/>
      <c r="C435" s="2" t="n"/>
      <c r="D435" s="2" t="n"/>
      <c r="E435" s="28" t="n"/>
      <c r="F435" s="2" t="n"/>
      <c r="G435" s="2" t="n"/>
      <c r="H435" s="2" t="n"/>
      <c r="I435" s="28" t="n"/>
      <c r="J435" s="2" t="n"/>
      <c r="K435" s="2" t="n"/>
      <c r="L435" s="2" t="n"/>
      <c r="M435" s="2" t="n"/>
    </row>
    <row r="436" ht="15.75" customHeight="1" s="168">
      <c r="A436" s="2" t="n"/>
      <c r="B436" s="2" t="n"/>
      <c r="C436" s="2" t="n"/>
      <c r="D436" s="2" t="n"/>
      <c r="E436" s="28" t="n"/>
      <c r="F436" s="2" t="n"/>
      <c r="G436" s="2" t="n"/>
      <c r="H436" s="2" t="n"/>
      <c r="I436" s="28" t="n"/>
      <c r="J436" s="2" t="n"/>
      <c r="K436" s="2" t="n"/>
      <c r="L436" s="2" t="n"/>
      <c r="M436" s="2" t="n"/>
    </row>
    <row r="437" ht="15.75" customHeight="1" s="168">
      <c r="A437" s="2" t="n"/>
      <c r="B437" s="2" t="n"/>
      <c r="C437" s="2" t="n"/>
      <c r="D437" s="2" t="n"/>
      <c r="E437" s="28" t="n"/>
      <c r="F437" s="2" t="n"/>
      <c r="G437" s="2" t="n"/>
      <c r="H437" s="2" t="n"/>
      <c r="I437" s="28" t="n"/>
      <c r="J437" s="2" t="n"/>
      <c r="K437" s="2" t="n"/>
      <c r="L437" s="2" t="n"/>
      <c r="M437" s="2" t="n"/>
    </row>
    <row r="438" ht="15.75" customHeight="1" s="168">
      <c r="A438" s="2" t="n"/>
      <c r="B438" s="2" t="n"/>
      <c r="C438" s="2" t="n"/>
      <c r="D438" s="2" t="n"/>
      <c r="E438" s="28" t="n"/>
      <c r="F438" s="2" t="n"/>
      <c r="G438" s="2" t="n"/>
      <c r="H438" s="2" t="n"/>
      <c r="I438" s="28" t="n"/>
      <c r="J438" s="2" t="n"/>
      <c r="K438" s="2" t="n"/>
      <c r="L438" s="2" t="n"/>
      <c r="M438" s="2" t="n"/>
    </row>
    <row r="439" ht="15.75" customHeight="1" s="168">
      <c r="A439" s="2" t="n"/>
      <c r="B439" s="2" t="n"/>
      <c r="C439" s="2" t="n"/>
      <c r="D439" s="2" t="n"/>
      <c r="E439" s="28" t="n"/>
      <c r="F439" s="2" t="n"/>
      <c r="G439" s="2" t="n"/>
      <c r="H439" s="2" t="n"/>
      <c r="I439" s="28" t="n"/>
      <c r="J439" s="2" t="n"/>
      <c r="K439" s="2" t="n"/>
      <c r="L439" s="2" t="n"/>
      <c r="M439" s="2" t="n"/>
    </row>
    <row r="440" ht="15.75" customHeight="1" s="168">
      <c r="A440" s="2" t="n"/>
      <c r="B440" s="2" t="n"/>
      <c r="C440" s="2" t="n"/>
      <c r="D440" s="2" t="n"/>
      <c r="E440" s="28" t="n"/>
      <c r="F440" s="2" t="n"/>
      <c r="G440" s="2" t="n"/>
      <c r="H440" s="2" t="n"/>
      <c r="I440" s="28" t="n"/>
      <c r="J440" s="2" t="n"/>
      <c r="K440" s="2" t="n"/>
      <c r="L440" s="2" t="n"/>
      <c r="M440" s="2" t="n"/>
    </row>
    <row r="441" ht="15.75" customHeight="1" s="168">
      <c r="A441" s="2" t="n"/>
      <c r="B441" s="2" t="n"/>
      <c r="C441" s="2" t="n"/>
      <c r="D441" s="2" t="n"/>
      <c r="E441" s="28" t="n"/>
      <c r="F441" s="2" t="n"/>
      <c r="G441" s="2" t="n"/>
      <c r="H441" s="2" t="n"/>
      <c r="I441" s="28" t="n"/>
      <c r="J441" s="2" t="n"/>
      <c r="K441" s="2" t="n"/>
      <c r="L441" s="2" t="n"/>
      <c r="M441" s="2" t="n"/>
    </row>
    <row r="442" ht="15.75" customHeight="1" s="168">
      <c r="A442" s="2" t="n"/>
      <c r="B442" s="2" t="n"/>
      <c r="C442" s="2" t="n"/>
      <c r="D442" s="2" t="n"/>
      <c r="E442" s="28" t="n"/>
      <c r="F442" s="2" t="n"/>
      <c r="G442" s="2" t="n"/>
      <c r="H442" s="2" t="n"/>
      <c r="I442" s="28" t="n"/>
      <c r="J442" s="2" t="n"/>
      <c r="K442" s="2" t="n"/>
      <c r="L442" s="2" t="n"/>
      <c r="M442" s="2" t="n"/>
    </row>
    <row r="443" ht="15.75" customHeight="1" s="168">
      <c r="A443" s="2" t="n"/>
      <c r="B443" s="2" t="n"/>
      <c r="C443" s="2" t="n"/>
      <c r="D443" s="2" t="n"/>
      <c r="E443" s="28" t="n"/>
      <c r="F443" s="2" t="n"/>
      <c r="G443" s="2" t="n"/>
      <c r="H443" s="2" t="n"/>
      <c r="I443" s="28" t="n"/>
      <c r="J443" s="2" t="n"/>
      <c r="K443" s="2" t="n"/>
      <c r="L443" s="2" t="n"/>
      <c r="M443" s="2" t="n"/>
    </row>
    <row r="444" ht="15.75" customHeight="1" s="168">
      <c r="A444" s="2" t="n"/>
      <c r="B444" s="2" t="n"/>
      <c r="C444" s="2" t="n"/>
      <c r="D444" s="2" t="n"/>
      <c r="E444" s="28" t="n"/>
      <c r="F444" s="2" t="n"/>
      <c r="G444" s="2" t="n"/>
      <c r="H444" s="2" t="n"/>
      <c r="I444" s="28" t="n"/>
      <c r="J444" s="2" t="n"/>
      <c r="K444" s="2" t="n"/>
      <c r="L444" s="2" t="n"/>
      <c r="M444" s="2" t="n"/>
    </row>
    <row r="445" ht="15.75" customHeight="1" s="168">
      <c r="A445" s="2" t="n"/>
      <c r="B445" s="2" t="n"/>
      <c r="C445" s="2" t="n"/>
      <c r="D445" s="2" t="n"/>
      <c r="E445" s="28" t="n"/>
      <c r="F445" s="2" t="n"/>
      <c r="G445" s="2" t="n"/>
      <c r="H445" s="2" t="n"/>
      <c r="I445" s="28" t="n"/>
      <c r="J445" s="2" t="n"/>
      <c r="K445" s="2" t="n"/>
      <c r="L445" s="2" t="n"/>
      <c r="M445" s="2" t="n"/>
    </row>
    <row r="446" ht="15.75" customHeight="1" s="168">
      <c r="A446" s="2" t="n"/>
      <c r="B446" s="2" t="n"/>
      <c r="C446" s="2" t="n"/>
      <c r="D446" s="2" t="n"/>
      <c r="E446" s="28" t="n"/>
      <c r="F446" s="2" t="n"/>
      <c r="G446" s="2" t="n"/>
      <c r="H446" s="2" t="n"/>
      <c r="I446" s="28" t="n"/>
      <c r="J446" s="2" t="n"/>
      <c r="K446" s="2" t="n"/>
      <c r="L446" s="2" t="n"/>
      <c r="M446" s="2" t="n"/>
    </row>
    <row r="447" ht="15.75" customHeight="1" s="168">
      <c r="A447" s="2" t="n"/>
      <c r="B447" s="2" t="n"/>
      <c r="C447" s="2" t="n"/>
      <c r="D447" s="2" t="n"/>
      <c r="E447" s="28" t="n"/>
      <c r="F447" s="2" t="n"/>
      <c r="G447" s="2" t="n"/>
      <c r="H447" s="2" t="n"/>
      <c r="I447" s="28" t="n"/>
      <c r="J447" s="2" t="n"/>
      <c r="K447" s="2" t="n"/>
      <c r="L447" s="2" t="n"/>
      <c r="M447" s="2" t="n"/>
    </row>
    <row r="448" ht="15.75" customHeight="1" s="168">
      <c r="A448" s="2" t="n"/>
      <c r="B448" s="2" t="n"/>
      <c r="C448" s="2" t="n"/>
      <c r="D448" s="2" t="n"/>
      <c r="E448" s="28" t="n"/>
      <c r="F448" s="2" t="n"/>
      <c r="G448" s="2" t="n"/>
      <c r="H448" s="2" t="n"/>
      <c r="I448" s="28" t="n"/>
      <c r="J448" s="2" t="n"/>
      <c r="K448" s="2" t="n"/>
      <c r="L448" s="2" t="n"/>
      <c r="M448" s="2" t="n"/>
    </row>
    <row r="449" ht="15.75" customHeight="1" s="168">
      <c r="A449" s="2" t="n"/>
      <c r="B449" s="2" t="n"/>
      <c r="C449" s="2" t="n"/>
      <c r="D449" s="2" t="n"/>
      <c r="E449" s="28" t="n"/>
      <c r="F449" s="2" t="n"/>
      <c r="G449" s="2" t="n"/>
      <c r="H449" s="2" t="n"/>
      <c r="I449" s="28" t="n"/>
      <c r="J449" s="2" t="n"/>
      <c r="K449" s="2" t="n"/>
      <c r="L449" s="2" t="n"/>
      <c r="M449" s="2" t="n"/>
    </row>
    <row r="450" ht="15.75" customHeight="1" s="168">
      <c r="A450" s="2" t="n"/>
      <c r="B450" s="2" t="n"/>
      <c r="C450" s="2" t="n"/>
      <c r="D450" s="2" t="n"/>
      <c r="E450" s="28" t="n"/>
      <c r="F450" s="2" t="n"/>
      <c r="G450" s="2" t="n"/>
      <c r="H450" s="2" t="n"/>
      <c r="I450" s="28" t="n"/>
      <c r="J450" s="2" t="n"/>
      <c r="K450" s="2" t="n"/>
      <c r="L450" s="2" t="n"/>
      <c r="M450" s="2" t="n"/>
    </row>
    <row r="451" ht="15.75" customHeight="1" s="168">
      <c r="A451" s="2" t="n"/>
      <c r="B451" s="2" t="n"/>
      <c r="C451" s="2" t="n"/>
      <c r="D451" s="2" t="n"/>
      <c r="E451" s="28" t="n"/>
      <c r="F451" s="2" t="n"/>
      <c r="G451" s="2" t="n"/>
      <c r="H451" s="2" t="n"/>
      <c r="I451" s="28" t="n"/>
      <c r="J451" s="2" t="n"/>
      <c r="K451" s="2" t="n"/>
      <c r="L451" s="2" t="n"/>
      <c r="M451" s="2" t="n"/>
    </row>
    <row r="452" ht="15.75" customHeight="1" s="168">
      <c r="A452" s="2" t="n"/>
      <c r="B452" s="2" t="n"/>
      <c r="C452" s="2" t="n"/>
      <c r="D452" s="2" t="n"/>
      <c r="E452" s="28" t="n"/>
      <c r="F452" s="2" t="n"/>
      <c r="G452" s="2" t="n"/>
      <c r="H452" s="2" t="n"/>
      <c r="I452" s="28" t="n"/>
      <c r="J452" s="2" t="n"/>
      <c r="K452" s="2" t="n"/>
      <c r="L452" s="2" t="n"/>
      <c r="M452" s="2" t="n"/>
    </row>
    <row r="453" ht="15.75" customHeight="1" s="168">
      <c r="A453" s="2" t="n"/>
      <c r="B453" s="2" t="n"/>
      <c r="C453" s="2" t="n"/>
      <c r="D453" s="2" t="n"/>
      <c r="E453" s="28" t="n"/>
      <c r="F453" s="2" t="n"/>
      <c r="G453" s="2" t="n"/>
      <c r="H453" s="2" t="n"/>
      <c r="I453" s="28" t="n"/>
      <c r="J453" s="2" t="n"/>
      <c r="K453" s="2" t="n"/>
      <c r="L453" s="2" t="n"/>
      <c r="M453" s="2" t="n"/>
    </row>
    <row r="454" ht="15.75" customHeight="1" s="168">
      <c r="A454" s="2" t="n"/>
      <c r="B454" s="2" t="n"/>
      <c r="C454" s="2" t="n"/>
      <c r="D454" s="2" t="n"/>
      <c r="E454" s="28" t="n"/>
      <c r="F454" s="2" t="n"/>
      <c r="G454" s="2" t="n"/>
      <c r="H454" s="2" t="n"/>
      <c r="I454" s="28" t="n"/>
      <c r="J454" s="2" t="n"/>
      <c r="K454" s="2" t="n"/>
      <c r="L454" s="2" t="n"/>
      <c r="M454" s="2" t="n"/>
    </row>
    <row r="455" ht="15.75" customHeight="1" s="168">
      <c r="A455" s="2" t="n"/>
      <c r="B455" s="2" t="n"/>
      <c r="C455" s="2" t="n"/>
      <c r="D455" s="2" t="n"/>
      <c r="E455" s="28" t="n"/>
      <c r="F455" s="2" t="n"/>
      <c r="G455" s="2" t="n"/>
      <c r="H455" s="2" t="n"/>
      <c r="I455" s="28" t="n"/>
      <c r="J455" s="2" t="n"/>
      <c r="K455" s="2" t="n"/>
      <c r="L455" s="2" t="n"/>
      <c r="M455" s="2" t="n"/>
    </row>
    <row r="456" ht="15.75" customHeight="1" s="168">
      <c r="A456" s="2" t="n"/>
      <c r="B456" s="2" t="n"/>
      <c r="C456" s="2" t="n"/>
      <c r="D456" s="2" t="n"/>
      <c r="E456" s="28" t="n"/>
      <c r="F456" s="2" t="n"/>
      <c r="G456" s="2" t="n"/>
      <c r="H456" s="2" t="n"/>
      <c r="I456" s="28" t="n"/>
      <c r="J456" s="2" t="n"/>
      <c r="K456" s="2" t="n"/>
      <c r="L456" s="2" t="n"/>
      <c r="M456" s="2" t="n"/>
    </row>
    <row r="457" ht="15.75" customHeight="1" s="168">
      <c r="A457" s="2" t="n"/>
      <c r="B457" s="2" t="n"/>
      <c r="C457" s="2" t="n"/>
      <c r="D457" s="2" t="n"/>
      <c r="E457" s="28" t="n"/>
      <c r="F457" s="2" t="n"/>
      <c r="G457" s="2" t="n"/>
      <c r="H457" s="2" t="n"/>
      <c r="I457" s="28" t="n"/>
      <c r="J457" s="2" t="n"/>
      <c r="K457" s="2" t="n"/>
      <c r="L457" s="2" t="n"/>
      <c r="M457" s="2" t="n"/>
    </row>
    <row r="458" ht="15.75" customHeight="1" s="168">
      <c r="A458" s="2" t="n"/>
      <c r="B458" s="2" t="n"/>
      <c r="C458" s="2" t="n"/>
      <c r="D458" s="2" t="n"/>
      <c r="E458" s="28" t="n"/>
      <c r="F458" s="2" t="n"/>
      <c r="G458" s="2" t="n"/>
      <c r="H458" s="2" t="n"/>
      <c r="I458" s="28" t="n"/>
      <c r="J458" s="2" t="n"/>
      <c r="K458" s="2" t="n"/>
      <c r="L458" s="2" t="n"/>
      <c r="M458" s="2" t="n"/>
    </row>
    <row r="459" ht="15.75" customHeight="1" s="168">
      <c r="A459" s="2" t="n"/>
      <c r="B459" s="2" t="n"/>
      <c r="C459" s="2" t="n"/>
      <c r="D459" s="2" t="n"/>
      <c r="E459" s="28" t="n"/>
      <c r="F459" s="2" t="n"/>
      <c r="G459" s="2" t="n"/>
      <c r="H459" s="2" t="n"/>
      <c r="I459" s="28" t="n"/>
      <c r="J459" s="2" t="n"/>
      <c r="K459" s="2" t="n"/>
      <c r="L459" s="2" t="n"/>
      <c r="M459" s="2" t="n"/>
    </row>
    <row r="460" ht="15.75" customHeight="1" s="168">
      <c r="A460" s="2" t="n"/>
      <c r="B460" s="2" t="n"/>
      <c r="C460" s="2" t="n"/>
      <c r="D460" s="2" t="n"/>
      <c r="E460" s="28" t="n"/>
      <c r="F460" s="2" t="n"/>
      <c r="G460" s="2" t="n"/>
      <c r="H460" s="2" t="n"/>
      <c r="I460" s="28" t="n"/>
      <c r="J460" s="2" t="n"/>
      <c r="K460" s="2" t="n"/>
      <c r="L460" s="2" t="n"/>
      <c r="M460" s="2" t="n"/>
    </row>
    <row r="461" ht="15.75" customHeight="1" s="168">
      <c r="A461" s="2" t="n"/>
      <c r="B461" s="2" t="n"/>
      <c r="C461" s="2" t="n"/>
      <c r="D461" s="2" t="n"/>
      <c r="E461" s="28" t="n"/>
      <c r="F461" s="2" t="n"/>
      <c r="G461" s="2" t="n"/>
      <c r="H461" s="2" t="n"/>
      <c r="I461" s="28" t="n"/>
      <c r="J461" s="2" t="n"/>
      <c r="K461" s="2" t="n"/>
      <c r="L461" s="2" t="n"/>
      <c r="M461" s="2" t="n"/>
    </row>
    <row r="462" ht="15.75" customHeight="1" s="168">
      <c r="A462" s="2" t="n"/>
      <c r="B462" s="2" t="n"/>
      <c r="C462" s="2" t="n"/>
      <c r="D462" s="2" t="n"/>
      <c r="E462" s="28" t="n"/>
      <c r="F462" s="2" t="n"/>
      <c r="G462" s="2" t="n"/>
      <c r="H462" s="2" t="n"/>
      <c r="I462" s="28" t="n"/>
      <c r="J462" s="2" t="n"/>
      <c r="K462" s="2" t="n"/>
      <c r="L462" s="2" t="n"/>
      <c r="M462" s="2" t="n"/>
    </row>
    <row r="463" ht="15.75" customHeight="1" s="168">
      <c r="A463" s="2" t="n"/>
      <c r="B463" s="2" t="n"/>
      <c r="C463" s="2" t="n"/>
      <c r="D463" s="2" t="n"/>
      <c r="E463" s="28" t="n"/>
      <c r="F463" s="2" t="n"/>
      <c r="G463" s="2" t="n"/>
      <c r="H463" s="2" t="n"/>
      <c r="I463" s="28" t="n"/>
      <c r="J463" s="2" t="n"/>
      <c r="K463" s="2" t="n"/>
      <c r="L463" s="2" t="n"/>
      <c r="M463" s="2" t="n"/>
    </row>
    <row r="464" ht="15.75" customHeight="1" s="168">
      <c r="A464" s="2" t="n"/>
      <c r="B464" s="2" t="n"/>
      <c r="C464" s="2" t="n"/>
      <c r="D464" s="2" t="n"/>
      <c r="E464" s="28" t="n"/>
      <c r="F464" s="2" t="n"/>
      <c r="G464" s="2" t="n"/>
      <c r="H464" s="2" t="n"/>
      <c r="I464" s="28" t="n"/>
      <c r="J464" s="2" t="n"/>
      <c r="K464" s="2" t="n"/>
      <c r="L464" s="2" t="n"/>
      <c r="M464" s="2" t="n"/>
    </row>
    <row r="465" ht="15.75" customHeight="1" s="168">
      <c r="A465" s="2" t="n"/>
      <c r="B465" s="2" t="n"/>
      <c r="C465" s="2" t="n"/>
      <c r="D465" s="2" t="n"/>
      <c r="E465" s="28" t="n"/>
      <c r="F465" s="2" t="n"/>
      <c r="G465" s="2" t="n"/>
      <c r="H465" s="2" t="n"/>
      <c r="I465" s="28" t="n"/>
      <c r="J465" s="2" t="n"/>
      <c r="K465" s="2" t="n"/>
      <c r="L465" s="2" t="n"/>
      <c r="M465" s="2" t="n"/>
    </row>
    <row r="466" ht="15.75" customHeight="1" s="168">
      <c r="A466" s="2" t="n"/>
      <c r="B466" s="2" t="n"/>
      <c r="C466" s="2" t="n"/>
      <c r="D466" s="2" t="n"/>
      <c r="E466" s="28" t="n"/>
      <c r="F466" s="2" t="n"/>
      <c r="G466" s="2" t="n"/>
      <c r="H466" s="2" t="n"/>
      <c r="I466" s="28" t="n"/>
      <c r="J466" s="2" t="n"/>
      <c r="K466" s="2" t="n"/>
      <c r="L466" s="2" t="n"/>
      <c r="M466" s="2" t="n"/>
    </row>
    <row r="467" ht="15.75" customHeight="1" s="168">
      <c r="A467" s="2" t="n"/>
      <c r="B467" s="2" t="n"/>
      <c r="C467" s="2" t="n"/>
      <c r="D467" s="2" t="n"/>
      <c r="E467" s="28" t="n"/>
      <c r="F467" s="2" t="n"/>
      <c r="G467" s="2" t="n"/>
      <c r="H467" s="2" t="n"/>
      <c r="I467" s="28" t="n"/>
      <c r="J467" s="2" t="n"/>
      <c r="K467" s="2" t="n"/>
      <c r="L467" s="2" t="n"/>
      <c r="M467" s="2" t="n"/>
    </row>
    <row r="468" ht="15.75" customHeight="1" s="168">
      <c r="A468" s="2" t="n"/>
      <c r="B468" s="2" t="n"/>
      <c r="C468" s="2" t="n"/>
      <c r="D468" s="2" t="n"/>
      <c r="E468" s="28" t="n"/>
      <c r="F468" s="2" t="n"/>
      <c r="G468" s="2" t="n"/>
      <c r="H468" s="2" t="n"/>
      <c r="I468" s="28" t="n"/>
      <c r="J468" s="2" t="n"/>
      <c r="K468" s="2" t="n"/>
      <c r="L468" s="2" t="n"/>
      <c r="M468" s="2" t="n"/>
    </row>
    <row r="469" ht="15.75" customHeight="1" s="168">
      <c r="A469" s="2" t="n"/>
      <c r="B469" s="2" t="n"/>
      <c r="C469" s="2" t="n"/>
      <c r="D469" s="2" t="n"/>
      <c r="E469" s="28" t="n"/>
      <c r="F469" s="2" t="n"/>
      <c r="G469" s="2" t="n"/>
      <c r="H469" s="2" t="n"/>
      <c r="I469" s="28" t="n"/>
      <c r="J469" s="2" t="n"/>
      <c r="K469" s="2" t="n"/>
      <c r="L469" s="2" t="n"/>
      <c r="M469" s="2" t="n"/>
    </row>
    <row r="470" ht="15.75" customHeight="1" s="168">
      <c r="A470" s="2" t="n"/>
      <c r="B470" s="2" t="n"/>
      <c r="C470" s="2" t="n"/>
      <c r="D470" s="2" t="n"/>
      <c r="E470" s="28" t="n"/>
      <c r="F470" s="2" t="n"/>
      <c r="G470" s="2" t="n"/>
      <c r="H470" s="2" t="n"/>
      <c r="I470" s="28" t="n"/>
      <c r="J470" s="2" t="n"/>
      <c r="K470" s="2" t="n"/>
      <c r="L470" s="2" t="n"/>
      <c r="M470" s="2" t="n"/>
    </row>
    <row r="471" ht="15.75" customHeight="1" s="168">
      <c r="A471" s="2" t="n"/>
      <c r="B471" s="2" t="n"/>
      <c r="C471" s="2" t="n"/>
      <c r="D471" s="2" t="n"/>
      <c r="E471" s="28" t="n"/>
      <c r="F471" s="2" t="n"/>
      <c r="G471" s="2" t="n"/>
      <c r="H471" s="2" t="n"/>
      <c r="I471" s="28" t="n"/>
      <c r="J471" s="2" t="n"/>
      <c r="K471" s="2" t="n"/>
      <c r="L471" s="2" t="n"/>
      <c r="M471" s="2" t="n"/>
    </row>
    <row r="472" ht="15.75" customHeight="1" s="168">
      <c r="A472" s="2" t="n"/>
      <c r="B472" s="2" t="n"/>
      <c r="C472" s="2" t="n"/>
      <c r="D472" s="2" t="n"/>
      <c r="E472" s="28" t="n"/>
      <c r="F472" s="2" t="n"/>
      <c r="G472" s="2" t="n"/>
      <c r="H472" s="2" t="n"/>
      <c r="I472" s="28" t="n"/>
      <c r="J472" s="2" t="n"/>
      <c r="K472" s="2" t="n"/>
      <c r="L472" s="2" t="n"/>
      <c r="M472" s="2" t="n"/>
    </row>
    <row r="473" ht="15.75" customHeight="1" s="168">
      <c r="A473" s="2" t="n"/>
      <c r="B473" s="2" t="n"/>
      <c r="C473" s="2" t="n"/>
      <c r="D473" s="2" t="n"/>
      <c r="E473" s="28" t="n"/>
      <c r="F473" s="2" t="n"/>
      <c r="G473" s="2" t="n"/>
      <c r="H473" s="2" t="n"/>
      <c r="I473" s="28" t="n"/>
      <c r="J473" s="2" t="n"/>
      <c r="K473" s="2" t="n"/>
      <c r="L473" s="2" t="n"/>
      <c r="M473" s="2" t="n"/>
    </row>
    <row r="474" ht="15.75" customHeight="1" s="168">
      <c r="A474" s="2" t="n"/>
      <c r="B474" s="2" t="n"/>
      <c r="C474" s="2" t="n"/>
      <c r="D474" s="2" t="n"/>
      <c r="E474" s="28" t="n"/>
      <c r="F474" s="2" t="n"/>
      <c r="G474" s="2" t="n"/>
      <c r="H474" s="2" t="n"/>
      <c r="I474" s="28" t="n"/>
      <c r="J474" s="2" t="n"/>
      <c r="K474" s="2" t="n"/>
      <c r="L474" s="2" t="n"/>
      <c r="M474" s="2" t="n"/>
    </row>
    <row r="475" ht="15.75" customHeight="1" s="168">
      <c r="A475" s="2" t="n"/>
      <c r="B475" s="2" t="n"/>
      <c r="C475" s="2" t="n"/>
      <c r="D475" s="2" t="n"/>
      <c r="E475" s="28" t="n"/>
      <c r="F475" s="2" t="n"/>
      <c r="G475" s="2" t="n"/>
      <c r="H475" s="2" t="n"/>
      <c r="I475" s="28" t="n"/>
      <c r="J475" s="2" t="n"/>
      <c r="K475" s="2" t="n"/>
      <c r="L475" s="2" t="n"/>
      <c r="M475" s="2" t="n"/>
    </row>
    <row r="476" ht="15.75" customHeight="1" s="168">
      <c r="A476" s="2" t="n"/>
      <c r="B476" s="2" t="n"/>
      <c r="C476" s="2" t="n"/>
      <c r="D476" s="2" t="n"/>
      <c r="E476" s="28" t="n"/>
      <c r="F476" s="2" t="n"/>
      <c r="G476" s="2" t="n"/>
      <c r="H476" s="2" t="n"/>
      <c r="I476" s="28" t="n"/>
      <c r="J476" s="2" t="n"/>
      <c r="K476" s="2" t="n"/>
      <c r="L476" s="2" t="n"/>
      <c r="M476" s="2" t="n"/>
    </row>
    <row r="477" ht="15.75" customHeight="1" s="168">
      <c r="A477" s="2" t="n"/>
      <c r="B477" s="2" t="n"/>
      <c r="C477" s="2" t="n"/>
      <c r="D477" s="2" t="n"/>
      <c r="E477" s="28" t="n"/>
      <c r="F477" s="2" t="n"/>
      <c r="G477" s="2" t="n"/>
      <c r="H477" s="2" t="n"/>
      <c r="I477" s="28" t="n"/>
      <c r="J477" s="2" t="n"/>
      <c r="K477" s="2" t="n"/>
      <c r="L477" s="2" t="n"/>
      <c r="M477" s="2" t="n"/>
    </row>
    <row r="478" ht="15.75" customHeight="1" s="168">
      <c r="A478" s="2" t="n"/>
      <c r="B478" s="2" t="n"/>
      <c r="C478" s="2" t="n"/>
      <c r="D478" s="2" t="n"/>
      <c r="E478" s="28" t="n"/>
      <c r="F478" s="2" t="n"/>
      <c r="G478" s="2" t="n"/>
      <c r="H478" s="2" t="n"/>
      <c r="I478" s="28" t="n"/>
      <c r="J478" s="2" t="n"/>
      <c r="K478" s="2" t="n"/>
      <c r="L478" s="2" t="n"/>
      <c r="M478" s="2" t="n"/>
    </row>
    <row r="479" ht="15.75" customHeight="1" s="168">
      <c r="A479" s="2" t="n"/>
      <c r="B479" s="2" t="n"/>
      <c r="C479" s="2" t="n"/>
      <c r="D479" s="2" t="n"/>
      <c r="E479" s="28" t="n"/>
      <c r="F479" s="2" t="n"/>
      <c r="G479" s="2" t="n"/>
      <c r="H479" s="2" t="n"/>
      <c r="I479" s="28" t="n"/>
      <c r="J479" s="2" t="n"/>
      <c r="K479" s="2" t="n"/>
      <c r="L479" s="2" t="n"/>
      <c r="M479" s="2" t="n"/>
    </row>
    <row r="480" ht="15.75" customHeight="1" s="168">
      <c r="A480" s="2" t="n"/>
      <c r="B480" s="2" t="n"/>
      <c r="C480" s="2" t="n"/>
      <c r="D480" s="2" t="n"/>
      <c r="E480" s="28" t="n"/>
      <c r="F480" s="2" t="n"/>
      <c r="G480" s="2" t="n"/>
      <c r="H480" s="2" t="n"/>
      <c r="I480" s="28" t="n"/>
      <c r="J480" s="2" t="n"/>
      <c r="K480" s="2" t="n"/>
      <c r="L480" s="2" t="n"/>
      <c r="M480" s="2" t="n"/>
    </row>
    <row r="481" ht="15.75" customHeight="1" s="168">
      <c r="A481" s="2" t="n"/>
      <c r="B481" s="2" t="n"/>
      <c r="C481" s="2" t="n"/>
      <c r="D481" s="2" t="n"/>
      <c r="E481" s="28" t="n"/>
      <c r="F481" s="2" t="n"/>
      <c r="G481" s="2" t="n"/>
      <c r="H481" s="2" t="n"/>
      <c r="I481" s="28" t="n"/>
      <c r="J481" s="2" t="n"/>
      <c r="K481" s="2" t="n"/>
      <c r="L481" s="2" t="n"/>
      <c r="M481" s="2" t="n"/>
    </row>
    <row r="482" ht="15.75" customHeight="1" s="168">
      <c r="A482" s="2" t="n"/>
      <c r="B482" s="2" t="n"/>
      <c r="C482" s="2" t="n"/>
      <c r="D482" s="2" t="n"/>
      <c r="E482" s="28" t="n"/>
      <c r="F482" s="2" t="n"/>
      <c r="G482" s="2" t="n"/>
      <c r="H482" s="2" t="n"/>
      <c r="I482" s="28" t="n"/>
      <c r="J482" s="2" t="n"/>
      <c r="K482" s="2" t="n"/>
      <c r="L482" s="2" t="n"/>
      <c r="M482" s="2" t="n"/>
    </row>
    <row r="483" ht="15.75" customHeight="1" s="168">
      <c r="A483" s="2" t="n"/>
      <c r="B483" s="2" t="n"/>
      <c r="C483" s="2" t="n"/>
      <c r="D483" s="2" t="n"/>
      <c r="E483" s="28" t="n"/>
      <c r="F483" s="2" t="n"/>
      <c r="G483" s="2" t="n"/>
      <c r="H483" s="2" t="n"/>
      <c r="I483" s="28" t="n"/>
      <c r="J483" s="2" t="n"/>
      <c r="K483" s="2" t="n"/>
      <c r="L483" s="2" t="n"/>
      <c r="M483" s="2" t="n"/>
    </row>
    <row r="484" ht="15.75" customHeight="1" s="168">
      <c r="A484" s="2" t="n"/>
      <c r="B484" s="2" t="n"/>
      <c r="C484" s="2" t="n"/>
      <c r="D484" s="2" t="n"/>
      <c r="E484" s="28" t="n"/>
      <c r="F484" s="2" t="n"/>
      <c r="G484" s="2" t="n"/>
      <c r="H484" s="2" t="n"/>
      <c r="I484" s="28" t="n"/>
      <c r="J484" s="2" t="n"/>
      <c r="K484" s="2" t="n"/>
      <c r="L484" s="2" t="n"/>
      <c r="M484" s="2" t="n"/>
    </row>
    <row r="485" ht="15.75" customHeight="1" s="168">
      <c r="A485" s="2" t="n"/>
      <c r="B485" s="2" t="n"/>
      <c r="C485" s="2" t="n"/>
      <c r="D485" s="2" t="n"/>
      <c r="E485" s="28" t="n"/>
      <c r="F485" s="2" t="n"/>
      <c r="G485" s="2" t="n"/>
      <c r="H485" s="2" t="n"/>
      <c r="I485" s="28" t="n"/>
      <c r="J485" s="2" t="n"/>
      <c r="K485" s="2" t="n"/>
      <c r="L485" s="2" t="n"/>
      <c r="M485" s="2" t="n"/>
    </row>
    <row r="486" ht="15.75" customHeight="1" s="168">
      <c r="A486" s="2" t="n"/>
      <c r="B486" s="2" t="n"/>
      <c r="C486" s="2" t="n"/>
      <c r="D486" s="2" t="n"/>
      <c r="E486" s="28" t="n"/>
      <c r="F486" s="2" t="n"/>
      <c r="G486" s="2" t="n"/>
      <c r="H486" s="2" t="n"/>
      <c r="I486" s="28" t="n"/>
      <c r="J486" s="2" t="n"/>
      <c r="K486" s="2" t="n"/>
      <c r="L486" s="2" t="n"/>
      <c r="M486" s="2" t="n"/>
    </row>
    <row r="487" ht="15.75" customHeight="1" s="168">
      <c r="A487" s="2" t="n"/>
      <c r="B487" s="2" t="n"/>
      <c r="C487" s="2" t="n"/>
      <c r="D487" s="2" t="n"/>
      <c r="E487" s="28" t="n"/>
      <c r="F487" s="2" t="n"/>
      <c r="G487" s="2" t="n"/>
      <c r="H487" s="2" t="n"/>
      <c r="I487" s="28" t="n"/>
      <c r="J487" s="2" t="n"/>
      <c r="K487" s="2" t="n"/>
      <c r="L487" s="2" t="n"/>
      <c r="M487" s="2" t="n"/>
    </row>
    <row r="488" ht="15.75" customHeight="1" s="168">
      <c r="A488" s="2" t="n"/>
      <c r="B488" s="2" t="n"/>
      <c r="C488" s="2" t="n"/>
      <c r="D488" s="2" t="n"/>
      <c r="E488" s="28" t="n"/>
      <c r="F488" s="2" t="n"/>
      <c r="G488" s="2" t="n"/>
      <c r="H488" s="2" t="n"/>
      <c r="I488" s="28" t="n"/>
      <c r="J488" s="2" t="n"/>
      <c r="K488" s="2" t="n"/>
      <c r="L488" s="2" t="n"/>
      <c r="M488" s="2" t="n"/>
    </row>
    <row r="489" ht="15.75" customHeight="1" s="168">
      <c r="A489" s="2" t="n"/>
      <c r="B489" s="2" t="n"/>
      <c r="C489" s="2" t="n"/>
      <c r="D489" s="2" t="n"/>
      <c r="E489" s="28" t="n"/>
      <c r="F489" s="2" t="n"/>
      <c r="G489" s="2" t="n"/>
      <c r="H489" s="2" t="n"/>
      <c r="I489" s="28" t="n"/>
      <c r="J489" s="2" t="n"/>
      <c r="K489" s="2" t="n"/>
      <c r="L489" s="2" t="n"/>
      <c r="M489" s="2" t="n"/>
    </row>
    <row r="490" ht="15.75" customHeight="1" s="168">
      <c r="A490" s="2" t="n"/>
      <c r="B490" s="2" t="n"/>
      <c r="C490" s="2" t="n"/>
      <c r="D490" s="2" t="n"/>
      <c r="E490" s="28" t="n"/>
      <c r="F490" s="2" t="n"/>
      <c r="G490" s="2" t="n"/>
      <c r="H490" s="2" t="n"/>
      <c r="I490" s="28" t="n"/>
      <c r="J490" s="2" t="n"/>
      <c r="K490" s="2" t="n"/>
      <c r="L490" s="2" t="n"/>
      <c r="M490" s="2" t="n"/>
    </row>
    <row r="491" ht="15.75" customHeight="1" s="168">
      <c r="A491" s="2" t="n"/>
      <c r="B491" s="2" t="n"/>
      <c r="C491" s="2" t="n"/>
      <c r="D491" s="2" t="n"/>
      <c r="E491" s="28" t="n"/>
      <c r="F491" s="2" t="n"/>
      <c r="G491" s="2" t="n"/>
      <c r="H491" s="2" t="n"/>
      <c r="I491" s="28" t="n"/>
      <c r="J491" s="2" t="n"/>
      <c r="K491" s="2" t="n"/>
      <c r="L491" s="2" t="n"/>
      <c r="M491" s="2" t="n"/>
    </row>
    <row r="492" ht="15.75" customHeight="1" s="168">
      <c r="A492" s="2" t="n"/>
      <c r="B492" s="2" t="n"/>
      <c r="C492" s="2" t="n"/>
      <c r="D492" s="2" t="n"/>
      <c r="E492" s="28" t="n"/>
      <c r="F492" s="2" t="n"/>
      <c r="G492" s="2" t="n"/>
      <c r="H492" s="2" t="n"/>
      <c r="I492" s="28" t="n"/>
      <c r="J492" s="2" t="n"/>
      <c r="K492" s="2" t="n"/>
      <c r="L492" s="2" t="n"/>
      <c r="M492" s="2" t="n"/>
    </row>
    <row r="493" ht="15.75" customHeight="1" s="168">
      <c r="A493" s="2" t="n"/>
      <c r="B493" s="2" t="n"/>
      <c r="C493" s="2" t="n"/>
      <c r="D493" s="2" t="n"/>
      <c r="E493" s="28" t="n"/>
      <c r="F493" s="2" t="n"/>
      <c r="G493" s="2" t="n"/>
      <c r="H493" s="2" t="n"/>
      <c r="I493" s="28" t="n"/>
      <c r="J493" s="2" t="n"/>
      <c r="K493" s="2" t="n"/>
      <c r="L493" s="2" t="n"/>
      <c r="M493" s="2" t="n"/>
    </row>
    <row r="494" ht="15.75" customHeight="1" s="168">
      <c r="A494" s="2" t="n"/>
      <c r="B494" s="2" t="n"/>
      <c r="C494" s="2" t="n"/>
      <c r="D494" s="2" t="n"/>
      <c r="E494" s="28" t="n"/>
      <c r="F494" s="2" t="n"/>
      <c r="G494" s="2" t="n"/>
      <c r="H494" s="2" t="n"/>
      <c r="I494" s="28" t="n"/>
      <c r="J494" s="2" t="n"/>
      <c r="K494" s="2" t="n"/>
      <c r="L494" s="2" t="n"/>
      <c r="M494" s="2" t="n"/>
    </row>
    <row r="495" ht="15.75" customHeight="1" s="168">
      <c r="A495" s="2" t="n"/>
      <c r="B495" s="2" t="n"/>
      <c r="C495" s="2" t="n"/>
      <c r="D495" s="2" t="n"/>
      <c r="E495" s="28" t="n"/>
      <c r="F495" s="2" t="n"/>
      <c r="G495" s="2" t="n"/>
      <c r="H495" s="2" t="n"/>
      <c r="I495" s="28" t="n"/>
      <c r="J495" s="2" t="n"/>
      <c r="K495" s="2" t="n"/>
      <c r="L495" s="2" t="n"/>
      <c r="M495" s="2" t="n"/>
    </row>
    <row r="496" ht="15.75" customHeight="1" s="168">
      <c r="A496" s="2" t="n"/>
      <c r="B496" s="2" t="n"/>
      <c r="C496" s="2" t="n"/>
      <c r="D496" s="2" t="n"/>
      <c r="E496" s="28" t="n"/>
      <c r="F496" s="2" t="n"/>
      <c r="G496" s="2" t="n"/>
      <c r="H496" s="2" t="n"/>
      <c r="I496" s="28" t="n"/>
      <c r="J496" s="2" t="n"/>
      <c r="K496" s="2" t="n"/>
      <c r="L496" s="2" t="n"/>
      <c r="M496" s="2" t="n"/>
    </row>
    <row r="497" ht="15.75" customHeight="1" s="168">
      <c r="A497" s="2" t="n"/>
      <c r="B497" s="2" t="n"/>
      <c r="C497" s="2" t="n"/>
      <c r="D497" s="2" t="n"/>
      <c r="E497" s="28" t="n"/>
      <c r="F497" s="2" t="n"/>
      <c r="G497" s="2" t="n"/>
      <c r="H497" s="2" t="n"/>
      <c r="I497" s="28" t="n"/>
      <c r="J497" s="2" t="n"/>
      <c r="K497" s="2" t="n"/>
      <c r="L497" s="2" t="n"/>
      <c r="M497" s="2" t="n"/>
    </row>
    <row r="498" ht="15.75" customHeight="1" s="168">
      <c r="A498" s="2" t="n"/>
      <c r="B498" s="2" t="n"/>
      <c r="C498" s="2" t="n"/>
      <c r="D498" s="2" t="n"/>
      <c r="E498" s="28" t="n"/>
      <c r="F498" s="2" t="n"/>
      <c r="G498" s="2" t="n"/>
      <c r="H498" s="2" t="n"/>
      <c r="I498" s="28" t="n"/>
      <c r="J498" s="2" t="n"/>
      <c r="K498" s="2" t="n"/>
      <c r="L498" s="2" t="n"/>
      <c r="M498" s="2" t="n"/>
    </row>
    <row r="499" ht="15.75" customHeight="1" s="168">
      <c r="A499" s="2" t="n"/>
      <c r="B499" s="2" t="n"/>
      <c r="C499" s="2" t="n"/>
      <c r="D499" s="2" t="n"/>
      <c r="E499" s="28" t="n"/>
      <c r="F499" s="2" t="n"/>
      <c r="G499" s="2" t="n"/>
      <c r="H499" s="2" t="n"/>
      <c r="I499" s="28" t="n"/>
      <c r="J499" s="2" t="n"/>
      <c r="K499" s="2" t="n"/>
      <c r="L499" s="2" t="n"/>
      <c r="M499" s="2" t="n"/>
    </row>
    <row r="500" ht="15.75" customHeight="1" s="168">
      <c r="A500" s="2" t="n"/>
      <c r="B500" s="2" t="n"/>
      <c r="C500" s="2" t="n"/>
      <c r="D500" s="2" t="n"/>
      <c r="E500" s="28" t="n"/>
      <c r="F500" s="2" t="n"/>
      <c r="G500" s="2" t="n"/>
      <c r="H500" s="2" t="n"/>
      <c r="I500" s="28" t="n"/>
      <c r="J500" s="2" t="n"/>
      <c r="K500" s="2" t="n"/>
      <c r="L500" s="2" t="n"/>
      <c r="M500" s="2" t="n"/>
    </row>
    <row r="501" ht="15.75" customHeight="1" s="168">
      <c r="A501" s="2" t="n"/>
      <c r="B501" s="2" t="n"/>
      <c r="C501" s="2" t="n"/>
      <c r="D501" s="2" t="n"/>
      <c r="E501" s="28" t="n"/>
      <c r="F501" s="2" t="n"/>
      <c r="G501" s="2" t="n"/>
      <c r="H501" s="2" t="n"/>
      <c r="I501" s="28" t="n"/>
      <c r="J501" s="2" t="n"/>
      <c r="K501" s="2" t="n"/>
      <c r="L501" s="2" t="n"/>
      <c r="M501" s="2" t="n"/>
    </row>
    <row r="502" ht="15.75" customHeight="1" s="168">
      <c r="A502" s="2" t="n"/>
      <c r="B502" s="2" t="n"/>
      <c r="C502" s="2" t="n"/>
      <c r="D502" s="2" t="n"/>
      <c r="E502" s="28" t="n"/>
      <c r="F502" s="2" t="n"/>
      <c r="G502" s="2" t="n"/>
      <c r="H502" s="2" t="n"/>
      <c r="I502" s="28" t="n"/>
      <c r="J502" s="2" t="n"/>
      <c r="K502" s="2" t="n"/>
      <c r="L502" s="2" t="n"/>
      <c r="M502" s="2" t="n"/>
    </row>
    <row r="503" ht="15.75" customHeight="1" s="168">
      <c r="A503" s="2" t="n"/>
      <c r="B503" s="2" t="n"/>
      <c r="C503" s="2" t="n"/>
      <c r="D503" s="2" t="n"/>
      <c r="E503" s="28" t="n"/>
      <c r="F503" s="2" t="n"/>
      <c r="G503" s="2" t="n"/>
      <c r="H503" s="2" t="n"/>
      <c r="I503" s="28" t="n"/>
      <c r="J503" s="2" t="n"/>
      <c r="K503" s="2" t="n"/>
      <c r="L503" s="2" t="n"/>
      <c r="M503" s="2" t="n"/>
    </row>
    <row r="504" ht="15.75" customHeight="1" s="168">
      <c r="A504" s="2" t="n"/>
      <c r="B504" s="2" t="n"/>
      <c r="C504" s="2" t="n"/>
      <c r="D504" s="2" t="n"/>
      <c r="E504" s="28" t="n"/>
      <c r="F504" s="2" t="n"/>
      <c r="G504" s="2" t="n"/>
      <c r="H504" s="2" t="n"/>
      <c r="I504" s="28" t="n"/>
      <c r="J504" s="2" t="n"/>
      <c r="K504" s="2" t="n"/>
      <c r="L504" s="2" t="n"/>
      <c r="M504" s="2" t="n"/>
    </row>
    <row r="505" ht="15.75" customHeight="1" s="168">
      <c r="A505" s="2" t="n"/>
      <c r="B505" s="2" t="n"/>
      <c r="C505" s="2" t="n"/>
      <c r="D505" s="2" t="n"/>
      <c r="E505" s="28" t="n"/>
      <c r="F505" s="2" t="n"/>
      <c r="G505" s="2" t="n"/>
      <c r="H505" s="2" t="n"/>
      <c r="I505" s="28" t="n"/>
      <c r="J505" s="2" t="n"/>
      <c r="K505" s="2" t="n"/>
      <c r="L505" s="2" t="n"/>
      <c r="M505" s="2" t="n"/>
    </row>
    <row r="506" ht="15.75" customHeight="1" s="168">
      <c r="A506" s="2" t="n"/>
      <c r="B506" s="2" t="n"/>
      <c r="C506" s="2" t="n"/>
      <c r="D506" s="2" t="n"/>
      <c r="E506" s="28" t="n"/>
      <c r="F506" s="2" t="n"/>
      <c r="G506" s="2" t="n"/>
      <c r="H506" s="2" t="n"/>
      <c r="I506" s="28" t="n"/>
      <c r="J506" s="2" t="n"/>
      <c r="K506" s="2" t="n"/>
      <c r="L506" s="2" t="n"/>
      <c r="M506" s="2" t="n"/>
    </row>
    <row r="507" ht="15.75" customHeight="1" s="168">
      <c r="A507" s="2" t="n"/>
      <c r="B507" s="2" t="n"/>
      <c r="C507" s="2" t="n"/>
      <c r="D507" s="2" t="n"/>
      <c r="E507" s="28" t="n"/>
      <c r="F507" s="2" t="n"/>
      <c r="G507" s="2" t="n"/>
      <c r="H507" s="2" t="n"/>
      <c r="I507" s="28" t="n"/>
      <c r="J507" s="2" t="n"/>
      <c r="K507" s="2" t="n"/>
      <c r="L507" s="2" t="n"/>
      <c r="M507" s="2" t="n"/>
    </row>
    <row r="508" ht="15.75" customHeight="1" s="168">
      <c r="A508" s="2" t="n"/>
      <c r="B508" s="2" t="n"/>
      <c r="C508" s="2" t="n"/>
      <c r="D508" s="2" t="n"/>
      <c r="E508" s="28" t="n"/>
      <c r="F508" s="2" t="n"/>
      <c r="G508" s="2" t="n"/>
      <c r="H508" s="2" t="n"/>
      <c r="I508" s="28" t="n"/>
      <c r="J508" s="2" t="n"/>
      <c r="K508" s="2" t="n"/>
      <c r="L508" s="2" t="n"/>
      <c r="M508" s="2" t="n"/>
    </row>
    <row r="509" ht="15.75" customHeight="1" s="168">
      <c r="A509" s="2" t="n"/>
      <c r="B509" s="2" t="n"/>
      <c r="C509" s="2" t="n"/>
      <c r="D509" s="2" t="n"/>
      <c r="E509" s="28" t="n"/>
      <c r="F509" s="2" t="n"/>
      <c r="G509" s="2" t="n"/>
      <c r="H509" s="2" t="n"/>
      <c r="I509" s="28" t="n"/>
      <c r="J509" s="2" t="n"/>
      <c r="K509" s="2" t="n"/>
      <c r="L509" s="2" t="n"/>
      <c r="M509" s="2" t="n"/>
    </row>
    <row r="510" ht="15.75" customHeight="1" s="168">
      <c r="A510" s="2" t="n"/>
      <c r="B510" s="2" t="n"/>
      <c r="C510" s="2" t="n"/>
      <c r="D510" s="2" t="n"/>
      <c r="E510" s="28" t="n"/>
      <c r="F510" s="2" t="n"/>
      <c r="G510" s="2" t="n"/>
      <c r="H510" s="2" t="n"/>
      <c r="I510" s="28" t="n"/>
      <c r="J510" s="2" t="n"/>
      <c r="K510" s="2" t="n"/>
      <c r="L510" s="2" t="n"/>
      <c r="M510" s="2" t="n"/>
    </row>
    <row r="511" ht="15.75" customHeight="1" s="168">
      <c r="A511" s="2" t="n"/>
      <c r="B511" s="2" t="n"/>
      <c r="C511" s="2" t="n"/>
      <c r="D511" s="2" t="n"/>
      <c r="E511" s="28" t="n"/>
      <c r="F511" s="2" t="n"/>
      <c r="G511" s="2" t="n"/>
      <c r="H511" s="2" t="n"/>
      <c r="I511" s="28" t="n"/>
      <c r="J511" s="2" t="n"/>
      <c r="K511" s="2" t="n"/>
      <c r="L511" s="2" t="n"/>
      <c r="M511" s="2" t="n"/>
    </row>
    <row r="512" ht="15.75" customHeight="1" s="168">
      <c r="A512" s="2" t="n"/>
      <c r="B512" s="2" t="n"/>
      <c r="C512" s="2" t="n"/>
      <c r="D512" s="2" t="n"/>
      <c r="E512" s="28" t="n"/>
      <c r="F512" s="2" t="n"/>
      <c r="G512" s="2" t="n"/>
      <c r="H512" s="2" t="n"/>
      <c r="I512" s="28" t="n"/>
      <c r="J512" s="2" t="n"/>
      <c r="K512" s="2" t="n"/>
      <c r="L512" s="2" t="n"/>
      <c r="M512" s="2" t="n"/>
    </row>
    <row r="513" ht="15.75" customHeight="1" s="168">
      <c r="A513" s="2" t="n"/>
      <c r="B513" s="2" t="n"/>
      <c r="C513" s="2" t="n"/>
      <c r="D513" s="2" t="n"/>
      <c r="E513" s="28" t="n"/>
      <c r="F513" s="2" t="n"/>
      <c r="G513" s="2" t="n"/>
      <c r="H513" s="2" t="n"/>
      <c r="I513" s="28" t="n"/>
      <c r="J513" s="2" t="n"/>
      <c r="K513" s="2" t="n"/>
      <c r="L513" s="2" t="n"/>
      <c r="M513" s="2" t="n"/>
    </row>
    <row r="514" ht="15.75" customHeight="1" s="168">
      <c r="A514" s="2" t="n"/>
      <c r="B514" s="2" t="n"/>
      <c r="C514" s="2" t="n"/>
      <c r="D514" s="2" t="n"/>
      <c r="E514" s="28" t="n"/>
      <c r="F514" s="2" t="n"/>
      <c r="G514" s="2" t="n"/>
      <c r="H514" s="2" t="n"/>
      <c r="I514" s="28" t="n"/>
      <c r="J514" s="2" t="n"/>
      <c r="K514" s="2" t="n"/>
      <c r="L514" s="2" t="n"/>
      <c r="M514" s="2" t="n"/>
    </row>
    <row r="515" ht="15.75" customHeight="1" s="168">
      <c r="A515" s="2" t="n"/>
      <c r="B515" s="2" t="n"/>
      <c r="C515" s="2" t="n"/>
      <c r="D515" s="2" t="n"/>
      <c r="E515" s="28" t="n"/>
      <c r="F515" s="2" t="n"/>
      <c r="G515" s="2" t="n"/>
      <c r="H515" s="2" t="n"/>
      <c r="I515" s="28" t="n"/>
      <c r="J515" s="2" t="n"/>
      <c r="K515" s="2" t="n"/>
      <c r="L515" s="2" t="n"/>
      <c r="M515" s="2" t="n"/>
    </row>
    <row r="516" ht="15.75" customHeight="1" s="168">
      <c r="A516" s="2" t="n"/>
      <c r="B516" s="2" t="n"/>
      <c r="C516" s="2" t="n"/>
      <c r="D516" s="2" t="n"/>
      <c r="E516" s="28" t="n"/>
      <c r="F516" s="2" t="n"/>
      <c r="G516" s="2" t="n"/>
      <c r="H516" s="2" t="n"/>
      <c r="I516" s="28" t="n"/>
      <c r="J516" s="2" t="n"/>
      <c r="K516" s="2" t="n"/>
      <c r="L516" s="2" t="n"/>
      <c r="M516" s="2" t="n"/>
    </row>
    <row r="517" ht="15.75" customHeight="1" s="168">
      <c r="A517" s="2" t="n"/>
      <c r="B517" s="2" t="n"/>
      <c r="C517" s="2" t="n"/>
      <c r="D517" s="2" t="n"/>
      <c r="E517" s="28" t="n"/>
      <c r="F517" s="2" t="n"/>
      <c r="G517" s="2" t="n"/>
      <c r="H517" s="2" t="n"/>
      <c r="I517" s="28" t="n"/>
      <c r="J517" s="2" t="n"/>
      <c r="K517" s="2" t="n"/>
      <c r="L517" s="2" t="n"/>
      <c r="M517" s="2" t="n"/>
    </row>
    <row r="518" ht="15.75" customHeight="1" s="168">
      <c r="A518" s="2" t="n"/>
      <c r="B518" s="2" t="n"/>
      <c r="C518" s="2" t="n"/>
      <c r="D518" s="2" t="n"/>
      <c r="E518" s="28" t="n"/>
      <c r="F518" s="2" t="n"/>
      <c r="G518" s="2" t="n"/>
      <c r="H518" s="2" t="n"/>
      <c r="I518" s="28" t="n"/>
      <c r="J518" s="2" t="n"/>
      <c r="K518" s="2" t="n"/>
      <c r="L518" s="2" t="n"/>
      <c r="M518" s="2" t="n"/>
    </row>
    <row r="519" ht="15.75" customHeight="1" s="168">
      <c r="A519" s="2" t="n"/>
      <c r="B519" s="2" t="n"/>
      <c r="C519" s="2" t="n"/>
      <c r="D519" s="2" t="n"/>
      <c r="E519" s="28" t="n"/>
      <c r="F519" s="2" t="n"/>
      <c r="G519" s="2" t="n"/>
      <c r="H519" s="2" t="n"/>
      <c r="I519" s="28" t="n"/>
      <c r="J519" s="2" t="n"/>
      <c r="K519" s="2" t="n"/>
      <c r="L519" s="2" t="n"/>
      <c r="M519" s="2" t="n"/>
    </row>
    <row r="520" ht="15.75" customHeight="1" s="168">
      <c r="A520" s="2" t="n"/>
      <c r="B520" s="2" t="n"/>
      <c r="C520" s="2" t="n"/>
      <c r="D520" s="2" t="n"/>
      <c r="E520" s="28" t="n"/>
      <c r="F520" s="2" t="n"/>
      <c r="G520" s="2" t="n"/>
      <c r="H520" s="2" t="n"/>
      <c r="I520" s="28" t="n"/>
      <c r="J520" s="2" t="n"/>
      <c r="K520" s="2" t="n"/>
      <c r="L520" s="2" t="n"/>
      <c r="M520" s="2" t="n"/>
    </row>
    <row r="521" ht="15.75" customHeight="1" s="168">
      <c r="A521" s="2" t="n"/>
      <c r="B521" s="2" t="n"/>
      <c r="C521" s="2" t="n"/>
      <c r="D521" s="2" t="n"/>
      <c r="E521" s="28" t="n"/>
      <c r="F521" s="2" t="n"/>
      <c r="G521" s="2" t="n"/>
      <c r="H521" s="2" t="n"/>
      <c r="I521" s="28" t="n"/>
      <c r="J521" s="2" t="n"/>
      <c r="K521" s="2" t="n"/>
      <c r="L521" s="2" t="n"/>
      <c r="M521" s="2" t="n"/>
    </row>
    <row r="522" ht="15.75" customHeight="1" s="168">
      <c r="A522" s="2" t="n"/>
      <c r="B522" s="2" t="n"/>
      <c r="C522" s="2" t="n"/>
      <c r="D522" s="2" t="n"/>
      <c r="E522" s="28" t="n"/>
      <c r="F522" s="2" t="n"/>
      <c r="G522" s="2" t="n"/>
      <c r="H522" s="2" t="n"/>
      <c r="I522" s="28" t="n"/>
      <c r="J522" s="2" t="n"/>
      <c r="K522" s="2" t="n"/>
      <c r="L522" s="2" t="n"/>
      <c r="M522" s="2" t="n"/>
    </row>
    <row r="523" ht="15.75" customHeight="1" s="168">
      <c r="A523" s="2" t="n"/>
      <c r="B523" s="2" t="n"/>
      <c r="C523" s="2" t="n"/>
      <c r="D523" s="2" t="n"/>
      <c r="E523" s="28" t="n"/>
      <c r="F523" s="2" t="n"/>
      <c r="G523" s="2" t="n"/>
      <c r="H523" s="2" t="n"/>
      <c r="I523" s="28" t="n"/>
      <c r="J523" s="2" t="n"/>
      <c r="K523" s="2" t="n"/>
      <c r="L523" s="2" t="n"/>
      <c r="M523" s="2" t="n"/>
    </row>
    <row r="524" ht="15.75" customHeight="1" s="168">
      <c r="A524" s="2" t="n"/>
      <c r="B524" s="2" t="n"/>
      <c r="C524" s="2" t="n"/>
      <c r="D524" s="2" t="n"/>
      <c r="E524" s="28" t="n"/>
      <c r="F524" s="2" t="n"/>
      <c r="G524" s="2" t="n"/>
      <c r="H524" s="2" t="n"/>
      <c r="I524" s="28" t="n"/>
      <c r="J524" s="2" t="n"/>
      <c r="K524" s="2" t="n"/>
      <c r="L524" s="2" t="n"/>
      <c r="M524" s="2" t="n"/>
    </row>
    <row r="525" ht="15.75" customHeight="1" s="168">
      <c r="A525" s="2" t="n"/>
      <c r="B525" s="2" t="n"/>
      <c r="C525" s="2" t="n"/>
      <c r="D525" s="2" t="n"/>
      <c r="E525" s="28" t="n"/>
      <c r="F525" s="2" t="n"/>
      <c r="G525" s="2" t="n"/>
      <c r="H525" s="2" t="n"/>
      <c r="I525" s="28" t="n"/>
      <c r="J525" s="2" t="n"/>
      <c r="K525" s="2" t="n"/>
      <c r="L525" s="2" t="n"/>
      <c r="M525" s="2" t="n"/>
    </row>
    <row r="526" ht="15.75" customHeight="1" s="168">
      <c r="A526" s="2" t="n"/>
      <c r="B526" s="2" t="n"/>
      <c r="C526" s="2" t="n"/>
      <c r="D526" s="2" t="n"/>
      <c r="E526" s="28" t="n"/>
      <c r="F526" s="2" t="n"/>
      <c r="G526" s="2" t="n"/>
      <c r="H526" s="2" t="n"/>
      <c r="I526" s="28" t="n"/>
      <c r="J526" s="2" t="n"/>
      <c r="K526" s="2" t="n"/>
      <c r="L526" s="2" t="n"/>
      <c r="M526" s="2" t="n"/>
    </row>
    <row r="527" ht="15.75" customHeight="1" s="168">
      <c r="A527" s="2" t="n"/>
      <c r="B527" s="2" t="n"/>
      <c r="C527" s="2" t="n"/>
      <c r="D527" s="2" t="n"/>
      <c r="E527" s="28" t="n"/>
      <c r="F527" s="2" t="n"/>
      <c r="G527" s="2" t="n"/>
      <c r="H527" s="2" t="n"/>
      <c r="I527" s="28" t="n"/>
      <c r="J527" s="2" t="n"/>
      <c r="K527" s="2" t="n"/>
      <c r="L527" s="2" t="n"/>
      <c r="M527" s="2" t="n"/>
    </row>
    <row r="528" ht="15.75" customHeight="1" s="168">
      <c r="A528" s="2" t="n"/>
      <c r="B528" s="2" t="n"/>
      <c r="C528" s="2" t="n"/>
      <c r="D528" s="2" t="n"/>
      <c r="E528" s="28" t="n"/>
      <c r="F528" s="2" t="n"/>
      <c r="G528" s="2" t="n"/>
      <c r="H528" s="2" t="n"/>
      <c r="I528" s="28" t="n"/>
      <c r="J528" s="2" t="n"/>
      <c r="K528" s="2" t="n"/>
      <c r="L528" s="2" t="n"/>
      <c r="M528" s="2" t="n"/>
    </row>
    <row r="529" ht="15.75" customHeight="1" s="168">
      <c r="A529" s="2" t="n"/>
      <c r="B529" s="2" t="n"/>
      <c r="C529" s="2" t="n"/>
      <c r="D529" s="2" t="n"/>
      <c r="E529" s="28" t="n"/>
      <c r="F529" s="2" t="n"/>
      <c r="G529" s="2" t="n"/>
      <c r="H529" s="2" t="n"/>
      <c r="I529" s="28" t="n"/>
      <c r="J529" s="2" t="n"/>
      <c r="K529" s="2" t="n"/>
      <c r="L529" s="2" t="n"/>
      <c r="M529" s="2" t="n"/>
    </row>
    <row r="530" ht="15.75" customHeight="1" s="168">
      <c r="A530" s="2" t="n"/>
      <c r="B530" s="2" t="n"/>
      <c r="C530" s="2" t="n"/>
      <c r="D530" s="2" t="n"/>
      <c r="E530" s="28" t="n"/>
      <c r="F530" s="2" t="n"/>
      <c r="G530" s="2" t="n"/>
      <c r="H530" s="2" t="n"/>
      <c r="I530" s="28" t="n"/>
      <c r="J530" s="2" t="n"/>
      <c r="K530" s="2" t="n"/>
      <c r="L530" s="2" t="n"/>
      <c r="M530" s="2" t="n"/>
    </row>
    <row r="531" ht="15.75" customHeight="1" s="168">
      <c r="A531" s="2" t="n"/>
      <c r="B531" s="2" t="n"/>
      <c r="C531" s="2" t="n"/>
      <c r="D531" s="2" t="n"/>
      <c r="E531" s="28" t="n"/>
      <c r="F531" s="2" t="n"/>
      <c r="G531" s="2" t="n"/>
      <c r="H531" s="2" t="n"/>
      <c r="I531" s="28" t="n"/>
      <c r="J531" s="2" t="n"/>
      <c r="K531" s="2" t="n"/>
      <c r="L531" s="2" t="n"/>
      <c r="M531" s="2" t="n"/>
    </row>
    <row r="532" ht="15.75" customHeight="1" s="168">
      <c r="A532" s="2" t="n"/>
      <c r="B532" s="2" t="n"/>
      <c r="C532" s="2" t="n"/>
      <c r="D532" s="2" t="n"/>
      <c r="E532" s="28" t="n"/>
      <c r="F532" s="2" t="n"/>
      <c r="G532" s="2" t="n"/>
      <c r="H532" s="2" t="n"/>
      <c r="I532" s="28" t="n"/>
      <c r="J532" s="2" t="n"/>
      <c r="K532" s="2" t="n"/>
      <c r="L532" s="2" t="n"/>
      <c r="M532" s="2" t="n"/>
    </row>
    <row r="533" ht="15.75" customHeight="1" s="168">
      <c r="A533" s="2" t="n"/>
      <c r="B533" s="2" t="n"/>
      <c r="C533" s="2" t="n"/>
      <c r="D533" s="2" t="n"/>
      <c r="E533" s="28" t="n"/>
      <c r="F533" s="2" t="n"/>
      <c r="G533" s="2" t="n"/>
      <c r="H533" s="2" t="n"/>
      <c r="I533" s="28" t="n"/>
      <c r="J533" s="2" t="n"/>
      <c r="K533" s="2" t="n"/>
      <c r="L533" s="2" t="n"/>
      <c r="M533" s="2" t="n"/>
    </row>
    <row r="534" ht="15.75" customHeight="1" s="168">
      <c r="A534" s="2" t="n"/>
      <c r="B534" s="2" t="n"/>
      <c r="C534" s="2" t="n"/>
      <c r="D534" s="2" t="n"/>
      <c r="E534" s="28" t="n"/>
      <c r="F534" s="2" t="n"/>
      <c r="G534" s="2" t="n"/>
      <c r="H534" s="2" t="n"/>
      <c r="I534" s="28" t="n"/>
      <c r="J534" s="2" t="n"/>
      <c r="K534" s="2" t="n"/>
      <c r="L534" s="2" t="n"/>
      <c r="M534" s="2" t="n"/>
    </row>
    <row r="535" ht="15.75" customHeight="1" s="168">
      <c r="A535" s="2" t="n"/>
      <c r="B535" s="2" t="n"/>
      <c r="C535" s="2" t="n"/>
      <c r="D535" s="2" t="n"/>
      <c r="E535" s="28" t="n"/>
      <c r="F535" s="2" t="n"/>
      <c r="G535" s="2" t="n"/>
      <c r="H535" s="2" t="n"/>
      <c r="I535" s="28" t="n"/>
      <c r="J535" s="2" t="n"/>
      <c r="K535" s="2" t="n"/>
      <c r="L535" s="2" t="n"/>
      <c r="M535" s="2" t="n"/>
    </row>
    <row r="536" ht="15.75" customHeight="1" s="168">
      <c r="A536" s="2" t="n"/>
      <c r="B536" s="2" t="n"/>
      <c r="C536" s="2" t="n"/>
      <c r="D536" s="2" t="n"/>
      <c r="E536" s="28" t="n"/>
      <c r="F536" s="2" t="n"/>
      <c r="G536" s="2" t="n"/>
      <c r="H536" s="2" t="n"/>
      <c r="I536" s="28" t="n"/>
      <c r="J536" s="2" t="n"/>
      <c r="K536" s="2" t="n"/>
      <c r="L536" s="2" t="n"/>
      <c r="M536" s="2" t="n"/>
    </row>
    <row r="537" ht="15.75" customHeight="1" s="168">
      <c r="A537" s="2" t="n"/>
      <c r="B537" s="2" t="n"/>
      <c r="C537" s="2" t="n"/>
      <c r="D537" s="2" t="n"/>
      <c r="E537" s="28" t="n"/>
      <c r="F537" s="2" t="n"/>
      <c r="G537" s="2" t="n"/>
      <c r="H537" s="2" t="n"/>
      <c r="I537" s="28" t="n"/>
      <c r="J537" s="2" t="n"/>
      <c r="K537" s="2" t="n"/>
      <c r="L537" s="2" t="n"/>
      <c r="M537" s="2" t="n"/>
    </row>
    <row r="538" ht="15.75" customHeight="1" s="168">
      <c r="A538" s="2" t="n"/>
      <c r="B538" s="2" t="n"/>
      <c r="C538" s="2" t="n"/>
      <c r="D538" s="2" t="n"/>
      <c r="E538" s="28" t="n"/>
      <c r="F538" s="2" t="n"/>
      <c r="G538" s="2" t="n"/>
      <c r="H538" s="2" t="n"/>
      <c r="I538" s="28" t="n"/>
      <c r="J538" s="2" t="n"/>
      <c r="K538" s="2" t="n"/>
      <c r="L538" s="2" t="n"/>
      <c r="M538" s="2" t="n"/>
    </row>
    <row r="539" ht="15.75" customHeight="1" s="168">
      <c r="A539" s="2" t="n"/>
      <c r="B539" s="2" t="n"/>
      <c r="C539" s="2" t="n"/>
      <c r="D539" s="2" t="n"/>
      <c r="E539" s="28" t="n"/>
      <c r="F539" s="2" t="n"/>
      <c r="G539" s="2" t="n"/>
      <c r="H539" s="2" t="n"/>
      <c r="I539" s="28" t="n"/>
      <c r="J539" s="2" t="n"/>
      <c r="K539" s="2" t="n"/>
      <c r="L539" s="2" t="n"/>
      <c r="M539" s="2" t="n"/>
    </row>
    <row r="540" ht="15.75" customHeight="1" s="168">
      <c r="A540" s="2" t="n"/>
      <c r="B540" s="2" t="n"/>
      <c r="C540" s="2" t="n"/>
      <c r="D540" s="2" t="n"/>
      <c r="E540" s="28" t="n"/>
      <c r="F540" s="2" t="n"/>
      <c r="G540" s="2" t="n"/>
      <c r="H540" s="2" t="n"/>
      <c r="I540" s="28" t="n"/>
      <c r="J540" s="2" t="n"/>
      <c r="K540" s="2" t="n"/>
      <c r="L540" s="2" t="n"/>
      <c r="M540" s="2" t="n"/>
    </row>
    <row r="541" ht="15.75" customHeight="1" s="168">
      <c r="A541" s="2" t="n"/>
      <c r="B541" s="2" t="n"/>
      <c r="C541" s="2" t="n"/>
      <c r="D541" s="2" t="n"/>
      <c r="E541" s="28" t="n"/>
      <c r="F541" s="2" t="n"/>
      <c r="G541" s="2" t="n"/>
      <c r="H541" s="2" t="n"/>
      <c r="I541" s="28" t="n"/>
      <c r="J541" s="2" t="n"/>
      <c r="K541" s="2" t="n"/>
      <c r="L541" s="2" t="n"/>
      <c r="M541" s="2" t="n"/>
    </row>
    <row r="542" ht="15.75" customHeight="1" s="168">
      <c r="A542" s="2" t="n"/>
      <c r="B542" s="2" t="n"/>
      <c r="C542" s="2" t="n"/>
      <c r="D542" s="2" t="n"/>
      <c r="E542" s="28" t="n"/>
      <c r="F542" s="2" t="n"/>
      <c r="G542" s="2" t="n"/>
      <c r="H542" s="2" t="n"/>
      <c r="I542" s="28" t="n"/>
      <c r="J542" s="2" t="n"/>
      <c r="K542" s="2" t="n"/>
      <c r="L542" s="2" t="n"/>
      <c r="M542" s="2" t="n"/>
    </row>
    <row r="543" ht="15.75" customHeight="1" s="168">
      <c r="A543" s="2" t="n"/>
      <c r="B543" s="2" t="n"/>
      <c r="C543" s="2" t="n"/>
      <c r="D543" s="2" t="n"/>
      <c r="E543" s="28" t="n"/>
      <c r="F543" s="2" t="n"/>
      <c r="G543" s="2" t="n"/>
      <c r="H543" s="2" t="n"/>
      <c r="I543" s="28" t="n"/>
      <c r="J543" s="2" t="n"/>
      <c r="K543" s="2" t="n"/>
      <c r="L543" s="2" t="n"/>
      <c r="M543" s="2" t="n"/>
    </row>
    <row r="544" ht="15.75" customHeight="1" s="168">
      <c r="A544" s="2" t="n"/>
      <c r="B544" s="2" t="n"/>
      <c r="C544" s="2" t="n"/>
      <c r="D544" s="2" t="n"/>
      <c r="E544" s="28" t="n"/>
      <c r="F544" s="2" t="n"/>
      <c r="G544" s="2" t="n"/>
      <c r="H544" s="2" t="n"/>
      <c r="I544" s="28" t="n"/>
      <c r="J544" s="2" t="n"/>
      <c r="K544" s="2" t="n"/>
      <c r="L544" s="2" t="n"/>
      <c r="M544" s="2" t="n"/>
    </row>
    <row r="545" ht="15.75" customHeight="1" s="168">
      <c r="A545" s="2" t="n"/>
      <c r="B545" s="2" t="n"/>
      <c r="C545" s="2" t="n"/>
      <c r="D545" s="2" t="n"/>
      <c r="E545" s="28" t="n"/>
      <c r="F545" s="2" t="n"/>
      <c r="G545" s="2" t="n"/>
      <c r="H545" s="2" t="n"/>
      <c r="I545" s="28" t="n"/>
      <c r="J545" s="2" t="n"/>
      <c r="K545" s="2" t="n"/>
      <c r="L545" s="2" t="n"/>
      <c r="M545" s="2" t="n"/>
    </row>
    <row r="546" ht="15.75" customHeight="1" s="168">
      <c r="A546" s="2" t="n"/>
      <c r="B546" s="2" t="n"/>
      <c r="C546" s="2" t="n"/>
      <c r="D546" s="2" t="n"/>
      <c r="E546" s="28" t="n"/>
      <c r="F546" s="2" t="n"/>
      <c r="G546" s="2" t="n"/>
      <c r="H546" s="2" t="n"/>
      <c r="I546" s="28" t="n"/>
      <c r="J546" s="2" t="n"/>
      <c r="K546" s="2" t="n"/>
      <c r="L546" s="2" t="n"/>
      <c r="M546" s="2" t="n"/>
    </row>
    <row r="547" ht="15.75" customHeight="1" s="168">
      <c r="A547" s="2" t="n"/>
      <c r="B547" s="2" t="n"/>
      <c r="C547" s="2" t="n"/>
      <c r="D547" s="2" t="n"/>
      <c r="E547" s="28" t="n"/>
      <c r="F547" s="2" t="n"/>
      <c r="G547" s="2" t="n"/>
      <c r="H547" s="2" t="n"/>
      <c r="I547" s="28" t="n"/>
      <c r="J547" s="2" t="n"/>
      <c r="K547" s="2" t="n"/>
      <c r="L547" s="2" t="n"/>
      <c r="M547" s="2" t="n"/>
    </row>
    <row r="548" ht="15.75" customHeight="1" s="168">
      <c r="A548" s="2" t="n"/>
      <c r="B548" s="2" t="n"/>
      <c r="C548" s="2" t="n"/>
      <c r="D548" s="2" t="n"/>
      <c r="E548" s="28" t="n"/>
      <c r="F548" s="2" t="n"/>
      <c r="G548" s="2" t="n"/>
      <c r="H548" s="2" t="n"/>
      <c r="I548" s="28" t="n"/>
      <c r="J548" s="2" t="n"/>
      <c r="K548" s="2" t="n"/>
      <c r="L548" s="2" t="n"/>
      <c r="M548" s="2" t="n"/>
    </row>
    <row r="549" ht="15.75" customHeight="1" s="168">
      <c r="A549" s="2" t="n"/>
      <c r="B549" s="2" t="n"/>
      <c r="C549" s="2" t="n"/>
      <c r="D549" s="2" t="n"/>
      <c r="E549" s="28" t="n"/>
      <c r="F549" s="2" t="n"/>
      <c r="G549" s="2" t="n"/>
      <c r="H549" s="2" t="n"/>
      <c r="I549" s="28" t="n"/>
      <c r="J549" s="2" t="n"/>
      <c r="K549" s="2" t="n"/>
      <c r="L549" s="2" t="n"/>
      <c r="M549" s="2" t="n"/>
    </row>
    <row r="550" ht="15.75" customHeight="1" s="168">
      <c r="A550" s="2" t="n"/>
      <c r="B550" s="2" t="n"/>
      <c r="C550" s="2" t="n"/>
      <c r="D550" s="2" t="n"/>
      <c r="E550" s="28" t="n"/>
      <c r="F550" s="2" t="n"/>
      <c r="G550" s="2" t="n"/>
      <c r="H550" s="2" t="n"/>
      <c r="I550" s="28" t="n"/>
      <c r="J550" s="2" t="n"/>
      <c r="K550" s="2" t="n"/>
      <c r="L550" s="2" t="n"/>
      <c r="M550" s="2" t="n"/>
    </row>
    <row r="551" ht="15.75" customHeight="1" s="168">
      <c r="A551" s="2" t="n"/>
      <c r="B551" s="2" t="n"/>
      <c r="C551" s="2" t="n"/>
      <c r="D551" s="2" t="n"/>
      <c r="E551" s="28" t="n"/>
      <c r="F551" s="2" t="n"/>
      <c r="G551" s="2" t="n"/>
      <c r="H551" s="2" t="n"/>
      <c r="I551" s="28" t="n"/>
      <c r="J551" s="2" t="n"/>
      <c r="K551" s="2" t="n"/>
      <c r="L551" s="2" t="n"/>
      <c r="M551" s="2" t="n"/>
    </row>
    <row r="552" ht="15.75" customHeight="1" s="168">
      <c r="A552" s="2" t="n"/>
      <c r="B552" s="2" t="n"/>
      <c r="C552" s="2" t="n"/>
      <c r="D552" s="2" t="n"/>
      <c r="E552" s="28" t="n"/>
      <c r="F552" s="2" t="n"/>
      <c r="G552" s="2" t="n"/>
      <c r="H552" s="2" t="n"/>
      <c r="I552" s="28" t="n"/>
      <c r="J552" s="2" t="n"/>
      <c r="K552" s="2" t="n"/>
      <c r="L552" s="2" t="n"/>
      <c r="M552" s="2" t="n"/>
    </row>
    <row r="553" ht="15.75" customHeight="1" s="168">
      <c r="A553" s="2" t="n"/>
      <c r="B553" s="2" t="n"/>
      <c r="C553" s="2" t="n"/>
      <c r="D553" s="2" t="n"/>
      <c r="E553" s="28" t="n"/>
      <c r="F553" s="2" t="n"/>
      <c r="G553" s="2" t="n"/>
      <c r="H553" s="2" t="n"/>
      <c r="I553" s="28" t="n"/>
      <c r="J553" s="2" t="n"/>
      <c r="K553" s="2" t="n"/>
      <c r="L553" s="2" t="n"/>
      <c r="M553" s="2" t="n"/>
    </row>
    <row r="554" ht="15.75" customHeight="1" s="168">
      <c r="A554" s="2" t="n"/>
      <c r="B554" s="2" t="n"/>
      <c r="C554" s="2" t="n"/>
      <c r="D554" s="2" t="n"/>
      <c r="E554" s="28" t="n"/>
      <c r="F554" s="2" t="n"/>
      <c r="G554" s="2" t="n"/>
      <c r="H554" s="2" t="n"/>
      <c r="I554" s="28" t="n"/>
      <c r="J554" s="2" t="n"/>
      <c r="K554" s="2" t="n"/>
      <c r="L554" s="2" t="n"/>
      <c r="M554" s="2" t="n"/>
    </row>
    <row r="555" ht="15.75" customHeight="1" s="168">
      <c r="A555" s="2" t="n"/>
      <c r="B555" s="2" t="n"/>
      <c r="C555" s="2" t="n"/>
      <c r="D555" s="2" t="n"/>
      <c r="E555" s="28" t="n"/>
      <c r="F555" s="2" t="n"/>
      <c r="G555" s="2" t="n"/>
      <c r="H555" s="2" t="n"/>
      <c r="I555" s="28" t="n"/>
      <c r="J555" s="2" t="n"/>
      <c r="K555" s="2" t="n"/>
      <c r="L555" s="2" t="n"/>
      <c r="M555" s="2" t="n"/>
    </row>
    <row r="556" ht="15.75" customHeight="1" s="168">
      <c r="A556" s="2" t="n"/>
      <c r="B556" s="2" t="n"/>
      <c r="C556" s="2" t="n"/>
      <c r="D556" s="2" t="n"/>
      <c r="E556" s="28" t="n"/>
      <c r="F556" s="2" t="n"/>
      <c r="G556" s="2" t="n"/>
      <c r="H556" s="2" t="n"/>
      <c r="I556" s="28" t="n"/>
      <c r="J556" s="2" t="n"/>
      <c r="K556" s="2" t="n"/>
      <c r="L556" s="2" t="n"/>
      <c r="M556" s="2" t="n"/>
    </row>
    <row r="557" ht="15.75" customHeight="1" s="168">
      <c r="A557" s="2" t="n"/>
      <c r="B557" s="2" t="n"/>
      <c r="C557" s="2" t="n"/>
      <c r="D557" s="2" t="n"/>
      <c r="E557" s="28" t="n"/>
      <c r="F557" s="2" t="n"/>
      <c r="G557" s="2" t="n"/>
      <c r="H557" s="2" t="n"/>
      <c r="I557" s="28" t="n"/>
      <c r="J557" s="2" t="n"/>
      <c r="K557" s="2" t="n"/>
      <c r="L557" s="2" t="n"/>
      <c r="M557" s="2" t="n"/>
    </row>
    <row r="558" ht="15.75" customHeight="1" s="168">
      <c r="A558" s="2" t="n"/>
      <c r="B558" s="2" t="n"/>
      <c r="C558" s="2" t="n"/>
      <c r="D558" s="2" t="n"/>
      <c r="E558" s="28" t="n"/>
      <c r="F558" s="2" t="n"/>
      <c r="G558" s="2" t="n"/>
      <c r="H558" s="2" t="n"/>
      <c r="I558" s="28" t="n"/>
      <c r="J558" s="2" t="n"/>
      <c r="K558" s="2" t="n"/>
      <c r="L558" s="2" t="n"/>
      <c r="M558" s="2" t="n"/>
    </row>
    <row r="559" ht="15.75" customHeight="1" s="168">
      <c r="A559" s="2" t="n"/>
      <c r="B559" s="2" t="n"/>
      <c r="C559" s="2" t="n"/>
      <c r="D559" s="2" t="n"/>
      <c r="E559" s="28" t="n"/>
      <c r="F559" s="2" t="n"/>
      <c r="G559" s="2" t="n"/>
      <c r="H559" s="2" t="n"/>
      <c r="I559" s="28" t="n"/>
      <c r="J559" s="2" t="n"/>
      <c r="K559" s="2" t="n"/>
      <c r="L559" s="2" t="n"/>
      <c r="M559" s="2" t="n"/>
    </row>
    <row r="560" ht="15.75" customHeight="1" s="168">
      <c r="A560" s="2" t="n"/>
      <c r="B560" s="2" t="n"/>
      <c r="C560" s="2" t="n"/>
      <c r="D560" s="2" t="n"/>
      <c r="E560" s="28" t="n"/>
      <c r="F560" s="2" t="n"/>
      <c r="G560" s="2" t="n"/>
      <c r="H560" s="2" t="n"/>
      <c r="I560" s="28" t="n"/>
      <c r="J560" s="2" t="n"/>
      <c r="K560" s="2" t="n"/>
      <c r="L560" s="2" t="n"/>
      <c r="M560" s="2" t="n"/>
    </row>
    <row r="561" ht="15.75" customHeight="1" s="168">
      <c r="A561" s="2" t="n"/>
      <c r="B561" s="2" t="n"/>
      <c r="C561" s="2" t="n"/>
      <c r="D561" s="2" t="n"/>
      <c r="E561" s="28" t="n"/>
      <c r="F561" s="2" t="n"/>
      <c r="G561" s="2" t="n"/>
      <c r="H561" s="2" t="n"/>
      <c r="I561" s="28" t="n"/>
      <c r="J561" s="2" t="n"/>
      <c r="K561" s="2" t="n"/>
      <c r="L561" s="2" t="n"/>
      <c r="M561" s="2" t="n"/>
    </row>
    <row r="562" ht="15.75" customHeight="1" s="168">
      <c r="A562" s="2" t="n"/>
      <c r="B562" s="2" t="n"/>
      <c r="C562" s="2" t="n"/>
      <c r="D562" s="2" t="n"/>
      <c r="E562" s="28" t="n"/>
      <c r="F562" s="2" t="n"/>
      <c r="G562" s="2" t="n"/>
      <c r="H562" s="2" t="n"/>
      <c r="I562" s="28" t="n"/>
      <c r="J562" s="2" t="n"/>
      <c r="K562" s="2" t="n"/>
      <c r="L562" s="2" t="n"/>
      <c r="M562" s="2" t="n"/>
    </row>
    <row r="563" ht="15.75" customHeight="1" s="168">
      <c r="A563" s="2" t="n"/>
      <c r="B563" s="2" t="n"/>
      <c r="C563" s="2" t="n"/>
      <c r="D563" s="2" t="n"/>
      <c r="E563" s="28" t="n"/>
      <c r="F563" s="2" t="n"/>
      <c r="G563" s="2" t="n"/>
      <c r="H563" s="2" t="n"/>
      <c r="I563" s="28" t="n"/>
      <c r="J563" s="2" t="n"/>
      <c r="K563" s="2" t="n"/>
      <c r="L563" s="2" t="n"/>
      <c r="M563" s="2" t="n"/>
    </row>
    <row r="564" ht="15.75" customHeight="1" s="168">
      <c r="A564" s="2" t="n"/>
      <c r="B564" s="2" t="n"/>
      <c r="C564" s="2" t="n"/>
      <c r="D564" s="2" t="n"/>
      <c r="E564" s="28" t="n"/>
      <c r="F564" s="2" t="n"/>
      <c r="G564" s="2" t="n"/>
      <c r="H564" s="2" t="n"/>
      <c r="I564" s="28" t="n"/>
      <c r="J564" s="2" t="n"/>
      <c r="K564" s="2" t="n"/>
      <c r="L564" s="2" t="n"/>
      <c r="M564" s="2" t="n"/>
    </row>
    <row r="565" ht="15.75" customHeight="1" s="168">
      <c r="A565" s="2" t="n"/>
      <c r="B565" s="2" t="n"/>
      <c r="C565" s="2" t="n"/>
      <c r="D565" s="2" t="n"/>
      <c r="E565" s="28" t="n"/>
      <c r="F565" s="2" t="n"/>
      <c r="G565" s="2" t="n"/>
      <c r="H565" s="2" t="n"/>
      <c r="I565" s="28" t="n"/>
      <c r="J565" s="2" t="n"/>
      <c r="K565" s="2" t="n"/>
      <c r="L565" s="2" t="n"/>
      <c r="M565" s="2" t="n"/>
    </row>
    <row r="566" ht="15.75" customHeight="1" s="168">
      <c r="A566" s="2" t="n"/>
      <c r="B566" s="2" t="n"/>
      <c r="C566" s="2" t="n"/>
      <c r="D566" s="2" t="n"/>
      <c r="E566" s="28" t="n"/>
      <c r="F566" s="2" t="n"/>
      <c r="G566" s="2" t="n"/>
      <c r="H566" s="2" t="n"/>
      <c r="I566" s="28" t="n"/>
      <c r="J566" s="2" t="n"/>
      <c r="K566" s="2" t="n"/>
      <c r="L566" s="2" t="n"/>
      <c r="M566" s="2" t="n"/>
    </row>
    <row r="567" ht="15.75" customHeight="1" s="168">
      <c r="A567" s="2" t="n"/>
      <c r="B567" s="2" t="n"/>
      <c r="C567" s="2" t="n"/>
      <c r="D567" s="2" t="n"/>
      <c r="E567" s="28" t="n"/>
      <c r="F567" s="2" t="n"/>
      <c r="G567" s="2" t="n"/>
      <c r="H567" s="2" t="n"/>
      <c r="I567" s="28" t="n"/>
      <c r="J567" s="2" t="n"/>
      <c r="K567" s="2" t="n"/>
      <c r="L567" s="2" t="n"/>
      <c r="M567" s="2" t="n"/>
    </row>
    <row r="568" ht="15.75" customHeight="1" s="168">
      <c r="A568" s="2" t="n"/>
      <c r="B568" s="2" t="n"/>
      <c r="C568" s="2" t="n"/>
      <c r="D568" s="2" t="n"/>
      <c r="E568" s="28" t="n"/>
      <c r="F568" s="2" t="n"/>
      <c r="G568" s="2" t="n"/>
      <c r="H568" s="2" t="n"/>
      <c r="I568" s="28" t="n"/>
      <c r="J568" s="2" t="n"/>
      <c r="K568" s="2" t="n"/>
      <c r="L568" s="2" t="n"/>
      <c r="M568" s="2" t="n"/>
    </row>
    <row r="569" ht="15.75" customHeight="1" s="168">
      <c r="A569" s="2" t="n"/>
      <c r="B569" s="2" t="n"/>
      <c r="C569" s="2" t="n"/>
      <c r="D569" s="2" t="n"/>
      <c r="E569" s="28" t="n"/>
      <c r="F569" s="2" t="n"/>
      <c r="G569" s="2" t="n"/>
      <c r="H569" s="2" t="n"/>
      <c r="I569" s="28" t="n"/>
      <c r="J569" s="2" t="n"/>
      <c r="K569" s="2" t="n"/>
      <c r="L569" s="2" t="n"/>
      <c r="M569" s="2" t="n"/>
    </row>
    <row r="570" ht="15.75" customHeight="1" s="168">
      <c r="A570" s="2" t="n"/>
      <c r="B570" s="2" t="n"/>
      <c r="C570" s="2" t="n"/>
      <c r="D570" s="2" t="n"/>
      <c r="E570" s="28" t="n"/>
      <c r="F570" s="2" t="n"/>
      <c r="G570" s="2" t="n"/>
      <c r="H570" s="2" t="n"/>
      <c r="I570" s="28" t="n"/>
      <c r="J570" s="2" t="n"/>
      <c r="K570" s="2" t="n"/>
      <c r="L570" s="2" t="n"/>
      <c r="M570" s="2" t="n"/>
    </row>
    <row r="571" ht="15.75" customHeight="1" s="168">
      <c r="A571" s="2" t="n"/>
      <c r="B571" s="2" t="n"/>
      <c r="C571" s="2" t="n"/>
      <c r="D571" s="2" t="n"/>
      <c r="E571" s="28" t="n"/>
      <c r="F571" s="2" t="n"/>
      <c r="G571" s="2" t="n"/>
      <c r="H571" s="2" t="n"/>
      <c r="I571" s="28" t="n"/>
      <c r="J571" s="2" t="n"/>
      <c r="K571" s="2" t="n"/>
      <c r="L571" s="2" t="n"/>
      <c r="M571" s="2" t="n"/>
    </row>
    <row r="572" ht="15.75" customHeight="1" s="168">
      <c r="A572" s="2" t="n"/>
      <c r="B572" s="2" t="n"/>
      <c r="C572" s="2" t="n"/>
      <c r="D572" s="2" t="n"/>
      <c r="E572" s="28" t="n"/>
      <c r="F572" s="2" t="n"/>
      <c r="G572" s="2" t="n"/>
      <c r="H572" s="2" t="n"/>
      <c r="I572" s="28" t="n"/>
      <c r="J572" s="2" t="n"/>
      <c r="K572" s="2" t="n"/>
      <c r="L572" s="2" t="n"/>
      <c r="M572" s="2" t="n"/>
    </row>
    <row r="573" ht="15.75" customHeight="1" s="168">
      <c r="A573" s="2" t="n"/>
      <c r="B573" s="2" t="n"/>
      <c r="C573" s="2" t="n"/>
      <c r="D573" s="2" t="n"/>
      <c r="E573" s="28" t="n"/>
      <c r="F573" s="2" t="n"/>
      <c r="G573" s="2" t="n"/>
      <c r="H573" s="2" t="n"/>
      <c r="I573" s="28" t="n"/>
      <c r="J573" s="2" t="n"/>
      <c r="K573" s="2" t="n"/>
      <c r="L573" s="2" t="n"/>
      <c r="M573" s="2" t="n"/>
    </row>
    <row r="574" ht="15.75" customHeight="1" s="168">
      <c r="A574" s="2" t="n"/>
      <c r="B574" s="2" t="n"/>
      <c r="C574" s="2" t="n"/>
      <c r="D574" s="2" t="n"/>
      <c r="E574" s="28" t="n"/>
      <c r="F574" s="2" t="n"/>
      <c r="G574" s="2" t="n"/>
      <c r="H574" s="2" t="n"/>
      <c r="I574" s="28" t="n"/>
      <c r="J574" s="2" t="n"/>
      <c r="K574" s="2" t="n"/>
      <c r="L574" s="2" t="n"/>
      <c r="M574" s="2" t="n"/>
    </row>
    <row r="575" ht="15.75" customHeight="1" s="168">
      <c r="A575" s="2" t="n"/>
      <c r="B575" s="2" t="n"/>
      <c r="C575" s="2" t="n"/>
      <c r="D575" s="2" t="n"/>
      <c r="E575" s="28" t="n"/>
      <c r="F575" s="2" t="n"/>
      <c r="G575" s="2" t="n"/>
      <c r="H575" s="2" t="n"/>
      <c r="I575" s="28" t="n"/>
      <c r="J575" s="2" t="n"/>
      <c r="K575" s="2" t="n"/>
      <c r="L575" s="2" t="n"/>
      <c r="M575" s="2" t="n"/>
    </row>
    <row r="576" ht="15.75" customHeight="1" s="168">
      <c r="A576" s="2" t="n"/>
      <c r="B576" s="2" t="n"/>
      <c r="C576" s="2" t="n"/>
      <c r="D576" s="2" t="n"/>
      <c r="E576" s="28" t="n"/>
      <c r="F576" s="2" t="n"/>
      <c r="G576" s="2" t="n"/>
      <c r="H576" s="2" t="n"/>
      <c r="I576" s="28" t="n"/>
      <c r="J576" s="2" t="n"/>
      <c r="K576" s="2" t="n"/>
      <c r="L576" s="2" t="n"/>
      <c r="M576" s="2" t="n"/>
    </row>
    <row r="577" ht="15.75" customHeight="1" s="168">
      <c r="A577" s="2" t="n"/>
      <c r="B577" s="2" t="n"/>
      <c r="C577" s="2" t="n"/>
      <c r="D577" s="2" t="n"/>
      <c r="E577" s="28" t="n"/>
      <c r="F577" s="2" t="n"/>
      <c r="G577" s="2" t="n"/>
      <c r="H577" s="2" t="n"/>
      <c r="I577" s="28" t="n"/>
      <c r="J577" s="2" t="n"/>
      <c r="K577" s="2" t="n"/>
      <c r="L577" s="2" t="n"/>
      <c r="M577" s="2" t="n"/>
    </row>
    <row r="578" ht="15.75" customHeight="1" s="168">
      <c r="A578" s="2" t="n"/>
      <c r="B578" s="2" t="n"/>
      <c r="C578" s="2" t="n"/>
      <c r="D578" s="2" t="n"/>
      <c r="E578" s="28" t="n"/>
      <c r="F578" s="2" t="n"/>
      <c r="G578" s="2" t="n"/>
      <c r="H578" s="2" t="n"/>
      <c r="I578" s="28" t="n"/>
      <c r="J578" s="2" t="n"/>
      <c r="K578" s="2" t="n"/>
      <c r="L578" s="2" t="n"/>
      <c r="M578" s="2" t="n"/>
    </row>
    <row r="579" ht="15.75" customHeight="1" s="168">
      <c r="A579" s="2" t="n"/>
      <c r="B579" s="2" t="n"/>
      <c r="C579" s="2" t="n"/>
      <c r="D579" s="2" t="n"/>
      <c r="E579" s="28" t="n"/>
      <c r="F579" s="2" t="n"/>
      <c r="G579" s="2" t="n"/>
      <c r="H579" s="2" t="n"/>
      <c r="I579" s="28" t="n"/>
      <c r="J579" s="2" t="n"/>
      <c r="K579" s="2" t="n"/>
      <c r="L579" s="2" t="n"/>
      <c r="M579" s="2" t="n"/>
    </row>
    <row r="580" ht="15.75" customHeight="1" s="168">
      <c r="A580" s="2" t="n"/>
      <c r="B580" s="2" t="n"/>
      <c r="C580" s="2" t="n"/>
      <c r="D580" s="2" t="n"/>
      <c r="E580" s="28" t="n"/>
      <c r="F580" s="2" t="n"/>
      <c r="G580" s="2" t="n"/>
      <c r="H580" s="2" t="n"/>
      <c r="I580" s="28" t="n"/>
      <c r="J580" s="2" t="n"/>
      <c r="K580" s="2" t="n"/>
      <c r="L580" s="2" t="n"/>
      <c r="M580" s="2" t="n"/>
    </row>
    <row r="581" ht="15.75" customHeight="1" s="168">
      <c r="A581" s="2" t="n"/>
      <c r="B581" s="2" t="n"/>
      <c r="C581" s="2" t="n"/>
      <c r="D581" s="2" t="n"/>
      <c r="E581" s="28" t="n"/>
      <c r="F581" s="2" t="n"/>
      <c r="G581" s="2" t="n"/>
      <c r="H581" s="2" t="n"/>
      <c r="I581" s="28" t="n"/>
      <c r="J581" s="2" t="n"/>
      <c r="K581" s="2" t="n"/>
      <c r="L581" s="2" t="n"/>
      <c r="M581" s="2" t="n"/>
    </row>
    <row r="582" ht="15.75" customHeight="1" s="168">
      <c r="A582" s="2" t="n"/>
      <c r="B582" s="2" t="n"/>
      <c r="C582" s="2" t="n"/>
      <c r="D582" s="2" t="n"/>
      <c r="E582" s="28" t="n"/>
      <c r="F582" s="2" t="n"/>
      <c r="G582" s="2" t="n"/>
      <c r="H582" s="2" t="n"/>
      <c r="I582" s="28" t="n"/>
      <c r="J582" s="2" t="n"/>
      <c r="K582" s="2" t="n"/>
      <c r="L582" s="2" t="n"/>
      <c r="M582" s="2" t="n"/>
    </row>
    <row r="583" ht="15.75" customHeight="1" s="168">
      <c r="A583" s="2" t="n"/>
      <c r="B583" s="2" t="n"/>
      <c r="C583" s="2" t="n"/>
      <c r="D583" s="2" t="n"/>
      <c r="E583" s="28" t="n"/>
      <c r="F583" s="2" t="n"/>
      <c r="G583" s="2" t="n"/>
      <c r="H583" s="2" t="n"/>
      <c r="I583" s="28" t="n"/>
      <c r="J583" s="2" t="n"/>
      <c r="K583" s="2" t="n"/>
      <c r="L583" s="2" t="n"/>
      <c r="M583" s="2" t="n"/>
    </row>
    <row r="584" ht="15.75" customHeight="1" s="168">
      <c r="A584" s="2" t="n"/>
      <c r="B584" s="2" t="n"/>
      <c r="C584" s="2" t="n"/>
      <c r="D584" s="2" t="n"/>
      <c r="E584" s="28" t="n"/>
      <c r="F584" s="2" t="n"/>
      <c r="G584" s="2" t="n"/>
      <c r="H584" s="2" t="n"/>
      <c r="I584" s="28" t="n"/>
      <c r="J584" s="2" t="n"/>
      <c r="K584" s="2" t="n"/>
      <c r="L584" s="2" t="n"/>
      <c r="M584" s="2" t="n"/>
    </row>
    <row r="585" ht="15.75" customHeight="1" s="168">
      <c r="A585" s="2" t="n"/>
      <c r="B585" s="2" t="n"/>
      <c r="C585" s="2" t="n"/>
      <c r="D585" s="2" t="n"/>
      <c r="E585" s="28" t="n"/>
      <c r="F585" s="2" t="n"/>
      <c r="G585" s="2" t="n"/>
      <c r="H585" s="2" t="n"/>
      <c r="I585" s="28" t="n"/>
      <c r="J585" s="2" t="n"/>
      <c r="K585" s="2" t="n"/>
      <c r="L585" s="2" t="n"/>
      <c r="M585" s="2" t="n"/>
    </row>
    <row r="586" ht="15.75" customHeight="1" s="168">
      <c r="A586" s="2" t="n"/>
      <c r="B586" s="2" t="n"/>
      <c r="C586" s="2" t="n"/>
      <c r="D586" s="2" t="n"/>
      <c r="E586" s="28" t="n"/>
      <c r="F586" s="2" t="n"/>
      <c r="G586" s="2" t="n"/>
      <c r="H586" s="2" t="n"/>
      <c r="I586" s="28" t="n"/>
      <c r="J586" s="2" t="n"/>
      <c r="K586" s="2" t="n"/>
      <c r="L586" s="2" t="n"/>
      <c r="M586" s="2" t="n"/>
    </row>
    <row r="587" ht="15.75" customHeight="1" s="168">
      <c r="A587" s="2" t="n"/>
      <c r="B587" s="2" t="n"/>
      <c r="C587" s="2" t="n"/>
      <c r="D587" s="2" t="n"/>
      <c r="E587" s="28" t="n"/>
      <c r="F587" s="2" t="n"/>
      <c r="G587" s="2" t="n"/>
      <c r="H587" s="2" t="n"/>
      <c r="I587" s="28" t="n"/>
      <c r="J587" s="2" t="n"/>
      <c r="K587" s="2" t="n"/>
      <c r="L587" s="2" t="n"/>
      <c r="M587" s="2" t="n"/>
    </row>
    <row r="588" ht="15.75" customHeight="1" s="168">
      <c r="A588" s="2" t="n"/>
      <c r="B588" s="2" t="n"/>
      <c r="C588" s="2" t="n"/>
      <c r="D588" s="2" t="n"/>
      <c r="E588" s="28" t="n"/>
      <c r="F588" s="2" t="n"/>
      <c r="G588" s="2" t="n"/>
      <c r="H588" s="2" t="n"/>
      <c r="I588" s="28" t="n"/>
      <c r="J588" s="2" t="n"/>
      <c r="K588" s="2" t="n"/>
      <c r="L588" s="2" t="n"/>
      <c r="M588" s="2" t="n"/>
    </row>
    <row r="589" ht="15.75" customHeight="1" s="168">
      <c r="A589" s="2" t="n"/>
      <c r="B589" s="2" t="n"/>
      <c r="C589" s="2" t="n"/>
      <c r="D589" s="2" t="n"/>
      <c r="E589" s="28" t="n"/>
      <c r="F589" s="2" t="n"/>
      <c r="G589" s="2" t="n"/>
      <c r="H589" s="2" t="n"/>
      <c r="I589" s="28" t="n"/>
      <c r="J589" s="2" t="n"/>
      <c r="K589" s="2" t="n"/>
      <c r="L589" s="2" t="n"/>
      <c r="M589" s="2" t="n"/>
    </row>
    <row r="590" ht="15.75" customHeight="1" s="168">
      <c r="A590" s="2" t="n"/>
      <c r="B590" s="2" t="n"/>
      <c r="C590" s="2" t="n"/>
      <c r="D590" s="2" t="n"/>
      <c r="E590" s="28" t="n"/>
      <c r="F590" s="2" t="n"/>
      <c r="G590" s="2" t="n"/>
      <c r="H590" s="2" t="n"/>
      <c r="I590" s="28" t="n"/>
      <c r="J590" s="2" t="n"/>
      <c r="K590" s="2" t="n"/>
      <c r="L590" s="2" t="n"/>
      <c r="M590" s="2" t="n"/>
    </row>
    <row r="591" ht="15.75" customHeight="1" s="168">
      <c r="A591" s="2" t="n"/>
      <c r="B591" s="2" t="n"/>
      <c r="C591" s="2" t="n"/>
      <c r="D591" s="2" t="n"/>
      <c r="E591" s="28" t="n"/>
      <c r="F591" s="2" t="n"/>
      <c r="G591" s="2" t="n"/>
      <c r="H591" s="2" t="n"/>
      <c r="I591" s="28" t="n"/>
      <c r="J591" s="2" t="n"/>
      <c r="K591" s="2" t="n"/>
      <c r="L591" s="2" t="n"/>
      <c r="M591" s="2" t="n"/>
    </row>
    <row r="592" ht="15.75" customHeight="1" s="168">
      <c r="A592" s="2" t="n"/>
      <c r="B592" s="2" t="n"/>
      <c r="C592" s="2" t="n"/>
      <c r="D592" s="2" t="n"/>
      <c r="E592" s="28" t="n"/>
      <c r="F592" s="2" t="n"/>
      <c r="G592" s="2" t="n"/>
      <c r="H592" s="2" t="n"/>
      <c r="I592" s="28" t="n"/>
      <c r="J592" s="2" t="n"/>
      <c r="K592" s="2" t="n"/>
      <c r="L592" s="2" t="n"/>
      <c r="M592" s="2" t="n"/>
    </row>
    <row r="593" ht="15.75" customHeight="1" s="168">
      <c r="A593" s="2" t="n"/>
      <c r="B593" s="2" t="n"/>
      <c r="C593" s="2" t="n"/>
      <c r="D593" s="2" t="n"/>
      <c r="E593" s="28" t="n"/>
      <c r="F593" s="2" t="n"/>
      <c r="G593" s="2" t="n"/>
      <c r="H593" s="2" t="n"/>
      <c r="I593" s="28" t="n"/>
      <c r="J593" s="2" t="n"/>
      <c r="K593" s="2" t="n"/>
      <c r="L593" s="2" t="n"/>
      <c r="M593" s="2" t="n"/>
    </row>
    <row r="594" ht="15.75" customHeight="1" s="168">
      <c r="A594" s="2" t="n"/>
      <c r="B594" s="2" t="n"/>
      <c r="C594" s="2" t="n"/>
      <c r="D594" s="2" t="n"/>
      <c r="E594" s="28" t="n"/>
      <c r="F594" s="2" t="n"/>
      <c r="G594" s="2" t="n"/>
      <c r="H594" s="2" t="n"/>
      <c r="I594" s="28" t="n"/>
      <c r="J594" s="2" t="n"/>
      <c r="K594" s="2" t="n"/>
      <c r="L594" s="2" t="n"/>
      <c r="M594" s="2" t="n"/>
    </row>
    <row r="595" ht="15.75" customHeight="1" s="168">
      <c r="A595" s="2" t="n"/>
      <c r="B595" s="2" t="n"/>
      <c r="C595" s="2" t="n"/>
      <c r="D595" s="2" t="n"/>
      <c r="E595" s="28" t="n"/>
      <c r="F595" s="2" t="n"/>
      <c r="G595" s="2" t="n"/>
      <c r="H595" s="2" t="n"/>
      <c r="I595" s="28" t="n"/>
      <c r="J595" s="2" t="n"/>
      <c r="K595" s="2" t="n"/>
      <c r="L595" s="2" t="n"/>
      <c r="M595" s="2" t="n"/>
    </row>
    <row r="596" ht="15.75" customHeight="1" s="168">
      <c r="A596" s="2" t="n"/>
      <c r="B596" s="2" t="n"/>
      <c r="C596" s="2" t="n"/>
      <c r="D596" s="2" t="n"/>
      <c r="E596" s="28" t="n"/>
      <c r="F596" s="2" t="n"/>
      <c r="G596" s="2" t="n"/>
      <c r="H596" s="2" t="n"/>
      <c r="I596" s="28" t="n"/>
      <c r="J596" s="2" t="n"/>
      <c r="K596" s="2" t="n"/>
      <c r="L596" s="2" t="n"/>
      <c r="M596" s="2" t="n"/>
    </row>
    <row r="597" ht="15.75" customHeight="1" s="168">
      <c r="A597" s="2" t="n"/>
      <c r="B597" s="2" t="n"/>
      <c r="C597" s="2" t="n"/>
      <c r="D597" s="2" t="n"/>
      <c r="E597" s="28" t="n"/>
      <c r="F597" s="2" t="n"/>
      <c r="G597" s="2" t="n"/>
      <c r="H597" s="2" t="n"/>
      <c r="I597" s="28" t="n"/>
      <c r="J597" s="2" t="n"/>
      <c r="K597" s="2" t="n"/>
      <c r="L597" s="2" t="n"/>
      <c r="M597" s="2" t="n"/>
    </row>
    <row r="598" ht="15.75" customHeight="1" s="168">
      <c r="A598" s="2" t="n"/>
      <c r="B598" s="2" t="n"/>
      <c r="C598" s="2" t="n"/>
      <c r="D598" s="2" t="n"/>
      <c r="E598" s="28" t="n"/>
      <c r="F598" s="2" t="n"/>
      <c r="G598" s="2" t="n"/>
      <c r="H598" s="2" t="n"/>
      <c r="I598" s="28" t="n"/>
      <c r="J598" s="2" t="n"/>
      <c r="K598" s="2" t="n"/>
      <c r="L598" s="2" t="n"/>
      <c r="M598" s="2" t="n"/>
    </row>
    <row r="599" ht="15.75" customHeight="1" s="168">
      <c r="A599" s="2" t="n"/>
      <c r="B599" s="2" t="n"/>
      <c r="C599" s="2" t="n"/>
      <c r="D599" s="2" t="n"/>
      <c r="E599" s="28" t="n"/>
      <c r="F599" s="2" t="n"/>
      <c r="G599" s="2" t="n"/>
      <c r="H599" s="2" t="n"/>
      <c r="I599" s="28" t="n"/>
      <c r="J599" s="2" t="n"/>
      <c r="K599" s="2" t="n"/>
      <c r="L599" s="2" t="n"/>
      <c r="M599" s="2" t="n"/>
    </row>
    <row r="600" ht="15.75" customHeight="1" s="168">
      <c r="A600" s="2" t="n"/>
      <c r="B600" s="2" t="n"/>
      <c r="C600" s="2" t="n"/>
      <c r="D600" s="2" t="n"/>
      <c r="E600" s="28" t="n"/>
      <c r="F600" s="2" t="n"/>
      <c r="G600" s="2" t="n"/>
      <c r="H600" s="2" t="n"/>
      <c r="I600" s="28" t="n"/>
      <c r="J600" s="2" t="n"/>
      <c r="K600" s="2" t="n"/>
      <c r="L600" s="2" t="n"/>
      <c r="M600" s="2" t="n"/>
    </row>
    <row r="601" ht="15.75" customHeight="1" s="168">
      <c r="A601" s="2" t="n"/>
      <c r="B601" s="2" t="n"/>
      <c r="C601" s="2" t="n"/>
      <c r="D601" s="2" t="n"/>
      <c r="E601" s="28" t="n"/>
      <c r="F601" s="2" t="n"/>
      <c r="G601" s="2" t="n"/>
      <c r="H601" s="2" t="n"/>
      <c r="I601" s="28" t="n"/>
      <c r="J601" s="2" t="n"/>
      <c r="K601" s="2" t="n"/>
      <c r="L601" s="2" t="n"/>
      <c r="M601" s="2" t="n"/>
    </row>
    <row r="602" ht="15.75" customHeight="1" s="168">
      <c r="A602" s="2" t="n"/>
      <c r="B602" s="2" t="n"/>
      <c r="C602" s="2" t="n"/>
      <c r="D602" s="2" t="n"/>
      <c r="E602" s="28" t="n"/>
      <c r="F602" s="2" t="n"/>
      <c r="G602" s="2" t="n"/>
      <c r="H602" s="2" t="n"/>
      <c r="I602" s="28" t="n"/>
      <c r="J602" s="2" t="n"/>
      <c r="K602" s="2" t="n"/>
      <c r="L602" s="2" t="n"/>
      <c r="M602" s="2" t="n"/>
    </row>
    <row r="603" ht="15.75" customHeight="1" s="168">
      <c r="A603" s="2" t="n"/>
      <c r="B603" s="2" t="n"/>
      <c r="C603" s="2" t="n"/>
      <c r="D603" s="2" t="n"/>
      <c r="E603" s="28" t="n"/>
      <c r="F603" s="2" t="n"/>
      <c r="G603" s="2" t="n"/>
      <c r="H603" s="2" t="n"/>
      <c r="I603" s="28" t="n"/>
      <c r="J603" s="2" t="n"/>
      <c r="K603" s="2" t="n"/>
      <c r="L603" s="2" t="n"/>
      <c r="M603" s="2" t="n"/>
    </row>
    <row r="604" ht="15.75" customHeight="1" s="168">
      <c r="A604" s="2" t="n"/>
      <c r="B604" s="2" t="n"/>
      <c r="C604" s="2" t="n"/>
      <c r="D604" s="2" t="n"/>
      <c r="E604" s="28" t="n"/>
      <c r="F604" s="2" t="n"/>
      <c r="G604" s="2" t="n"/>
      <c r="H604" s="2" t="n"/>
      <c r="I604" s="28" t="n"/>
      <c r="J604" s="2" t="n"/>
      <c r="K604" s="2" t="n"/>
      <c r="L604" s="2" t="n"/>
      <c r="M604" s="2" t="n"/>
    </row>
    <row r="605" ht="15.75" customHeight="1" s="168">
      <c r="A605" s="2" t="n"/>
      <c r="B605" s="2" t="n"/>
      <c r="C605" s="2" t="n"/>
      <c r="D605" s="2" t="n"/>
      <c r="E605" s="28" t="n"/>
      <c r="F605" s="2" t="n"/>
      <c r="G605" s="2" t="n"/>
      <c r="H605" s="2" t="n"/>
      <c r="I605" s="28" t="n"/>
      <c r="J605" s="2" t="n"/>
      <c r="K605" s="2" t="n"/>
      <c r="L605" s="2" t="n"/>
      <c r="M605" s="2" t="n"/>
    </row>
    <row r="606" ht="15.75" customHeight="1" s="168">
      <c r="A606" s="2" t="n"/>
      <c r="B606" s="2" t="n"/>
      <c r="C606" s="2" t="n"/>
      <c r="D606" s="2" t="n"/>
      <c r="E606" s="28" t="n"/>
      <c r="F606" s="2" t="n"/>
      <c r="G606" s="2" t="n"/>
      <c r="H606" s="2" t="n"/>
      <c r="I606" s="28" t="n"/>
      <c r="J606" s="2" t="n"/>
      <c r="K606" s="2" t="n"/>
      <c r="L606" s="2" t="n"/>
      <c r="M606" s="2" t="n"/>
    </row>
    <row r="607" ht="15.75" customHeight="1" s="168">
      <c r="A607" s="2" t="n"/>
      <c r="B607" s="2" t="n"/>
      <c r="C607" s="2" t="n"/>
      <c r="D607" s="2" t="n"/>
      <c r="E607" s="28" t="n"/>
      <c r="F607" s="2" t="n"/>
      <c r="G607" s="2" t="n"/>
      <c r="H607" s="2" t="n"/>
      <c r="I607" s="28" t="n"/>
      <c r="J607" s="2" t="n"/>
      <c r="K607" s="2" t="n"/>
      <c r="L607" s="2" t="n"/>
      <c r="M607" s="2" t="n"/>
    </row>
    <row r="608" ht="15.75" customHeight="1" s="168">
      <c r="A608" s="2" t="n"/>
      <c r="B608" s="2" t="n"/>
      <c r="C608" s="2" t="n"/>
      <c r="D608" s="2" t="n"/>
      <c r="E608" s="28" t="n"/>
      <c r="F608" s="2" t="n"/>
      <c r="G608" s="2" t="n"/>
      <c r="H608" s="2" t="n"/>
      <c r="I608" s="28" t="n"/>
      <c r="J608" s="2" t="n"/>
      <c r="K608" s="2" t="n"/>
      <c r="L608" s="2" t="n"/>
      <c r="M608" s="2" t="n"/>
    </row>
    <row r="609" ht="15.75" customHeight="1" s="168">
      <c r="A609" s="2" t="n"/>
      <c r="B609" s="2" t="n"/>
      <c r="C609" s="2" t="n"/>
      <c r="D609" s="2" t="n"/>
      <c r="E609" s="28" t="n"/>
      <c r="F609" s="2" t="n"/>
      <c r="G609" s="2" t="n"/>
      <c r="H609" s="2" t="n"/>
      <c r="I609" s="28" t="n"/>
      <c r="J609" s="2" t="n"/>
      <c r="K609" s="2" t="n"/>
      <c r="L609" s="2" t="n"/>
      <c r="M609" s="2" t="n"/>
    </row>
    <row r="610" ht="15.75" customHeight="1" s="168">
      <c r="A610" s="2" t="n"/>
      <c r="B610" s="2" t="n"/>
      <c r="C610" s="2" t="n"/>
      <c r="D610" s="2" t="n"/>
      <c r="E610" s="28" t="n"/>
      <c r="F610" s="2" t="n"/>
      <c r="G610" s="2" t="n"/>
      <c r="H610" s="2" t="n"/>
      <c r="I610" s="28" t="n"/>
      <c r="J610" s="2" t="n"/>
      <c r="K610" s="2" t="n"/>
      <c r="L610" s="2" t="n"/>
      <c r="M610" s="2" t="n"/>
    </row>
    <row r="611" ht="15.75" customHeight="1" s="168">
      <c r="A611" s="2" t="n"/>
      <c r="B611" s="2" t="n"/>
      <c r="C611" s="2" t="n"/>
      <c r="D611" s="2" t="n"/>
      <c r="E611" s="28" t="n"/>
      <c r="F611" s="2" t="n"/>
      <c r="G611" s="2" t="n"/>
      <c r="H611" s="2" t="n"/>
      <c r="I611" s="28" t="n"/>
      <c r="J611" s="2" t="n"/>
      <c r="K611" s="2" t="n"/>
      <c r="L611" s="2" t="n"/>
      <c r="M611" s="2" t="n"/>
    </row>
    <row r="612" ht="15.75" customHeight="1" s="168">
      <c r="A612" s="2" t="n"/>
      <c r="B612" s="2" t="n"/>
      <c r="C612" s="2" t="n"/>
      <c r="D612" s="2" t="n"/>
      <c r="E612" s="28" t="n"/>
      <c r="F612" s="2" t="n"/>
      <c r="G612" s="2" t="n"/>
      <c r="H612" s="2" t="n"/>
      <c r="I612" s="28" t="n"/>
      <c r="J612" s="2" t="n"/>
      <c r="K612" s="2" t="n"/>
      <c r="L612" s="2" t="n"/>
      <c r="M612" s="2" t="n"/>
    </row>
    <row r="613" ht="15.75" customHeight="1" s="168">
      <c r="A613" s="2" t="n"/>
      <c r="B613" s="2" t="n"/>
      <c r="C613" s="2" t="n"/>
      <c r="D613" s="2" t="n"/>
      <c r="E613" s="28" t="n"/>
      <c r="F613" s="2" t="n"/>
      <c r="G613" s="2" t="n"/>
      <c r="H613" s="2" t="n"/>
      <c r="I613" s="28" t="n"/>
      <c r="J613" s="2" t="n"/>
      <c r="K613" s="2" t="n"/>
      <c r="L613" s="2" t="n"/>
      <c r="M613" s="2" t="n"/>
    </row>
    <row r="614" ht="15.75" customHeight="1" s="168">
      <c r="A614" s="2" t="n"/>
      <c r="B614" s="2" t="n"/>
      <c r="C614" s="2" t="n"/>
      <c r="D614" s="2" t="n"/>
      <c r="E614" s="28" t="n"/>
      <c r="F614" s="2" t="n"/>
      <c r="G614" s="2" t="n"/>
      <c r="H614" s="2" t="n"/>
      <c r="I614" s="28" t="n"/>
      <c r="J614" s="2" t="n"/>
      <c r="K614" s="2" t="n"/>
      <c r="L614" s="2" t="n"/>
      <c r="M614" s="2" t="n"/>
    </row>
    <row r="615" ht="15.75" customHeight="1" s="168">
      <c r="A615" s="2" t="n"/>
      <c r="B615" s="2" t="n"/>
      <c r="C615" s="2" t="n"/>
      <c r="D615" s="2" t="n"/>
      <c r="E615" s="28" t="n"/>
      <c r="F615" s="2" t="n"/>
      <c r="G615" s="2" t="n"/>
      <c r="H615" s="2" t="n"/>
      <c r="I615" s="28" t="n"/>
      <c r="J615" s="2" t="n"/>
      <c r="K615" s="2" t="n"/>
      <c r="L615" s="2" t="n"/>
      <c r="M615" s="2" t="n"/>
    </row>
    <row r="616" ht="15.75" customHeight="1" s="168">
      <c r="A616" s="2" t="n"/>
      <c r="B616" s="2" t="n"/>
      <c r="C616" s="2" t="n"/>
      <c r="D616" s="2" t="n"/>
      <c r="E616" s="28" t="n"/>
      <c r="F616" s="2" t="n"/>
      <c r="G616" s="2" t="n"/>
      <c r="H616" s="2" t="n"/>
      <c r="I616" s="28" t="n"/>
      <c r="J616" s="2" t="n"/>
      <c r="K616" s="2" t="n"/>
      <c r="L616" s="2" t="n"/>
      <c r="M616" s="2" t="n"/>
    </row>
    <row r="617" ht="15.75" customHeight="1" s="168">
      <c r="A617" s="2" t="n"/>
      <c r="B617" s="2" t="n"/>
      <c r="C617" s="2" t="n"/>
      <c r="D617" s="2" t="n"/>
      <c r="E617" s="28" t="n"/>
      <c r="F617" s="2" t="n"/>
      <c r="G617" s="2" t="n"/>
      <c r="H617" s="2" t="n"/>
      <c r="I617" s="28" t="n"/>
      <c r="J617" s="2" t="n"/>
      <c r="K617" s="2" t="n"/>
      <c r="L617" s="2" t="n"/>
      <c r="M617" s="2" t="n"/>
    </row>
    <row r="618" ht="15.75" customHeight="1" s="168">
      <c r="A618" s="2" t="n"/>
      <c r="B618" s="2" t="n"/>
      <c r="C618" s="2" t="n"/>
      <c r="D618" s="2" t="n"/>
      <c r="E618" s="28" t="n"/>
      <c r="F618" s="2" t="n"/>
      <c r="G618" s="2" t="n"/>
      <c r="H618" s="2" t="n"/>
      <c r="I618" s="28" t="n"/>
      <c r="J618" s="2" t="n"/>
      <c r="K618" s="2" t="n"/>
      <c r="L618" s="2" t="n"/>
      <c r="M618" s="2" t="n"/>
    </row>
    <row r="619" ht="15.75" customHeight="1" s="168">
      <c r="A619" s="2" t="n"/>
      <c r="B619" s="2" t="n"/>
      <c r="C619" s="2" t="n"/>
      <c r="D619" s="2" t="n"/>
      <c r="E619" s="28" t="n"/>
      <c r="F619" s="2" t="n"/>
      <c r="G619" s="2" t="n"/>
      <c r="H619" s="2" t="n"/>
      <c r="I619" s="28" t="n"/>
      <c r="J619" s="2" t="n"/>
      <c r="K619" s="2" t="n"/>
      <c r="L619" s="2" t="n"/>
      <c r="M619" s="2" t="n"/>
    </row>
    <row r="620" ht="15.75" customHeight="1" s="168">
      <c r="A620" s="2" t="n"/>
      <c r="B620" s="2" t="n"/>
      <c r="C620" s="2" t="n"/>
      <c r="D620" s="2" t="n"/>
      <c r="E620" s="28" t="n"/>
      <c r="F620" s="2" t="n"/>
      <c r="G620" s="2" t="n"/>
      <c r="H620" s="2" t="n"/>
      <c r="I620" s="28" t="n"/>
      <c r="J620" s="2" t="n"/>
      <c r="K620" s="2" t="n"/>
      <c r="L620" s="2" t="n"/>
      <c r="M620" s="2" t="n"/>
    </row>
    <row r="621" ht="15.75" customHeight="1" s="168">
      <c r="A621" s="2" t="n"/>
      <c r="B621" s="2" t="n"/>
      <c r="C621" s="2" t="n"/>
      <c r="D621" s="2" t="n"/>
      <c r="E621" s="28" t="n"/>
      <c r="F621" s="2" t="n"/>
      <c r="G621" s="2" t="n"/>
      <c r="H621" s="2" t="n"/>
      <c r="I621" s="28" t="n"/>
      <c r="J621" s="2" t="n"/>
      <c r="K621" s="2" t="n"/>
      <c r="L621" s="2" t="n"/>
      <c r="M621" s="2" t="n"/>
    </row>
    <row r="622" ht="15.75" customHeight="1" s="168">
      <c r="A622" s="2" t="n"/>
      <c r="B622" s="2" t="n"/>
      <c r="C622" s="2" t="n"/>
      <c r="D622" s="2" t="n"/>
      <c r="E622" s="28" t="n"/>
      <c r="F622" s="2" t="n"/>
      <c r="G622" s="2" t="n"/>
      <c r="H622" s="2" t="n"/>
      <c r="I622" s="28" t="n"/>
      <c r="J622" s="2" t="n"/>
      <c r="K622" s="2" t="n"/>
      <c r="L622" s="2" t="n"/>
      <c r="M622" s="2" t="n"/>
    </row>
    <row r="623" ht="15.75" customHeight="1" s="168">
      <c r="A623" s="2" t="n"/>
      <c r="B623" s="2" t="n"/>
      <c r="C623" s="2" t="n"/>
      <c r="D623" s="2" t="n"/>
      <c r="E623" s="28" t="n"/>
      <c r="F623" s="2" t="n"/>
      <c r="G623" s="2" t="n"/>
      <c r="H623" s="2" t="n"/>
      <c r="I623" s="28" t="n"/>
      <c r="J623" s="2" t="n"/>
      <c r="K623" s="2" t="n"/>
      <c r="L623" s="2" t="n"/>
      <c r="M623" s="2" t="n"/>
    </row>
    <row r="624" ht="15.75" customHeight="1" s="168">
      <c r="A624" s="2" t="n"/>
      <c r="B624" s="2" t="n"/>
      <c r="C624" s="2" t="n"/>
      <c r="D624" s="2" t="n"/>
      <c r="E624" s="28" t="n"/>
      <c r="F624" s="2" t="n"/>
      <c r="G624" s="2" t="n"/>
      <c r="H624" s="2" t="n"/>
      <c r="I624" s="28" t="n"/>
      <c r="J624" s="2" t="n"/>
      <c r="K624" s="2" t="n"/>
      <c r="L624" s="2" t="n"/>
      <c r="M624" s="2" t="n"/>
    </row>
    <row r="625" ht="15.75" customHeight="1" s="168">
      <c r="A625" s="2" t="n"/>
      <c r="B625" s="2" t="n"/>
      <c r="C625" s="2" t="n"/>
      <c r="D625" s="2" t="n"/>
      <c r="E625" s="28" t="n"/>
      <c r="F625" s="2" t="n"/>
      <c r="G625" s="2" t="n"/>
      <c r="H625" s="2" t="n"/>
      <c r="I625" s="28" t="n"/>
      <c r="J625" s="2" t="n"/>
      <c r="K625" s="2" t="n"/>
      <c r="L625" s="2" t="n"/>
      <c r="M625" s="2" t="n"/>
    </row>
    <row r="626" ht="15.75" customHeight="1" s="168">
      <c r="A626" s="2" t="n"/>
      <c r="B626" s="2" t="n"/>
      <c r="C626" s="2" t="n"/>
      <c r="D626" s="2" t="n"/>
      <c r="E626" s="28" t="n"/>
      <c r="F626" s="2" t="n"/>
      <c r="G626" s="2" t="n"/>
      <c r="H626" s="2" t="n"/>
      <c r="I626" s="28" t="n"/>
      <c r="J626" s="2" t="n"/>
      <c r="K626" s="2" t="n"/>
      <c r="L626" s="2" t="n"/>
      <c r="M626" s="2" t="n"/>
    </row>
    <row r="627" ht="15.75" customHeight="1" s="168">
      <c r="A627" s="2" t="n"/>
      <c r="B627" s="2" t="n"/>
      <c r="C627" s="2" t="n"/>
      <c r="D627" s="2" t="n"/>
      <c r="E627" s="28" t="n"/>
      <c r="F627" s="2" t="n"/>
      <c r="G627" s="2" t="n"/>
      <c r="H627" s="2" t="n"/>
      <c r="I627" s="28" t="n"/>
      <c r="J627" s="2" t="n"/>
      <c r="K627" s="2" t="n"/>
      <c r="L627" s="2" t="n"/>
      <c r="M627" s="2" t="n"/>
    </row>
    <row r="628" ht="15.75" customHeight="1" s="168">
      <c r="A628" s="2" t="n"/>
      <c r="B628" s="2" t="n"/>
      <c r="C628" s="2" t="n"/>
      <c r="D628" s="2" t="n"/>
      <c r="E628" s="28" t="n"/>
      <c r="F628" s="2" t="n"/>
      <c r="G628" s="2" t="n"/>
      <c r="H628" s="2" t="n"/>
      <c r="I628" s="28" t="n"/>
      <c r="J628" s="2" t="n"/>
      <c r="K628" s="2" t="n"/>
      <c r="L628" s="2" t="n"/>
      <c r="M628" s="2" t="n"/>
    </row>
    <row r="629" ht="15.75" customHeight="1" s="168">
      <c r="A629" s="2" t="n"/>
      <c r="B629" s="2" t="n"/>
      <c r="C629" s="2" t="n"/>
      <c r="D629" s="2" t="n"/>
      <c r="E629" s="28" t="n"/>
      <c r="F629" s="2" t="n"/>
      <c r="G629" s="2" t="n"/>
      <c r="H629" s="2" t="n"/>
      <c r="I629" s="28" t="n"/>
      <c r="J629" s="2" t="n"/>
      <c r="K629" s="2" t="n"/>
      <c r="L629" s="2" t="n"/>
      <c r="M629" s="2" t="n"/>
    </row>
    <row r="630" ht="15.75" customHeight="1" s="168">
      <c r="A630" s="2" t="n"/>
      <c r="B630" s="2" t="n"/>
      <c r="C630" s="2" t="n"/>
      <c r="D630" s="2" t="n"/>
      <c r="E630" s="28" t="n"/>
      <c r="F630" s="2" t="n"/>
      <c r="G630" s="2" t="n"/>
      <c r="H630" s="2" t="n"/>
      <c r="I630" s="28" t="n"/>
      <c r="J630" s="2" t="n"/>
      <c r="K630" s="2" t="n"/>
      <c r="L630" s="2" t="n"/>
      <c r="M630" s="2" t="n"/>
    </row>
    <row r="631" ht="15.75" customHeight="1" s="168">
      <c r="A631" s="2" t="n"/>
      <c r="B631" s="2" t="n"/>
      <c r="C631" s="2" t="n"/>
      <c r="D631" s="2" t="n"/>
      <c r="E631" s="28" t="n"/>
      <c r="F631" s="2" t="n"/>
      <c r="G631" s="2" t="n"/>
      <c r="H631" s="2" t="n"/>
      <c r="I631" s="28" t="n"/>
      <c r="J631" s="2" t="n"/>
      <c r="K631" s="2" t="n"/>
      <c r="L631" s="2" t="n"/>
      <c r="M631" s="2" t="n"/>
    </row>
    <row r="632" ht="15.75" customHeight="1" s="168">
      <c r="A632" s="2" t="n"/>
      <c r="B632" s="2" t="n"/>
      <c r="C632" s="2" t="n"/>
      <c r="D632" s="2" t="n"/>
      <c r="E632" s="28" t="n"/>
      <c r="F632" s="2" t="n"/>
      <c r="G632" s="2" t="n"/>
      <c r="H632" s="2" t="n"/>
      <c r="I632" s="28" t="n"/>
      <c r="J632" s="2" t="n"/>
      <c r="K632" s="2" t="n"/>
      <c r="L632" s="2" t="n"/>
      <c r="M632" s="2" t="n"/>
    </row>
    <row r="633" ht="15.75" customHeight="1" s="168">
      <c r="A633" s="2" t="n"/>
      <c r="B633" s="2" t="n"/>
      <c r="C633" s="2" t="n"/>
      <c r="D633" s="2" t="n"/>
      <c r="E633" s="28" t="n"/>
      <c r="F633" s="2" t="n"/>
      <c r="G633" s="2" t="n"/>
      <c r="H633" s="2" t="n"/>
      <c r="I633" s="28" t="n"/>
      <c r="J633" s="2" t="n"/>
      <c r="K633" s="2" t="n"/>
      <c r="L633" s="2" t="n"/>
      <c r="M633" s="2" t="n"/>
    </row>
    <row r="634" ht="15.75" customHeight="1" s="168">
      <c r="A634" s="2" t="n"/>
      <c r="B634" s="2" t="n"/>
      <c r="C634" s="2" t="n"/>
      <c r="D634" s="2" t="n"/>
      <c r="E634" s="28" t="n"/>
      <c r="F634" s="2" t="n"/>
      <c r="G634" s="2" t="n"/>
      <c r="H634" s="2" t="n"/>
      <c r="I634" s="28" t="n"/>
      <c r="J634" s="2" t="n"/>
      <c r="K634" s="2" t="n"/>
      <c r="L634" s="2" t="n"/>
      <c r="M634" s="2" t="n"/>
    </row>
    <row r="635" ht="15.75" customHeight="1" s="168">
      <c r="A635" s="2" t="n"/>
      <c r="B635" s="2" t="n"/>
      <c r="C635" s="2" t="n"/>
      <c r="D635" s="2" t="n"/>
      <c r="E635" s="28" t="n"/>
      <c r="F635" s="2" t="n"/>
      <c r="G635" s="2" t="n"/>
      <c r="H635" s="2" t="n"/>
      <c r="I635" s="28" t="n"/>
      <c r="J635" s="2" t="n"/>
      <c r="K635" s="2" t="n"/>
      <c r="L635" s="2" t="n"/>
      <c r="M635" s="2" t="n"/>
    </row>
    <row r="636" ht="15.75" customHeight="1" s="168">
      <c r="A636" s="2" t="n"/>
      <c r="B636" s="2" t="n"/>
      <c r="C636" s="2" t="n"/>
      <c r="D636" s="2" t="n"/>
      <c r="E636" s="28" t="n"/>
      <c r="F636" s="2" t="n"/>
      <c r="G636" s="2" t="n"/>
      <c r="H636" s="2" t="n"/>
      <c r="I636" s="28" t="n"/>
      <c r="J636" s="2" t="n"/>
      <c r="K636" s="2" t="n"/>
      <c r="L636" s="2" t="n"/>
      <c r="M636" s="2" t="n"/>
    </row>
    <row r="637" ht="15.75" customHeight="1" s="168">
      <c r="A637" s="2" t="n"/>
      <c r="B637" s="2" t="n"/>
      <c r="C637" s="2" t="n"/>
      <c r="D637" s="2" t="n"/>
      <c r="E637" s="28" t="n"/>
      <c r="F637" s="2" t="n"/>
      <c r="G637" s="2" t="n"/>
      <c r="H637" s="2" t="n"/>
      <c r="I637" s="28" t="n"/>
      <c r="J637" s="2" t="n"/>
      <c r="K637" s="2" t="n"/>
      <c r="L637" s="2" t="n"/>
      <c r="M637" s="2" t="n"/>
    </row>
    <row r="638" ht="15.75" customHeight="1" s="168">
      <c r="A638" s="2" t="n"/>
      <c r="B638" s="2" t="n"/>
      <c r="C638" s="2" t="n"/>
      <c r="D638" s="2" t="n"/>
      <c r="E638" s="28" t="n"/>
      <c r="F638" s="2" t="n"/>
      <c r="G638" s="2" t="n"/>
      <c r="H638" s="2" t="n"/>
      <c r="I638" s="28" t="n"/>
      <c r="J638" s="2" t="n"/>
      <c r="K638" s="2" t="n"/>
      <c r="L638" s="2" t="n"/>
      <c r="M638" s="2" t="n"/>
    </row>
    <row r="639" ht="15.75" customHeight="1" s="168">
      <c r="A639" s="2" t="n"/>
      <c r="B639" s="2" t="n"/>
      <c r="C639" s="2" t="n"/>
      <c r="D639" s="2" t="n"/>
      <c r="E639" s="28" t="n"/>
      <c r="F639" s="2" t="n"/>
      <c r="G639" s="2" t="n"/>
      <c r="H639" s="2" t="n"/>
      <c r="I639" s="28" t="n"/>
      <c r="J639" s="2" t="n"/>
      <c r="K639" s="2" t="n"/>
      <c r="L639" s="2" t="n"/>
      <c r="M639" s="2" t="n"/>
    </row>
    <row r="640" ht="15.75" customHeight="1" s="168">
      <c r="A640" s="2" t="n"/>
      <c r="B640" s="2" t="n"/>
      <c r="C640" s="2" t="n"/>
      <c r="D640" s="2" t="n"/>
      <c r="E640" s="28" t="n"/>
      <c r="F640" s="2" t="n"/>
      <c r="G640" s="2" t="n"/>
      <c r="H640" s="2" t="n"/>
      <c r="I640" s="28" t="n"/>
      <c r="J640" s="2" t="n"/>
      <c r="K640" s="2" t="n"/>
      <c r="L640" s="2" t="n"/>
      <c r="M640" s="2" t="n"/>
    </row>
    <row r="641" ht="15.75" customHeight="1" s="168">
      <c r="A641" s="2" t="n"/>
      <c r="B641" s="2" t="n"/>
      <c r="C641" s="2" t="n"/>
      <c r="D641" s="2" t="n"/>
      <c r="E641" s="28" t="n"/>
      <c r="F641" s="2" t="n"/>
      <c r="G641" s="2" t="n"/>
      <c r="H641" s="2" t="n"/>
      <c r="I641" s="28" t="n"/>
      <c r="J641" s="2" t="n"/>
      <c r="K641" s="2" t="n"/>
      <c r="L641" s="2" t="n"/>
      <c r="M641" s="2" t="n"/>
    </row>
    <row r="642" ht="15.75" customHeight="1" s="168">
      <c r="A642" s="2" t="n"/>
      <c r="B642" s="2" t="n"/>
      <c r="C642" s="2" t="n"/>
      <c r="D642" s="2" t="n"/>
      <c r="E642" s="28" t="n"/>
      <c r="F642" s="2" t="n"/>
      <c r="G642" s="2" t="n"/>
      <c r="H642" s="2" t="n"/>
      <c r="I642" s="28" t="n"/>
      <c r="J642" s="2" t="n"/>
      <c r="K642" s="2" t="n"/>
      <c r="L642" s="2" t="n"/>
      <c r="M642" s="2" t="n"/>
    </row>
    <row r="643" ht="15.75" customHeight="1" s="168">
      <c r="A643" s="2" t="n"/>
      <c r="B643" s="2" t="n"/>
      <c r="C643" s="2" t="n"/>
      <c r="D643" s="2" t="n"/>
      <c r="E643" s="28" t="n"/>
      <c r="F643" s="2" t="n"/>
      <c r="G643" s="2" t="n"/>
      <c r="H643" s="2" t="n"/>
      <c r="I643" s="28" t="n"/>
      <c r="J643" s="2" t="n"/>
      <c r="K643" s="2" t="n"/>
      <c r="L643" s="2" t="n"/>
      <c r="M643" s="2" t="n"/>
    </row>
    <row r="644" ht="15.75" customHeight="1" s="168">
      <c r="A644" s="2" t="n"/>
      <c r="B644" s="2" t="n"/>
      <c r="C644" s="2" t="n"/>
      <c r="D644" s="2" t="n"/>
      <c r="E644" s="28" t="n"/>
      <c r="F644" s="2" t="n"/>
      <c r="G644" s="2" t="n"/>
      <c r="H644" s="2" t="n"/>
      <c r="I644" s="28" t="n"/>
      <c r="J644" s="2" t="n"/>
      <c r="K644" s="2" t="n"/>
      <c r="L644" s="2" t="n"/>
      <c r="M644" s="2" t="n"/>
    </row>
    <row r="645" ht="15.75" customHeight="1" s="168">
      <c r="A645" s="2" t="n"/>
      <c r="B645" s="2" t="n"/>
      <c r="C645" s="2" t="n"/>
      <c r="D645" s="2" t="n"/>
      <c r="E645" s="28" t="n"/>
      <c r="F645" s="2" t="n"/>
      <c r="G645" s="2" t="n"/>
      <c r="H645" s="2" t="n"/>
      <c r="I645" s="28" t="n"/>
      <c r="J645" s="2" t="n"/>
      <c r="K645" s="2" t="n"/>
      <c r="L645" s="2" t="n"/>
      <c r="M645" s="2" t="n"/>
    </row>
    <row r="646" ht="15.75" customHeight="1" s="168">
      <c r="A646" s="2" t="n"/>
      <c r="B646" s="2" t="n"/>
      <c r="C646" s="2" t="n"/>
      <c r="D646" s="2" t="n"/>
      <c r="E646" s="28" t="n"/>
      <c r="F646" s="2" t="n"/>
      <c r="G646" s="2" t="n"/>
      <c r="H646" s="2" t="n"/>
      <c r="I646" s="28" t="n"/>
      <c r="J646" s="2" t="n"/>
      <c r="K646" s="2" t="n"/>
      <c r="L646" s="2" t="n"/>
      <c r="M646" s="2" t="n"/>
    </row>
    <row r="647" ht="15.75" customHeight="1" s="168">
      <c r="A647" s="2" t="n"/>
      <c r="B647" s="2" t="n"/>
      <c r="C647" s="2" t="n"/>
      <c r="D647" s="2" t="n"/>
      <c r="E647" s="28" t="n"/>
      <c r="F647" s="2" t="n"/>
      <c r="G647" s="2" t="n"/>
      <c r="H647" s="2" t="n"/>
      <c r="I647" s="28" t="n"/>
      <c r="J647" s="2" t="n"/>
      <c r="K647" s="2" t="n"/>
      <c r="L647" s="2" t="n"/>
      <c r="M647" s="2" t="n"/>
    </row>
    <row r="648" ht="15.75" customHeight="1" s="168">
      <c r="A648" s="2" t="n"/>
      <c r="B648" s="2" t="n"/>
      <c r="C648" s="2" t="n"/>
      <c r="D648" s="2" t="n"/>
      <c r="E648" s="28" t="n"/>
      <c r="F648" s="2" t="n"/>
      <c r="G648" s="2" t="n"/>
      <c r="H648" s="2" t="n"/>
      <c r="I648" s="28" t="n"/>
      <c r="J648" s="2" t="n"/>
      <c r="K648" s="2" t="n"/>
      <c r="L648" s="2" t="n"/>
      <c r="M648" s="2" t="n"/>
    </row>
    <row r="649" ht="15.75" customHeight="1" s="168">
      <c r="A649" s="2" t="n"/>
      <c r="B649" s="2" t="n"/>
      <c r="C649" s="2" t="n"/>
      <c r="D649" s="2" t="n"/>
      <c r="E649" s="28" t="n"/>
      <c r="F649" s="2" t="n"/>
      <c r="G649" s="2" t="n"/>
      <c r="H649" s="2" t="n"/>
      <c r="I649" s="28" t="n"/>
      <c r="J649" s="2" t="n"/>
      <c r="K649" s="2" t="n"/>
      <c r="L649" s="2" t="n"/>
      <c r="M649" s="2" t="n"/>
    </row>
    <row r="650" ht="15.75" customHeight="1" s="168">
      <c r="A650" s="2" t="n"/>
      <c r="B650" s="2" t="n"/>
      <c r="C650" s="2" t="n"/>
      <c r="D650" s="2" t="n"/>
      <c r="E650" s="28" t="n"/>
      <c r="F650" s="2" t="n"/>
      <c r="G650" s="2" t="n"/>
      <c r="H650" s="2" t="n"/>
      <c r="I650" s="28" t="n"/>
      <c r="J650" s="2" t="n"/>
      <c r="K650" s="2" t="n"/>
      <c r="L650" s="2" t="n"/>
      <c r="M650" s="2" t="n"/>
    </row>
    <row r="651" ht="15.75" customHeight="1" s="168">
      <c r="A651" s="2" t="n"/>
      <c r="B651" s="2" t="n"/>
      <c r="C651" s="2" t="n"/>
      <c r="D651" s="2" t="n"/>
      <c r="E651" s="28" t="n"/>
      <c r="F651" s="2" t="n"/>
      <c r="G651" s="2" t="n"/>
      <c r="H651" s="2" t="n"/>
      <c r="I651" s="28" t="n"/>
      <c r="J651" s="2" t="n"/>
      <c r="K651" s="2" t="n"/>
      <c r="L651" s="2" t="n"/>
      <c r="M651" s="2" t="n"/>
    </row>
    <row r="652" ht="15.75" customHeight="1" s="168">
      <c r="A652" s="2" t="n"/>
      <c r="B652" s="2" t="n"/>
      <c r="C652" s="2" t="n"/>
      <c r="D652" s="2" t="n"/>
      <c r="E652" s="28" t="n"/>
      <c r="F652" s="2" t="n"/>
      <c r="G652" s="2" t="n"/>
      <c r="H652" s="2" t="n"/>
      <c r="I652" s="28" t="n"/>
      <c r="J652" s="2" t="n"/>
      <c r="K652" s="2" t="n"/>
      <c r="L652" s="2" t="n"/>
      <c r="M652" s="2" t="n"/>
    </row>
    <row r="653" ht="15.75" customHeight="1" s="168">
      <c r="A653" s="2" t="n"/>
      <c r="B653" s="2" t="n"/>
      <c r="C653" s="2" t="n"/>
      <c r="D653" s="2" t="n"/>
      <c r="E653" s="28" t="n"/>
      <c r="F653" s="2" t="n"/>
      <c r="G653" s="2" t="n"/>
      <c r="H653" s="2" t="n"/>
      <c r="I653" s="28" t="n"/>
      <c r="J653" s="2" t="n"/>
      <c r="K653" s="2" t="n"/>
      <c r="L653" s="2" t="n"/>
      <c r="M653" s="2" t="n"/>
    </row>
    <row r="654" ht="15.75" customHeight="1" s="168">
      <c r="A654" s="2" t="n"/>
      <c r="B654" s="2" t="n"/>
      <c r="C654" s="2" t="n"/>
      <c r="D654" s="2" t="n"/>
      <c r="E654" s="28" t="n"/>
      <c r="F654" s="2" t="n"/>
      <c r="G654" s="2" t="n"/>
      <c r="H654" s="2" t="n"/>
      <c r="I654" s="28" t="n"/>
      <c r="J654" s="2" t="n"/>
      <c r="K654" s="2" t="n"/>
      <c r="L654" s="2" t="n"/>
      <c r="M654" s="2" t="n"/>
    </row>
    <row r="655" ht="15.75" customHeight="1" s="168">
      <c r="A655" s="2" t="n"/>
      <c r="B655" s="2" t="n"/>
      <c r="C655" s="2" t="n"/>
      <c r="D655" s="2" t="n"/>
      <c r="E655" s="28" t="n"/>
      <c r="F655" s="2" t="n"/>
      <c r="G655" s="2" t="n"/>
      <c r="H655" s="2" t="n"/>
      <c r="I655" s="28" t="n"/>
      <c r="J655" s="2" t="n"/>
      <c r="K655" s="2" t="n"/>
      <c r="L655" s="2" t="n"/>
      <c r="M655" s="2" t="n"/>
    </row>
    <row r="656" ht="15.75" customHeight="1" s="168">
      <c r="A656" s="2" t="n"/>
      <c r="B656" s="2" t="n"/>
      <c r="C656" s="2" t="n"/>
      <c r="D656" s="2" t="n"/>
      <c r="E656" s="28" t="n"/>
      <c r="F656" s="2" t="n"/>
      <c r="G656" s="2" t="n"/>
      <c r="H656" s="2" t="n"/>
      <c r="I656" s="28" t="n"/>
      <c r="J656" s="2" t="n"/>
      <c r="K656" s="2" t="n"/>
      <c r="L656" s="2" t="n"/>
      <c r="M656" s="2" t="n"/>
    </row>
    <row r="657" ht="15.75" customHeight="1" s="168">
      <c r="A657" s="2" t="n"/>
      <c r="B657" s="2" t="n"/>
      <c r="C657" s="2" t="n"/>
      <c r="D657" s="2" t="n"/>
      <c r="E657" s="28" t="n"/>
      <c r="F657" s="2" t="n"/>
      <c r="G657" s="2" t="n"/>
      <c r="H657" s="2" t="n"/>
      <c r="I657" s="28" t="n"/>
      <c r="J657" s="2" t="n"/>
      <c r="K657" s="2" t="n"/>
      <c r="L657" s="2" t="n"/>
      <c r="M657" s="2" t="n"/>
    </row>
    <row r="658" ht="15.75" customHeight="1" s="168">
      <c r="A658" s="2" t="n"/>
      <c r="B658" s="2" t="n"/>
      <c r="C658" s="2" t="n"/>
      <c r="D658" s="2" t="n"/>
      <c r="E658" s="28" t="n"/>
      <c r="F658" s="2" t="n"/>
      <c r="G658" s="2" t="n"/>
      <c r="H658" s="2" t="n"/>
      <c r="I658" s="28" t="n"/>
      <c r="J658" s="2" t="n"/>
      <c r="K658" s="2" t="n"/>
      <c r="L658" s="2" t="n"/>
      <c r="M658" s="2" t="n"/>
    </row>
    <row r="659" ht="15.75" customHeight="1" s="168">
      <c r="A659" s="2" t="n"/>
      <c r="B659" s="2" t="n"/>
      <c r="C659" s="2" t="n"/>
      <c r="D659" s="2" t="n"/>
      <c r="E659" s="28" t="n"/>
      <c r="F659" s="2" t="n"/>
      <c r="G659" s="2" t="n"/>
      <c r="H659" s="2" t="n"/>
      <c r="I659" s="28" t="n"/>
      <c r="J659" s="2" t="n"/>
      <c r="K659" s="2" t="n"/>
      <c r="L659" s="2" t="n"/>
      <c r="M659" s="2" t="n"/>
    </row>
    <row r="660" ht="15.75" customHeight="1" s="168">
      <c r="A660" s="2" t="n"/>
      <c r="B660" s="2" t="n"/>
      <c r="C660" s="2" t="n"/>
      <c r="D660" s="2" t="n"/>
      <c r="E660" s="28" t="n"/>
      <c r="F660" s="2" t="n"/>
      <c r="G660" s="2" t="n"/>
      <c r="H660" s="2" t="n"/>
      <c r="I660" s="28" t="n"/>
      <c r="J660" s="2" t="n"/>
      <c r="K660" s="2" t="n"/>
      <c r="L660" s="2" t="n"/>
      <c r="M660" s="2" t="n"/>
    </row>
    <row r="661" ht="15.75" customHeight="1" s="168">
      <c r="A661" s="2" t="n"/>
      <c r="B661" s="2" t="n"/>
      <c r="C661" s="2" t="n"/>
      <c r="D661" s="2" t="n"/>
      <c r="E661" s="28" t="n"/>
      <c r="F661" s="2" t="n"/>
      <c r="G661" s="2" t="n"/>
      <c r="H661" s="2" t="n"/>
      <c r="I661" s="28" t="n"/>
      <c r="J661" s="2" t="n"/>
      <c r="K661" s="2" t="n"/>
      <c r="L661" s="2" t="n"/>
      <c r="M661" s="2" t="n"/>
    </row>
    <row r="662" ht="15.75" customHeight="1" s="168">
      <c r="A662" s="2" t="n"/>
      <c r="B662" s="2" t="n"/>
      <c r="C662" s="2" t="n"/>
      <c r="D662" s="2" t="n"/>
      <c r="E662" s="28" t="n"/>
      <c r="F662" s="2" t="n"/>
      <c r="G662" s="2" t="n"/>
      <c r="H662" s="2" t="n"/>
      <c r="I662" s="28" t="n"/>
      <c r="J662" s="2" t="n"/>
      <c r="K662" s="2" t="n"/>
      <c r="L662" s="2" t="n"/>
      <c r="M662" s="2" t="n"/>
    </row>
    <row r="663" ht="15.75" customHeight="1" s="168">
      <c r="A663" s="2" t="n"/>
      <c r="B663" s="2" t="n"/>
      <c r="C663" s="2" t="n"/>
      <c r="D663" s="2" t="n"/>
      <c r="E663" s="28" t="n"/>
      <c r="F663" s="2" t="n"/>
      <c r="G663" s="2" t="n"/>
      <c r="H663" s="2" t="n"/>
      <c r="I663" s="28" t="n"/>
      <c r="J663" s="2" t="n"/>
      <c r="K663" s="2" t="n"/>
      <c r="L663" s="2" t="n"/>
      <c r="M663" s="2" t="n"/>
    </row>
    <row r="664" ht="15.75" customHeight="1" s="168">
      <c r="A664" s="2" t="n"/>
      <c r="B664" s="2" t="n"/>
      <c r="C664" s="2" t="n"/>
      <c r="D664" s="2" t="n"/>
      <c r="E664" s="28" t="n"/>
      <c r="F664" s="2" t="n"/>
      <c r="G664" s="2" t="n"/>
      <c r="H664" s="2" t="n"/>
      <c r="I664" s="28" t="n"/>
      <c r="J664" s="2" t="n"/>
      <c r="K664" s="2" t="n"/>
      <c r="L664" s="2" t="n"/>
      <c r="M664" s="2" t="n"/>
    </row>
    <row r="665" ht="15.75" customHeight="1" s="168">
      <c r="A665" s="2" t="n"/>
      <c r="B665" s="2" t="n"/>
      <c r="C665" s="2" t="n"/>
      <c r="D665" s="2" t="n"/>
      <c r="E665" s="28" t="n"/>
      <c r="F665" s="2" t="n"/>
      <c r="G665" s="2" t="n"/>
      <c r="H665" s="2" t="n"/>
      <c r="I665" s="28" t="n"/>
      <c r="J665" s="2" t="n"/>
      <c r="K665" s="2" t="n"/>
      <c r="L665" s="2" t="n"/>
      <c r="M665" s="2" t="n"/>
    </row>
    <row r="666" ht="15.75" customHeight="1" s="168">
      <c r="A666" s="2" t="n"/>
      <c r="B666" s="2" t="n"/>
      <c r="C666" s="2" t="n"/>
      <c r="D666" s="2" t="n"/>
      <c r="E666" s="28" t="n"/>
      <c r="F666" s="2" t="n"/>
      <c r="G666" s="2" t="n"/>
      <c r="H666" s="2" t="n"/>
      <c r="I666" s="28" t="n"/>
      <c r="J666" s="2" t="n"/>
      <c r="K666" s="2" t="n"/>
      <c r="L666" s="2" t="n"/>
      <c r="M666" s="2" t="n"/>
    </row>
    <row r="667" ht="15.75" customHeight="1" s="168">
      <c r="A667" s="2" t="n"/>
      <c r="B667" s="2" t="n"/>
      <c r="C667" s="2" t="n"/>
      <c r="D667" s="2" t="n"/>
      <c r="E667" s="28" t="n"/>
      <c r="F667" s="2" t="n"/>
      <c r="G667" s="2" t="n"/>
      <c r="H667" s="2" t="n"/>
      <c r="I667" s="28" t="n"/>
      <c r="J667" s="2" t="n"/>
      <c r="K667" s="2" t="n"/>
      <c r="L667" s="2" t="n"/>
      <c r="M667" s="2" t="n"/>
    </row>
    <row r="668" ht="15.75" customHeight="1" s="168">
      <c r="A668" s="2" t="n"/>
      <c r="B668" s="2" t="n"/>
      <c r="C668" s="2" t="n"/>
      <c r="D668" s="2" t="n"/>
      <c r="E668" s="28" t="n"/>
      <c r="F668" s="2" t="n"/>
      <c r="G668" s="2" t="n"/>
      <c r="H668" s="2" t="n"/>
      <c r="I668" s="28" t="n"/>
      <c r="J668" s="2" t="n"/>
      <c r="K668" s="2" t="n"/>
      <c r="L668" s="2" t="n"/>
      <c r="M668" s="2" t="n"/>
    </row>
    <row r="669" ht="15.75" customHeight="1" s="168">
      <c r="A669" s="2" t="n"/>
      <c r="B669" s="2" t="n"/>
      <c r="C669" s="2" t="n"/>
      <c r="D669" s="2" t="n"/>
      <c r="E669" s="28" t="n"/>
      <c r="F669" s="2" t="n"/>
      <c r="G669" s="2" t="n"/>
      <c r="H669" s="2" t="n"/>
      <c r="I669" s="28" t="n"/>
      <c r="J669" s="2" t="n"/>
      <c r="K669" s="2" t="n"/>
      <c r="L669" s="2" t="n"/>
      <c r="M669" s="2" t="n"/>
    </row>
    <row r="670" ht="15.75" customHeight="1" s="168">
      <c r="A670" s="2" t="n"/>
      <c r="B670" s="2" t="n"/>
      <c r="C670" s="2" t="n"/>
      <c r="D670" s="2" t="n"/>
      <c r="E670" s="28" t="n"/>
      <c r="F670" s="2" t="n"/>
      <c r="G670" s="2" t="n"/>
      <c r="H670" s="2" t="n"/>
      <c r="I670" s="28" t="n"/>
      <c r="J670" s="2" t="n"/>
      <c r="K670" s="2" t="n"/>
      <c r="L670" s="2" t="n"/>
      <c r="M670" s="2" t="n"/>
    </row>
    <row r="671" ht="15.75" customHeight="1" s="168">
      <c r="A671" s="2" t="n"/>
      <c r="B671" s="2" t="n"/>
      <c r="C671" s="2" t="n"/>
      <c r="D671" s="2" t="n"/>
      <c r="E671" s="28" t="n"/>
      <c r="F671" s="2" t="n"/>
      <c r="G671" s="2" t="n"/>
      <c r="H671" s="2" t="n"/>
      <c r="I671" s="28" t="n"/>
      <c r="J671" s="2" t="n"/>
      <c r="K671" s="2" t="n"/>
      <c r="L671" s="2" t="n"/>
      <c r="M671" s="2" t="n"/>
    </row>
    <row r="672" ht="15.75" customHeight="1" s="168">
      <c r="A672" s="2" t="n"/>
      <c r="B672" s="2" t="n"/>
      <c r="C672" s="2" t="n"/>
      <c r="D672" s="2" t="n"/>
      <c r="E672" s="28" t="n"/>
      <c r="F672" s="2" t="n"/>
      <c r="G672" s="2" t="n"/>
      <c r="H672" s="2" t="n"/>
      <c r="I672" s="28" t="n"/>
      <c r="J672" s="2" t="n"/>
      <c r="K672" s="2" t="n"/>
      <c r="L672" s="2" t="n"/>
      <c r="M672" s="2" t="n"/>
    </row>
    <row r="673" ht="15.75" customHeight="1" s="168">
      <c r="A673" s="2" t="n"/>
      <c r="B673" s="2" t="n"/>
      <c r="C673" s="2" t="n"/>
      <c r="D673" s="2" t="n"/>
      <c r="E673" s="28" t="n"/>
      <c r="F673" s="2" t="n"/>
      <c r="G673" s="2" t="n"/>
      <c r="H673" s="2" t="n"/>
      <c r="I673" s="28" t="n"/>
      <c r="J673" s="2" t="n"/>
      <c r="K673" s="2" t="n"/>
      <c r="L673" s="2" t="n"/>
      <c r="M673" s="2" t="n"/>
    </row>
    <row r="674" ht="15.75" customHeight="1" s="168">
      <c r="A674" s="2" t="n"/>
      <c r="B674" s="2" t="n"/>
      <c r="C674" s="2" t="n"/>
      <c r="D674" s="2" t="n"/>
      <c r="E674" s="28" t="n"/>
      <c r="F674" s="2" t="n"/>
      <c r="G674" s="2" t="n"/>
      <c r="H674" s="2" t="n"/>
      <c r="I674" s="28" t="n"/>
      <c r="J674" s="2" t="n"/>
      <c r="K674" s="2" t="n"/>
      <c r="L674" s="2" t="n"/>
      <c r="M674" s="2" t="n"/>
    </row>
    <row r="675" ht="15.75" customHeight="1" s="168">
      <c r="A675" s="2" t="n"/>
      <c r="B675" s="2" t="n"/>
      <c r="C675" s="2" t="n"/>
      <c r="D675" s="2" t="n"/>
      <c r="E675" s="28" t="n"/>
      <c r="F675" s="2" t="n"/>
      <c r="G675" s="2" t="n"/>
      <c r="H675" s="2" t="n"/>
      <c r="I675" s="28" t="n"/>
      <c r="J675" s="2" t="n"/>
      <c r="K675" s="2" t="n"/>
      <c r="L675" s="2" t="n"/>
      <c r="M675" s="2" t="n"/>
    </row>
    <row r="676" ht="15.75" customHeight="1" s="168">
      <c r="A676" s="2" t="n"/>
      <c r="B676" s="2" t="n"/>
      <c r="C676" s="2" t="n"/>
      <c r="D676" s="2" t="n"/>
      <c r="E676" s="28" t="n"/>
      <c r="F676" s="2" t="n"/>
      <c r="G676" s="2" t="n"/>
      <c r="H676" s="2" t="n"/>
      <c r="I676" s="28" t="n"/>
      <c r="J676" s="2" t="n"/>
      <c r="K676" s="2" t="n"/>
      <c r="L676" s="2" t="n"/>
      <c r="M676" s="2" t="n"/>
    </row>
    <row r="677" ht="15.75" customHeight="1" s="168">
      <c r="A677" s="2" t="n"/>
      <c r="B677" s="2" t="n"/>
      <c r="C677" s="2" t="n"/>
      <c r="D677" s="2" t="n"/>
      <c r="E677" s="28" t="n"/>
      <c r="F677" s="2" t="n"/>
      <c r="G677" s="2" t="n"/>
      <c r="H677" s="2" t="n"/>
      <c r="I677" s="28" t="n"/>
      <c r="J677" s="2" t="n"/>
      <c r="K677" s="2" t="n"/>
      <c r="L677" s="2" t="n"/>
      <c r="M677" s="2" t="n"/>
    </row>
    <row r="678" ht="15.75" customHeight="1" s="168">
      <c r="A678" s="2" t="n"/>
      <c r="B678" s="2" t="n"/>
      <c r="C678" s="2" t="n"/>
      <c r="D678" s="2" t="n"/>
      <c r="E678" s="28" t="n"/>
      <c r="F678" s="2" t="n"/>
      <c r="G678" s="2" t="n"/>
      <c r="H678" s="2" t="n"/>
      <c r="I678" s="28" t="n"/>
      <c r="J678" s="2" t="n"/>
      <c r="K678" s="2" t="n"/>
      <c r="L678" s="2" t="n"/>
      <c r="M678" s="2" t="n"/>
    </row>
    <row r="679" ht="15.75" customHeight="1" s="168">
      <c r="A679" s="2" t="n"/>
      <c r="B679" s="2" t="n"/>
      <c r="C679" s="2" t="n"/>
      <c r="D679" s="2" t="n"/>
      <c r="E679" s="28" t="n"/>
      <c r="F679" s="2" t="n"/>
      <c r="G679" s="2" t="n"/>
      <c r="H679" s="2" t="n"/>
      <c r="I679" s="28" t="n"/>
      <c r="J679" s="2" t="n"/>
      <c r="K679" s="2" t="n"/>
      <c r="L679" s="2" t="n"/>
      <c r="M679" s="2" t="n"/>
    </row>
    <row r="680" ht="15.75" customHeight="1" s="168">
      <c r="A680" s="2" t="n"/>
      <c r="B680" s="2" t="n"/>
      <c r="C680" s="2" t="n"/>
      <c r="D680" s="2" t="n"/>
      <c r="E680" s="28" t="n"/>
      <c r="F680" s="2" t="n"/>
      <c r="G680" s="2" t="n"/>
      <c r="H680" s="2" t="n"/>
      <c r="I680" s="28" t="n"/>
      <c r="J680" s="2" t="n"/>
      <c r="K680" s="2" t="n"/>
      <c r="L680" s="2" t="n"/>
      <c r="M680" s="2" t="n"/>
    </row>
    <row r="681" ht="15.75" customHeight="1" s="168">
      <c r="A681" s="2" t="n"/>
      <c r="B681" s="2" t="n"/>
      <c r="C681" s="2" t="n"/>
      <c r="D681" s="2" t="n"/>
      <c r="E681" s="28" t="n"/>
      <c r="F681" s="2" t="n"/>
      <c r="G681" s="2" t="n"/>
      <c r="H681" s="2" t="n"/>
      <c r="I681" s="28" t="n"/>
      <c r="J681" s="2" t="n"/>
      <c r="K681" s="2" t="n"/>
      <c r="L681" s="2" t="n"/>
      <c r="M681" s="2" t="n"/>
    </row>
    <row r="682" ht="15.75" customHeight="1" s="168">
      <c r="A682" s="2" t="n"/>
      <c r="B682" s="2" t="n"/>
      <c r="C682" s="2" t="n"/>
      <c r="D682" s="2" t="n"/>
      <c r="E682" s="28" t="n"/>
      <c r="F682" s="2" t="n"/>
      <c r="G682" s="2" t="n"/>
      <c r="H682" s="2" t="n"/>
      <c r="I682" s="28" t="n"/>
      <c r="J682" s="2" t="n"/>
      <c r="K682" s="2" t="n"/>
      <c r="L682" s="2" t="n"/>
      <c r="M682" s="2" t="n"/>
    </row>
    <row r="683" ht="15.75" customHeight="1" s="168">
      <c r="A683" s="2" t="n"/>
      <c r="B683" s="2" t="n"/>
      <c r="C683" s="2" t="n"/>
      <c r="D683" s="2" t="n"/>
      <c r="E683" s="28" t="n"/>
      <c r="F683" s="2" t="n"/>
      <c r="G683" s="2" t="n"/>
      <c r="H683" s="2" t="n"/>
      <c r="I683" s="28" t="n"/>
      <c r="J683" s="2" t="n"/>
      <c r="K683" s="2" t="n"/>
      <c r="L683" s="2" t="n"/>
      <c r="M683" s="2" t="n"/>
    </row>
    <row r="684" ht="15.75" customHeight="1" s="168">
      <c r="A684" s="2" t="n"/>
      <c r="B684" s="2" t="n"/>
      <c r="C684" s="2" t="n"/>
      <c r="D684" s="2" t="n"/>
      <c r="E684" s="28" t="n"/>
      <c r="F684" s="2" t="n"/>
      <c r="G684" s="2" t="n"/>
      <c r="H684" s="2" t="n"/>
      <c r="I684" s="28" t="n"/>
      <c r="J684" s="2" t="n"/>
      <c r="K684" s="2" t="n"/>
      <c r="L684" s="2" t="n"/>
      <c r="M684" s="2" t="n"/>
    </row>
    <row r="685" ht="15.75" customHeight="1" s="168">
      <c r="A685" s="2" t="n"/>
      <c r="B685" s="2" t="n"/>
      <c r="C685" s="2" t="n"/>
      <c r="D685" s="2" t="n"/>
      <c r="E685" s="28" t="n"/>
      <c r="F685" s="2" t="n"/>
      <c r="G685" s="2" t="n"/>
      <c r="H685" s="2" t="n"/>
      <c r="I685" s="28" t="n"/>
      <c r="J685" s="2" t="n"/>
      <c r="K685" s="2" t="n"/>
      <c r="L685" s="2" t="n"/>
      <c r="M685" s="2" t="n"/>
    </row>
    <row r="686" ht="15.75" customHeight="1" s="168">
      <c r="A686" s="2" t="n"/>
      <c r="B686" s="2" t="n"/>
      <c r="C686" s="2" t="n"/>
      <c r="D686" s="2" t="n"/>
      <c r="E686" s="28" t="n"/>
      <c r="F686" s="2" t="n"/>
      <c r="G686" s="2" t="n"/>
      <c r="H686" s="2" t="n"/>
      <c r="I686" s="28" t="n"/>
      <c r="J686" s="2" t="n"/>
      <c r="K686" s="2" t="n"/>
      <c r="L686" s="2" t="n"/>
      <c r="M686" s="2" t="n"/>
    </row>
    <row r="687" ht="15.75" customHeight="1" s="168">
      <c r="A687" s="2" t="n"/>
      <c r="B687" s="2" t="n"/>
      <c r="C687" s="2" t="n"/>
      <c r="D687" s="2" t="n"/>
      <c r="E687" s="28" t="n"/>
      <c r="F687" s="2" t="n"/>
      <c r="G687" s="2" t="n"/>
      <c r="H687" s="2" t="n"/>
      <c r="I687" s="28" t="n"/>
      <c r="J687" s="2" t="n"/>
      <c r="K687" s="2" t="n"/>
      <c r="L687" s="2" t="n"/>
      <c r="M687" s="2" t="n"/>
    </row>
    <row r="688" ht="15.75" customHeight="1" s="168">
      <c r="A688" s="2" t="n"/>
      <c r="B688" s="2" t="n"/>
      <c r="C688" s="2" t="n"/>
      <c r="D688" s="2" t="n"/>
      <c r="E688" s="28" t="n"/>
      <c r="F688" s="2" t="n"/>
      <c r="G688" s="2" t="n"/>
      <c r="H688" s="2" t="n"/>
      <c r="I688" s="28" t="n"/>
      <c r="J688" s="2" t="n"/>
      <c r="K688" s="2" t="n"/>
      <c r="L688" s="2" t="n"/>
      <c r="M688" s="2" t="n"/>
    </row>
    <row r="689" ht="15.75" customHeight="1" s="168">
      <c r="A689" s="2" t="n"/>
      <c r="B689" s="2" t="n"/>
      <c r="C689" s="2" t="n"/>
      <c r="D689" s="2" t="n"/>
      <c r="E689" s="28" t="n"/>
      <c r="F689" s="2" t="n"/>
      <c r="G689" s="2" t="n"/>
      <c r="H689" s="2" t="n"/>
      <c r="I689" s="28" t="n"/>
      <c r="J689" s="2" t="n"/>
      <c r="K689" s="2" t="n"/>
      <c r="L689" s="2" t="n"/>
      <c r="M689" s="2" t="n"/>
    </row>
    <row r="690" ht="15.75" customHeight="1" s="168">
      <c r="A690" s="2" t="n"/>
      <c r="B690" s="2" t="n"/>
      <c r="C690" s="2" t="n"/>
      <c r="D690" s="2" t="n"/>
      <c r="E690" s="28" t="n"/>
      <c r="F690" s="2" t="n"/>
      <c r="G690" s="2" t="n"/>
      <c r="H690" s="2" t="n"/>
      <c r="I690" s="28" t="n"/>
      <c r="J690" s="2" t="n"/>
      <c r="K690" s="2" t="n"/>
      <c r="L690" s="2" t="n"/>
      <c r="M690" s="2" t="n"/>
    </row>
    <row r="691" ht="15.75" customHeight="1" s="168">
      <c r="A691" s="2" t="n"/>
      <c r="B691" s="2" t="n"/>
      <c r="C691" s="2" t="n"/>
      <c r="D691" s="2" t="n"/>
      <c r="E691" s="28" t="n"/>
      <c r="F691" s="2" t="n"/>
      <c r="G691" s="2" t="n"/>
      <c r="H691" s="2" t="n"/>
      <c r="I691" s="28" t="n"/>
      <c r="J691" s="2" t="n"/>
      <c r="K691" s="2" t="n"/>
      <c r="L691" s="2" t="n"/>
      <c r="M691" s="2" t="n"/>
    </row>
    <row r="692" ht="15.75" customHeight="1" s="168">
      <c r="A692" s="2" t="n"/>
      <c r="B692" s="2" t="n"/>
      <c r="C692" s="2" t="n"/>
      <c r="D692" s="2" t="n"/>
      <c r="E692" s="28" t="n"/>
      <c r="F692" s="2" t="n"/>
      <c r="G692" s="2" t="n"/>
      <c r="H692" s="2" t="n"/>
      <c r="I692" s="28" t="n"/>
      <c r="J692" s="2" t="n"/>
      <c r="K692" s="2" t="n"/>
      <c r="L692" s="2" t="n"/>
      <c r="M692" s="2" t="n"/>
    </row>
    <row r="693" ht="15.75" customHeight="1" s="168">
      <c r="A693" s="2" t="n"/>
      <c r="B693" s="2" t="n"/>
      <c r="C693" s="2" t="n"/>
      <c r="D693" s="2" t="n"/>
      <c r="E693" s="28" t="n"/>
      <c r="F693" s="2" t="n"/>
      <c r="G693" s="2" t="n"/>
      <c r="H693" s="2" t="n"/>
      <c r="I693" s="28" t="n"/>
      <c r="J693" s="2" t="n"/>
      <c r="K693" s="2" t="n"/>
      <c r="L693" s="2" t="n"/>
      <c r="M693" s="2" t="n"/>
    </row>
    <row r="694" ht="15.75" customHeight="1" s="168">
      <c r="A694" s="2" t="n"/>
      <c r="B694" s="2" t="n"/>
      <c r="C694" s="2" t="n"/>
      <c r="D694" s="2" t="n"/>
      <c r="E694" s="28" t="n"/>
      <c r="F694" s="2" t="n"/>
      <c r="G694" s="2" t="n"/>
      <c r="H694" s="2" t="n"/>
      <c r="I694" s="28" t="n"/>
      <c r="J694" s="2" t="n"/>
      <c r="K694" s="2" t="n"/>
      <c r="L694" s="2" t="n"/>
      <c r="M694" s="2" t="n"/>
    </row>
    <row r="695" ht="15.75" customHeight="1" s="168">
      <c r="A695" s="2" t="n"/>
      <c r="B695" s="2" t="n"/>
      <c r="C695" s="2" t="n"/>
      <c r="D695" s="2" t="n"/>
      <c r="E695" s="28" t="n"/>
      <c r="F695" s="2" t="n"/>
      <c r="G695" s="2" t="n"/>
      <c r="H695" s="2" t="n"/>
      <c r="I695" s="28" t="n"/>
      <c r="J695" s="2" t="n"/>
      <c r="K695" s="2" t="n"/>
      <c r="L695" s="2" t="n"/>
      <c r="M695" s="2" t="n"/>
    </row>
    <row r="696" ht="15.75" customHeight="1" s="168">
      <c r="A696" s="2" t="n"/>
      <c r="B696" s="2" t="n"/>
      <c r="C696" s="2" t="n"/>
      <c r="D696" s="2" t="n"/>
      <c r="E696" s="28" t="n"/>
      <c r="F696" s="2" t="n"/>
      <c r="G696" s="2" t="n"/>
      <c r="H696" s="2" t="n"/>
      <c r="I696" s="28" t="n"/>
      <c r="J696" s="2" t="n"/>
      <c r="K696" s="2" t="n"/>
      <c r="L696" s="2" t="n"/>
      <c r="M696" s="2" t="n"/>
    </row>
    <row r="697" ht="15.75" customHeight="1" s="168">
      <c r="A697" s="2" t="n"/>
      <c r="B697" s="2" t="n"/>
      <c r="C697" s="2" t="n"/>
      <c r="D697" s="2" t="n"/>
      <c r="E697" s="28" t="n"/>
      <c r="F697" s="2" t="n"/>
      <c r="G697" s="2" t="n"/>
      <c r="H697" s="2" t="n"/>
      <c r="I697" s="28" t="n"/>
      <c r="J697" s="2" t="n"/>
      <c r="K697" s="2" t="n"/>
      <c r="L697" s="2" t="n"/>
      <c r="M697" s="2" t="n"/>
    </row>
    <row r="698" ht="15.75" customHeight="1" s="168">
      <c r="A698" s="2" t="n"/>
      <c r="B698" s="2" t="n"/>
      <c r="C698" s="2" t="n"/>
      <c r="D698" s="2" t="n"/>
      <c r="E698" s="28" t="n"/>
      <c r="F698" s="2" t="n"/>
      <c r="G698" s="2" t="n"/>
      <c r="H698" s="2" t="n"/>
      <c r="I698" s="28" t="n"/>
      <c r="J698" s="2" t="n"/>
      <c r="K698" s="2" t="n"/>
      <c r="L698" s="2" t="n"/>
      <c r="M698" s="2" t="n"/>
    </row>
    <row r="699" ht="15.75" customHeight="1" s="168">
      <c r="A699" s="2" t="n"/>
      <c r="B699" s="2" t="n"/>
      <c r="C699" s="2" t="n"/>
      <c r="D699" s="2" t="n"/>
      <c r="E699" s="28" t="n"/>
      <c r="F699" s="2" t="n"/>
      <c r="G699" s="2" t="n"/>
      <c r="H699" s="2" t="n"/>
      <c r="I699" s="28" t="n"/>
      <c r="J699" s="2" t="n"/>
      <c r="K699" s="2" t="n"/>
      <c r="L699" s="2" t="n"/>
      <c r="M699" s="2" t="n"/>
    </row>
    <row r="700" ht="15.75" customHeight="1" s="168">
      <c r="A700" s="2" t="n"/>
      <c r="B700" s="2" t="n"/>
      <c r="C700" s="2" t="n"/>
      <c r="D700" s="2" t="n"/>
      <c r="E700" s="28" t="n"/>
      <c r="F700" s="2" t="n"/>
      <c r="G700" s="2" t="n"/>
      <c r="H700" s="2" t="n"/>
      <c r="I700" s="28" t="n"/>
      <c r="J700" s="2" t="n"/>
      <c r="K700" s="2" t="n"/>
      <c r="L700" s="2" t="n"/>
      <c r="M700" s="2" t="n"/>
    </row>
    <row r="701" ht="15.75" customHeight="1" s="168">
      <c r="A701" s="2" t="n"/>
      <c r="B701" s="2" t="n"/>
      <c r="C701" s="2" t="n"/>
      <c r="D701" s="2" t="n"/>
      <c r="E701" s="28" t="n"/>
      <c r="F701" s="2" t="n"/>
      <c r="G701" s="2" t="n"/>
      <c r="H701" s="2" t="n"/>
      <c r="I701" s="28" t="n"/>
      <c r="J701" s="2" t="n"/>
      <c r="K701" s="2" t="n"/>
      <c r="L701" s="2" t="n"/>
      <c r="M701" s="2" t="n"/>
    </row>
    <row r="702" ht="15.75" customHeight="1" s="168">
      <c r="A702" s="2" t="n"/>
      <c r="B702" s="2" t="n"/>
      <c r="C702" s="2" t="n"/>
      <c r="D702" s="2" t="n"/>
      <c r="E702" s="28" t="n"/>
      <c r="F702" s="2" t="n"/>
      <c r="G702" s="2" t="n"/>
      <c r="H702" s="2" t="n"/>
      <c r="I702" s="28" t="n"/>
      <c r="J702" s="2" t="n"/>
      <c r="K702" s="2" t="n"/>
      <c r="L702" s="2" t="n"/>
      <c r="M702" s="2" t="n"/>
    </row>
    <row r="703" ht="15.75" customHeight="1" s="168">
      <c r="A703" s="2" t="n"/>
      <c r="B703" s="2" t="n"/>
      <c r="C703" s="2" t="n"/>
      <c r="D703" s="2" t="n"/>
      <c r="E703" s="28" t="n"/>
      <c r="F703" s="2" t="n"/>
      <c r="G703" s="2" t="n"/>
      <c r="H703" s="2" t="n"/>
      <c r="I703" s="28" t="n"/>
      <c r="J703" s="2" t="n"/>
      <c r="K703" s="2" t="n"/>
      <c r="L703" s="2" t="n"/>
      <c r="M703" s="2" t="n"/>
    </row>
    <row r="704" ht="15.75" customHeight="1" s="168">
      <c r="A704" s="2" t="n"/>
      <c r="B704" s="2" t="n"/>
      <c r="C704" s="2" t="n"/>
      <c r="D704" s="2" t="n"/>
      <c r="E704" s="28" t="n"/>
      <c r="F704" s="2" t="n"/>
      <c r="G704" s="2" t="n"/>
      <c r="H704" s="2" t="n"/>
      <c r="I704" s="28" t="n"/>
      <c r="J704" s="2" t="n"/>
      <c r="K704" s="2" t="n"/>
      <c r="L704" s="2" t="n"/>
      <c r="M704" s="2" t="n"/>
    </row>
    <row r="705" ht="15.75" customHeight="1" s="168">
      <c r="A705" s="2" t="n"/>
      <c r="B705" s="2" t="n"/>
      <c r="C705" s="2" t="n"/>
      <c r="D705" s="2" t="n"/>
      <c r="E705" s="28" t="n"/>
      <c r="F705" s="2" t="n"/>
      <c r="G705" s="2" t="n"/>
      <c r="H705" s="2" t="n"/>
      <c r="I705" s="28" t="n"/>
      <c r="J705" s="2" t="n"/>
      <c r="K705" s="2" t="n"/>
      <c r="L705" s="2" t="n"/>
      <c r="M705" s="2" t="n"/>
    </row>
    <row r="706" ht="15.75" customHeight="1" s="168">
      <c r="A706" s="2" t="n"/>
      <c r="B706" s="2" t="n"/>
      <c r="C706" s="2" t="n"/>
      <c r="D706" s="2" t="n"/>
      <c r="E706" s="28" t="n"/>
      <c r="F706" s="2" t="n"/>
      <c r="G706" s="2" t="n"/>
      <c r="H706" s="2" t="n"/>
      <c r="I706" s="28" t="n"/>
      <c r="J706" s="2" t="n"/>
      <c r="K706" s="2" t="n"/>
      <c r="L706" s="2" t="n"/>
      <c r="M706" s="2" t="n"/>
    </row>
    <row r="707" ht="15.75" customHeight="1" s="168">
      <c r="A707" s="2" t="n"/>
      <c r="B707" s="2" t="n"/>
      <c r="C707" s="2" t="n"/>
      <c r="D707" s="2" t="n"/>
      <c r="E707" s="28" t="n"/>
      <c r="F707" s="2" t="n"/>
      <c r="G707" s="2" t="n"/>
      <c r="H707" s="2" t="n"/>
      <c r="I707" s="28" t="n"/>
      <c r="J707" s="2" t="n"/>
      <c r="K707" s="2" t="n"/>
      <c r="L707" s="2" t="n"/>
      <c r="M707" s="2" t="n"/>
    </row>
    <row r="708" ht="15.75" customHeight="1" s="168">
      <c r="A708" s="2" t="n"/>
      <c r="B708" s="2" t="n"/>
      <c r="C708" s="2" t="n"/>
      <c r="D708" s="2" t="n"/>
      <c r="E708" s="28" t="n"/>
      <c r="F708" s="2" t="n"/>
      <c r="G708" s="2" t="n"/>
      <c r="H708" s="2" t="n"/>
      <c r="I708" s="28" t="n"/>
      <c r="J708" s="2" t="n"/>
      <c r="K708" s="2" t="n"/>
      <c r="L708" s="2" t="n"/>
      <c r="M708" s="2" t="n"/>
    </row>
    <row r="709" ht="15.75" customHeight="1" s="168">
      <c r="A709" s="2" t="n"/>
      <c r="B709" s="2" t="n"/>
      <c r="C709" s="2" t="n"/>
      <c r="D709" s="2" t="n"/>
      <c r="E709" s="28" t="n"/>
      <c r="F709" s="2" t="n"/>
      <c r="G709" s="2" t="n"/>
      <c r="H709" s="2" t="n"/>
      <c r="I709" s="28" t="n"/>
      <c r="J709" s="2" t="n"/>
      <c r="K709" s="2" t="n"/>
      <c r="L709" s="2" t="n"/>
      <c r="M709" s="2" t="n"/>
    </row>
    <row r="710" ht="15.75" customHeight="1" s="168">
      <c r="A710" s="2" t="n"/>
      <c r="B710" s="2" t="n"/>
      <c r="C710" s="2" t="n"/>
      <c r="D710" s="2" t="n"/>
      <c r="E710" s="28" t="n"/>
      <c r="F710" s="2" t="n"/>
      <c r="G710" s="2" t="n"/>
      <c r="H710" s="2" t="n"/>
      <c r="I710" s="28" t="n"/>
      <c r="J710" s="2" t="n"/>
      <c r="K710" s="2" t="n"/>
      <c r="L710" s="2" t="n"/>
      <c r="M710" s="2" t="n"/>
    </row>
    <row r="711" ht="15.75" customHeight="1" s="168">
      <c r="A711" s="2" t="n"/>
      <c r="B711" s="2" t="n"/>
      <c r="C711" s="2" t="n"/>
      <c r="D711" s="2" t="n"/>
      <c r="E711" s="28" t="n"/>
      <c r="F711" s="2" t="n"/>
      <c r="G711" s="2" t="n"/>
      <c r="H711" s="2" t="n"/>
      <c r="I711" s="28" t="n"/>
      <c r="J711" s="2" t="n"/>
      <c r="K711" s="2" t="n"/>
      <c r="L711" s="2" t="n"/>
      <c r="M711" s="2" t="n"/>
    </row>
    <row r="712" ht="15.75" customHeight="1" s="168">
      <c r="A712" s="2" t="n"/>
      <c r="B712" s="2" t="n"/>
      <c r="C712" s="2" t="n"/>
      <c r="D712" s="2" t="n"/>
      <c r="E712" s="28" t="n"/>
      <c r="F712" s="2" t="n"/>
      <c r="G712" s="2" t="n"/>
      <c r="H712" s="2" t="n"/>
      <c r="I712" s="28" t="n"/>
      <c r="J712" s="2" t="n"/>
      <c r="K712" s="2" t="n"/>
      <c r="L712" s="2" t="n"/>
      <c r="M712" s="2" t="n"/>
    </row>
    <row r="713" ht="15.75" customHeight="1" s="168">
      <c r="A713" s="2" t="n"/>
      <c r="B713" s="2" t="n"/>
      <c r="C713" s="2" t="n"/>
      <c r="D713" s="2" t="n"/>
      <c r="E713" s="28" t="n"/>
      <c r="F713" s="2" t="n"/>
      <c r="G713" s="2" t="n"/>
      <c r="H713" s="2" t="n"/>
      <c r="I713" s="28" t="n"/>
      <c r="J713" s="2" t="n"/>
      <c r="K713" s="2" t="n"/>
      <c r="L713" s="2" t="n"/>
      <c r="M713" s="2" t="n"/>
    </row>
    <row r="714" ht="15.75" customHeight="1" s="168">
      <c r="A714" s="2" t="n"/>
      <c r="B714" s="2" t="n"/>
      <c r="C714" s="2" t="n"/>
      <c r="D714" s="2" t="n"/>
      <c r="E714" s="28" t="n"/>
      <c r="F714" s="2" t="n"/>
      <c r="G714" s="2" t="n"/>
      <c r="H714" s="2" t="n"/>
      <c r="I714" s="28" t="n"/>
      <c r="J714" s="2" t="n"/>
      <c r="K714" s="2" t="n"/>
      <c r="L714" s="2" t="n"/>
      <c r="M714" s="2" t="n"/>
    </row>
    <row r="715" ht="15.75" customHeight="1" s="168">
      <c r="A715" s="2" t="n"/>
      <c r="B715" s="2" t="n"/>
      <c r="C715" s="2" t="n"/>
      <c r="D715" s="2" t="n"/>
      <c r="E715" s="28" t="n"/>
      <c r="F715" s="2" t="n"/>
      <c r="G715" s="2" t="n"/>
      <c r="H715" s="2" t="n"/>
      <c r="I715" s="28" t="n"/>
      <c r="J715" s="2" t="n"/>
      <c r="K715" s="2" t="n"/>
      <c r="L715" s="2" t="n"/>
      <c r="M715" s="2" t="n"/>
    </row>
    <row r="716" ht="15.75" customHeight="1" s="168">
      <c r="A716" s="2" t="n"/>
      <c r="B716" s="2" t="n"/>
      <c r="C716" s="2" t="n"/>
      <c r="D716" s="2" t="n"/>
      <c r="E716" s="28" t="n"/>
      <c r="F716" s="2" t="n"/>
      <c r="G716" s="2" t="n"/>
      <c r="H716" s="2" t="n"/>
      <c r="I716" s="28" t="n"/>
      <c r="J716" s="2" t="n"/>
      <c r="K716" s="2" t="n"/>
      <c r="L716" s="2" t="n"/>
      <c r="M716" s="2" t="n"/>
    </row>
    <row r="717" ht="15.75" customHeight="1" s="168">
      <c r="A717" s="2" t="n"/>
      <c r="B717" s="2" t="n"/>
      <c r="C717" s="2" t="n"/>
      <c r="D717" s="2" t="n"/>
      <c r="E717" s="28" t="n"/>
      <c r="F717" s="2" t="n"/>
      <c r="G717" s="2" t="n"/>
      <c r="H717" s="2" t="n"/>
      <c r="I717" s="28" t="n"/>
      <c r="J717" s="2" t="n"/>
      <c r="K717" s="2" t="n"/>
      <c r="L717" s="2" t="n"/>
      <c r="M717" s="2" t="n"/>
    </row>
    <row r="718" ht="15.75" customHeight="1" s="168">
      <c r="A718" s="2" t="n"/>
      <c r="B718" s="2" t="n"/>
      <c r="C718" s="2" t="n"/>
      <c r="D718" s="2" t="n"/>
      <c r="E718" s="28" t="n"/>
      <c r="F718" s="2" t="n"/>
      <c r="G718" s="2" t="n"/>
      <c r="H718" s="2" t="n"/>
      <c r="I718" s="28" t="n"/>
      <c r="J718" s="2" t="n"/>
      <c r="K718" s="2" t="n"/>
      <c r="L718" s="2" t="n"/>
      <c r="M718" s="2" t="n"/>
    </row>
    <row r="719" ht="15.75" customHeight="1" s="168">
      <c r="A719" s="2" t="n"/>
      <c r="B719" s="2" t="n"/>
      <c r="C719" s="2" t="n"/>
      <c r="D719" s="2" t="n"/>
      <c r="E719" s="28" t="n"/>
      <c r="F719" s="2" t="n"/>
      <c r="G719" s="2" t="n"/>
      <c r="H719" s="2" t="n"/>
      <c r="I719" s="28" t="n"/>
      <c r="J719" s="2" t="n"/>
      <c r="K719" s="2" t="n"/>
      <c r="L719" s="2" t="n"/>
      <c r="M719" s="2" t="n"/>
    </row>
    <row r="720" ht="15.75" customHeight="1" s="168">
      <c r="A720" s="2" t="n"/>
      <c r="B720" s="2" t="n"/>
      <c r="C720" s="2" t="n"/>
      <c r="D720" s="2" t="n"/>
      <c r="E720" s="28" t="n"/>
      <c r="F720" s="2" t="n"/>
      <c r="G720" s="2" t="n"/>
      <c r="H720" s="2" t="n"/>
      <c r="I720" s="28" t="n"/>
      <c r="J720" s="2" t="n"/>
      <c r="K720" s="2" t="n"/>
      <c r="L720" s="2" t="n"/>
      <c r="M720" s="2" t="n"/>
    </row>
    <row r="721" ht="15.75" customHeight="1" s="168">
      <c r="A721" s="2" t="n"/>
      <c r="B721" s="2" t="n"/>
      <c r="C721" s="2" t="n"/>
      <c r="D721" s="2" t="n"/>
      <c r="E721" s="28" t="n"/>
      <c r="F721" s="2" t="n"/>
      <c r="G721" s="2" t="n"/>
      <c r="H721" s="2" t="n"/>
      <c r="I721" s="28" t="n"/>
      <c r="J721" s="2" t="n"/>
      <c r="K721" s="2" t="n"/>
      <c r="L721" s="2" t="n"/>
      <c r="M721" s="2" t="n"/>
    </row>
    <row r="722" ht="15.75" customHeight="1" s="168">
      <c r="A722" s="2" t="n"/>
      <c r="B722" s="2" t="n"/>
      <c r="C722" s="2" t="n"/>
      <c r="D722" s="2" t="n"/>
      <c r="E722" s="28" t="n"/>
      <c r="F722" s="2" t="n"/>
      <c r="G722" s="2" t="n"/>
      <c r="H722" s="2" t="n"/>
      <c r="I722" s="28" t="n"/>
      <c r="J722" s="2" t="n"/>
      <c r="K722" s="2" t="n"/>
      <c r="L722" s="2" t="n"/>
      <c r="M722" s="2" t="n"/>
    </row>
    <row r="723" ht="15.75" customHeight="1" s="168">
      <c r="A723" s="2" t="n"/>
      <c r="B723" s="2" t="n"/>
      <c r="C723" s="2" t="n"/>
      <c r="D723" s="2" t="n"/>
      <c r="E723" s="28" t="n"/>
      <c r="F723" s="2" t="n"/>
      <c r="G723" s="2" t="n"/>
      <c r="H723" s="2" t="n"/>
      <c r="I723" s="28" t="n"/>
      <c r="J723" s="2" t="n"/>
      <c r="K723" s="2" t="n"/>
      <c r="L723" s="2" t="n"/>
      <c r="M723" s="2" t="n"/>
    </row>
    <row r="724" ht="15.75" customHeight="1" s="168">
      <c r="A724" s="2" t="n"/>
      <c r="B724" s="2" t="n"/>
      <c r="C724" s="2" t="n"/>
      <c r="D724" s="2" t="n"/>
      <c r="E724" s="28" t="n"/>
      <c r="F724" s="2" t="n"/>
      <c r="G724" s="2" t="n"/>
      <c r="H724" s="2" t="n"/>
      <c r="I724" s="28" t="n"/>
      <c r="J724" s="2" t="n"/>
      <c r="K724" s="2" t="n"/>
      <c r="L724" s="2" t="n"/>
      <c r="M724" s="2" t="n"/>
    </row>
    <row r="725" ht="15.75" customHeight="1" s="168">
      <c r="A725" s="2" t="n"/>
      <c r="B725" s="2" t="n"/>
      <c r="C725" s="2" t="n"/>
      <c r="D725" s="2" t="n"/>
      <c r="E725" s="28" t="n"/>
      <c r="F725" s="2" t="n"/>
      <c r="G725" s="2" t="n"/>
      <c r="H725" s="2" t="n"/>
      <c r="I725" s="28" t="n"/>
      <c r="J725" s="2" t="n"/>
      <c r="K725" s="2" t="n"/>
      <c r="L725" s="2" t="n"/>
      <c r="M725" s="2" t="n"/>
    </row>
    <row r="726" ht="15.75" customHeight="1" s="168">
      <c r="A726" s="2" t="n"/>
      <c r="B726" s="2" t="n"/>
      <c r="C726" s="2" t="n"/>
      <c r="D726" s="2" t="n"/>
      <c r="E726" s="28" t="n"/>
      <c r="F726" s="2" t="n"/>
      <c r="G726" s="2" t="n"/>
      <c r="H726" s="2" t="n"/>
      <c r="I726" s="28" t="n"/>
      <c r="J726" s="2" t="n"/>
      <c r="K726" s="2" t="n"/>
      <c r="L726" s="2" t="n"/>
      <c r="M726" s="2" t="n"/>
    </row>
    <row r="727" ht="15.75" customHeight="1" s="168">
      <c r="A727" s="2" t="n"/>
      <c r="B727" s="2" t="n"/>
      <c r="C727" s="2" t="n"/>
      <c r="D727" s="2" t="n"/>
      <c r="E727" s="28" t="n"/>
      <c r="F727" s="2" t="n"/>
      <c r="G727" s="2" t="n"/>
      <c r="H727" s="2" t="n"/>
      <c r="I727" s="28" t="n"/>
      <c r="J727" s="2" t="n"/>
      <c r="K727" s="2" t="n"/>
      <c r="L727" s="2" t="n"/>
      <c r="M727" s="2" t="n"/>
    </row>
    <row r="728" ht="15.75" customHeight="1" s="168">
      <c r="A728" s="2" t="n"/>
      <c r="B728" s="2" t="n"/>
      <c r="C728" s="2" t="n"/>
      <c r="D728" s="2" t="n"/>
      <c r="E728" s="28" t="n"/>
      <c r="F728" s="2" t="n"/>
      <c r="G728" s="2" t="n"/>
      <c r="H728" s="2" t="n"/>
      <c r="I728" s="28" t="n"/>
      <c r="J728" s="2" t="n"/>
      <c r="K728" s="2" t="n"/>
      <c r="L728" s="2" t="n"/>
      <c r="M728" s="2" t="n"/>
    </row>
    <row r="729" ht="15.75" customHeight="1" s="168">
      <c r="A729" s="2" t="n"/>
      <c r="B729" s="2" t="n"/>
      <c r="C729" s="2" t="n"/>
      <c r="D729" s="2" t="n"/>
      <c r="E729" s="28" t="n"/>
      <c r="F729" s="2" t="n"/>
      <c r="G729" s="2" t="n"/>
      <c r="H729" s="2" t="n"/>
      <c r="I729" s="28" t="n"/>
      <c r="J729" s="2" t="n"/>
      <c r="K729" s="2" t="n"/>
      <c r="L729" s="2" t="n"/>
      <c r="M729" s="2" t="n"/>
    </row>
    <row r="730" ht="15.75" customHeight="1" s="168">
      <c r="A730" s="2" t="n"/>
      <c r="B730" s="2" t="n"/>
      <c r="C730" s="2" t="n"/>
      <c r="D730" s="2" t="n"/>
      <c r="E730" s="28" t="n"/>
      <c r="F730" s="2" t="n"/>
      <c r="G730" s="2" t="n"/>
      <c r="H730" s="2" t="n"/>
      <c r="I730" s="28" t="n"/>
      <c r="J730" s="2" t="n"/>
      <c r="K730" s="2" t="n"/>
      <c r="L730" s="2" t="n"/>
      <c r="M730" s="2" t="n"/>
    </row>
    <row r="731" ht="15.75" customHeight="1" s="168">
      <c r="A731" s="2" t="n"/>
      <c r="B731" s="2" t="n"/>
      <c r="C731" s="2" t="n"/>
      <c r="D731" s="2" t="n"/>
      <c r="E731" s="28" t="n"/>
      <c r="F731" s="2" t="n"/>
      <c r="G731" s="2" t="n"/>
      <c r="H731" s="2" t="n"/>
      <c r="I731" s="28" t="n"/>
      <c r="J731" s="2" t="n"/>
      <c r="K731" s="2" t="n"/>
      <c r="L731" s="2" t="n"/>
      <c r="M731" s="2" t="n"/>
    </row>
    <row r="732" ht="15.75" customHeight="1" s="168">
      <c r="A732" s="2" t="n"/>
      <c r="B732" s="2" t="n"/>
      <c r="C732" s="2" t="n"/>
      <c r="D732" s="2" t="n"/>
      <c r="E732" s="28" t="n"/>
      <c r="F732" s="2" t="n"/>
      <c r="G732" s="2" t="n"/>
      <c r="H732" s="2" t="n"/>
      <c r="I732" s="28" t="n"/>
      <c r="J732" s="2" t="n"/>
      <c r="K732" s="2" t="n"/>
      <c r="L732" s="2" t="n"/>
      <c r="M732" s="2" t="n"/>
    </row>
    <row r="733" ht="15.75" customHeight="1" s="168">
      <c r="A733" s="2" t="n"/>
      <c r="B733" s="2" t="n"/>
      <c r="C733" s="2" t="n"/>
      <c r="D733" s="2" t="n"/>
      <c r="E733" s="28" t="n"/>
      <c r="F733" s="2" t="n"/>
      <c r="G733" s="2" t="n"/>
      <c r="H733" s="2" t="n"/>
      <c r="I733" s="28" t="n"/>
      <c r="J733" s="2" t="n"/>
      <c r="K733" s="2" t="n"/>
      <c r="L733" s="2" t="n"/>
      <c r="M733" s="2" t="n"/>
    </row>
    <row r="734" ht="15.75" customHeight="1" s="168">
      <c r="A734" s="2" t="n"/>
      <c r="B734" s="2" t="n"/>
      <c r="C734" s="2" t="n"/>
      <c r="D734" s="2" t="n"/>
      <c r="E734" s="28" t="n"/>
      <c r="F734" s="2" t="n"/>
      <c r="G734" s="2" t="n"/>
      <c r="H734" s="2" t="n"/>
      <c r="I734" s="28" t="n"/>
      <c r="J734" s="2" t="n"/>
      <c r="K734" s="2" t="n"/>
      <c r="L734" s="2" t="n"/>
      <c r="M734" s="2" t="n"/>
    </row>
    <row r="735" ht="15.75" customHeight="1" s="168">
      <c r="A735" s="2" t="n"/>
      <c r="B735" s="2" t="n"/>
      <c r="C735" s="2" t="n"/>
      <c r="D735" s="2" t="n"/>
      <c r="E735" s="28" t="n"/>
      <c r="F735" s="2" t="n"/>
      <c r="G735" s="2" t="n"/>
      <c r="H735" s="2" t="n"/>
      <c r="I735" s="28" t="n"/>
      <c r="J735" s="2" t="n"/>
      <c r="K735" s="2" t="n"/>
      <c r="L735" s="2" t="n"/>
      <c r="M735" s="2" t="n"/>
    </row>
    <row r="736" ht="15.75" customHeight="1" s="168">
      <c r="A736" s="2" t="n"/>
      <c r="B736" s="2" t="n"/>
      <c r="C736" s="2" t="n"/>
      <c r="D736" s="2" t="n"/>
      <c r="E736" s="28" t="n"/>
      <c r="F736" s="2" t="n"/>
      <c r="G736" s="2" t="n"/>
      <c r="H736" s="2" t="n"/>
      <c r="I736" s="28" t="n"/>
      <c r="J736" s="2" t="n"/>
      <c r="K736" s="2" t="n"/>
      <c r="L736" s="2" t="n"/>
      <c r="M736" s="2" t="n"/>
    </row>
    <row r="737" ht="15.75" customHeight="1" s="168">
      <c r="A737" s="2" t="n"/>
      <c r="B737" s="2" t="n"/>
      <c r="C737" s="2" t="n"/>
      <c r="D737" s="2" t="n"/>
      <c r="E737" s="28" t="n"/>
      <c r="F737" s="2" t="n"/>
      <c r="G737" s="2" t="n"/>
      <c r="H737" s="2" t="n"/>
      <c r="I737" s="28" t="n"/>
      <c r="J737" s="2" t="n"/>
      <c r="K737" s="2" t="n"/>
      <c r="L737" s="2" t="n"/>
      <c r="M737" s="2" t="n"/>
    </row>
    <row r="738" ht="15.75" customHeight="1" s="168">
      <c r="A738" s="2" t="n"/>
      <c r="B738" s="2" t="n"/>
      <c r="C738" s="2" t="n"/>
      <c r="D738" s="2" t="n"/>
      <c r="E738" s="28" t="n"/>
      <c r="F738" s="2" t="n"/>
      <c r="G738" s="2" t="n"/>
      <c r="H738" s="2" t="n"/>
      <c r="I738" s="28" t="n"/>
      <c r="J738" s="2" t="n"/>
      <c r="K738" s="2" t="n"/>
      <c r="L738" s="2" t="n"/>
      <c r="M738" s="2" t="n"/>
    </row>
    <row r="739" ht="15.75" customHeight="1" s="168">
      <c r="A739" s="2" t="n"/>
      <c r="B739" s="2" t="n"/>
      <c r="C739" s="2" t="n"/>
      <c r="D739" s="2" t="n"/>
      <c r="E739" s="28" t="n"/>
      <c r="F739" s="2" t="n"/>
      <c r="G739" s="2" t="n"/>
      <c r="H739" s="2" t="n"/>
      <c r="I739" s="28" t="n"/>
      <c r="J739" s="2" t="n"/>
      <c r="K739" s="2" t="n"/>
      <c r="L739" s="2" t="n"/>
      <c r="M739" s="2" t="n"/>
    </row>
    <row r="740" ht="15.75" customHeight="1" s="168">
      <c r="A740" s="2" t="n"/>
      <c r="B740" s="2" t="n"/>
      <c r="C740" s="2" t="n"/>
      <c r="D740" s="2" t="n"/>
      <c r="E740" s="28" t="n"/>
      <c r="F740" s="2" t="n"/>
      <c r="G740" s="2" t="n"/>
      <c r="H740" s="2" t="n"/>
      <c r="I740" s="28" t="n"/>
      <c r="J740" s="2" t="n"/>
      <c r="K740" s="2" t="n"/>
      <c r="L740" s="2" t="n"/>
      <c r="M740" s="2" t="n"/>
    </row>
    <row r="741" ht="15.75" customHeight="1" s="168">
      <c r="A741" s="2" t="n"/>
      <c r="B741" s="2" t="n"/>
      <c r="C741" s="2" t="n"/>
      <c r="D741" s="2" t="n"/>
      <c r="E741" s="28" t="n"/>
      <c r="F741" s="2" t="n"/>
      <c r="G741" s="2" t="n"/>
      <c r="H741" s="2" t="n"/>
      <c r="I741" s="28" t="n"/>
      <c r="J741" s="2" t="n"/>
      <c r="K741" s="2" t="n"/>
      <c r="L741" s="2" t="n"/>
      <c r="M741" s="2" t="n"/>
    </row>
    <row r="742" ht="15.75" customHeight="1" s="168">
      <c r="A742" s="2" t="n"/>
      <c r="B742" s="2" t="n"/>
      <c r="C742" s="2" t="n"/>
      <c r="D742" s="2" t="n"/>
      <c r="E742" s="28" t="n"/>
      <c r="F742" s="2" t="n"/>
      <c r="G742" s="2" t="n"/>
      <c r="H742" s="2" t="n"/>
      <c r="I742" s="28" t="n"/>
      <c r="J742" s="2" t="n"/>
      <c r="K742" s="2" t="n"/>
      <c r="L742" s="2" t="n"/>
      <c r="M742" s="2" t="n"/>
    </row>
    <row r="743" ht="15.75" customHeight="1" s="168">
      <c r="A743" s="2" t="n"/>
      <c r="B743" s="2" t="n"/>
      <c r="C743" s="2" t="n"/>
      <c r="D743" s="2" t="n"/>
      <c r="E743" s="28" t="n"/>
      <c r="F743" s="2" t="n"/>
      <c r="G743" s="2" t="n"/>
      <c r="H743" s="2" t="n"/>
      <c r="I743" s="28" t="n"/>
      <c r="J743" s="2" t="n"/>
      <c r="K743" s="2" t="n"/>
      <c r="L743" s="2" t="n"/>
      <c r="M743" s="2" t="n"/>
    </row>
    <row r="744" ht="15.75" customHeight="1" s="168">
      <c r="A744" s="2" t="n"/>
      <c r="B744" s="2" t="n"/>
      <c r="C744" s="2" t="n"/>
      <c r="D744" s="2" t="n"/>
      <c r="E744" s="28" t="n"/>
      <c r="F744" s="2" t="n"/>
      <c r="G744" s="2" t="n"/>
      <c r="H744" s="2" t="n"/>
      <c r="I744" s="28" t="n"/>
      <c r="J744" s="2" t="n"/>
      <c r="K744" s="2" t="n"/>
      <c r="L744" s="2" t="n"/>
      <c r="M744" s="2" t="n"/>
    </row>
    <row r="745" ht="15.75" customHeight="1" s="168">
      <c r="A745" s="2" t="n"/>
      <c r="B745" s="2" t="n"/>
      <c r="C745" s="2" t="n"/>
      <c r="D745" s="2" t="n"/>
      <c r="E745" s="28" t="n"/>
      <c r="F745" s="2" t="n"/>
      <c r="G745" s="2" t="n"/>
      <c r="H745" s="2" t="n"/>
      <c r="I745" s="28" t="n"/>
      <c r="J745" s="2" t="n"/>
      <c r="K745" s="2" t="n"/>
      <c r="L745" s="2" t="n"/>
      <c r="M745" s="2" t="n"/>
    </row>
    <row r="746" ht="15.75" customHeight="1" s="168">
      <c r="A746" s="2" t="n"/>
      <c r="B746" s="2" t="n"/>
      <c r="C746" s="2" t="n"/>
      <c r="D746" s="2" t="n"/>
      <c r="E746" s="28" t="n"/>
      <c r="F746" s="2" t="n"/>
      <c r="G746" s="2" t="n"/>
      <c r="H746" s="2" t="n"/>
      <c r="I746" s="28" t="n"/>
      <c r="J746" s="2" t="n"/>
      <c r="K746" s="2" t="n"/>
      <c r="L746" s="2" t="n"/>
      <c r="M746" s="2" t="n"/>
    </row>
    <row r="747" ht="15.75" customHeight="1" s="168">
      <c r="A747" s="2" t="n"/>
      <c r="B747" s="2" t="n"/>
      <c r="C747" s="2" t="n"/>
      <c r="D747" s="2" t="n"/>
      <c r="E747" s="28" t="n"/>
      <c r="F747" s="2" t="n"/>
      <c r="G747" s="2" t="n"/>
      <c r="H747" s="2" t="n"/>
      <c r="I747" s="28" t="n"/>
      <c r="J747" s="2" t="n"/>
      <c r="K747" s="2" t="n"/>
      <c r="L747" s="2" t="n"/>
      <c r="M747" s="2" t="n"/>
    </row>
    <row r="748" ht="15.75" customHeight="1" s="168">
      <c r="A748" s="2" t="n"/>
      <c r="B748" s="2" t="n"/>
      <c r="C748" s="2" t="n"/>
      <c r="D748" s="2" t="n"/>
      <c r="E748" s="28" t="n"/>
      <c r="F748" s="2" t="n"/>
      <c r="G748" s="2" t="n"/>
      <c r="H748" s="2" t="n"/>
      <c r="I748" s="28" t="n"/>
      <c r="J748" s="2" t="n"/>
      <c r="K748" s="2" t="n"/>
      <c r="L748" s="2" t="n"/>
      <c r="M748" s="2" t="n"/>
    </row>
    <row r="749" ht="15.75" customHeight="1" s="168">
      <c r="A749" s="2" t="n"/>
      <c r="B749" s="2" t="n"/>
      <c r="C749" s="2" t="n"/>
      <c r="D749" s="2" t="n"/>
      <c r="E749" s="28" t="n"/>
      <c r="F749" s="2" t="n"/>
      <c r="G749" s="2" t="n"/>
      <c r="H749" s="2" t="n"/>
      <c r="I749" s="28" t="n"/>
      <c r="J749" s="2" t="n"/>
      <c r="K749" s="2" t="n"/>
      <c r="L749" s="2" t="n"/>
      <c r="M749" s="2" t="n"/>
    </row>
    <row r="750" ht="15.75" customHeight="1" s="168">
      <c r="A750" s="2" t="n"/>
      <c r="B750" s="2" t="n"/>
      <c r="C750" s="2" t="n"/>
      <c r="D750" s="2" t="n"/>
      <c r="E750" s="28" t="n"/>
      <c r="F750" s="2" t="n"/>
      <c r="G750" s="2" t="n"/>
      <c r="H750" s="2" t="n"/>
      <c r="I750" s="28" t="n"/>
      <c r="J750" s="2" t="n"/>
      <c r="K750" s="2" t="n"/>
      <c r="L750" s="2" t="n"/>
      <c r="M750" s="2" t="n"/>
    </row>
    <row r="751" ht="15.75" customHeight="1" s="168">
      <c r="A751" s="2" t="n"/>
      <c r="B751" s="2" t="n"/>
      <c r="C751" s="2" t="n"/>
      <c r="D751" s="2" t="n"/>
      <c r="E751" s="28" t="n"/>
      <c r="F751" s="2" t="n"/>
      <c r="G751" s="2" t="n"/>
      <c r="H751" s="2" t="n"/>
      <c r="I751" s="28" t="n"/>
      <c r="J751" s="2" t="n"/>
      <c r="K751" s="2" t="n"/>
      <c r="L751" s="2" t="n"/>
      <c r="M751" s="2" t="n"/>
    </row>
    <row r="752" ht="15.75" customHeight="1" s="168">
      <c r="A752" s="2" t="n"/>
      <c r="B752" s="2" t="n"/>
      <c r="C752" s="2" t="n"/>
      <c r="D752" s="2" t="n"/>
      <c r="E752" s="28" t="n"/>
      <c r="F752" s="2" t="n"/>
      <c r="G752" s="2" t="n"/>
      <c r="H752" s="2" t="n"/>
      <c r="I752" s="28" t="n"/>
      <c r="J752" s="2" t="n"/>
      <c r="K752" s="2" t="n"/>
      <c r="L752" s="2" t="n"/>
      <c r="M752" s="2" t="n"/>
    </row>
    <row r="753" ht="15.75" customHeight="1" s="168">
      <c r="A753" s="2" t="n"/>
      <c r="B753" s="2" t="n"/>
      <c r="C753" s="2" t="n"/>
      <c r="D753" s="2" t="n"/>
      <c r="E753" s="28" t="n"/>
      <c r="F753" s="2" t="n"/>
      <c r="G753" s="2" t="n"/>
      <c r="H753" s="2" t="n"/>
      <c r="I753" s="28" t="n"/>
      <c r="J753" s="2" t="n"/>
      <c r="K753" s="2" t="n"/>
      <c r="L753" s="2" t="n"/>
      <c r="M753" s="2" t="n"/>
    </row>
    <row r="754" ht="15.75" customHeight="1" s="168">
      <c r="A754" s="2" t="n"/>
      <c r="B754" s="2" t="n"/>
      <c r="C754" s="2" t="n"/>
      <c r="D754" s="2" t="n"/>
      <c r="E754" s="28" t="n"/>
      <c r="F754" s="2" t="n"/>
      <c r="G754" s="2" t="n"/>
      <c r="H754" s="2" t="n"/>
      <c r="I754" s="28" t="n"/>
      <c r="J754" s="2" t="n"/>
      <c r="K754" s="2" t="n"/>
      <c r="L754" s="2" t="n"/>
      <c r="M754" s="2" t="n"/>
    </row>
    <row r="755" ht="15.75" customHeight="1" s="168">
      <c r="A755" s="2" t="n"/>
      <c r="B755" s="2" t="n"/>
      <c r="C755" s="2" t="n"/>
      <c r="D755" s="2" t="n"/>
      <c r="E755" s="28" t="n"/>
      <c r="F755" s="2" t="n"/>
      <c r="G755" s="2" t="n"/>
      <c r="H755" s="2" t="n"/>
      <c r="I755" s="28" t="n"/>
      <c r="J755" s="2" t="n"/>
      <c r="K755" s="2" t="n"/>
      <c r="L755" s="2" t="n"/>
      <c r="M755" s="2" t="n"/>
    </row>
    <row r="756" ht="15.75" customHeight="1" s="168">
      <c r="A756" s="2" t="n"/>
      <c r="B756" s="2" t="n"/>
      <c r="C756" s="2" t="n"/>
      <c r="D756" s="2" t="n"/>
      <c r="E756" s="28" t="n"/>
      <c r="F756" s="2" t="n"/>
      <c r="G756" s="2" t="n"/>
      <c r="H756" s="2" t="n"/>
      <c r="I756" s="28" t="n"/>
      <c r="J756" s="2" t="n"/>
      <c r="K756" s="2" t="n"/>
      <c r="L756" s="2" t="n"/>
      <c r="M756" s="2" t="n"/>
    </row>
    <row r="757" ht="15.75" customHeight="1" s="168">
      <c r="A757" s="2" t="n"/>
      <c r="B757" s="2" t="n"/>
      <c r="C757" s="2" t="n"/>
      <c r="D757" s="2" t="n"/>
      <c r="E757" s="28" t="n"/>
      <c r="F757" s="2" t="n"/>
      <c r="G757" s="2" t="n"/>
      <c r="H757" s="2" t="n"/>
      <c r="I757" s="28" t="n"/>
      <c r="J757" s="2" t="n"/>
      <c r="K757" s="2" t="n"/>
      <c r="L757" s="2" t="n"/>
      <c r="M757" s="2" t="n"/>
    </row>
    <row r="758" ht="15.75" customHeight="1" s="168">
      <c r="A758" s="2" t="n"/>
      <c r="B758" s="2" t="n"/>
      <c r="C758" s="2" t="n"/>
      <c r="D758" s="2" t="n"/>
      <c r="E758" s="28" t="n"/>
      <c r="F758" s="2" t="n"/>
      <c r="G758" s="2" t="n"/>
      <c r="H758" s="2" t="n"/>
      <c r="I758" s="28" t="n"/>
      <c r="J758" s="2" t="n"/>
      <c r="K758" s="2" t="n"/>
      <c r="L758" s="2" t="n"/>
      <c r="M758" s="2" t="n"/>
    </row>
    <row r="759" ht="15.75" customHeight="1" s="168">
      <c r="A759" s="2" t="n"/>
      <c r="B759" s="2" t="n"/>
      <c r="C759" s="2" t="n"/>
      <c r="D759" s="2" t="n"/>
      <c r="E759" s="28" t="n"/>
      <c r="F759" s="2" t="n"/>
      <c r="G759" s="2" t="n"/>
      <c r="H759" s="2" t="n"/>
      <c r="I759" s="28" t="n"/>
      <c r="J759" s="2" t="n"/>
      <c r="K759" s="2" t="n"/>
      <c r="L759" s="2" t="n"/>
      <c r="M759" s="2" t="n"/>
    </row>
    <row r="760" ht="15.75" customHeight="1" s="168">
      <c r="A760" s="2" t="n"/>
      <c r="B760" s="2" t="n"/>
      <c r="C760" s="2" t="n"/>
      <c r="D760" s="2" t="n"/>
      <c r="E760" s="28" t="n"/>
      <c r="F760" s="2" t="n"/>
      <c r="G760" s="2" t="n"/>
      <c r="H760" s="2" t="n"/>
      <c r="I760" s="28" t="n"/>
      <c r="J760" s="2" t="n"/>
      <c r="K760" s="2" t="n"/>
      <c r="L760" s="2" t="n"/>
      <c r="M760" s="2" t="n"/>
    </row>
    <row r="761" ht="15.75" customHeight="1" s="168">
      <c r="A761" s="2" t="n"/>
      <c r="B761" s="2" t="n"/>
      <c r="C761" s="2" t="n"/>
      <c r="D761" s="2" t="n"/>
      <c r="E761" s="28" t="n"/>
      <c r="F761" s="2" t="n"/>
      <c r="G761" s="2" t="n"/>
      <c r="H761" s="2" t="n"/>
      <c r="I761" s="28" t="n"/>
      <c r="J761" s="2" t="n"/>
      <c r="K761" s="2" t="n"/>
      <c r="L761" s="2" t="n"/>
      <c r="M761" s="2" t="n"/>
    </row>
    <row r="762" ht="15.75" customHeight="1" s="168">
      <c r="A762" s="2" t="n"/>
      <c r="B762" s="2" t="n"/>
      <c r="C762" s="2" t="n"/>
      <c r="D762" s="2" t="n"/>
      <c r="E762" s="28" t="n"/>
      <c r="F762" s="2" t="n"/>
      <c r="G762" s="2" t="n"/>
      <c r="H762" s="2" t="n"/>
      <c r="I762" s="28" t="n"/>
      <c r="J762" s="2" t="n"/>
      <c r="K762" s="2" t="n"/>
      <c r="L762" s="2" t="n"/>
      <c r="M762" s="2" t="n"/>
    </row>
    <row r="763" ht="15.75" customHeight="1" s="168">
      <c r="A763" s="2" t="n"/>
      <c r="B763" s="2" t="n"/>
      <c r="C763" s="2" t="n"/>
      <c r="D763" s="2" t="n"/>
      <c r="E763" s="28" t="n"/>
      <c r="F763" s="2" t="n"/>
      <c r="G763" s="2" t="n"/>
      <c r="H763" s="2" t="n"/>
      <c r="I763" s="28" t="n"/>
      <c r="J763" s="2" t="n"/>
      <c r="K763" s="2" t="n"/>
      <c r="L763" s="2" t="n"/>
      <c r="M763" s="2" t="n"/>
    </row>
    <row r="764" ht="15.75" customHeight="1" s="168">
      <c r="A764" s="2" t="n"/>
      <c r="B764" s="2" t="n"/>
      <c r="C764" s="2" t="n"/>
      <c r="D764" s="2" t="n"/>
      <c r="E764" s="28" t="n"/>
      <c r="F764" s="2" t="n"/>
      <c r="G764" s="2" t="n"/>
      <c r="H764" s="2" t="n"/>
      <c r="I764" s="28" t="n"/>
      <c r="J764" s="2" t="n"/>
      <c r="K764" s="2" t="n"/>
      <c r="L764" s="2" t="n"/>
      <c r="M764" s="2" t="n"/>
    </row>
    <row r="765" ht="15.75" customHeight="1" s="168">
      <c r="A765" s="2" t="n"/>
      <c r="B765" s="2" t="n"/>
      <c r="C765" s="2" t="n"/>
      <c r="D765" s="2" t="n"/>
      <c r="E765" s="28" t="n"/>
      <c r="F765" s="2" t="n"/>
      <c r="G765" s="2" t="n"/>
      <c r="H765" s="2" t="n"/>
      <c r="I765" s="28" t="n"/>
      <c r="J765" s="2" t="n"/>
      <c r="K765" s="2" t="n"/>
      <c r="L765" s="2" t="n"/>
      <c r="M765" s="2" t="n"/>
    </row>
    <row r="766" ht="15.75" customHeight="1" s="168">
      <c r="A766" s="2" t="n"/>
      <c r="B766" s="2" t="n"/>
      <c r="C766" s="2" t="n"/>
      <c r="D766" s="2" t="n"/>
      <c r="E766" s="28" t="n"/>
      <c r="F766" s="2" t="n"/>
      <c r="G766" s="2" t="n"/>
      <c r="H766" s="2" t="n"/>
      <c r="I766" s="28" t="n"/>
      <c r="J766" s="2" t="n"/>
      <c r="K766" s="2" t="n"/>
      <c r="L766" s="2" t="n"/>
      <c r="M766" s="2" t="n"/>
    </row>
    <row r="767" ht="15.75" customHeight="1" s="168">
      <c r="A767" s="2" t="n"/>
      <c r="B767" s="2" t="n"/>
      <c r="C767" s="2" t="n"/>
      <c r="D767" s="2" t="n"/>
      <c r="E767" s="28" t="n"/>
      <c r="F767" s="2" t="n"/>
      <c r="G767" s="2" t="n"/>
      <c r="H767" s="2" t="n"/>
      <c r="I767" s="28" t="n"/>
      <c r="J767" s="2" t="n"/>
      <c r="K767" s="2" t="n"/>
      <c r="L767" s="2" t="n"/>
      <c r="M767" s="2" t="n"/>
    </row>
    <row r="768" ht="15.75" customHeight="1" s="168">
      <c r="A768" s="2" t="n"/>
      <c r="B768" s="2" t="n"/>
      <c r="C768" s="2" t="n"/>
      <c r="D768" s="2" t="n"/>
      <c r="E768" s="28" t="n"/>
      <c r="F768" s="2" t="n"/>
      <c r="G768" s="2" t="n"/>
      <c r="H768" s="2" t="n"/>
      <c r="I768" s="28" t="n"/>
      <c r="J768" s="2" t="n"/>
      <c r="K768" s="2" t="n"/>
      <c r="L768" s="2" t="n"/>
      <c r="M768" s="2" t="n"/>
    </row>
    <row r="769" ht="15.75" customHeight="1" s="168">
      <c r="A769" s="2" t="n"/>
      <c r="B769" s="2" t="n"/>
      <c r="C769" s="2" t="n"/>
      <c r="D769" s="2" t="n"/>
      <c r="E769" s="28" t="n"/>
      <c r="F769" s="2" t="n"/>
      <c r="G769" s="2" t="n"/>
      <c r="H769" s="2" t="n"/>
      <c r="I769" s="28" t="n"/>
      <c r="J769" s="2" t="n"/>
      <c r="K769" s="2" t="n"/>
      <c r="L769" s="2" t="n"/>
      <c r="M769" s="2" t="n"/>
    </row>
    <row r="770" ht="15.75" customHeight="1" s="168">
      <c r="A770" s="2" t="n"/>
      <c r="B770" s="2" t="n"/>
      <c r="C770" s="2" t="n"/>
      <c r="D770" s="2" t="n"/>
      <c r="E770" s="28" t="n"/>
      <c r="F770" s="2" t="n"/>
      <c r="G770" s="2" t="n"/>
      <c r="H770" s="2" t="n"/>
      <c r="I770" s="28" t="n"/>
      <c r="J770" s="2" t="n"/>
      <c r="K770" s="2" t="n"/>
      <c r="L770" s="2" t="n"/>
      <c r="M770" s="2" t="n"/>
    </row>
    <row r="771" ht="15.75" customHeight="1" s="168">
      <c r="A771" s="2" t="n"/>
      <c r="B771" s="2" t="n"/>
      <c r="C771" s="2" t="n"/>
      <c r="D771" s="2" t="n"/>
      <c r="E771" s="28" t="n"/>
      <c r="F771" s="2" t="n"/>
      <c r="G771" s="2" t="n"/>
      <c r="H771" s="2" t="n"/>
      <c r="I771" s="28" t="n"/>
      <c r="J771" s="2" t="n"/>
      <c r="K771" s="2" t="n"/>
      <c r="L771" s="2" t="n"/>
      <c r="M771" s="2" t="n"/>
    </row>
    <row r="772" ht="15.75" customHeight="1" s="168">
      <c r="A772" s="2" t="n"/>
      <c r="B772" s="2" t="n"/>
      <c r="C772" s="2" t="n"/>
      <c r="D772" s="2" t="n"/>
      <c r="E772" s="28" t="n"/>
      <c r="F772" s="2" t="n"/>
      <c r="G772" s="2" t="n"/>
      <c r="H772" s="2" t="n"/>
      <c r="I772" s="28" t="n"/>
      <c r="J772" s="2" t="n"/>
      <c r="K772" s="2" t="n"/>
      <c r="L772" s="2" t="n"/>
      <c r="M772" s="2" t="n"/>
    </row>
    <row r="773" ht="15.75" customHeight="1" s="168">
      <c r="A773" s="2" t="n"/>
      <c r="B773" s="2" t="n"/>
      <c r="C773" s="2" t="n"/>
      <c r="D773" s="2" t="n"/>
      <c r="E773" s="28" t="n"/>
      <c r="F773" s="2" t="n"/>
      <c r="G773" s="2" t="n"/>
      <c r="H773" s="2" t="n"/>
      <c r="I773" s="28" t="n"/>
      <c r="J773" s="2" t="n"/>
      <c r="K773" s="2" t="n"/>
      <c r="L773" s="2" t="n"/>
      <c r="M773" s="2" t="n"/>
    </row>
    <row r="774" ht="15.75" customHeight="1" s="168">
      <c r="A774" s="2" t="n"/>
      <c r="B774" s="2" t="n"/>
      <c r="C774" s="2" t="n"/>
      <c r="D774" s="2" t="n"/>
      <c r="E774" s="28" t="n"/>
      <c r="F774" s="2" t="n"/>
      <c r="G774" s="2" t="n"/>
      <c r="H774" s="2" t="n"/>
      <c r="I774" s="28" t="n"/>
      <c r="J774" s="2" t="n"/>
      <c r="K774" s="2" t="n"/>
      <c r="L774" s="2" t="n"/>
      <c r="M774" s="2" t="n"/>
    </row>
    <row r="775" ht="15.75" customHeight="1" s="168">
      <c r="A775" s="2" t="n"/>
      <c r="B775" s="2" t="n"/>
      <c r="C775" s="2" t="n"/>
      <c r="D775" s="2" t="n"/>
      <c r="E775" s="28" t="n"/>
      <c r="F775" s="2" t="n"/>
      <c r="G775" s="2" t="n"/>
      <c r="H775" s="2" t="n"/>
      <c r="I775" s="28" t="n"/>
      <c r="J775" s="2" t="n"/>
      <c r="K775" s="2" t="n"/>
      <c r="L775" s="2" t="n"/>
      <c r="M775" s="2" t="n"/>
    </row>
    <row r="776" ht="15.75" customHeight="1" s="168">
      <c r="A776" s="2" t="n"/>
      <c r="B776" s="2" t="n"/>
      <c r="C776" s="2" t="n"/>
      <c r="D776" s="2" t="n"/>
      <c r="E776" s="28" t="n"/>
      <c r="F776" s="2" t="n"/>
      <c r="G776" s="2" t="n"/>
      <c r="H776" s="2" t="n"/>
      <c r="I776" s="28" t="n"/>
      <c r="J776" s="2" t="n"/>
      <c r="K776" s="2" t="n"/>
      <c r="L776" s="2" t="n"/>
      <c r="M776" s="2" t="n"/>
    </row>
    <row r="777" ht="15.75" customHeight="1" s="168">
      <c r="A777" s="2" t="n"/>
      <c r="B777" s="2" t="n"/>
      <c r="C777" s="2" t="n"/>
      <c r="D777" s="2" t="n"/>
      <c r="E777" s="28" t="n"/>
      <c r="F777" s="2" t="n"/>
      <c r="G777" s="2" t="n"/>
      <c r="H777" s="2" t="n"/>
      <c r="I777" s="28" t="n"/>
      <c r="J777" s="2" t="n"/>
      <c r="K777" s="2" t="n"/>
      <c r="L777" s="2" t="n"/>
      <c r="M777" s="2" t="n"/>
    </row>
    <row r="778" ht="15.75" customHeight="1" s="168">
      <c r="A778" s="2" t="n"/>
      <c r="B778" s="2" t="n"/>
      <c r="C778" s="2" t="n"/>
      <c r="D778" s="2" t="n"/>
      <c r="E778" s="28" t="n"/>
      <c r="F778" s="2" t="n"/>
      <c r="G778" s="2" t="n"/>
      <c r="H778" s="2" t="n"/>
      <c r="I778" s="28" t="n"/>
      <c r="J778" s="2" t="n"/>
      <c r="K778" s="2" t="n"/>
      <c r="L778" s="2" t="n"/>
      <c r="M778" s="2" t="n"/>
    </row>
    <row r="779" ht="15.75" customHeight="1" s="168">
      <c r="A779" s="2" t="n"/>
      <c r="B779" s="2" t="n"/>
      <c r="C779" s="2" t="n"/>
      <c r="D779" s="2" t="n"/>
      <c r="E779" s="28" t="n"/>
      <c r="F779" s="2" t="n"/>
      <c r="G779" s="2" t="n"/>
      <c r="H779" s="2" t="n"/>
      <c r="I779" s="28" t="n"/>
      <c r="J779" s="2" t="n"/>
      <c r="K779" s="2" t="n"/>
      <c r="L779" s="2" t="n"/>
      <c r="M779" s="2" t="n"/>
    </row>
    <row r="780" ht="15.75" customHeight="1" s="168">
      <c r="A780" s="2" t="n"/>
      <c r="B780" s="2" t="n"/>
      <c r="C780" s="2" t="n"/>
      <c r="D780" s="2" t="n"/>
      <c r="E780" s="28" t="n"/>
      <c r="F780" s="2" t="n"/>
      <c r="G780" s="2" t="n"/>
      <c r="H780" s="2" t="n"/>
      <c r="I780" s="28" t="n"/>
      <c r="J780" s="2" t="n"/>
      <c r="K780" s="2" t="n"/>
      <c r="L780" s="2" t="n"/>
      <c r="M780" s="2" t="n"/>
    </row>
    <row r="781" ht="15.75" customHeight="1" s="168">
      <c r="A781" s="2" t="n"/>
      <c r="B781" s="2" t="n"/>
      <c r="C781" s="2" t="n"/>
      <c r="D781" s="2" t="n"/>
      <c r="E781" s="28" t="n"/>
      <c r="F781" s="2" t="n"/>
      <c r="G781" s="2" t="n"/>
      <c r="H781" s="2" t="n"/>
      <c r="I781" s="28" t="n"/>
      <c r="J781" s="2" t="n"/>
      <c r="K781" s="2" t="n"/>
      <c r="L781" s="2" t="n"/>
      <c r="M781" s="2" t="n"/>
    </row>
    <row r="782" ht="15.75" customHeight="1" s="168">
      <c r="A782" s="2" t="n"/>
      <c r="B782" s="2" t="n"/>
      <c r="C782" s="2" t="n"/>
      <c r="D782" s="2" t="n"/>
      <c r="E782" s="28" t="n"/>
      <c r="F782" s="2" t="n"/>
      <c r="G782" s="2" t="n"/>
      <c r="H782" s="2" t="n"/>
      <c r="I782" s="28" t="n"/>
      <c r="J782" s="2" t="n"/>
      <c r="K782" s="2" t="n"/>
      <c r="L782" s="2" t="n"/>
      <c r="M782" s="2" t="n"/>
    </row>
    <row r="783" ht="15.75" customHeight="1" s="168">
      <c r="A783" s="2" t="n"/>
      <c r="B783" s="2" t="n"/>
      <c r="C783" s="2" t="n"/>
      <c r="D783" s="2" t="n"/>
      <c r="E783" s="28" t="n"/>
      <c r="F783" s="2" t="n"/>
      <c r="G783" s="2" t="n"/>
      <c r="H783" s="2" t="n"/>
      <c r="I783" s="28" t="n"/>
      <c r="J783" s="2" t="n"/>
      <c r="K783" s="2" t="n"/>
      <c r="L783" s="2" t="n"/>
      <c r="M783" s="2" t="n"/>
    </row>
    <row r="784" ht="15.75" customHeight="1" s="168">
      <c r="A784" s="2" t="n"/>
      <c r="B784" s="2" t="n"/>
      <c r="C784" s="2" t="n"/>
      <c r="D784" s="2" t="n"/>
      <c r="E784" s="28" t="n"/>
      <c r="F784" s="2" t="n"/>
      <c r="G784" s="2" t="n"/>
      <c r="H784" s="2" t="n"/>
      <c r="I784" s="28" t="n"/>
      <c r="J784" s="2" t="n"/>
      <c r="K784" s="2" t="n"/>
      <c r="L784" s="2" t="n"/>
      <c r="M784" s="2" t="n"/>
    </row>
    <row r="785" ht="15.75" customHeight="1" s="168">
      <c r="A785" s="2" t="n"/>
      <c r="B785" s="2" t="n"/>
      <c r="C785" s="2" t="n"/>
      <c r="D785" s="2" t="n"/>
      <c r="E785" s="28" t="n"/>
      <c r="F785" s="2" t="n"/>
      <c r="G785" s="2" t="n"/>
      <c r="H785" s="2" t="n"/>
      <c r="I785" s="28" t="n"/>
      <c r="J785" s="2" t="n"/>
      <c r="K785" s="2" t="n"/>
      <c r="L785" s="2" t="n"/>
      <c r="M785" s="2" t="n"/>
    </row>
    <row r="786" ht="15.75" customHeight="1" s="168">
      <c r="A786" s="2" t="n"/>
      <c r="B786" s="2" t="n"/>
      <c r="C786" s="2" t="n"/>
      <c r="D786" s="2" t="n"/>
      <c r="E786" s="28" t="n"/>
      <c r="F786" s="2" t="n"/>
      <c r="G786" s="2" t="n"/>
      <c r="H786" s="2" t="n"/>
      <c r="I786" s="28" t="n"/>
      <c r="J786" s="2" t="n"/>
      <c r="K786" s="2" t="n"/>
      <c r="L786" s="2" t="n"/>
      <c r="M786" s="2" t="n"/>
    </row>
    <row r="787" ht="15.75" customHeight="1" s="168">
      <c r="A787" s="2" t="n"/>
      <c r="B787" s="2" t="n"/>
      <c r="C787" s="2" t="n"/>
      <c r="D787" s="2" t="n"/>
      <c r="E787" s="28" t="n"/>
      <c r="F787" s="2" t="n"/>
      <c r="G787" s="2" t="n"/>
      <c r="H787" s="2" t="n"/>
      <c r="I787" s="28" t="n"/>
      <c r="J787" s="2" t="n"/>
      <c r="K787" s="2" t="n"/>
      <c r="L787" s="2" t="n"/>
      <c r="M787" s="2" t="n"/>
    </row>
    <row r="788" ht="15.75" customHeight="1" s="168">
      <c r="A788" s="2" t="n"/>
      <c r="B788" s="2" t="n"/>
      <c r="C788" s="2" t="n"/>
      <c r="D788" s="2" t="n"/>
      <c r="E788" s="28" t="n"/>
      <c r="F788" s="2" t="n"/>
      <c r="G788" s="2" t="n"/>
      <c r="H788" s="2" t="n"/>
      <c r="I788" s="28" t="n"/>
      <c r="J788" s="2" t="n"/>
      <c r="K788" s="2" t="n"/>
      <c r="L788" s="2" t="n"/>
      <c r="M788" s="2" t="n"/>
    </row>
    <row r="789" ht="15.75" customHeight="1" s="168">
      <c r="A789" s="2" t="n"/>
      <c r="B789" s="2" t="n"/>
      <c r="C789" s="2" t="n"/>
      <c r="D789" s="2" t="n"/>
      <c r="E789" s="28" t="n"/>
      <c r="F789" s="2" t="n"/>
      <c r="G789" s="2" t="n"/>
      <c r="H789" s="2" t="n"/>
      <c r="I789" s="28" t="n"/>
      <c r="J789" s="2" t="n"/>
      <c r="K789" s="2" t="n"/>
      <c r="L789" s="2" t="n"/>
      <c r="M789" s="2" t="n"/>
    </row>
    <row r="790" ht="15.75" customHeight="1" s="168">
      <c r="A790" s="2" t="n"/>
      <c r="B790" s="2" t="n"/>
      <c r="C790" s="2" t="n"/>
      <c r="D790" s="2" t="n"/>
      <c r="E790" s="28" t="n"/>
      <c r="F790" s="2" t="n"/>
      <c r="G790" s="2" t="n"/>
      <c r="H790" s="2" t="n"/>
      <c r="I790" s="28" t="n"/>
      <c r="J790" s="2" t="n"/>
      <c r="K790" s="2" t="n"/>
      <c r="L790" s="2" t="n"/>
      <c r="M790" s="2" t="n"/>
    </row>
    <row r="791" ht="15.75" customHeight="1" s="168">
      <c r="A791" s="2" t="n"/>
      <c r="B791" s="2" t="n"/>
      <c r="C791" s="2" t="n"/>
      <c r="D791" s="2" t="n"/>
      <c r="E791" s="28" t="n"/>
      <c r="F791" s="2" t="n"/>
      <c r="G791" s="2" t="n"/>
      <c r="H791" s="2" t="n"/>
      <c r="I791" s="28" t="n"/>
      <c r="J791" s="2" t="n"/>
      <c r="K791" s="2" t="n"/>
      <c r="L791" s="2" t="n"/>
      <c r="M791" s="2" t="n"/>
    </row>
    <row r="792" ht="15.75" customHeight="1" s="168">
      <c r="A792" s="2" t="n"/>
      <c r="B792" s="2" t="n"/>
      <c r="C792" s="2" t="n"/>
      <c r="D792" s="2" t="n"/>
      <c r="E792" s="28" t="n"/>
      <c r="F792" s="2" t="n"/>
      <c r="G792" s="2" t="n"/>
      <c r="H792" s="2" t="n"/>
      <c r="I792" s="28" t="n"/>
      <c r="J792" s="2" t="n"/>
      <c r="K792" s="2" t="n"/>
      <c r="L792" s="2" t="n"/>
      <c r="M792" s="2" t="n"/>
    </row>
    <row r="793" ht="15.75" customHeight="1" s="168">
      <c r="A793" s="2" t="n"/>
      <c r="B793" s="2" t="n"/>
      <c r="C793" s="2" t="n"/>
      <c r="D793" s="2" t="n"/>
      <c r="E793" s="28" t="n"/>
      <c r="F793" s="2" t="n"/>
      <c r="G793" s="2" t="n"/>
      <c r="H793" s="2" t="n"/>
      <c r="I793" s="28" t="n"/>
      <c r="J793" s="2" t="n"/>
      <c r="K793" s="2" t="n"/>
      <c r="L793" s="2" t="n"/>
      <c r="M793" s="2" t="n"/>
    </row>
    <row r="794" ht="15.75" customHeight="1" s="168">
      <c r="A794" s="2" t="n"/>
      <c r="B794" s="2" t="n"/>
      <c r="C794" s="2" t="n"/>
      <c r="D794" s="2" t="n"/>
      <c r="E794" s="28" t="n"/>
      <c r="F794" s="2" t="n"/>
      <c r="G794" s="2" t="n"/>
      <c r="H794" s="2" t="n"/>
      <c r="I794" s="28" t="n"/>
      <c r="J794" s="2" t="n"/>
      <c r="K794" s="2" t="n"/>
      <c r="L794" s="2" t="n"/>
      <c r="M794" s="2" t="n"/>
    </row>
    <row r="795" ht="15.75" customHeight="1" s="168">
      <c r="A795" s="2" t="n"/>
      <c r="B795" s="2" t="n"/>
      <c r="C795" s="2" t="n"/>
      <c r="D795" s="2" t="n"/>
      <c r="E795" s="28" t="n"/>
      <c r="F795" s="2" t="n"/>
      <c r="G795" s="2" t="n"/>
      <c r="H795" s="2" t="n"/>
      <c r="I795" s="28" t="n"/>
      <c r="J795" s="2" t="n"/>
      <c r="K795" s="2" t="n"/>
      <c r="L795" s="2" t="n"/>
      <c r="M795" s="2" t="n"/>
    </row>
    <row r="796" ht="15.75" customHeight="1" s="168">
      <c r="A796" s="2" t="n"/>
      <c r="B796" s="2" t="n"/>
      <c r="C796" s="2" t="n"/>
      <c r="D796" s="2" t="n"/>
      <c r="E796" s="28" t="n"/>
      <c r="F796" s="2" t="n"/>
      <c r="G796" s="2" t="n"/>
      <c r="H796" s="2" t="n"/>
      <c r="I796" s="28" t="n"/>
      <c r="J796" s="2" t="n"/>
      <c r="K796" s="2" t="n"/>
      <c r="L796" s="2" t="n"/>
      <c r="M796" s="2" t="n"/>
    </row>
    <row r="797" ht="15.75" customHeight="1" s="168">
      <c r="A797" s="2" t="n"/>
      <c r="B797" s="2" t="n"/>
      <c r="C797" s="2" t="n"/>
      <c r="D797" s="2" t="n"/>
      <c r="E797" s="28" t="n"/>
      <c r="F797" s="2" t="n"/>
      <c r="G797" s="2" t="n"/>
      <c r="H797" s="2" t="n"/>
      <c r="I797" s="28" t="n"/>
      <c r="J797" s="2" t="n"/>
      <c r="K797" s="2" t="n"/>
      <c r="L797" s="2" t="n"/>
      <c r="M797" s="2" t="n"/>
    </row>
    <row r="798" ht="15.75" customHeight="1" s="168">
      <c r="A798" s="2" t="n"/>
      <c r="B798" s="2" t="n"/>
      <c r="C798" s="2" t="n"/>
      <c r="D798" s="2" t="n"/>
      <c r="E798" s="28" t="n"/>
      <c r="F798" s="2" t="n"/>
      <c r="G798" s="2" t="n"/>
      <c r="H798" s="2" t="n"/>
      <c r="I798" s="28" t="n"/>
      <c r="J798" s="2" t="n"/>
      <c r="K798" s="2" t="n"/>
      <c r="L798" s="2" t="n"/>
      <c r="M798" s="2" t="n"/>
    </row>
    <row r="799" ht="15.75" customHeight="1" s="168">
      <c r="A799" s="2" t="n"/>
      <c r="B799" s="2" t="n"/>
      <c r="C799" s="2" t="n"/>
      <c r="D799" s="2" t="n"/>
      <c r="E799" s="28" t="n"/>
      <c r="F799" s="2" t="n"/>
      <c r="G799" s="2" t="n"/>
      <c r="H799" s="2" t="n"/>
      <c r="I799" s="28" t="n"/>
      <c r="J799" s="2" t="n"/>
      <c r="K799" s="2" t="n"/>
      <c r="L799" s="2" t="n"/>
      <c r="M799" s="2" t="n"/>
    </row>
    <row r="800" ht="15.75" customHeight="1" s="168">
      <c r="A800" s="2" t="n"/>
      <c r="B800" s="2" t="n"/>
      <c r="C800" s="2" t="n"/>
      <c r="D800" s="2" t="n"/>
      <c r="E800" s="28" t="n"/>
      <c r="F800" s="2" t="n"/>
      <c r="G800" s="2" t="n"/>
      <c r="H800" s="2" t="n"/>
      <c r="I800" s="28" t="n"/>
      <c r="J800" s="2" t="n"/>
      <c r="K800" s="2" t="n"/>
      <c r="L800" s="2" t="n"/>
      <c r="M800" s="2" t="n"/>
    </row>
    <row r="801" ht="15.75" customHeight="1" s="168">
      <c r="A801" s="2" t="n"/>
      <c r="B801" s="2" t="n"/>
      <c r="C801" s="2" t="n"/>
      <c r="D801" s="2" t="n"/>
      <c r="E801" s="28" t="n"/>
      <c r="F801" s="2" t="n"/>
      <c r="G801" s="2" t="n"/>
      <c r="H801" s="2" t="n"/>
      <c r="I801" s="28" t="n"/>
      <c r="J801" s="2" t="n"/>
      <c r="K801" s="2" t="n"/>
      <c r="L801" s="2" t="n"/>
      <c r="M801" s="2" t="n"/>
    </row>
    <row r="802" ht="15.75" customHeight="1" s="168">
      <c r="A802" s="2" t="n"/>
      <c r="B802" s="2" t="n"/>
      <c r="C802" s="2" t="n"/>
      <c r="D802" s="2" t="n"/>
      <c r="E802" s="28" t="n"/>
      <c r="F802" s="2" t="n"/>
      <c r="G802" s="2" t="n"/>
      <c r="H802" s="2" t="n"/>
      <c r="I802" s="28" t="n"/>
      <c r="J802" s="2" t="n"/>
      <c r="K802" s="2" t="n"/>
      <c r="L802" s="2" t="n"/>
      <c r="M802" s="2" t="n"/>
    </row>
    <row r="803" ht="15.75" customHeight="1" s="168">
      <c r="A803" s="2" t="n"/>
      <c r="B803" s="2" t="n"/>
      <c r="C803" s="2" t="n"/>
      <c r="D803" s="2" t="n"/>
      <c r="E803" s="28" t="n"/>
      <c r="F803" s="2" t="n"/>
      <c r="G803" s="2" t="n"/>
      <c r="H803" s="2" t="n"/>
      <c r="I803" s="28" t="n"/>
      <c r="J803" s="2" t="n"/>
      <c r="K803" s="2" t="n"/>
      <c r="L803" s="2" t="n"/>
      <c r="M803" s="2" t="n"/>
    </row>
    <row r="804" ht="15.75" customHeight="1" s="168">
      <c r="A804" s="2" t="n"/>
      <c r="B804" s="2" t="n"/>
      <c r="C804" s="2" t="n"/>
      <c r="D804" s="2" t="n"/>
      <c r="E804" s="28" t="n"/>
      <c r="F804" s="2" t="n"/>
      <c r="G804" s="2" t="n"/>
      <c r="H804" s="2" t="n"/>
      <c r="I804" s="28" t="n"/>
      <c r="J804" s="2" t="n"/>
      <c r="K804" s="2" t="n"/>
      <c r="L804" s="2" t="n"/>
      <c r="M804" s="2" t="n"/>
    </row>
    <row r="805" ht="15.75" customHeight="1" s="168">
      <c r="A805" s="2" t="n"/>
      <c r="B805" s="2" t="n"/>
      <c r="C805" s="2" t="n"/>
      <c r="D805" s="2" t="n"/>
      <c r="E805" s="28" t="n"/>
      <c r="F805" s="2" t="n"/>
      <c r="G805" s="2" t="n"/>
      <c r="H805" s="2" t="n"/>
      <c r="I805" s="28" t="n"/>
      <c r="J805" s="2" t="n"/>
      <c r="K805" s="2" t="n"/>
      <c r="L805" s="2" t="n"/>
      <c r="M805" s="2" t="n"/>
    </row>
    <row r="806" ht="15.75" customHeight="1" s="168">
      <c r="A806" s="2" t="n"/>
      <c r="B806" s="2" t="n"/>
      <c r="C806" s="2" t="n"/>
      <c r="D806" s="2" t="n"/>
      <c r="E806" s="28" t="n"/>
      <c r="F806" s="2" t="n"/>
      <c r="G806" s="2" t="n"/>
      <c r="H806" s="2" t="n"/>
      <c r="I806" s="28" t="n"/>
      <c r="J806" s="2" t="n"/>
      <c r="K806" s="2" t="n"/>
      <c r="L806" s="2" t="n"/>
      <c r="M806" s="2" t="n"/>
    </row>
    <row r="807" ht="15.75" customHeight="1" s="168">
      <c r="A807" s="2" t="n"/>
      <c r="B807" s="2" t="n"/>
      <c r="C807" s="2" t="n"/>
      <c r="D807" s="2" t="n"/>
      <c r="E807" s="28" t="n"/>
      <c r="F807" s="2" t="n"/>
      <c r="G807" s="2" t="n"/>
      <c r="H807" s="2" t="n"/>
      <c r="I807" s="28" t="n"/>
      <c r="J807" s="2" t="n"/>
      <c r="K807" s="2" t="n"/>
      <c r="L807" s="2" t="n"/>
      <c r="M807" s="2" t="n"/>
    </row>
    <row r="808" ht="15.75" customHeight="1" s="168">
      <c r="A808" s="2" t="n"/>
      <c r="B808" s="2" t="n"/>
      <c r="C808" s="2" t="n"/>
      <c r="D808" s="2" t="n"/>
      <c r="E808" s="28" t="n"/>
      <c r="F808" s="2" t="n"/>
      <c r="G808" s="2" t="n"/>
      <c r="H808" s="2" t="n"/>
      <c r="I808" s="28" t="n"/>
      <c r="J808" s="2" t="n"/>
      <c r="K808" s="2" t="n"/>
      <c r="L808" s="2" t="n"/>
      <c r="M808" s="2" t="n"/>
    </row>
    <row r="809" ht="15.75" customHeight="1" s="168">
      <c r="A809" s="2" t="n"/>
      <c r="B809" s="2" t="n"/>
      <c r="C809" s="2" t="n"/>
      <c r="D809" s="2" t="n"/>
      <c r="E809" s="28" t="n"/>
      <c r="F809" s="2" t="n"/>
      <c r="G809" s="2" t="n"/>
      <c r="H809" s="2" t="n"/>
      <c r="I809" s="28" t="n"/>
      <c r="J809" s="2" t="n"/>
      <c r="K809" s="2" t="n"/>
      <c r="L809" s="2" t="n"/>
      <c r="M809" s="2" t="n"/>
    </row>
    <row r="810" ht="15.75" customHeight="1" s="168">
      <c r="A810" s="2" t="n"/>
      <c r="B810" s="2" t="n"/>
      <c r="C810" s="2" t="n"/>
      <c r="D810" s="2" t="n"/>
      <c r="E810" s="28" t="n"/>
      <c r="F810" s="2" t="n"/>
      <c r="G810" s="2" t="n"/>
      <c r="H810" s="2" t="n"/>
      <c r="I810" s="28" t="n"/>
      <c r="J810" s="2" t="n"/>
      <c r="K810" s="2" t="n"/>
      <c r="L810" s="2" t="n"/>
      <c r="M810" s="2" t="n"/>
    </row>
    <row r="811" ht="15.75" customHeight="1" s="168">
      <c r="A811" s="2" t="n"/>
      <c r="B811" s="2" t="n"/>
      <c r="C811" s="2" t="n"/>
      <c r="D811" s="2" t="n"/>
      <c r="E811" s="28" t="n"/>
      <c r="F811" s="2" t="n"/>
      <c r="G811" s="2" t="n"/>
      <c r="H811" s="2" t="n"/>
      <c r="I811" s="28" t="n"/>
      <c r="J811" s="2" t="n"/>
      <c r="K811" s="2" t="n"/>
      <c r="L811" s="2" t="n"/>
      <c r="M811" s="2" t="n"/>
    </row>
    <row r="812" ht="15.75" customHeight="1" s="168">
      <c r="A812" s="2" t="n"/>
      <c r="B812" s="2" t="n"/>
      <c r="C812" s="2" t="n"/>
      <c r="D812" s="2" t="n"/>
      <c r="E812" s="28" t="n"/>
      <c r="F812" s="2" t="n"/>
      <c r="G812" s="2" t="n"/>
      <c r="H812" s="2" t="n"/>
      <c r="I812" s="28" t="n"/>
      <c r="J812" s="2" t="n"/>
      <c r="K812" s="2" t="n"/>
      <c r="L812" s="2" t="n"/>
      <c r="M812" s="2" t="n"/>
    </row>
    <row r="813" ht="15.75" customHeight="1" s="168">
      <c r="A813" s="2" t="n"/>
      <c r="B813" s="2" t="n"/>
      <c r="C813" s="2" t="n"/>
      <c r="D813" s="2" t="n"/>
      <c r="E813" s="28" t="n"/>
      <c r="F813" s="2" t="n"/>
      <c r="G813" s="2" t="n"/>
      <c r="H813" s="2" t="n"/>
      <c r="I813" s="28" t="n"/>
      <c r="J813" s="2" t="n"/>
      <c r="K813" s="2" t="n"/>
      <c r="L813" s="2" t="n"/>
      <c r="M813" s="2" t="n"/>
    </row>
    <row r="814" ht="15.75" customHeight="1" s="168">
      <c r="A814" s="2" t="n"/>
      <c r="B814" s="2" t="n"/>
      <c r="C814" s="2" t="n"/>
      <c r="D814" s="2" t="n"/>
      <c r="E814" s="28" t="n"/>
      <c r="F814" s="2" t="n"/>
      <c r="G814" s="2" t="n"/>
      <c r="H814" s="2" t="n"/>
      <c r="I814" s="28" t="n"/>
      <c r="J814" s="2" t="n"/>
      <c r="K814" s="2" t="n"/>
      <c r="L814" s="2" t="n"/>
      <c r="M814" s="2" t="n"/>
    </row>
    <row r="815" ht="15.75" customHeight="1" s="168">
      <c r="A815" s="2" t="n"/>
      <c r="B815" s="2" t="n"/>
      <c r="C815" s="2" t="n"/>
      <c r="D815" s="2" t="n"/>
      <c r="E815" s="28" t="n"/>
      <c r="F815" s="2" t="n"/>
      <c r="G815" s="2" t="n"/>
      <c r="H815" s="2" t="n"/>
      <c r="I815" s="28" t="n"/>
      <c r="J815" s="2" t="n"/>
      <c r="K815" s="2" t="n"/>
      <c r="L815" s="2" t="n"/>
      <c r="M815" s="2" t="n"/>
    </row>
    <row r="816" ht="15.75" customHeight="1" s="168">
      <c r="A816" s="2" t="n"/>
      <c r="B816" s="2" t="n"/>
      <c r="C816" s="2" t="n"/>
      <c r="D816" s="2" t="n"/>
      <c r="E816" s="28" t="n"/>
      <c r="F816" s="2" t="n"/>
      <c r="G816" s="2" t="n"/>
      <c r="H816" s="2" t="n"/>
      <c r="I816" s="28" t="n"/>
      <c r="J816" s="2" t="n"/>
      <c r="K816" s="2" t="n"/>
      <c r="L816" s="2" t="n"/>
      <c r="M816" s="2" t="n"/>
    </row>
    <row r="817" ht="15.75" customHeight="1" s="168">
      <c r="A817" s="2" t="n"/>
      <c r="B817" s="2" t="n"/>
      <c r="C817" s="2" t="n"/>
      <c r="D817" s="2" t="n"/>
      <c r="E817" s="28" t="n"/>
      <c r="F817" s="2" t="n"/>
      <c r="G817" s="2" t="n"/>
      <c r="H817" s="2" t="n"/>
      <c r="I817" s="28" t="n"/>
      <c r="J817" s="2" t="n"/>
      <c r="K817" s="2" t="n"/>
      <c r="L817" s="2" t="n"/>
      <c r="M817" s="2" t="n"/>
    </row>
    <row r="818" ht="15.75" customHeight="1" s="168">
      <c r="A818" s="2" t="n"/>
      <c r="B818" s="2" t="n"/>
      <c r="C818" s="2" t="n"/>
      <c r="D818" s="2" t="n"/>
      <c r="E818" s="28" t="n"/>
      <c r="F818" s="2" t="n"/>
      <c r="G818" s="2" t="n"/>
      <c r="H818" s="2" t="n"/>
      <c r="I818" s="28" t="n"/>
      <c r="J818" s="2" t="n"/>
      <c r="K818" s="2" t="n"/>
      <c r="L818" s="2" t="n"/>
      <c r="M818" s="2" t="n"/>
    </row>
    <row r="819" ht="15.75" customHeight="1" s="168">
      <c r="A819" s="2" t="n"/>
      <c r="B819" s="2" t="n"/>
      <c r="C819" s="2" t="n"/>
      <c r="D819" s="2" t="n"/>
      <c r="E819" s="28" t="n"/>
      <c r="F819" s="2" t="n"/>
      <c r="G819" s="2" t="n"/>
      <c r="H819" s="2" t="n"/>
      <c r="I819" s="28" t="n"/>
      <c r="J819" s="2" t="n"/>
      <c r="K819" s="2" t="n"/>
      <c r="L819" s="2" t="n"/>
      <c r="M819" s="2" t="n"/>
    </row>
    <row r="820" ht="15.75" customHeight="1" s="168">
      <c r="A820" s="2" t="n"/>
      <c r="B820" s="2" t="n"/>
      <c r="C820" s="2" t="n"/>
      <c r="D820" s="2" t="n"/>
      <c r="E820" s="28" t="n"/>
      <c r="F820" s="2" t="n"/>
      <c r="G820" s="2" t="n"/>
      <c r="H820" s="2" t="n"/>
      <c r="I820" s="28" t="n"/>
      <c r="J820" s="2" t="n"/>
      <c r="K820" s="2" t="n"/>
      <c r="L820" s="2" t="n"/>
      <c r="M820" s="2" t="n"/>
    </row>
    <row r="821" ht="15.75" customHeight="1" s="168">
      <c r="A821" s="2" t="n"/>
      <c r="B821" s="2" t="n"/>
      <c r="C821" s="2" t="n"/>
      <c r="D821" s="2" t="n"/>
      <c r="E821" s="28" t="n"/>
      <c r="F821" s="2" t="n"/>
      <c r="G821" s="2" t="n"/>
      <c r="H821" s="2" t="n"/>
      <c r="I821" s="28" t="n"/>
      <c r="J821" s="2" t="n"/>
      <c r="K821" s="2" t="n"/>
      <c r="L821" s="2" t="n"/>
      <c r="M821" s="2" t="n"/>
    </row>
    <row r="822" ht="15.75" customHeight="1" s="168">
      <c r="A822" s="2" t="n"/>
      <c r="B822" s="2" t="n"/>
      <c r="C822" s="2" t="n"/>
      <c r="D822" s="2" t="n"/>
      <c r="E822" s="28" t="n"/>
      <c r="F822" s="2" t="n"/>
      <c r="G822" s="2" t="n"/>
      <c r="H822" s="2" t="n"/>
      <c r="I822" s="28" t="n"/>
      <c r="J822" s="2" t="n"/>
      <c r="K822" s="2" t="n"/>
      <c r="L822" s="2" t="n"/>
      <c r="M822" s="2" t="n"/>
    </row>
    <row r="823" ht="15.75" customHeight="1" s="168">
      <c r="A823" s="2" t="n"/>
      <c r="B823" s="2" t="n"/>
      <c r="C823" s="2" t="n"/>
      <c r="D823" s="2" t="n"/>
      <c r="E823" s="28" t="n"/>
      <c r="F823" s="2" t="n"/>
      <c r="G823" s="2" t="n"/>
      <c r="H823" s="2" t="n"/>
      <c r="I823" s="28" t="n"/>
      <c r="J823" s="2" t="n"/>
      <c r="K823" s="2" t="n"/>
      <c r="L823" s="2" t="n"/>
      <c r="M823" s="2" t="n"/>
    </row>
    <row r="824" ht="15.75" customHeight="1" s="168">
      <c r="A824" s="2" t="n"/>
      <c r="B824" s="2" t="n"/>
      <c r="C824" s="2" t="n"/>
      <c r="D824" s="2" t="n"/>
      <c r="E824" s="28" t="n"/>
      <c r="F824" s="2" t="n"/>
      <c r="G824" s="2" t="n"/>
      <c r="H824" s="2" t="n"/>
      <c r="I824" s="28" t="n"/>
      <c r="J824" s="2" t="n"/>
      <c r="K824" s="2" t="n"/>
      <c r="L824" s="2" t="n"/>
      <c r="M824" s="2" t="n"/>
    </row>
    <row r="825" ht="15.75" customHeight="1" s="168">
      <c r="A825" s="2" t="n"/>
      <c r="B825" s="2" t="n"/>
      <c r="C825" s="2" t="n"/>
      <c r="D825" s="2" t="n"/>
      <c r="E825" s="28" t="n"/>
      <c r="F825" s="2" t="n"/>
      <c r="G825" s="2" t="n"/>
      <c r="H825" s="2" t="n"/>
      <c r="I825" s="28" t="n"/>
      <c r="J825" s="2" t="n"/>
      <c r="K825" s="2" t="n"/>
      <c r="L825" s="2" t="n"/>
      <c r="M825" s="2" t="n"/>
    </row>
    <row r="826" ht="15.75" customHeight="1" s="168">
      <c r="A826" s="2" t="n"/>
      <c r="B826" s="2" t="n"/>
      <c r="C826" s="2" t="n"/>
      <c r="D826" s="2" t="n"/>
      <c r="E826" s="28" t="n"/>
      <c r="F826" s="2" t="n"/>
      <c r="G826" s="2" t="n"/>
      <c r="H826" s="2" t="n"/>
      <c r="I826" s="28" t="n"/>
      <c r="J826" s="2" t="n"/>
      <c r="K826" s="2" t="n"/>
      <c r="L826" s="2" t="n"/>
      <c r="M826" s="2" t="n"/>
    </row>
    <row r="827" ht="15.75" customHeight="1" s="168">
      <c r="A827" s="2" t="n"/>
      <c r="B827" s="2" t="n"/>
      <c r="C827" s="2" t="n"/>
      <c r="D827" s="2" t="n"/>
      <c r="E827" s="28" t="n"/>
      <c r="F827" s="2" t="n"/>
      <c r="G827" s="2" t="n"/>
      <c r="H827" s="2" t="n"/>
      <c r="I827" s="28" t="n"/>
      <c r="J827" s="2" t="n"/>
      <c r="K827" s="2" t="n"/>
      <c r="L827" s="2" t="n"/>
      <c r="M827" s="2" t="n"/>
    </row>
    <row r="828" ht="15.75" customHeight="1" s="168">
      <c r="A828" s="2" t="n"/>
      <c r="B828" s="2" t="n"/>
      <c r="C828" s="2" t="n"/>
      <c r="D828" s="2" t="n"/>
      <c r="E828" s="28" t="n"/>
      <c r="F828" s="2" t="n"/>
      <c r="G828" s="2" t="n"/>
      <c r="H828" s="2" t="n"/>
      <c r="I828" s="28" t="n"/>
      <c r="J828" s="2" t="n"/>
      <c r="K828" s="2" t="n"/>
      <c r="L828" s="2" t="n"/>
      <c r="M828" s="2" t="n"/>
    </row>
    <row r="829" ht="15.75" customHeight="1" s="168">
      <c r="A829" s="2" t="n"/>
      <c r="B829" s="2" t="n"/>
      <c r="C829" s="2" t="n"/>
      <c r="D829" s="2" t="n"/>
      <c r="E829" s="28" t="n"/>
      <c r="F829" s="2" t="n"/>
      <c r="G829" s="2" t="n"/>
      <c r="H829" s="2" t="n"/>
      <c r="I829" s="28" t="n"/>
      <c r="J829" s="2" t="n"/>
      <c r="K829" s="2" t="n"/>
      <c r="L829" s="2" t="n"/>
      <c r="M829" s="2" t="n"/>
    </row>
    <row r="830" ht="15.75" customHeight="1" s="168">
      <c r="A830" s="2" t="n"/>
      <c r="B830" s="2" t="n"/>
      <c r="C830" s="2" t="n"/>
      <c r="D830" s="2" t="n"/>
      <c r="E830" s="28" t="n"/>
      <c r="F830" s="2" t="n"/>
      <c r="G830" s="2" t="n"/>
      <c r="H830" s="2" t="n"/>
      <c r="I830" s="28" t="n"/>
      <c r="J830" s="2" t="n"/>
      <c r="K830" s="2" t="n"/>
      <c r="L830" s="2" t="n"/>
      <c r="M830" s="2" t="n"/>
    </row>
    <row r="831" ht="15.75" customHeight="1" s="168">
      <c r="A831" s="2" t="n"/>
      <c r="B831" s="2" t="n"/>
      <c r="C831" s="2" t="n"/>
      <c r="D831" s="2" t="n"/>
      <c r="E831" s="28" t="n"/>
      <c r="F831" s="2" t="n"/>
      <c r="G831" s="2" t="n"/>
      <c r="H831" s="2" t="n"/>
      <c r="I831" s="28" t="n"/>
      <c r="J831" s="2" t="n"/>
      <c r="K831" s="2" t="n"/>
      <c r="L831" s="2" t="n"/>
      <c r="M831" s="2" t="n"/>
    </row>
    <row r="832" ht="15.75" customHeight="1" s="168">
      <c r="A832" s="2" t="n"/>
      <c r="B832" s="2" t="n"/>
      <c r="C832" s="2" t="n"/>
      <c r="D832" s="2" t="n"/>
      <c r="E832" s="28" t="n"/>
      <c r="F832" s="2" t="n"/>
      <c r="G832" s="2" t="n"/>
      <c r="H832" s="2" t="n"/>
      <c r="I832" s="28" t="n"/>
      <c r="J832" s="2" t="n"/>
      <c r="K832" s="2" t="n"/>
      <c r="L832" s="2" t="n"/>
      <c r="M832" s="2" t="n"/>
    </row>
    <row r="833" ht="15.75" customHeight="1" s="168">
      <c r="A833" s="2" t="n"/>
      <c r="B833" s="2" t="n"/>
      <c r="C833" s="2" t="n"/>
      <c r="D833" s="2" t="n"/>
      <c r="E833" s="28" t="n"/>
      <c r="F833" s="2" t="n"/>
      <c r="G833" s="2" t="n"/>
      <c r="H833" s="2" t="n"/>
      <c r="I833" s="28" t="n"/>
      <c r="J833" s="2" t="n"/>
      <c r="K833" s="2" t="n"/>
      <c r="L833" s="2" t="n"/>
      <c r="M833" s="2" t="n"/>
    </row>
    <row r="834" ht="15.75" customHeight="1" s="168">
      <c r="A834" s="2" t="n"/>
      <c r="B834" s="2" t="n"/>
      <c r="C834" s="2" t="n"/>
      <c r="D834" s="2" t="n"/>
      <c r="E834" s="28" t="n"/>
      <c r="F834" s="2" t="n"/>
      <c r="G834" s="2" t="n"/>
      <c r="H834" s="2" t="n"/>
      <c r="I834" s="28" t="n"/>
      <c r="J834" s="2" t="n"/>
      <c r="K834" s="2" t="n"/>
      <c r="L834" s="2" t="n"/>
      <c r="M834" s="2" t="n"/>
    </row>
    <row r="835" ht="15.75" customHeight="1" s="168">
      <c r="A835" s="2" t="n"/>
      <c r="B835" s="2" t="n"/>
      <c r="C835" s="2" t="n"/>
      <c r="D835" s="2" t="n"/>
      <c r="E835" s="28" t="n"/>
      <c r="F835" s="2" t="n"/>
      <c r="G835" s="2" t="n"/>
      <c r="H835" s="2" t="n"/>
      <c r="I835" s="28" t="n"/>
      <c r="J835" s="2" t="n"/>
      <c r="K835" s="2" t="n"/>
      <c r="L835" s="2" t="n"/>
      <c r="M835" s="2" t="n"/>
    </row>
    <row r="836" ht="15.75" customHeight="1" s="168">
      <c r="A836" s="2" t="n"/>
      <c r="B836" s="2" t="n"/>
      <c r="C836" s="2" t="n"/>
      <c r="D836" s="2" t="n"/>
      <c r="E836" s="28" t="n"/>
      <c r="F836" s="2" t="n"/>
      <c r="G836" s="2" t="n"/>
      <c r="H836" s="2" t="n"/>
      <c r="I836" s="28" t="n"/>
      <c r="J836" s="2" t="n"/>
      <c r="K836" s="2" t="n"/>
      <c r="L836" s="2" t="n"/>
      <c r="M836" s="2" t="n"/>
    </row>
    <row r="837" ht="15.75" customHeight="1" s="168">
      <c r="A837" s="2" t="n"/>
      <c r="B837" s="2" t="n"/>
      <c r="C837" s="2" t="n"/>
      <c r="D837" s="2" t="n"/>
      <c r="E837" s="28" t="n"/>
      <c r="F837" s="2" t="n"/>
      <c r="G837" s="2" t="n"/>
      <c r="H837" s="2" t="n"/>
      <c r="I837" s="28" t="n"/>
      <c r="J837" s="2" t="n"/>
      <c r="K837" s="2" t="n"/>
      <c r="L837" s="2" t="n"/>
      <c r="M837" s="2" t="n"/>
    </row>
    <row r="838" ht="15.75" customHeight="1" s="168">
      <c r="A838" s="2" t="n"/>
      <c r="B838" s="2" t="n"/>
      <c r="C838" s="2" t="n"/>
      <c r="D838" s="2" t="n"/>
      <c r="E838" s="28" t="n"/>
      <c r="F838" s="2" t="n"/>
      <c r="G838" s="2" t="n"/>
      <c r="H838" s="2" t="n"/>
      <c r="I838" s="28" t="n"/>
      <c r="J838" s="2" t="n"/>
      <c r="K838" s="2" t="n"/>
      <c r="L838" s="2" t="n"/>
      <c r="M838" s="2" t="n"/>
    </row>
    <row r="839" ht="15.75" customHeight="1" s="168">
      <c r="A839" s="2" t="n"/>
      <c r="B839" s="2" t="n"/>
      <c r="C839" s="2" t="n"/>
      <c r="D839" s="2" t="n"/>
      <c r="E839" s="28" t="n"/>
      <c r="F839" s="2" t="n"/>
      <c r="G839" s="2" t="n"/>
      <c r="H839" s="2" t="n"/>
      <c r="I839" s="28" t="n"/>
      <c r="J839" s="2" t="n"/>
      <c r="K839" s="2" t="n"/>
      <c r="L839" s="2" t="n"/>
      <c r="M839" s="2" t="n"/>
    </row>
    <row r="840" ht="15.75" customHeight="1" s="168">
      <c r="A840" s="2" t="n"/>
      <c r="B840" s="2" t="n"/>
      <c r="C840" s="2" t="n"/>
      <c r="D840" s="2" t="n"/>
      <c r="E840" s="28" t="n"/>
      <c r="F840" s="2" t="n"/>
      <c r="G840" s="2" t="n"/>
      <c r="H840" s="2" t="n"/>
      <c r="I840" s="28" t="n"/>
      <c r="J840" s="2" t="n"/>
      <c r="K840" s="2" t="n"/>
      <c r="L840" s="2" t="n"/>
      <c r="M840" s="2" t="n"/>
    </row>
    <row r="841" ht="15.75" customHeight="1" s="168">
      <c r="A841" s="2" t="n"/>
      <c r="B841" s="2" t="n"/>
      <c r="C841" s="2" t="n"/>
      <c r="D841" s="2" t="n"/>
      <c r="E841" s="28" t="n"/>
      <c r="F841" s="2" t="n"/>
      <c r="G841" s="2" t="n"/>
      <c r="H841" s="2" t="n"/>
      <c r="I841" s="28" t="n"/>
      <c r="J841" s="2" t="n"/>
      <c r="K841" s="2" t="n"/>
      <c r="L841" s="2" t="n"/>
      <c r="M841" s="2" t="n"/>
    </row>
    <row r="842" ht="15.75" customHeight="1" s="168">
      <c r="A842" s="2" t="n"/>
      <c r="B842" s="2" t="n"/>
      <c r="C842" s="2" t="n"/>
      <c r="D842" s="2" t="n"/>
      <c r="E842" s="28" t="n"/>
      <c r="F842" s="2" t="n"/>
      <c r="G842" s="2" t="n"/>
      <c r="H842" s="2" t="n"/>
      <c r="I842" s="28" t="n"/>
      <c r="J842" s="2" t="n"/>
      <c r="K842" s="2" t="n"/>
      <c r="L842" s="2" t="n"/>
      <c r="M842" s="2" t="n"/>
    </row>
    <row r="843" ht="15.75" customHeight="1" s="168">
      <c r="A843" s="2" t="n"/>
      <c r="B843" s="2" t="n"/>
      <c r="C843" s="2" t="n"/>
      <c r="D843" s="2" t="n"/>
      <c r="E843" s="28" t="n"/>
      <c r="F843" s="2" t="n"/>
      <c r="G843" s="2" t="n"/>
      <c r="H843" s="2" t="n"/>
      <c r="I843" s="28" t="n"/>
      <c r="J843" s="2" t="n"/>
      <c r="K843" s="2" t="n"/>
      <c r="L843" s="2" t="n"/>
      <c r="M843" s="2" t="n"/>
    </row>
    <row r="844" ht="15.75" customHeight="1" s="168">
      <c r="A844" s="2" t="n"/>
      <c r="B844" s="2" t="n"/>
      <c r="C844" s="2" t="n"/>
      <c r="D844" s="2" t="n"/>
      <c r="E844" s="28" t="n"/>
      <c r="F844" s="2" t="n"/>
      <c r="G844" s="2" t="n"/>
      <c r="H844" s="2" t="n"/>
      <c r="I844" s="28" t="n"/>
      <c r="J844" s="2" t="n"/>
      <c r="K844" s="2" t="n"/>
      <c r="L844" s="2" t="n"/>
      <c r="M844" s="2" t="n"/>
    </row>
    <row r="845" ht="15.75" customHeight="1" s="168">
      <c r="A845" s="2" t="n"/>
      <c r="B845" s="2" t="n"/>
      <c r="C845" s="2" t="n"/>
      <c r="D845" s="2" t="n"/>
      <c r="E845" s="28" t="n"/>
      <c r="F845" s="2" t="n"/>
      <c r="G845" s="2" t="n"/>
      <c r="H845" s="2" t="n"/>
      <c r="I845" s="28" t="n"/>
      <c r="J845" s="2" t="n"/>
      <c r="K845" s="2" t="n"/>
      <c r="L845" s="2" t="n"/>
      <c r="M845" s="2" t="n"/>
    </row>
    <row r="846" ht="15.75" customHeight="1" s="168">
      <c r="A846" s="2" t="n"/>
      <c r="B846" s="2" t="n"/>
      <c r="C846" s="2" t="n"/>
      <c r="D846" s="2" t="n"/>
      <c r="E846" s="28" t="n"/>
      <c r="F846" s="2" t="n"/>
      <c r="G846" s="2" t="n"/>
      <c r="H846" s="2" t="n"/>
      <c r="I846" s="28" t="n"/>
      <c r="J846" s="2" t="n"/>
      <c r="K846" s="2" t="n"/>
      <c r="L846" s="2" t="n"/>
      <c r="M846" s="2" t="n"/>
    </row>
    <row r="847" ht="15.75" customHeight="1" s="168">
      <c r="A847" s="2" t="n"/>
      <c r="B847" s="2" t="n"/>
      <c r="C847" s="2" t="n"/>
      <c r="D847" s="2" t="n"/>
      <c r="E847" s="28" t="n"/>
      <c r="F847" s="2" t="n"/>
      <c r="G847" s="2" t="n"/>
      <c r="H847" s="2" t="n"/>
      <c r="I847" s="28" t="n"/>
      <c r="J847" s="2" t="n"/>
      <c r="K847" s="2" t="n"/>
      <c r="L847" s="2" t="n"/>
      <c r="M847" s="2" t="n"/>
    </row>
    <row r="848" ht="15.75" customHeight="1" s="168">
      <c r="A848" s="2" t="n"/>
      <c r="B848" s="2" t="n"/>
      <c r="C848" s="2" t="n"/>
      <c r="D848" s="2" t="n"/>
      <c r="E848" s="28" t="n"/>
      <c r="F848" s="2" t="n"/>
      <c r="G848" s="2" t="n"/>
      <c r="H848" s="2" t="n"/>
      <c r="I848" s="28" t="n"/>
      <c r="J848" s="2" t="n"/>
      <c r="K848" s="2" t="n"/>
      <c r="L848" s="2" t="n"/>
      <c r="M848" s="2" t="n"/>
    </row>
    <row r="849" ht="15.75" customHeight="1" s="168">
      <c r="A849" s="2" t="n"/>
      <c r="B849" s="2" t="n"/>
      <c r="C849" s="2" t="n"/>
      <c r="D849" s="2" t="n"/>
      <c r="E849" s="28" t="n"/>
      <c r="F849" s="2" t="n"/>
      <c r="G849" s="2" t="n"/>
      <c r="H849" s="2" t="n"/>
      <c r="I849" s="28" t="n"/>
      <c r="J849" s="2" t="n"/>
      <c r="K849" s="2" t="n"/>
      <c r="L849" s="2" t="n"/>
      <c r="M849" s="2" t="n"/>
    </row>
    <row r="850" ht="15.75" customHeight="1" s="168">
      <c r="A850" s="2" t="n"/>
      <c r="B850" s="2" t="n"/>
      <c r="C850" s="2" t="n"/>
      <c r="D850" s="2" t="n"/>
      <c r="E850" s="28" t="n"/>
      <c r="F850" s="2" t="n"/>
      <c r="G850" s="2" t="n"/>
      <c r="H850" s="2" t="n"/>
      <c r="I850" s="28" t="n"/>
      <c r="J850" s="2" t="n"/>
      <c r="K850" s="2" t="n"/>
      <c r="L850" s="2" t="n"/>
      <c r="M850" s="2" t="n"/>
    </row>
    <row r="851" ht="15.75" customHeight="1" s="168">
      <c r="A851" s="2" t="n"/>
      <c r="B851" s="2" t="n"/>
      <c r="C851" s="2" t="n"/>
      <c r="D851" s="2" t="n"/>
      <c r="E851" s="28" t="n"/>
      <c r="F851" s="2" t="n"/>
      <c r="G851" s="2" t="n"/>
      <c r="H851" s="2" t="n"/>
      <c r="I851" s="28" t="n"/>
      <c r="J851" s="2" t="n"/>
      <c r="K851" s="2" t="n"/>
      <c r="L851" s="2" t="n"/>
      <c r="M851" s="2" t="n"/>
    </row>
    <row r="852" ht="15.75" customHeight="1" s="168">
      <c r="A852" s="2" t="n"/>
      <c r="B852" s="2" t="n"/>
      <c r="C852" s="2" t="n"/>
      <c r="D852" s="2" t="n"/>
      <c r="E852" s="28" t="n"/>
      <c r="F852" s="2" t="n"/>
      <c r="G852" s="2" t="n"/>
      <c r="H852" s="2" t="n"/>
      <c r="I852" s="28" t="n"/>
      <c r="J852" s="2" t="n"/>
      <c r="K852" s="2" t="n"/>
      <c r="L852" s="2" t="n"/>
      <c r="M852" s="2" t="n"/>
    </row>
    <row r="853" ht="15.75" customHeight="1" s="168">
      <c r="A853" s="2" t="n"/>
      <c r="B853" s="2" t="n"/>
      <c r="C853" s="2" t="n"/>
      <c r="D853" s="2" t="n"/>
      <c r="E853" s="28" t="n"/>
      <c r="F853" s="2" t="n"/>
      <c r="G853" s="2" t="n"/>
      <c r="H853" s="2" t="n"/>
      <c r="I853" s="28" t="n"/>
      <c r="J853" s="2" t="n"/>
      <c r="K853" s="2" t="n"/>
      <c r="L853" s="2" t="n"/>
      <c r="M853" s="2" t="n"/>
    </row>
    <row r="854" ht="15.75" customHeight="1" s="168">
      <c r="A854" s="2" t="n"/>
      <c r="B854" s="2" t="n"/>
      <c r="C854" s="2" t="n"/>
      <c r="D854" s="2" t="n"/>
      <c r="E854" s="28" t="n"/>
      <c r="F854" s="2" t="n"/>
      <c r="G854" s="2" t="n"/>
      <c r="H854" s="2" t="n"/>
      <c r="I854" s="28" t="n"/>
      <c r="J854" s="2" t="n"/>
      <c r="K854" s="2" t="n"/>
      <c r="L854" s="2" t="n"/>
      <c r="M854" s="2" t="n"/>
    </row>
    <row r="855" ht="15.75" customHeight="1" s="168">
      <c r="A855" s="2" t="n"/>
      <c r="B855" s="2" t="n"/>
      <c r="C855" s="2" t="n"/>
      <c r="D855" s="2" t="n"/>
      <c r="E855" s="28" t="n"/>
      <c r="F855" s="2" t="n"/>
      <c r="G855" s="2" t="n"/>
      <c r="H855" s="2" t="n"/>
      <c r="I855" s="28" t="n"/>
      <c r="J855" s="2" t="n"/>
      <c r="K855" s="2" t="n"/>
      <c r="L855" s="2" t="n"/>
      <c r="M855" s="2" t="n"/>
    </row>
    <row r="856" ht="15.75" customHeight="1" s="168">
      <c r="A856" s="2" t="n"/>
      <c r="B856" s="2" t="n"/>
      <c r="C856" s="2" t="n"/>
      <c r="D856" s="2" t="n"/>
      <c r="E856" s="28" t="n"/>
      <c r="F856" s="2" t="n"/>
      <c r="G856" s="2" t="n"/>
      <c r="H856" s="2" t="n"/>
      <c r="I856" s="28" t="n"/>
      <c r="J856" s="2" t="n"/>
      <c r="K856" s="2" t="n"/>
      <c r="L856" s="2" t="n"/>
      <c r="M856" s="2" t="n"/>
    </row>
    <row r="857" ht="15.75" customHeight="1" s="168">
      <c r="A857" s="2" t="n"/>
      <c r="B857" s="2" t="n"/>
      <c r="C857" s="2" t="n"/>
      <c r="D857" s="2" t="n"/>
      <c r="E857" s="28" t="n"/>
      <c r="F857" s="2" t="n"/>
      <c r="G857" s="2" t="n"/>
      <c r="H857" s="2" t="n"/>
      <c r="I857" s="28" t="n"/>
      <c r="J857" s="2" t="n"/>
      <c r="K857" s="2" t="n"/>
      <c r="L857" s="2" t="n"/>
      <c r="M857" s="2" t="n"/>
    </row>
    <row r="858" ht="15.75" customHeight="1" s="168">
      <c r="A858" s="2" t="n"/>
      <c r="B858" s="2" t="n"/>
      <c r="C858" s="2" t="n"/>
      <c r="D858" s="2" t="n"/>
      <c r="E858" s="28" t="n"/>
      <c r="F858" s="2" t="n"/>
      <c r="G858" s="2" t="n"/>
      <c r="H858" s="2" t="n"/>
      <c r="I858" s="28" t="n"/>
      <c r="J858" s="2" t="n"/>
      <c r="K858" s="2" t="n"/>
      <c r="L858" s="2" t="n"/>
      <c r="M858" s="2" t="n"/>
    </row>
    <row r="859" ht="15.75" customHeight="1" s="168">
      <c r="A859" s="2" t="n"/>
      <c r="B859" s="2" t="n"/>
      <c r="C859" s="2" t="n"/>
      <c r="D859" s="2" t="n"/>
      <c r="E859" s="28" t="n"/>
      <c r="F859" s="2" t="n"/>
      <c r="G859" s="2" t="n"/>
      <c r="H859" s="2" t="n"/>
      <c r="I859" s="28" t="n"/>
      <c r="J859" s="2" t="n"/>
      <c r="K859" s="2" t="n"/>
      <c r="L859" s="2" t="n"/>
      <c r="M859" s="2" t="n"/>
    </row>
    <row r="860" ht="15.75" customHeight="1" s="168">
      <c r="A860" s="2" t="n"/>
      <c r="B860" s="2" t="n"/>
      <c r="C860" s="2" t="n"/>
      <c r="D860" s="2" t="n"/>
      <c r="E860" s="28" t="n"/>
      <c r="F860" s="2" t="n"/>
      <c r="G860" s="2" t="n"/>
      <c r="H860" s="2" t="n"/>
      <c r="I860" s="28" t="n"/>
      <c r="J860" s="2" t="n"/>
      <c r="K860" s="2" t="n"/>
      <c r="L860" s="2" t="n"/>
      <c r="M860" s="2" t="n"/>
    </row>
    <row r="861" ht="15.75" customHeight="1" s="168">
      <c r="A861" s="2" t="n"/>
      <c r="B861" s="2" t="n"/>
      <c r="C861" s="2" t="n"/>
      <c r="D861" s="2" t="n"/>
      <c r="E861" s="28" t="n"/>
      <c r="F861" s="2" t="n"/>
      <c r="G861" s="2" t="n"/>
      <c r="H861" s="2" t="n"/>
      <c r="I861" s="28" t="n"/>
      <c r="J861" s="2" t="n"/>
      <c r="K861" s="2" t="n"/>
      <c r="L861" s="2" t="n"/>
      <c r="M861" s="2" t="n"/>
    </row>
    <row r="862" ht="15.75" customHeight="1" s="168">
      <c r="A862" s="2" t="n"/>
      <c r="B862" s="2" t="n"/>
      <c r="C862" s="2" t="n"/>
      <c r="D862" s="2" t="n"/>
      <c r="E862" s="28" t="n"/>
      <c r="F862" s="2" t="n"/>
      <c r="G862" s="2" t="n"/>
      <c r="H862" s="2" t="n"/>
      <c r="I862" s="28" t="n"/>
      <c r="J862" s="2" t="n"/>
      <c r="K862" s="2" t="n"/>
      <c r="L862" s="2" t="n"/>
      <c r="M862" s="2" t="n"/>
    </row>
    <row r="863" ht="15.75" customHeight="1" s="168">
      <c r="A863" s="2" t="n"/>
      <c r="B863" s="2" t="n"/>
      <c r="C863" s="2" t="n"/>
      <c r="D863" s="2" t="n"/>
      <c r="E863" s="28" t="n"/>
      <c r="F863" s="2" t="n"/>
      <c r="G863" s="2" t="n"/>
      <c r="H863" s="2" t="n"/>
      <c r="I863" s="28" t="n"/>
      <c r="J863" s="2" t="n"/>
      <c r="K863" s="2" t="n"/>
      <c r="L863" s="2" t="n"/>
      <c r="M863" s="2" t="n"/>
    </row>
    <row r="864" ht="15.75" customHeight="1" s="168">
      <c r="A864" s="2" t="n"/>
      <c r="B864" s="2" t="n"/>
      <c r="C864" s="2" t="n"/>
      <c r="D864" s="2" t="n"/>
      <c r="E864" s="28" t="n"/>
      <c r="F864" s="2" t="n"/>
      <c r="G864" s="2" t="n"/>
      <c r="H864" s="2" t="n"/>
      <c r="I864" s="28" t="n"/>
      <c r="J864" s="2" t="n"/>
      <c r="K864" s="2" t="n"/>
      <c r="L864" s="2" t="n"/>
      <c r="M864" s="2" t="n"/>
    </row>
    <row r="865" ht="15.75" customHeight="1" s="168">
      <c r="A865" s="2" t="n"/>
      <c r="B865" s="2" t="n"/>
      <c r="C865" s="2" t="n"/>
      <c r="D865" s="2" t="n"/>
      <c r="E865" s="28" t="n"/>
      <c r="F865" s="2" t="n"/>
      <c r="G865" s="2" t="n"/>
      <c r="H865" s="2" t="n"/>
      <c r="I865" s="28" t="n"/>
      <c r="J865" s="2" t="n"/>
      <c r="K865" s="2" t="n"/>
      <c r="L865" s="2" t="n"/>
      <c r="M865" s="2" t="n"/>
    </row>
    <row r="866" ht="15.75" customHeight="1" s="168">
      <c r="A866" s="2" t="n"/>
      <c r="B866" s="2" t="n"/>
      <c r="C866" s="2" t="n"/>
      <c r="D866" s="2" t="n"/>
      <c r="E866" s="28" t="n"/>
      <c r="F866" s="2" t="n"/>
      <c r="G866" s="2" t="n"/>
      <c r="H866" s="2" t="n"/>
      <c r="I866" s="28" t="n"/>
      <c r="J866" s="2" t="n"/>
      <c r="K866" s="2" t="n"/>
      <c r="L866" s="2" t="n"/>
      <c r="M866" s="2" t="n"/>
    </row>
    <row r="867" ht="15.75" customHeight="1" s="168">
      <c r="A867" s="2" t="n"/>
      <c r="B867" s="2" t="n"/>
      <c r="C867" s="2" t="n"/>
      <c r="D867" s="2" t="n"/>
      <c r="E867" s="28" t="n"/>
      <c r="F867" s="2" t="n"/>
      <c r="G867" s="2" t="n"/>
      <c r="H867" s="2" t="n"/>
      <c r="I867" s="28" t="n"/>
      <c r="J867" s="2" t="n"/>
      <c r="K867" s="2" t="n"/>
      <c r="L867" s="2" t="n"/>
      <c r="M867" s="2" t="n"/>
    </row>
    <row r="868" ht="15.75" customHeight="1" s="168">
      <c r="A868" s="2" t="n"/>
      <c r="B868" s="2" t="n"/>
      <c r="C868" s="2" t="n"/>
      <c r="D868" s="2" t="n"/>
      <c r="E868" s="28" t="n"/>
      <c r="F868" s="2" t="n"/>
      <c r="G868" s="2" t="n"/>
      <c r="H868" s="2" t="n"/>
      <c r="I868" s="28" t="n"/>
      <c r="J868" s="2" t="n"/>
      <c r="K868" s="2" t="n"/>
      <c r="L868" s="2" t="n"/>
      <c r="M868" s="2" t="n"/>
    </row>
    <row r="869" ht="15.75" customHeight="1" s="168">
      <c r="A869" s="2" t="n"/>
      <c r="B869" s="2" t="n"/>
      <c r="C869" s="2" t="n"/>
      <c r="D869" s="2" t="n"/>
      <c r="E869" s="28" t="n"/>
      <c r="F869" s="2" t="n"/>
      <c r="G869" s="2" t="n"/>
      <c r="H869" s="2" t="n"/>
      <c r="I869" s="28" t="n"/>
      <c r="J869" s="2" t="n"/>
      <c r="K869" s="2" t="n"/>
      <c r="L869" s="2" t="n"/>
      <c r="M869" s="2" t="n"/>
    </row>
    <row r="870" ht="15.75" customHeight="1" s="168">
      <c r="A870" s="2" t="n"/>
      <c r="B870" s="2" t="n"/>
      <c r="C870" s="2" t="n"/>
      <c r="D870" s="2" t="n"/>
      <c r="E870" s="28" t="n"/>
      <c r="F870" s="2" t="n"/>
      <c r="G870" s="2" t="n"/>
      <c r="H870" s="2" t="n"/>
      <c r="I870" s="28" t="n"/>
      <c r="J870" s="2" t="n"/>
      <c r="K870" s="2" t="n"/>
      <c r="L870" s="2" t="n"/>
      <c r="M870" s="2" t="n"/>
    </row>
    <row r="871" ht="15.75" customHeight="1" s="168">
      <c r="A871" s="2" t="n"/>
      <c r="B871" s="2" t="n"/>
      <c r="C871" s="2" t="n"/>
      <c r="D871" s="2" t="n"/>
      <c r="E871" s="28" t="n"/>
      <c r="F871" s="2" t="n"/>
      <c r="G871" s="2" t="n"/>
      <c r="H871" s="2" t="n"/>
      <c r="I871" s="28" t="n"/>
      <c r="J871" s="2" t="n"/>
      <c r="K871" s="2" t="n"/>
      <c r="L871" s="2" t="n"/>
      <c r="M871" s="2" t="n"/>
    </row>
    <row r="872" ht="15.75" customHeight="1" s="168">
      <c r="A872" s="2" t="n"/>
      <c r="B872" s="2" t="n"/>
      <c r="C872" s="2" t="n"/>
      <c r="D872" s="2" t="n"/>
      <c r="E872" s="28" t="n"/>
      <c r="F872" s="2" t="n"/>
      <c r="G872" s="2" t="n"/>
      <c r="H872" s="2" t="n"/>
      <c r="I872" s="28" t="n"/>
      <c r="J872" s="2" t="n"/>
      <c r="K872" s="2" t="n"/>
      <c r="L872" s="2" t="n"/>
      <c r="M872" s="2" t="n"/>
    </row>
    <row r="873" ht="15.75" customHeight="1" s="168">
      <c r="A873" s="2" t="n"/>
      <c r="B873" s="2" t="n"/>
      <c r="C873" s="2" t="n"/>
      <c r="D873" s="2" t="n"/>
      <c r="E873" s="28" t="n"/>
      <c r="F873" s="2" t="n"/>
      <c r="G873" s="2" t="n"/>
      <c r="H873" s="2" t="n"/>
      <c r="I873" s="28" t="n"/>
      <c r="J873" s="2" t="n"/>
      <c r="K873" s="2" t="n"/>
      <c r="L873" s="2" t="n"/>
      <c r="M873" s="2" t="n"/>
    </row>
    <row r="874" ht="15.75" customHeight="1" s="168">
      <c r="A874" s="2" t="n"/>
      <c r="B874" s="2" t="n"/>
      <c r="C874" s="2" t="n"/>
      <c r="D874" s="2" t="n"/>
      <c r="E874" s="28" t="n"/>
      <c r="F874" s="2" t="n"/>
      <c r="G874" s="2" t="n"/>
      <c r="H874" s="2" t="n"/>
      <c r="I874" s="28" t="n"/>
      <c r="J874" s="2" t="n"/>
      <c r="K874" s="2" t="n"/>
      <c r="L874" s="2" t="n"/>
      <c r="M874" s="2" t="n"/>
    </row>
    <row r="875" ht="15.75" customHeight="1" s="168">
      <c r="A875" s="2" t="n"/>
      <c r="B875" s="2" t="n"/>
      <c r="C875" s="2" t="n"/>
      <c r="D875" s="2" t="n"/>
      <c r="E875" s="28" t="n"/>
      <c r="F875" s="2" t="n"/>
      <c r="G875" s="2" t="n"/>
      <c r="H875" s="2" t="n"/>
      <c r="I875" s="28" t="n"/>
      <c r="J875" s="2" t="n"/>
      <c r="K875" s="2" t="n"/>
      <c r="L875" s="2" t="n"/>
      <c r="M875" s="2" t="n"/>
    </row>
    <row r="876" ht="15.75" customHeight="1" s="168">
      <c r="A876" s="2" t="n"/>
      <c r="B876" s="2" t="n"/>
      <c r="C876" s="2" t="n"/>
      <c r="D876" s="2" t="n"/>
      <c r="E876" s="28" t="n"/>
      <c r="F876" s="2" t="n"/>
      <c r="G876" s="2" t="n"/>
      <c r="H876" s="2" t="n"/>
      <c r="I876" s="28" t="n"/>
      <c r="J876" s="2" t="n"/>
      <c r="K876" s="2" t="n"/>
      <c r="L876" s="2" t="n"/>
      <c r="M876" s="2" t="n"/>
    </row>
    <row r="877" ht="15.75" customHeight="1" s="168">
      <c r="A877" s="2" t="n"/>
      <c r="B877" s="2" t="n"/>
      <c r="C877" s="2" t="n"/>
      <c r="D877" s="2" t="n"/>
      <c r="E877" s="28" t="n"/>
      <c r="F877" s="2" t="n"/>
      <c r="G877" s="2" t="n"/>
      <c r="H877" s="2" t="n"/>
      <c r="I877" s="28" t="n"/>
      <c r="J877" s="2" t="n"/>
      <c r="K877" s="2" t="n"/>
      <c r="L877" s="2" t="n"/>
      <c r="M877" s="2" t="n"/>
    </row>
    <row r="878" ht="15.75" customHeight="1" s="168">
      <c r="A878" s="2" t="n"/>
      <c r="B878" s="2" t="n"/>
      <c r="C878" s="2" t="n"/>
      <c r="D878" s="2" t="n"/>
      <c r="E878" s="28" t="n"/>
      <c r="F878" s="2" t="n"/>
      <c r="G878" s="2" t="n"/>
      <c r="H878" s="2" t="n"/>
      <c r="I878" s="28" t="n"/>
      <c r="J878" s="2" t="n"/>
      <c r="K878" s="2" t="n"/>
      <c r="L878" s="2" t="n"/>
      <c r="M878" s="2" t="n"/>
    </row>
    <row r="879" ht="15.75" customHeight="1" s="168">
      <c r="A879" s="2" t="n"/>
      <c r="B879" s="2" t="n"/>
      <c r="C879" s="2" t="n"/>
      <c r="D879" s="2" t="n"/>
      <c r="E879" s="28" t="n"/>
      <c r="F879" s="2" t="n"/>
      <c r="G879" s="2" t="n"/>
      <c r="H879" s="2" t="n"/>
      <c r="I879" s="28" t="n"/>
      <c r="J879" s="2" t="n"/>
      <c r="K879" s="2" t="n"/>
      <c r="L879" s="2" t="n"/>
      <c r="M879" s="2" t="n"/>
    </row>
    <row r="880" ht="15.75" customHeight="1" s="168">
      <c r="A880" s="2" t="n"/>
      <c r="B880" s="2" t="n"/>
      <c r="C880" s="2" t="n"/>
      <c r="D880" s="2" t="n"/>
      <c r="E880" s="28" t="n"/>
      <c r="F880" s="2" t="n"/>
      <c r="G880" s="2" t="n"/>
      <c r="H880" s="2" t="n"/>
      <c r="I880" s="28" t="n"/>
      <c r="J880" s="2" t="n"/>
      <c r="K880" s="2" t="n"/>
      <c r="L880" s="2" t="n"/>
      <c r="M880" s="2" t="n"/>
    </row>
    <row r="881" ht="15.75" customHeight="1" s="168">
      <c r="A881" s="2" t="n"/>
      <c r="B881" s="2" t="n"/>
      <c r="C881" s="2" t="n"/>
      <c r="D881" s="2" t="n"/>
      <c r="E881" s="28" t="n"/>
      <c r="F881" s="2" t="n"/>
      <c r="G881" s="2" t="n"/>
      <c r="H881" s="2" t="n"/>
      <c r="I881" s="28" t="n"/>
      <c r="J881" s="2" t="n"/>
      <c r="K881" s="2" t="n"/>
      <c r="L881" s="2" t="n"/>
      <c r="M881" s="2" t="n"/>
    </row>
    <row r="882" ht="15.75" customHeight="1" s="168">
      <c r="A882" s="2" t="n"/>
      <c r="B882" s="2" t="n"/>
      <c r="C882" s="2" t="n"/>
      <c r="D882" s="2" t="n"/>
      <c r="E882" s="28" t="n"/>
      <c r="F882" s="2" t="n"/>
      <c r="G882" s="2" t="n"/>
      <c r="H882" s="2" t="n"/>
      <c r="I882" s="28" t="n"/>
      <c r="J882" s="2" t="n"/>
      <c r="K882" s="2" t="n"/>
      <c r="L882" s="2" t="n"/>
      <c r="M882" s="2" t="n"/>
    </row>
    <row r="883" ht="15.75" customHeight="1" s="168">
      <c r="A883" s="2" t="n"/>
      <c r="B883" s="2" t="n"/>
      <c r="C883" s="2" t="n"/>
      <c r="D883" s="2" t="n"/>
      <c r="E883" s="28" t="n"/>
      <c r="F883" s="2" t="n"/>
      <c r="G883" s="2" t="n"/>
      <c r="H883" s="2" t="n"/>
      <c r="I883" s="28" t="n"/>
      <c r="J883" s="2" t="n"/>
      <c r="K883" s="2" t="n"/>
      <c r="L883" s="2" t="n"/>
      <c r="M883" s="2" t="n"/>
    </row>
    <row r="884" ht="15.75" customHeight="1" s="168">
      <c r="A884" s="2" t="n"/>
      <c r="B884" s="2" t="n"/>
      <c r="C884" s="2" t="n"/>
      <c r="D884" s="2" t="n"/>
      <c r="E884" s="28" t="n"/>
      <c r="F884" s="2" t="n"/>
      <c r="G884" s="2" t="n"/>
      <c r="H884" s="2" t="n"/>
      <c r="I884" s="28" t="n"/>
      <c r="J884" s="2" t="n"/>
      <c r="K884" s="2" t="n"/>
      <c r="L884" s="2" t="n"/>
      <c r="M884" s="2" t="n"/>
    </row>
    <row r="885" ht="15.75" customHeight="1" s="168">
      <c r="A885" s="2" t="n"/>
      <c r="B885" s="2" t="n"/>
      <c r="C885" s="2" t="n"/>
      <c r="D885" s="2" t="n"/>
      <c r="E885" s="28" t="n"/>
      <c r="F885" s="2" t="n"/>
      <c r="G885" s="2" t="n"/>
      <c r="H885" s="2" t="n"/>
      <c r="I885" s="28" t="n"/>
      <c r="J885" s="2" t="n"/>
      <c r="K885" s="2" t="n"/>
      <c r="L885" s="2" t="n"/>
      <c r="M885" s="2" t="n"/>
    </row>
    <row r="886" ht="15.75" customHeight="1" s="168">
      <c r="A886" s="2" t="n"/>
      <c r="B886" s="2" t="n"/>
      <c r="C886" s="2" t="n"/>
      <c r="D886" s="2" t="n"/>
      <c r="E886" s="28" t="n"/>
      <c r="F886" s="2" t="n"/>
      <c r="G886" s="2" t="n"/>
      <c r="H886" s="2" t="n"/>
      <c r="I886" s="28" t="n"/>
      <c r="J886" s="2" t="n"/>
      <c r="K886" s="2" t="n"/>
      <c r="L886" s="2" t="n"/>
      <c r="M886" s="2" t="n"/>
    </row>
    <row r="887" ht="15.75" customHeight="1" s="168">
      <c r="A887" s="2" t="n"/>
      <c r="B887" s="2" t="n"/>
      <c r="C887" s="2" t="n"/>
      <c r="D887" s="2" t="n"/>
      <c r="E887" s="28" t="n"/>
      <c r="F887" s="2" t="n"/>
      <c r="G887" s="2" t="n"/>
      <c r="H887" s="2" t="n"/>
      <c r="I887" s="28" t="n"/>
      <c r="J887" s="2" t="n"/>
      <c r="K887" s="2" t="n"/>
      <c r="L887" s="2" t="n"/>
      <c r="M887" s="2" t="n"/>
    </row>
    <row r="888" ht="15.75" customHeight="1" s="168">
      <c r="A888" s="2" t="n"/>
      <c r="B888" s="2" t="n"/>
      <c r="C888" s="2" t="n"/>
      <c r="D888" s="2" t="n"/>
      <c r="E888" s="28" t="n"/>
      <c r="F888" s="2" t="n"/>
      <c r="G888" s="2" t="n"/>
      <c r="H888" s="2" t="n"/>
      <c r="I888" s="28" t="n"/>
      <c r="J888" s="2" t="n"/>
      <c r="K888" s="2" t="n"/>
      <c r="L888" s="2" t="n"/>
      <c r="M888" s="2" t="n"/>
    </row>
    <row r="889" ht="15.75" customHeight="1" s="168">
      <c r="A889" s="2" t="n"/>
      <c r="B889" s="2" t="n"/>
      <c r="C889" s="2" t="n"/>
      <c r="D889" s="2" t="n"/>
      <c r="E889" s="28" t="n"/>
      <c r="F889" s="2" t="n"/>
      <c r="G889" s="2" t="n"/>
      <c r="H889" s="2" t="n"/>
      <c r="I889" s="28" t="n"/>
      <c r="J889" s="2" t="n"/>
      <c r="K889" s="2" t="n"/>
      <c r="L889" s="2" t="n"/>
      <c r="M889" s="2" t="n"/>
    </row>
    <row r="890" ht="15.75" customHeight="1" s="168">
      <c r="A890" s="2" t="n"/>
      <c r="B890" s="2" t="n"/>
      <c r="C890" s="2" t="n"/>
      <c r="D890" s="2" t="n"/>
      <c r="E890" s="28" t="n"/>
      <c r="F890" s="2" t="n"/>
      <c r="G890" s="2" t="n"/>
      <c r="H890" s="2" t="n"/>
      <c r="I890" s="28" t="n"/>
      <c r="J890" s="2" t="n"/>
      <c r="K890" s="2" t="n"/>
      <c r="L890" s="2" t="n"/>
      <c r="M890" s="2" t="n"/>
    </row>
    <row r="891" ht="15.75" customHeight="1" s="168">
      <c r="A891" s="2" t="n"/>
      <c r="B891" s="2" t="n"/>
      <c r="C891" s="2" t="n"/>
      <c r="D891" s="2" t="n"/>
      <c r="E891" s="28" t="n"/>
      <c r="F891" s="2" t="n"/>
      <c r="G891" s="2" t="n"/>
      <c r="H891" s="2" t="n"/>
      <c r="I891" s="28" t="n"/>
      <c r="J891" s="2" t="n"/>
      <c r="K891" s="2" t="n"/>
      <c r="L891" s="2" t="n"/>
      <c r="M891" s="2" t="n"/>
    </row>
    <row r="892" ht="15.75" customHeight="1" s="168">
      <c r="A892" s="2" t="n"/>
      <c r="B892" s="2" t="n"/>
      <c r="C892" s="2" t="n"/>
      <c r="D892" s="2" t="n"/>
      <c r="E892" s="28" t="n"/>
      <c r="F892" s="2" t="n"/>
      <c r="G892" s="2" t="n"/>
      <c r="H892" s="2" t="n"/>
      <c r="I892" s="28" t="n"/>
      <c r="J892" s="2" t="n"/>
      <c r="K892" s="2" t="n"/>
      <c r="L892" s="2" t="n"/>
      <c r="M892" s="2" t="n"/>
    </row>
    <row r="893" ht="15.75" customHeight="1" s="168">
      <c r="A893" s="2" t="n"/>
      <c r="B893" s="2" t="n"/>
      <c r="C893" s="2" t="n"/>
      <c r="D893" s="2" t="n"/>
      <c r="E893" s="28" t="n"/>
      <c r="F893" s="2" t="n"/>
      <c r="G893" s="2" t="n"/>
      <c r="H893" s="2" t="n"/>
      <c r="I893" s="28" t="n"/>
      <c r="J893" s="2" t="n"/>
      <c r="K893" s="2" t="n"/>
      <c r="L893" s="2" t="n"/>
      <c r="M893" s="2" t="n"/>
    </row>
    <row r="894" ht="15.75" customHeight="1" s="168">
      <c r="A894" s="2" t="n"/>
      <c r="B894" s="2" t="n"/>
      <c r="C894" s="2" t="n"/>
      <c r="D894" s="2" t="n"/>
      <c r="E894" s="28" t="n"/>
      <c r="F894" s="2" t="n"/>
      <c r="G894" s="2" t="n"/>
      <c r="H894" s="2" t="n"/>
      <c r="I894" s="28" t="n"/>
      <c r="J894" s="2" t="n"/>
      <c r="K894" s="2" t="n"/>
      <c r="L894" s="2" t="n"/>
      <c r="M894" s="2" t="n"/>
    </row>
    <row r="895" ht="15.75" customHeight="1" s="168">
      <c r="A895" s="2" t="n"/>
      <c r="B895" s="2" t="n"/>
      <c r="C895" s="2" t="n"/>
      <c r="D895" s="2" t="n"/>
      <c r="E895" s="28" t="n"/>
      <c r="F895" s="2" t="n"/>
      <c r="G895" s="2" t="n"/>
      <c r="H895" s="2" t="n"/>
      <c r="I895" s="28" t="n"/>
      <c r="J895" s="2" t="n"/>
      <c r="K895" s="2" t="n"/>
      <c r="L895" s="2" t="n"/>
      <c r="M895" s="2" t="n"/>
    </row>
    <row r="896" ht="15.75" customHeight="1" s="168">
      <c r="A896" s="2" t="n"/>
      <c r="B896" s="2" t="n"/>
      <c r="C896" s="2" t="n"/>
      <c r="D896" s="2" t="n"/>
      <c r="E896" s="28" t="n"/>
      <c r="F896" s="2" t="n"/>
      <c r="G896" s="2" t="n"/>
      <c r="H896" s="2" t="n"/>
      <c r="I896" s="28" t="n"/>
      <c r="J896" s="2" t="n"/>
      <c r="K896" s="2" t="n"/>
      <c r="L896" s="2" t="n"/>
      <c r="M896" s="2" t="n"/>
    </row>
    <row r="897" ht="15.75" customHeight="1" s="168">
      <c r="A897" s="2" t="n"/>
      <c r="B897" s="2" t="n"/>
      <c r="C897" s="2" t="n"/>
      <c r="D897" s="2" t="n"/>
      <c r="E897" s="28" t="n"/>
      <c r="F897" s="2" t="n"/>
      <c r="G897" s="2" t="n"/>
      <c r="H897" s="2" t="n"/>
      <c r="I897" s="28" t="n"/>
      <c r="J897" s="2" t="n"/>
      <c r="K897" s="2" t="n"/>
      <c r="L897" s="2" t="n"/>
      <c r="M897" s="2" t="n"/>
    </row>
    <row r="898" ht="15.75" customHeight="1" s="168">
      <c r="A898" s="2" t="n"/>
      <c r="B898" s="2" t="n"/>
      <c r="C898" s="2" t="n"/>
      <c r="D898" s="2" t="n"/>
      <c r="E898" s="28" t="n"/>
      <c r="F898" s="2" t="n"/>
      <c r="G898" s="2" t="n"/>
      <c r="H898" s="2" t="n"/>
      <c r="I898" s="28" t="n"/>
      <c r="J898" s="2" t="n"/>
      <c r="K898" s="2" t="n"/>
      <c r="L898" s="2" t="n"/>
      <c r="M898" s="2" t="n"/>
    </row>
    <row r="899" ht="15.75" customHeight="1" s="168">
      <c r="A899" s="2" t="n"/>
      <c r="B899" s="2" t="n"/>
      <c r="C899" s="2" t="n"/>
      <c r="D899" s="2" t="n"/>
      <c r="E899" s="28" t="n"/>
      <c r="F899" s="2" t="n"/>
      <c r="G899" s="2" t="n"/>
      <c r="H899" s="2" t="n"/>
      <c r="I899" s="28" t="n"/>
      <c r="J899" s="2" t="n"/>
      <c r="K899" s="2" t="n"/>
      <c r="L899" s="2" t="n"/>
      <c r="M899" s="2" t="n"/>
    </row>
    <row r="900" ht="15.75" customHeight="1" s="168">
      <c r="A900" s="2" t="n"/>
      <c r="B900" s="2" t="n"/>
      <c r="C900" s="2" t="n"/>
      <c r="D900" s="2" t="n"/>
      <c r="E900" s="28" t="n"/>
      <c r="F900" s="2" t="n"/>
      <c r="G900" s="2" t="n"/>
      <c r="H900" s="2" t="n"/>
      <c r="I900" s="28" t="n"/>
      <c r="J900" s="2" t="n"/>
      <c r="K900" s="2" t="n"/>
      <c r="L900" s="2" t="n"/>
      <c r="M900" s="2" t="n"/>
    </row>
    <row r="901" ht="15.75" customHeight="1" s="168">
      <c r="A901" s="2" t="n"/>
      <c r="B901" s="2" t="n"/>
      <c r="C901" s="2" t="n"/>
      <c r="D901" s="2" t="n"/>
      <c r="E901" s="28" t="n"/>
      <c r="F901" s="2" t="n"/>
      <c r="G901" s="2" t="n"/>
      <c r="H901" s="2" t="n"/>
      <c r="I901" s="28" t="n"/>
      <c r="J901" s="2" t="n"/>
      <c r="K901" s="2" t="n"/>
      <c r="L901" s="2" t="n"/>
      <c r="M901" s="2" t="n"/>
    </row>
    <row r="902" ht="15.75" customHeight="1" s="168">
      <c r="A902" s="2" t="n"/>
      <c r="B902" s="2" t="n"/>
      <c r="C902" s="2" t="n"/>
      <c r="D902" s="2" t="n"/>
      <c r="E902" s="28" t="n"/>
      <c r="F902" s="2" t="n"/>
      <c r="G902" s="2" t="n"/>
      <c r="H902" s="2" t="n"/>
      <c r="I902" s="28" t="n"/>
      <c r="J902" s="2" t="n"/>
      <c r="K902" s="2" t="n"/>
      <c r="L902" s="2" t="n"/>
      <c r="M902" s="2" t="n"/>
    </row>
    <row r="903" ht="15.75" customHeight="1" s="168">
      <c r="A903" s="2" t="n"/>
      <c r="B903" s="2" t="n"/>
      <c r="C903" s="2" t="n"/>
      <c r="D903" s="2" t="n"/>
      <c r="E903" s="28" t="n"/>
      <c r="F903" s="2" t="n"/>
      <c r="G903" s="2" t="n"/>
      <c r="H903" s="2" t="n"/>
      <c r="I903" s="28" t="n"/>
      <c r="J903" s="2" t="n"/>
      <c r="K903" s="2" t="n"/>
      <c r="L903" s="2" t="n"/>
      <c r="M903" s="2" t="n"/>
    </row>
    <row r="904" ht="15.75" customHeight="1" s="168">
      <c r="A904" s="2" t="n"/>
      <c r="B904" s="2" t="n"/>
      <c r="C904" s="2" t="n"/>
      <c r="D904" s="2" t="n"/>
      <c r="E904" s="28" t="n"/>
      <c r="F904" s="2" t="n"/>
      <c r="G904" s="2" t="n"/>
      <c r="H904" s="2" t="n"/>
      <c r="I904" s="28" t="n"/>
      <c r="J904" s="2" t="n"/>
      <c r="K904" s="2" t="n"/>
      <c r="L904" s="2" t="n"/>
      <c r="M904" s="2" t="n"/>
    </row>
    <row r="905" ht="15.75" customHeight="1" s="168">
      <c r="A905" s="2" t="n"/>
      <c r="B905" s="2" t="n"/>
      <c r="C905" s="2" t="n"/>
      <c r="D905" s="2" t="n"/>
      <c r="E905" s="28" t="n"/>
      <c r="F905" s="2" t="n"/>
      <c r="G905" s="2" t="n"/>
      <c r="H905" s="2" t="n"/>
      <c r="I905" s="28" t="n"/>
      <c r="J905" s="2" t="n"/>
      <c r="K905" s="2" t="n"/>
      <c r="L905" s="2" t="n"/>
      <c r="M905" s="2" t="n"/>
    </row>
    <row r="906" ht="15.75" customHeight="1" s="168">
      <c r="A906" s="2" t="n"/>
      <c r="B906" s="2" t="n"/>
      <c r="C906" s="2" t="n"/>
      <c r="D906" s="2" t="n"/>
      <c r="E906" s="28" t="n"/>
      <c r="F906" s="2" t="n"/>
      <c r="G906" s="2" t="n"/>
      <c r="H906" s="2" t="n"/>
      <c r="I906" s="28" t="n"/>
      <c r="J906" s="2" t="n"/>
      <c r="K906" s="2" t="n"/>
      <c r="L906" s="2" t="n"/>
      <c r="M906" s="2" t="n"/>
    </row>
    <row r="907" ht="15.75" customHeight="1" s="168">
      <c r="A907" s="2" t="n"/>
      <c r="B907" s="2" t="n"/>
      <c r="C907" s="2" t="n"/>
      <c r="D907" s="2" t="n"/>
      <c r="E907" s="28" t="n"/>
      <c r="F907" s="2" t="n"/>
      <c r="G907" s="2" t="n"/>
      <c r="H907" s="2" t="n"/>
      <c r="I907" s="28" t="n"/>
      <c r="J907" s="2" t="n"/>
      <c r="K907" s="2" t="n"/>
      <c r="L907" s="2" t="n"/>
      <c r="M907" s="2" t="n"/>
    </row>
    <row r="908" ht="15.75" customHeight="1" s="168">
      <c r="A908" s="2" t="n"/>
      <c r="B908" s="2" t="n"/>
      <c r="C908" s="2" t="n"/>
      <c r="D908" s="2" t="n"/>
      <c r="E908" s="28" t="n"/>
      <c r="F908" s="2" t="n"/>
      <c r="G908" s="2" t="n"/>
      <c r="H908" s="2" t="n"/>
      <c r="I908" s="28" t="n"/>
      <c r="J908" s="2" t="n"/>
      <c r="K908" s="2" t="n"/>
      <c r="L908" s="2" t="n"/>
      <c r="M908" s="2" t="n"/>
    </row>
    <row r="909" ht="15.75" customHeight="1" s="168">
      <c r="A909" s="2" t="n"/>
      <c r="B909" s="2" t="n"/>
      <c r="C909" s="2" t="n"/>
      <c r="D909" s="2" t="n"/>
      <c r="E909" s="28" t="n"/>
      <c r="F909" s="2" t="n"/>
      <c r="G909" s="2" t="n"/>
      <c r="H909" s="2" t="n"/>
      <c r="I909" s="28" t="n"/>
      <c r="J909" s="2" t="n"/>
      <c r="K909" s="2" t="n"/>
      <c r="L909" s="2" t="n"/>
      <c r="M909" s="2" t="n"/>
    </row>
    <row r="910" ht="15.75" customHeight="1" s="168">
      <c r="A910" s="2" t="n"/>
      <c r="B910" s="2" t="n"/>
      <c r="C910" s="2" t="n"/>
      <c r="D910" s="2" t="n"/>
      <c r="E910" s="28" t="n"/>
      <c r="F910" s="2" t="n"/>
      <c r="G910" s="2" t="n"/>
      <c r="H910" s="2" t="n"/>
      <c r="I910" s="28" t="n"/>
      <c r="J910" s="2" t="n"/>
      <c r="K910" s="2" t="n"/>
      <c r="L910" s="2" t="n"/>
      <c r="M910" s="2" t="n"/>
    </row>
    <row r="911" ht="15.75" customHeight="1" s="168">
      <c r="A911" s="2" t="n"/>
      <c r="B911" s="2" t="n"/>
      <c r="C911" s="2" t="n"/>
      <c r="D911" s="2" t="n"/>
      <c r="E911" s="28" t="n"/>
      <c r="F911" s="2" t="n"/>
      <c r="G911" s="2" t="n"/>
      <c r="H911" s="2" t="n"/>
      <c r="I911" s="28" t="n"/>
      <c r="J911" s="2" t="n"/>
      <c r="K911" s="2" t="n"/>
      <c r="L911" s="2" t="n"/>
      <c r="M911" s="2" t="n"/>
    </row>
    <row r="912" ht="15.75" customHeight="1" s="168">
      <c r="A912" s="2" t="n"/>
      <c r="B912" s="2" t="n"/>
      <c r="C912" s="2" t="n"/>
      <c r="D912" s="2" t="n"/>
      <c r="E912" s="28" t="n"/>
      <c r="F912" s="2" t="n"/>
      <c r="G912" s="2" t="n"/>
      <c r="H912" s="2" t="n"/>
      <c r="I912" s="28" t="n"/>
      <c r="J912" s="2" t="n"/>
      <c r="K912" s="2" t="n"/>
      <c r="L912" s="2" t="n"/>
      <c r="M912" s="2" t="n"/>
    </row>
    <row r="913" ht="15.75" customHeight="1" s="168">
      <c r="A913" s="2" t="n"/>
      <c r="B913" s="2" t="n"/>
      <c r="C913" s="2" t="n"/>
      <c r="D913" s="2" t="n"/>
      <c r="E913" s="28" t="n"/>
      <c r="F913" s="2" t="n"/>
      <c r="G913" s="2" t="n"/>
      <c r="H913" s="2" t="n"/>
      <c r="I913" s="28" t="n"/>
      <c r="J913" s="2" t="n"/>
      <c r="K913" s="2" t="n"/>
      <c r="L913" s="2" t="n"/>
      <c r="M913" s="2" t="n"/>
    </row>
    <row r="914" ht="15.75" customHeight="1" s="168">
      <c r="A914" s="2" t="n"/>
      <c r="B914" s="2" t="n"/>
      <c r="C914" s="2" t="n"/>
      <c r="D914" s="2" t="n"/>
      <c r="E914" s="28" t="n"/>
      <c r="F914" s="2" t="n"/>
      <c r="G914" s="2" t="n"/>
      <c r="H914" s="2" t="n"/>
      <c r="I914" s="28" t="n"/>
      <c r="J914" s="2" t="n"/>
      <c r="K914" s="2" t="n"/>
      <c r="L914" s="2" t="n"/>
      <c r="M914" s="2" t="n"/>
    </row>
    <row r="915" ht="15.75" customHeight="1" s="168">
      <c r="A915" s="2" t="n"/>
      <c r="B915" s="2" t="n"/>
      <c r="C915" s="2" t="n"/>
      <c r="D915" s="2" t="n"/>
      <c r="E915" s="28" t="n"/>
      <c r="F915" s="2" t="n"/>
      <c r="G915" s="2" t="n"/>
      <c r="H915" s="2" t="n"/>
      <c r="I915" s="28" t="n"/>
      <c r="J915" s="2" t="n"/>
      <c r="K915" s="2" t="n"/>
      <c r="L915" s="2" t="n"/>
      <c r="M915" s="2" t="n"/>
    </row>
    <row r="916" ht="15.75" customHeight="1" s="168">
      <c r="A916" s="2" t="n"/>
      <c r="B916" s="2" t="n"/>
      <c r="C916" s="2" t="n"/>
      <c r="D916" s="2" t="n"/>
      <c r="E916" s="28" t="n"/>
      <c r="F916" s="2" t="n"/>
      <c r="G916" s="2" t="n"/>
      <c r="H916" s="2" t="n"/>
      <c r="I916" s="28" t="n"/>
      <c r="J916" s="2" t="n"/>
      <c r="K916" s="2" t="n"/>
      <c r="L916" s="2" t="n"/>
      <c r="M916" s="2" t="n"/>
    </row>
    <row r="917" ht="15.75" customHeight="1" s="168">
      <c r="A917" s="2" t="n"/>
      <c r="B917" s="2" t="n"/>
      <c r="C917" s="2" t="n"/>
      <c r="D917" s="2" t="n"/>
      <c r="E917" s="28" t="n"/>
      <c r="F917" s="2" t="n"/>
      <c r="G917" s="2" t="n"/>
      <c r="H917" s="2" t="n"/>
      <c r="I917" s="28" t="n"/>
      <c r="J917" s="2" t="n"/>
      <c r="K917" s="2" t="n"/>
      <c r="L917" s="2" t="n"/>
      <c r="M917" s="2" t="n"/>
    </row>
    <row r="918" ht="15.75" customHeight="1" s="168">
      <c r="A918" s="2" t="n"/>
      <c r="B918" s="2" t="n"/>
      <c r="C918" s="2" t="n"/>
      <c r="D918" s="2" t="n"/>
      <c r="E918" s="28" t="n"/>
      <c r="F918" s="2" t="n"/>
      <c r="G918" s="2" t="n"/>
      <c r="H918" s="2" t="n"/>
      <c r="I918" s="28" t="n"/>
      <c r="J918" s="2" t="n"/>
      <c r="K918" s="2" t="n"/>
      <c r="L918" s="2" t="n"/>
      <c r="M918" s="2" t="n"/>
    </row>
    <row r="919" ht="15.75" customHeight="1" s="168">
      <c r="A919" s="2" t="n"/>
      <c r="B919" s="2" t="n"/>
      <c r="C919" s="2" t="n"/>
      <c r="D919" s="2" t="n"/>
      <c r="E919" s="28" t="n"/>
      <c r="F919" s="2" t="n"/>
      <c r="G919" s="2" t="n"/>
      <c r="H919" s="2" t="n"/>
      <c r="I919" s="28" t="n"/>
      <c r="J919" s="2" t="n"/>
      <c r="K919" s="2" t="n"/>
      <c r="L919" s="2" t="n"/>
      <c r="M919" s="2" t="n"/>
    </row>
    <row r="920" ht="15.75" customHeight="1" s="168">
      <c r="A920" s="2" t="n"/>
      <c r="B920" s="2" t="n"/>
      <c r="C920" s="2" t="n"/>
      <c r="D920" s="2" t="n"/>
      <c r="E920" s="28" t="n"/>
      <c r="F920" s="2" t="n"/>
      <c r="G920" s="2" t="n"/>
      <c r="H920" s="2" t="n"/>
      <c r="I920" s="28" t="n"/>
      <c r="J920" s="2" t="n"/>
      <c r="K920" s="2" t="n"/>
      <c r="L920" s="2" t="n"/>
      <c r="M920" s="2" t="n"/>
    </row>
    <row r="921" ht="15.75" customHeight="1" s="168">
      <c r="A921" s="2" t="n"/>
      <c r="B921" s="2" t="n"/>
      <c r="C921" s="2" t="n"/>
      <c r="D921" s="2" t="n"/>
      <c r="E921" s="28" t="n"/>
      <c r="F921" s="2" t="n"/>
      <c r="G921" s="2" t="n"/>
      <c r="H921" s="2" t="n"/>
      <c r="I921" s="28" t="n"/>
      <c r="J921" s="2" t="n"/>
      <c r="K921" s="2" t="n"/>
      <c r="L921" s="2" t="n"/>
      <c r="M921" s="2" t="n"/>
    </row>
    <row r="922" ht="15.75" customHeight="1" s="168">
      <c r="A922" s="2" t="n"/>
      <c r="B922" s="2" t="n"/>
      <c r="C922" s="2" t="n"/>
      <c r="D922" s="2" t="n"/>
      <c r="E922" s="28" t="n"/>
      <c r="F922" s="2" t="n"/>
      <c r="G922" s="2" t="n"/>
      <c r="H922" s="2" t="n"/>
      <c r="I922" s="28" t="n"/>
      <c r="J922" s="2" t="n"/>
      <c r="K922" s="2" t="n"/>
      <c r="L922" s="2" t="n"/>
      <c r="M922" s="2" t="n"/>
    </row>
    <row r="923" ht="15.75" customHeight="1" s="168">
      <c r="A923" s="2" t="n"/>
      <c r="B923" s="2" t="n"/>
      <c r="C923" s="2" t="n"/>
      <c r="D923" s="2" t="n"/>
      <c r="E923" s="28" t="n"/>
      <c r="F923" s="2" t="n"/>
      <c r="G923" s="2" t="n"/>
      <c r="H923" s="2" t="n"/>
      <c r="I923" s="28" t="n"/>
      <c r="J923" s="2" t="n"/>
      <c r="K923" s="2" t="n"/>
      <c r="L923" s="2" t="n"/>
      <c r="M923" s="2" t="n"/>
    </row>
    <row r="924" ht="15.75" customHeight="1" s="168">
      <c r="A924" s="2" t="n"/>
      <c r="B924" s="2" t="n"/>
      <c r="C924" s="2" t="n"/>
      <c r="D924" s="2" t="n"/>
      <c r="E924" s="28" t="n"/>
      <c r="F924" s="2" t="n"/>
      <c r="G924" s="2" t="n"/>
      <c r="H924" s="2" t="n"/>
      <c r="I924" s="28" t="n"/>
      <c r="J924" s="2" t="n"/>
      <c r="K924" s="2" t="n"/>
      <c r="L924" s="2" t="n"/>
      <c r="M924" s="2" t="n"/>
    </row>
    <row r="925" ht="15.75" customHeight="1" s="168">
      <c r="A925" s="2" t="n"/>
      <c r="B925" s="2" t="n"/>
      <c r="C925" s="2" t="n"/>
      <c r="D925" s="2" t="n"/>
      <c r="E925" s="28" t="n"/>
      <c r="F925" s="2" t="n"/>
      <c r="G925" s="2" t="n"/>
      <c r="H925" s="2" t="n"/>
      <c r="I925" s="28" t="n"/>
      <c r="J925" s="2" t="n"/>
      <c r="K925" s="2" t="n"/>
      <c r="L925" s="2" t="n"/>
      <c r="M925" s="2" t="n"/>
    </row>
    <row r="926" ht="15.75" customHeight="1" s="168">
      <c r="A926" s="2" t="n"/>
      <c r="B926" s="2" t="n"/>
      <c r="C926" s="2" t="n"/>
      <c r="D926" s="2" t="n"/>
      <c r="E926" s="28" t="n"/>
      <c r="F926" s="2" t="n"/>
      <c r="G926" s="2" t="n"/>
      <c r="H926" s="2" t="n"/>
      <c r="I926" s="28" t="n"/>
      <c r="J926" s="2" t="n"/>
      <c r="K926" s="2" t="n"/>
      <c r="L926" s="2" t="n"/>
      <c r="M926" s="2" t="n"/>
    </row>
    <row r="927" ht="15.75" customHeight="1" s="168">
      <c r="A927" s="2" t="n"/>
      <c r="B927" s="2" t="n"/>
      <c r="C927" s="2" t="n"/>
      <c r="D927" s="2" t="n"/>
      <c r="E927" s="28" t="n"/>
      <c r="F927" s="2" t="n"/>
      <c r="G927" s="2" t="n"/>
      <c r="H927" s="2" t="n"/>
      <c r="I927" s="28" t="n"/>
      <c r="J927" s="2" t="n"/>
      <c r="K927" s="2" t="n"/>
      <c r="L927" s="2" t="n"/>
      <c r="M927" s="2" t="n"/>
    </row>
    <row r="928" ht="15.75" customHeight="1" s="168">
      <c r="A928" s="2" t="n"/>
      <c r="B928" s="2" t="n"/>
      <c r="C928" s="2" t="n"/>
      <c r="D928" s="2" t="n"/>
      <c r="E928" s="28" t="n"/>
      <c r="F928" s="2" t="n"/>
      <c r="G928" s="2" t="n"/>
      <c r="H928" s="2" t="n"/>
      <c r="I928" s="28" t="n"/>
      <c r="J928" s="2" t="n"/>
      <c r="K928" s="2" t="n"/>
      <c r="L928" s="2" t="n"/>
      <c r="M928" s="2" t="n"/>
    </row>
    <row r="929" ht="15.75" customHeight="1" s="168">
      <c r="A929" s="2" t="n"/>
      <c r="B929" s="2" t="n"/>
      <c r="C929" s="2" t="n"/>
      <c r="D929" s="2" t="n"/>
      <c r="E929" s="28" t="n"/>
      <c r="F929" s="2" t="n"/>
      <c r="G929" s="2" t="n"/>
      <c r="H929" s="2" t="n"/>
      <c r="I929" s="28" t="n"/>
      <c r="J929" s="2" t="n"/>
      <c r="K929" s="2" t="n"/>
      <c r="L929" s="2" t="n"/>
      <c r="M929" s="2" t="n"/>
    </row>
    <row r="930" ht="15.75" customHeight="1" s="168">
      <c r="A930" s="2" t="n"/>
      <c r="B930" s="2" t="n"/>
      <c r="C930" s="2" t="n"/>
      <c r="D930" s="2" t="n"/>
      <c r="E930" s="28" t="n"/>
      <c r="F930" s="2" t="n"/>
      <c r="G930" s="2" t="n"/>
      <c r="H930" s="2" t="n"/>
      <c r="I930" s="28" t="n"/>
      <c r="J930" s="2" t="n"/>
      <c r="K930" s="2" t="n"/>
      <c r="L930" s="2" t="n"/>
      <c r="M930" s="2" t="n"/>
    </row>
    <row r="931" ht="15.75" customHeight="1" s="168">
      <c r="A931" s="2" t="n"/>
      <c r="B931" s="2" t="n"/>
      <c r="C931" s="2" t="n"/>
      <c r="D931" s="2" t="n"/>
      <c r="E931" s="28" t="n"/>
      <c r="F931" s="2" t="n"/>
      <c r="G931" s="2" t="n"/>
      <c r="H931" s="2" t="n"/>
      <c r="I931" s="28" t="n"/>
      <c r="J931" s="2" t="n"/>
      <c r="K931" s="2" t="n"/>
      <c r="L931" s="2" t="n"/>
      <c r="M931" s="2" t="n"/>
    </row>
    <row r="932" ht="15.75" customHeight="1" s="168">
      <c r="A932" s="2" t="n"/>
      <c r="B932" s="2" t="n"/>
      <c r="C932" s="2" t="n"/>
      <c r="D932" s="2" t="n"/>
      <c r="E932" s="28" t="n"/>
      <c r="F932" s="2" t="n"/>
      <c r="G932" s="2" t="n"/>
      <c r="H932" s="2" t="n"/>
      <c r="I932" s="28" t="n"/>
      <c r="J932" s="2" t="n"/>
      <c r="K932" s="2" t="n"/>
      <c r="L932" s="2" t="n"/>
      <c r="M932" s="2" t="n"/>
    </row>
    <row r="933" ht="15.75" customHeight="1" s="168">
      <c r="A933" s="2" t="n"/>
      <c r="B933" s="2" t="n"/>
      <c r="C933" s="2" t="n"/>
      <c r="D933" s="2" t="n"/>
      <c r="E933" s="28" t="n"/>
      <c r="F933" s="2" t="n"/>
      <c r="G933" s="2" t="n"/>
      <c r="H933" s="2" t="n"/>
      <c r="I933" s="28" t="n"/>
      <c r="J933" s="2" t="n"/>
      <c r="K933" s="2" t="n"/>
      <c r="L933" s="2" t="n"/>
      <c r="M933" s="2" t="n"/>
    </row>
    <row r="934" ht="15.75" customHeight="1" s="168">
      <c r="A934" s="2" t="n"/>
      <c r="B934" s="2" t="n"/>
      <c r="C934" s="2" t="n"/>
      <c r="D934" s="2" t="n"/>
      <c r="E934" s="28" t="n"/>
      <c r="F934" s="2" t="n"/>
      <c r="G934" s="2" t="n"/>
      <c r="H934" s="2" t="n"/>
      <c r="I934" s="28" t="n"/>
      <c r="J934" s="2" t="n"/>
      <c r="K934" s="2" t="n"/>
      <c r="L934" s="2" t="n"/>
      <c r="M934" s="2" t="n"/>
    </row>
    <row r="935" ht="15.75" customHeight="1" s="168">
      <c r="A935" s="2" t="n"/>
      <c r="B935" s="2" t="n"/>
      <c r="C935" s="2" t="n"/>
      <c r="D935" s="2" t="n"/>
      <c r="E935" s="28" t="n"/>
      <c r="F935" s="2" t="n"/>
      <c r="G935" s="2" t="n"/>
      <c r="H935" s="2" t="n"/>
      <c r="I935" s="28" t="n"/>
      <c r="J935" s="2" t="n"/>
      <c r="K935" s="2" t="n"/>
      <c r="L935" s="2" t="n"/>
      <c r="M935" s="2" t="n"/>
    </row>
    <row r="936" ht="15.75" customHeight="1" s="168">
      <c r="A936" s="2" t="n"/>
      <c r="B936" s="2" t="n"/>
      <c r="C936" s="2" t="n"/>
      <c r="D936" s="2" t="n"/>
      <c r="E936" s="28" t="n"/>
      <c r="F936" s="2" t="n"/>
      <c r="G936" s="2" t="n"/>
      <c r="H936" s="2" t="n"/>
      <c r="I936" s="28" t="n"/>
      <c r="J936" s="2" t="n"/>
      <c r="K936" s="2" t="n"/>
      <c r="L936" s="2" t="n"/>
      <c r="M936" s="2" t="n"/>
    </row>
    <row r="937" ht="15.75" customHeight="1" s="168">
      <c r="A937" s="2" t="n"/>
      <c r="B937" s="2" t="n"/>
      <c r="C937" s="2" t="n"/>
      <c r="D937" s="2" t="n"/>
      <c r="E937" s="28" t="n"/>
      <c r="F937" s="2" t="n"/>
      <c r="G937" s="2" t="n"/>
      <c r="H937" s="2" t="n"/>
      <c r="I937" s="28" t="n"/>
      <c r="J937" s="2" t="n"/>
      <c r="K937" s="2" t="n"/>
      <c r="L937" s="2" t="n"/>
      <c r="M937" s="2" t="n"/>
    </row>
    <row r="938" ht="15.75" customHeight="1" s="168">
      <c r="A938" s="2" t="n"/>
      <c r="B938" s="2" t="n"/>
      <c r="C938" s="2" t="n"/>
      <c r="D938" s="2" t="n"/>
      <c r="E938" s="28" t="n"/>
      <c r="F938" s="2" t="n"/>
      <c r="G938" s="2" t="n"/>
      <c r="H938" s="2" t="n"/>
      <c r="I938" s="28" t="n"/>
      <c r="J938" s="2" t="n"/>
      <c r="K938" s="2" t="n"/>
      <c r="L938" s="2" t="n"/>
      <c r="M938" s="2" t="n"/>
    </row>
    <row r="939" ht="15.75" customHeight="1" s="168">
      <c r="A939" s="2" t="n"/>
      <c r="B939" s="2" t="n"/>
      <c r="C939" s="2" t="n"/>
      <c r="D939" s="2" t="n"/>
      <c r="E939" s="28" t="n"/>
      <c r="F939" s="2" t="n"/>
      <c r="G939" s="2" t="n"/>
      <c r="H939" s="2" t="n"/>
      <c r="I939" s="28" t="n"/>
      <c r="J939" s="2" t="n"/>
      <c r="K939" s="2" t="n"/>
      <c r="L939" s="2" t="n"/>
      <c r="M939" s="2" t="n"/>
    </row>
    <row r="940" ht="15.75" customHeight="1" s="168">
      <c r="A940" s="2" t="n"/>
      <c r="B940" s="2" t="n"/>
      <c r="C940" s="2" t="n"/>
      <c r="D940" s="2" t="n"/>
      <c r="E940" s="28" t="n"/>
      <c r="F940" s="2" t="n"/>
      <c r="G940" s="2" t="n"/>
      <c r="H940" s="2" t="n"/>
      <c r="I940" s="28" t="n"/>
      <c r="J940" s="2" t="n"/>
      <c r="K940" s="2" t="n"/>
      <c r="L940" s="2" t="n"/>
      <c r="M940" s="2" t="n"/>
    </row>
    <row r="941" ht="15.75" customHeight="1" s="168">
      <c r="A941" s="2" t="n"/>
      <c r="B941" s="2" t="n"/>
      <c r="C941" s="2" t="n"/>
      <c r="D941" s="2" t="n"/>
      <c r="E941" s="28" t="n"/>
      <c r="F941" s="2" t="n"/>
      <c r="G941" s="2" t="n"/>
      <c r="H941" s="2" t="n"/>
      <c r="I941" s="28" t="n"/>
      <c r="J941" s="2" t="n"/>
      <c r="K941" s="2" t="n"/>
      <c r="L941" s="2" t="n"/>
      <c r="M941" s="2" t="n"/>
    </row>
    <row r="942" ht="15.75" customHeight="1" s="168">
      <c r="A942" s="2" t="n"/>
      <c r="B942" s="2" t="n"/>
      <c r="C942" s="2" t="n"/>
      <c r="D942" s="2" t="n"/>
      <c r="E942" s="28" t="n"/>
      <c r="F942" s="2" t="n"/>
      <c r="G942" s="2" t="n"/>
      <c r="H942" s="2" t="n"/>
      <c r="I942" s="28" t="n"/>
      <c r="J942" s="2" t="n"/>
      <c r="K942" s="2" t="n"/>
      <c r="L942" s="2" t="n"/>
      <c r="M942" s="2" t="n"/>
    </row>
    <row r="943" ht="15.75" customHeight="1" s="168">
      <c r="A943" s="2" t="n"/>
      <c r="B943" s="2" t="n"/>
      <c r="C943" s="2" t="n"/>
      <c r="D943" s="2" t="n"/>
      <c r="E943" s="28" t="n"/>
      <c r="F943" s="2" t="n"/>
      <c r="G943" s="2" t="n"/>
      <c r="H943" s="2" t="n"/>
      <c r="I943" s="28" t="n"/>
      <c r="J943" s="2" t="n"/>
      <c r="K943" s="2" t="n"/>
      <c r="L943" s="2" t="n"/>
      <c r="M943" s="2" t="n"/>
    </row>
    <row r="944" ht="15.75" customHeight="1" s="168">
      <c r="A944" s="2" t="n"/>
      <c r="B944" s="2" t="n"/>
      <c r="C944" s="2" t="n"/>
      <c r="D944" s="2" t="n"/>
      <c r="E944" s="28" t="n"/>
      <c r="F944" s="2" t="n"/>
      <c r="G944" s="2" t="n"/>
      <c r="H944" s="2" t="n"/>
      <c r="I944" s="28" t="n"/>
      <c r="J944" s="2" t="n"/>
      <c r="K944" s="2" t="n"/>
      <c r="L944" s="2" t="n"/>
      <c r="M944" s="2" t="n"/>
    </row>
    <row r="945" ht="15.75" customHeight="1" s="168">
      <c r="A945" s="2" t="n"/>
      <c r="B945" s="2" t="n"/>
      <c r="C945" s="2" t="n"/>
      <c r="D945" s="2" t="n"/>
      <c r="E945" s="28" t="n"/>
      <c r="F945" s="2" t="n"/>
      <c r="G945" s="2" t="n"/>
      <c r="H945" s="2" t="n"/>
      <c r="I945" s="28" t="n"/>
      <c r="J945" s="2" t="n"/>
      <c r="K945" s="2" t="n"/>
      <c r="L945" s="2" t="n"/>
      <c r="M945" s="2" t="n"/>
    </row>
    <row r="946" ht="15.75" customHeight="1" s="168">
      <c r="A946" s="2" t="n"/>
      <c r="B946" s="2" t="n"/>
      <c r="C946" s="2" t="n"/>
      <c r="D946" s="2" t="n"/>
      <c r="E946" s="28" t="n"/>
      <c r="F946" s="2" t="n"/>
      <c r="G946" s="2" t="n"/>
      <c r="H946" s="2" t="n"/>
      <c r="I946" s="28" t="n"/>
      <c r="J946" s="2" t="n"/>
      <c r="K946" s="2" t="n"/>
      <c r="L946" s="2" t="n"/>
      <c r="M946" s="2" t="n"/>
    </row>
    <row r="947" ht="15.75" customHeight="1" s="168">
      <c r="A947" s="2" t="n"/>
      <c r="B947" s="2" t="n"/>
      <c r="C947" s="2" t="n"/>
      <c r="D947" s="2" t="n"/>
      <c r="E947" s="28" t="n"/>
      <c r="F947" s="2" t="n"/>
      <c r="G947" s="2" t="n"/>
      <c r="H947" s="2" t="n"/>
      <c r="I947" s="28" t="n"/>
      <c r="J947" s="2" t="n"/>
      <c r="K947" s="2" t="n"/>
      <c r="L947" s="2" t="n"/>
      <c r="M947" s="2" t="n"/>
    </row>
    <row r="948" ht="15.75" customHeight="1" s="168">
      <c r="A948" s="2" t="n"/>
      <c r="B948" s="2" t="n"/>
      <c r="C948" s="2" t="n"/>
      <c r="D948" s="2" t="n"/>
      <c r="E948" s="28" t="n"/>
      <c r="F948" s="2" t="n"/>
      <c r="G948" s="2" t="n"/>
      <c r="H948" s="2" t="n"/>
      <c r="I948" s="28" t="n"/>
      <c r="J948" s="2" t="n"/>
      <c r="K948" s="2" t="n"/>
      <c r="L948" s="2" t="n"/>
      <c r="M948" s="2" t="n"/>
    </row>
    <row r="949" ht="15.75" customHeight="1" s="168">
      <c r="A949" s="2" t="n"/>
      <c r="B949" s="2" t="n"/>
      <c r="C949" s="2" t="n"/>
      <c r="D949" s="2" t="n"/>
      <c r="E949" s="28" t="n"/>
      <c r="F949" s="2" t="n"/>
      <c r="G949" s="2" t="n"/>
      <c r="H949" s="2" t="n"/>
      <c r="I949" s="28" t="n"/>
      <c r="J949" s="2" t="n"/>
      <c r="K949" s="2" t="n"/>
      <c r="L949" s="2" t="n"/>
      <c r="M949" s="2" t="n"/>
    </row>
    <row r="950" ht="15.75" customHeight="1" s="168">
      <c r="A950" s="2" t="n"/>
      <c r="B950" s="2" t="n"/>
      <c r="C950" s="2" t="n"/>
      <c r="D950" s="2" t="n"/>
      <c r="E950" s="28" t="n"/>
      <c r="F950" s="2" t="n"/>
      <c r="G950" s="2" t="n"/>
      <c r="H950" s="2" t="n"/>
      <c r="I950" s="28" t="n"/>
      <c r="J950" s="2" t="n"/>
      <c r="K950" s="2" t="n"/>
      <c r="L950" s="2" t="n"/>
      <c r="M950" s="2" t="n"/>
    </row>
    <row r="951" ht="15.75" customHeight="1" s="168">
      <c r="A951" s="2" t="n"/>
      <c r="B951" s="2" t="n"/>
      <c r="C951" s="2" t="n"/>
      <c r="D951" s="2" t="n"/>
      <c r="E951" s="28" t="n"/>
      <c r="F951" s="2" t="n"/>
      <c r="G951" s="2" t="n"/>
      <c r="H951" s="2" t="n"/>
      <c r="I951" s="28" t="n"/>
      <c r="J951" s="2" t="n"/>
      <c r="K951" s="2" t="n"/>
      <c r="L951" s="2" t="n"/>
      <c r="M951" s="2" t="n"/>
    </row>
    <row r="952" ht="15.75" customHeight="1" s="168">
      <c r="A952" s="2" t="n"/>
      <c r="B952" s="2" t="n"/>
      <c r="C952" s="2" t="n"/>
      <c r="D952" s="2" t="n"/>
      <c r="E952" s="28" t="n"/>
      <c r="F952" s="2" t="n"/>
      <c r="G952" s="2" t="n"/>
      <c r="H952" s="2" t="n"/>
      <c r="I952" s="28" t="n"/>
      <c r="J952" s="2" t="n"/>
      <c r="K952" s="2" t="n"/>
      <c r="L952" s="2" t="n"/>
      <c r="M952" s="2" t="n"/>
    </row>
    <row r="953" ht="15.75" customHeight="1" s="168">
      <c r="A953" s="2" t="n"/>
      <c r="B953" s="2" t="n"/>
      <c r="C953" s="2" t="n"/>
      <c r="D953" s="2" t="n"/>
      <c r="E953" s="28" t="n"/>
      <c r="F953" s="2" t="n"/>
      <c r="G953" s="2" t="n"/>
      <c r="H953" s="2" t="n"/>
      <c r="I953" s="28" t="n"/>
      <c r="J953" s="2" t="n"/>
      <c r="K953" s="2" t="n"/>
      <c r="L953" s="2" t="n"/>
      <c r="M953" s="2" t="n"/>
    </row>
    <row r="954" ht="15.75" customHeight="1" s="168">
      <c r="A954" s="2" t="n"/>
      <c r="B954" s="2" t="n"/>
      <c r="C954" s="2" t="n"/>
      <c r="D954" s="2" t="n"/>
      <c r="E954" s="28" t="n"/>
      <c r="F954" s="2" t="n"/>
      <c r="G954" s="2" t="n"/>
      <c r="H954" s="2" t="n"/>
      <c r="I954" s="28" t="n"/>
      <c r="J954" s="2" t="n"/>
      <c r="K954" s="2" t="n"/>
      <c r="L954" s="2" t="n"/>
      <c r="M954" s="2" t="n"/>
    </row>
    <row r="955" ht="15.75" customHeight="1" s="168">
      <c r="A955" s="2" t="n"/>
      <c r="B955" s="2" t="n"/>
      <c r="C955" s="2" t="n"/>
      <c r="D955" s="2" t="n"/>
      <c r="E955" s="28" t="n"/>
      <c r="F955" s="2" t="n"/>
      <c r="G955" s="2" t="n"/>
      <c r="H955" s="2" t="n"/>
      <c r="I955" s="28" t="n"/>
      <c r="J955" s="2" t="n"/>
      <c r="K955" s="2" t="n"/>
      <c r="L955" s="2" t="n"/>
      <c r="M955" s="2" t="n"/>
    </row>
    <row r="956" ht="15.75" customHeight="1" s="168">
      <c r="A956" s="2" t="n"/>
      <c r="B956" s="2" t="n"/>
      <c r="C956" s="2" t="n"/>
      <c r="D956" s="2" t="n"/>
      <c r="E956" s="28" t="n"/>
      <c r="F956" s="2" t="n"/>
      <c r="G956" s="2" t="n"/>
      <c r="H956" s="2" t="n"/>
      <c r="I956" s="28" t="n"/>
      <c r="J956" s="2" t="n"/>
      <c r="K956" s="2" t="n"/>
      <c r="L956" s="2" t="n"/>
      <c r="M956" s="2" t="n"/>
    </row>
    <row r="957" ht="15.75" customHeight="1" s="168">
      <c r="A957" s="2" t="n"/>
      <c r="B957" s="2" t="n"/>
      <c r="C957" s="2" t="n"/>
      <c r="D957" s="2" t="n"/>
      <c r="E957" s="28" t="n"/>
      <c r="F957" s="2" t="n"/>
      <c r="G957" s="2" t="n"/>
      <c r="H957" s="2" t="n"/>
      <c r="I957" s="28" t="n"/>
      <c r="J957" s="2" t="n"/>
      <c r="K957" s="2" t="n"/>
      <c r="L957" s="2" t="n"/>
      <c r="M957" s="2" t="n"/>
    </row>
    <row r="958" ht="15.75" customHeight="1" s="168">
      <c r="A958" s="2" t="n"/>
      <c r="B958" s="2" t="n"/>
      <c r="C958" s="2" t="n"/>
      <c r="D958" s="2" t="n"/>
      <c r="E958" s="28" t="n"/>
      <c r="F958" s="2" t="n"/>
      <c r="G958" s="2" t="n"/>
      <c r="H958" s="2" t="n"/>
      <c r="I958" s="28" t="n"/>
      <c r="J958" s="2" t="n"/>
      <c r="K958" s="2" t="n"/>
      <c r="L958" s="2" t="n"/>
      <c r="M958" s="2" t="n"/>
    </row>
    <row r="959" ht="15.75" customHeight="1" s="168">
      <c r="A959" s="2" t="n"/>
      <c r="B959" s="2" t="n"/>
      <c r="C959" s="2" t="n"/>
      <c r="D959" s="2" t="n"/>
      <c r="E959" s="28" t="n"/>
      <c r="F959" s="2" t="n"/>
      <c r="G959" s="2" t="n"/>
      <c r="H959" s="2" t="n"/>
      <c r="I959" s="28" t="n"/>
      <c r="J959" s="2" t="n"/>
      <c r="K959" s="2" t="n"/>
      <c r="L959" s="2" t="n"/>
      <c r="M959" s="2" t="n"/>
    </row>
    <row r="960" ht="15.75" customHeight="1" s="168">
      <c r="A960" s="2" t="n"/>
      <c r="B960" s="2" t="n"/>
      <c r="C960" s="2" t="n"/>
      <c r="D960" s="2" t="n"/>
      <c r="E960" s="28" t="n"/>
      <c r="F960" s="2" t="n"/>
      <c r="G960" s="2" t="n"/>
      <c r="H960" s="2" t="n"/>
      <c r="I960" s="28" t="n"/>
      <c r="J960" s="2" t="n"/>
      <c r="K960" s="2" t="n"/>
      <c r="L960" s="2" t="n"/>
      <c r="M960" s="2" t="n"/>
    </row>
    <row r="961" ht="15.75" customHeight="1" s="168">
      <c r="A961" s="2" t="n"/>
      <c r="B961" s="2" t="n"/>
      <c r="C961" s="2" t="n"/>
      <c r="D961" s="2" t="n"/>
      <c r="E961" s="28" t="n"/>
      <c r="F961" s="2" t="n"/>
      <c r="G961" s="2" t="n"/>
      <c r="H961" s="2" t="n"/>
      <c r="I961" s="28" t="n"/>
      <c r="J961" s="2" t="n"/>
      <c r="K961" s="2" t="n"/>
      <c r="L961" s="2" t="n"/>
      <c r="M961" s="2" t="n"/>
    </row>
    <row r="962" ht="15.75" customHeight="1" s="168">
      <c r="A962" s="2" t="n"/>
      <c r="B962" s="2" t="n"/>
      <c r="C962" s="2" t="n"/>
      <c r="D962" s="2" t="n"/>
      <c r="E962" s="28" t="n"/>
      <c r="F962" s="2" t="n"/>
      <c r="G962" s="2" t="n"/>
      <c r="H962" s="2" t="n"/>
      <c r="I962" s="28" t="n"/>
      <c r="J962" s="2" t="n"/>
      <c r="K962" s="2" t="n"/>
      <c r="L962" s="2" t="n"/>
      <c r="M962" s="2" t="n"/>
    </row>
    <row r="963" ht="15.75" customHeight="1" s="168">
      <c r="A963" s="2" t="n"/>
      <c r="B963" s="2" t="n"/>
      <c r="C963" s="2" t="n"/>
      <c r="D963" s="2" t="n"/>
      <c r="E963" s="28" t="n"/>
      <c r="F963" s="2" t="n"/>
      <c r="G963" s="2" t="n"/>
      <c r="H963" s="2" t="n"/>
      <c r="I963" s="28" t="n"/>
      <c r="J963" s="2" t="n"/>
      <c r="K963" s="2" t="n"/>
      <c r="L963" s="2" t="n"/>
      <c r="M963" s="2" t="n"/>
    </row>
    <row r="964" ht="15.75" customHeight="1" s="168">
      <c r="A964" s="2" t="n"/>
      <c r="B964" s="2" t="n"/>
      <c r="C964" s="2" t="n"/>
      <c r="D964" s="2" t="n"/>
      <c r="E964" s="28" t="n"/>
      <c r="F964" s="2" t="n"/>
      <c r="G964" s="2" t="n"/>
      <c r="H964" s="2" t="n"/>
      <c r="I964" s="28" t="n"/>
      <c r="J964" s="2" t="n"/>
      <c r="K964" s="2" t="n"/>
      <c r="L964" s="2" t="n"/>
      <c r="M964" s="2" t="n"/>
    </row>
    <row r="965" ht="15.75" customHeight="1" s="168">
      <c r="A965" s="2" t="n"/>
      <c r="B965" s="2" t="n"/>
      <c r="C965" s="2" t="n"/>
      <c r="D965" s="2" t="n"/>
      <c r="E965" s="28" t="n"/>
      <c r="F965" s="2" t="n"/>
      <c r="G965" s="2" t="n"/>
      <c r="H965" s="2" t="n"/>
      <c r="I965" s="28" t="n"/>
      <c r="J965" s="2" t="n"/>
      <c r="K965" s="2" t="n"/>
      <c r="L965" s="2" t="n"/>
      <c r="M965" s="2" t="n"/>
    </row>
    <row r="966" ht="15.75" customHeight="1" s="168">
      <c r="A966" s="2" t="n"/>
      <c r="B966" s="2" t="n"/>
      <c r="C966" s="2" t="n"/>
      <c r="D966" s="2" t="n"/>
      <c r="E966" s="28" t="n"/>
      <c r="F966" s="2" t="n"/>
      <c r="G966" s="2" t="n"/>
      <c r="H966" s="2" t="n"/>
      <c r="I966" s="28" t="n"/>
      <c r="J966" s="2" t="n"/>
      <c r="K966" s="2" t="n"/>
      <c r="L966" s="2" t="n"/>
      <c r="M966" s="2" t="n"/>
    </row>
    <row r="967" ht="15.75" customHeight="1" s="168">
      <c r="A967" s="2" t="n"/>
      <c r="B967" s="2" t="n"/>
      <c r="C967" s="2" t="n"/>
      <c r="D967" s="2" t="n"/>
      <c r="E967" s="28" t="n"/>
      <c r="F967" s="2" t="n"/>
      <c r="G967" s="2" t="n"/>
      <c r="H967" s="2" t="n"/>
      <c r="I967" s="28" t="n"/>
      <c r="J967" s="2" t="n"/>
      <c r="K967" s="2" t="n"/>
      <c r="L967" s="2" t="n"/>
      <c r="M967" s="2" t="n"/>
    </row>
    <row r="968" ht="15.75" customHeight="1" s="168">
      <c r="A968" s="2" t="n"/>
      <c r="B968" s="2" t="n"/>
      <c r="C968" s="2" t="n"/>
      <c r="D968" s="2" t="n"/>
      <c r="E968" s="28" t="n"/>
      <c r="F968" s="2" t="n"/>
      <c r="G968" s="2" t="n"/>
      <c r="H968" s="2" t="n"/>
      <c r="I968" s="28" t="n"/>
      <c r="J968" s="2" t="n"/>
      <c r="K968" s="2" t="n"/>
      <c r="L968" s="2" t="n"/>
      <c r="M968" s="2" t="n"/>
    </row>
    <row r="969" ht="15.75" customHeight="1" s="168">
      <c r="A969" s="2" t="n"/>
      <c r="B969" s="2" t="n"/>
      <c r="C969" s="2" t="n"/>
      <c r="D969" s="2" t="n"/>
      <c r="E969" s="28" t="n"/>
      <c r="F969" s="2" t="n"/>
      <c r="G969" s="2" t="n"/>
      <c r="H969" s="2" t="n"/>
      <c r="I969" s="28" t="n"/>
      <c r="J969" s="2" t="n"/>
      <c r="K969" s="2" t="n"/>
      <c r="L969" s="2" t="n"/>
      <c r="M969" s="2" t="n"/>
    </row>
    <row r="970" ht="15.75" customHeight="1" s="168">
      <c r="A970" s="2" t="n"/>
      <c r="B970" s="2" t="n"/>
      <c r="C970" s="2" t="n"/>
      <c r="D970" s="2" t="n"/>
      <c r="E970" s="28" t="n"/>
      <c r="F970" s="2" t="n"/>
      <c r="G970" s="2" t="n"/>
      <c r="H970" s="2" t="n"/>
      <c r="I970" s="28" t="n"/>
      <c r="J970" s="2" t="n"/>
      <c r="K970" s="2" t="n"/>
      <c r="L970" s="2" t="n"/>
      <c r="M970" s="2" t="n"/>
    </row>
    <row r="971" ht="15.75" customHeight="1" s="168">
      <c r="A971" s="2" t="n"/>
      <c r="B971" s="2" t="n"/>
      <c r="C971" s="2" t="n"/>
      <c r="D971" s="2" t="n"/>
      <c r="E971" s="28" t="n"/>
      <c r="F971" s="2" t="n"/>
      <c r="G971" s="2" t="n"/>
      <c r="H971" s="2" t="n"/>
      <c r="I971" s="28" t="n"/>
      <c r="J971" s="2" t="n"/>
      <c r="K971" s="2" t="n"/>
      <c r="L971" s="2" t="n"/>
      <c r="M971" s="2" t="n"/>
    </row>
    <row r="972" ht="15.75" customHeight="1" s="168">
      <c r="A972" s="2" t="n"/>
      <c r="B972" s="2" t="n"/>
      <c r="C972" s="2" t="n"/>
      <c r="D972" s="2" t="n"/>
      <c r="E972" s="28" t="n"/>
      <c r="F972" s="2" t="n"/>
      <c r="G972" s="2" t="n"/>
      <c r="H972" s="2" t="n"/>
      <c r="I972" s="28" t="n"/>
      <c r="J972" s="2" t="n"/>
      <c r="K972" s="2" t="n"/>
      <c r="L972" s="2" t="n"/>
      <c r="M972" s="2" t="n"/>
    </row>
    <row r="973" ht="15.75" customHeight="1" s="168">
      <c r="A973" s="2" t="n"/>
      <c r="B973" s="2" t="n"/>
      <c r="C973" s="2" t="n"/>
      <c r="D973" s="2" t="n"/>
      <c r="E973" s="28" t="n"/>
      <c r="F973" s="2" t="n"/>
      <c r="G973" s="2" t="n"/>
      <c r="H973" s="2" t="n"/>
      <c r="I973" s="28" t="n"/>
      <c r="J973" s="2" t="n"/>
      <c r="K973" s="2" t="n"/>
      <c r="L973" s="2" t="n"/>
      <c r="M973" s="2" t="n"/>
    </row>
    <row r="974" ht="15.75" customHeight="1" s="168">
      <c r="A974" s="2" t="n"/>
      <c r="B974" s="2" t="n"/>
      <c r="C974" s="2" t="n"/>
      <c r="D974" s="2" t="n"/>
      <c r="E974" s="28" t="n"/>
      <c r="F974" s="2" t="n"/>
      <c r="G974" s="2" t="n"/>
      <c r="H974" s="2" t="n"/>
      <c r="I974" s="28" t="n"/>
      <c r="J974" s="2" t="n"/>
      <c r="K974" s="2" t="n"/>
      <c r="L974" s="2" t="n"/>
      <c r="M974" s="2" t="n"/>
    </row>
    <row r="975" ht="15.75" customHeight="1" s="168">
      <c r="A975" s="2" t="n"/>
      <c r="B975" s="2" t="n"/>
      <c r="C975" s="2" t="n"/>
      <c r="D975" s="2" t="n"/>
      <c r="E975" s="28" t="n"/>
      <c r="F975" s="2" t="n"/>
      <c r="G975" s="2" t="n"/>
      <c r="H975" s="2" t="n"/>
      <c r="I975" s="28" t="n"/>
      <c r="J975" s="2" t="n"/>
      <c r="K975" s="2" t="n"/>
      <c r="L975" s="2" t="n"/>
      <c r="M975" s="2" t="n"/>
    </row>
    <row r="976" ht="15.75" customHeight="1" s="168">
      <c r="A976" s="2" t="n"/>
      <c r="B976" s="2" t="n"/>
      <c r="C976" s="2" t="n"/>
      <c r="D976" s="2" t="n"/>
      <c r="E976" s="28" t="n"/>
      <c r="F976" s="2" t="n"/>
      <c r="G976" s="2" t="n"/>
      <c r="H976" s="2" t="n"/>
      <c r="I976" s="28" t="n"/>
      <c r="J976" s="2" t="n"/>
      <c r="K976" s="2" t="n"/>
      <c r="L976" s="2" t="n"/>
      <c r="M976" s="2" t="n"/>
    </row>
    <row r="977" ht="15.75" customHeight="1" s="168">
      <c r="A977" s="2" t="n"/>
      <c r="B977" s="2" t="n"/>
      <c r="C977" s="2" t="n"/>
      <c r="D977" s="2" t="n"/>
      <c r="E977" s="28" t="n"/>
      <c r="F977" s="2" t="n"/>
      <c r="G977" s="2" t="n"/>
      <c r="H977" s="2" t="n"/>
      <c r="I977" s="28" t="n"/>
      <c r="J977" s="2" t="n"/>
      <c r="K977" s="2" t="n"/>
      <c r="L977" s="2" t="n"/>
      <c r="M977" s="2" t="n"/>
    </row>
    <row r="978" ht="15.75" customHeight="1" s="168">
      <c r="A978" s="2" t="n"/>
      <c r="B978" s="2" t="n"/>
      <c r="C978" s="2" t="n"/>
      <c r="D978" s="2" t="n"/>
      <c r="E978" s="28" t="n"/>
      <c r="F978" s="2" t="n"/>
      <c r="G978" s="2" t="n"/>
      <c r="H978" s="2" t="n"/>
      <c r="I978" s="28" t="n"/>
      <c r="J978" s="2" t="n"/>
      <c r="K978" s="2" t="n"/>
      <c r="L978" s="2" t="n"/>
      <c r="M978" s="2" t="n"/>
    </row>
    <row r="979" ht="15.75" customHeight="1" s="168">
      <c r="A979" s="2" t="n"/>
      <c r="B979" s="2" t="n"/>
      <c r="C979" s="2" t="n"/>
      <c r="D979" s="2" t="n"/>
      <c r="E979" s="28" t="n"/>
      <c r="F979" s="2" t="n"/>
      <c r="G979" s="2" t="n"/>
      <c r="H979" s="2" t="n"/>
      <c r="I979" s="28" t="n"/>
      <c r="J979" s="2" t="n"/>
      <c r="K979" s="2" t="n"/>
      <c r="L979" s="2" t="n"/>
      <c r="M979" s="2" t="n"/>
    </row>
    <row r="980" ht="15.75" customHeight="1" s="168">
      <c r="A980" s="2" t="n"/>
      <c r="B980" s="2" t="n"/>
      <c r="C980" s="2" t="n"/>
      <c r="D980" s="2" t="n"/>
      <c r="E980" s="28" t="n"/>
      <c r="F980" s="2" t="n"/>
      <c r="G980" s="2" t="n"/>
      <c r="H980" s="2" t="n"/>
      <c r="I980" s="28" t="n"/>
      <c r="J980" s="2" t="n"/>
      <c r="K980" s="2" t="n"/>
      <c r="L980" s="2" t="n"/>
      <c r="M980" s="2" t="n"/>
    </row>
    <row r="981" ht="15.75" customHeight="1" s="168">
      <c r="A981" s="2" t="n"/>
      <c r="B981" s="2" t="n"/>
      <c r="C981" s="2" t="n"/>
      <c r="D981" s="2" t="n"/>
      <c r="E981" s="28" t="n"/>
      <c r="F981" s="2" t="n"/>
      <c r="G981" s="2" t="n"/>
      <c r="H981" s="2" t="n"/>
      <c r="I981" s="28" t="n"/>
      <c r="J981" s="2" t="n"/>
      <c r="K981" s="2" t="n"/>
      <c r="L981" s="2" t="n"/>
      <c r="M981" s="2" t="n"/>
    </row>
    <row r="982" ht="15.75" customHeight="1" s="168">
      <c r="A982" s="2" t="n"/>
      <c r="B982" s="2" t="n"/>
      <c r="C982" s="2" t="n"/>
      <c r="D982" s="2" t="n"/>
      <c r="E982" s="28" t="n"/>
      <c r="F982" s="2" t="n"/>
      <c r="G982" s="2" t="n"/>
      <c r="H982" s="2" t="n"/>
      <c r="I982" s="28" t="n"/>
      <c r="J982" s="2" t="n"/>
      <c r="K982" s="2" t="n"/>
      <c r="L982" s="2" t="n"/>
      <c r="M982" s="2" t="n"/>
    </row>
    <row r="983" ht="15.75" customHeight="1" s="168">
      <c r="A983" s="2" t="n"/>
      <c r="B983" s="2" t="n"/>
      <c r="C983" s="2" t="n"/>
      <c r="D983" s="2" t="n"/>
      <c r="E983" s="28" t="n"/>
      <c r="F983" s="2" t="n"/>
      <c r="G983" s="2" t="n"/>
      <c r="H983" s="2" t="n"/>
      <c r="I983" s="28" t="n"/>
      <c r="J983" s="2" t="n"/>
      <c r="K983" s="2" t="n"/>
      <c r="L983" s="2" t="n"/>
      <c r="M983" s="2" t="n"/>
    </row>
    <row r="984" ht="15.75" customHeight="1" s="168">
      <c r="A984" s="2" t="n"/>
      <c r="B984" s="2" t="n"/>
      <c r="C984" s="2" t="n"/>
      <c r="D984" s="2" t="n"/>
      <c r="E984" s="28" t="n"/>
      <c r="F984" s="2" t="n"/>
      <c r="G984" s="2" t="n"/>
      <c r="H984" s="2" t="n"/>
      <c r="I984" s="28" t="n"/>
      <c r="J984" s="2" t="n"/>
      <c r="K984" s="2" t="n"/>
      <c r="L984" s="2" t="n"/>
      <c r="M984" s="2" t="n"/>
    </row>
    <row r="985" ht="15.75" customHeight="1" s="168">
      <c r="A985" s="2" t="n"/>
      <c r="B985" s="2" t="n"/>
      <c r="C985" s="2" t="n"/>
      <c r="D985" s="2" t="n"/>
      <c r="E985" s="28" t="n"/>
      <c r="F985" s="2" t="n"/>
      <c r="G985" s="2" t="n"/>
      <c r="H985" s="2" t="n"/>
      <c r="I985" s="28" t="n"/>
      <c r="J985" s="2" t="n"/>
      <c r="K985" s="2" t="n"/>
      <c r="L985" s="2" t="n"/>
      <c r="M985" s="2" t="n"/>
    </row>
    <row r="986" ht="15.75" customHeight="1" s="168">
      <c r="A986" s="2" t="n"/>
      <c r="B986" s="2" t="n"/>
      <c r="C986" s="2" t="n"/>
      <c r="D986" s="2" t="n"/>
      <c r="E986" s="28" t="n"/>
      <c r="F986" s="2" t="n"/>
      <c r="G986" s="2" t="n"/>
      <c r="H986" s="2" t="n"/>
      <c r="I986" s="28" t="n"/>
      <c r="J986" s="2" t="n"/>
      <c r="K986" s="2" t="n"/>
      <c r="L986" s="2" t="n"/>
      <c r="M986" s="2" t="n"/>
    </row>
    <row r="987" ht="15.75" customHeight="1" s="168">
      <c r="A987" s="2" t="n"/>
      <c r="B987" s="2" t="n"/>
      <c r="C987" s="2" t="n"/>
      <c r="D987" s="2" t="n"/>
      <c r="E987" s="28" t="n"/>
      <c r="F987" s="2" t="n"/>
      <c r="G987" s="2" t="n"/>
      <c r="H987" s="2" t="n"/>
      <c r="I987" s="28" t="n"/>
      <c r="J987" s="2" t="n"/>
      <c r="K987" s="2" t="n"/>
      <c r="L987" s="2" t="n"/>
      <c r="M987" s="2" t="n"/>
    </row>
    <row r="988" ht="15.75" customHeight="1" s="168">
      <c r="A988" s="2" t="n"/>
      <c r="B988" s="2" t="n"/>
      <c r="C988" s="2" t="n"/>
      <c r="D988" s="2" t="n"/>
      <c r="E988" s="28" t="n"/>
      <c r="F988" s="2" t="n"/>
      <c r="G988" s="2" t="n"/>
      <c r="H988" s="2" t="n"/>
      <c r="I988" s="28" t="n"/>
      <c r="J988" s="2" t="n"/>
      <c r="K988" s="2" t="n"/>
      <c r="L988" s="2" t="n"/>
      <c r="M988" s="2" t="n"/>
    </row>
    <row r="989" ht="15.75" customHeight="1" s="168">
      <c r="A989" s="2" t="n"/>
      <c r="B989" s="2" t="n"/>
      <c r="C989" s="2" t="n"/>
      <c r="D989" s="2" t="n"/>
      <c r="E989" s="28" t="n"/>
      <c r="F989" s="2" t="n"/>
      <c r="G989" s="2" t="n"/>
      <c r="H989" s="2" t="n"/>
      <c r="I989" s="28" t="n"/>
      <c r="J989" s="2" t="n"/>
      <c r="K989" s="2" t="n"/>
      <c r="L989" s="2" t="n"/>
      <c r="M989" s="2" t="n"/>
    </row>
    <row r="990" ht="15.75" customHeight="1" s="168">
      <c r="A990" s="2" t="n"/>
      <c r="B990" s="2" t="n"/>
      <c r="C990" s="2" t="n"/>
      <c r="D990" s="2" t="n"/>
      <c r="E990" s="28" t="n"/>
      <c r="F990" s="2" t="n"/>
      <c r="G990" s="2" t="n"/>
      <c r="H990" s="2" t="n"/>
      <c r="I990" s="28" t="n"/>
      <c r="J990" s="2" t="n"/>
      <c r="K990" s="2" t="n"/>
      <c r="L990" s="2" t="n"/>
      <c r="M990" s="2" t="n"/>
    </row>
    <row r="991" ht="15.75" customHeight="1" s="168">
      <c r="A991" s="2" t="n"/>
      <c r="B991" s="2" t="n"/>
      <c r="C991" s="2" t="n"/>
      <c r="D991" s="2" t="n"/>
      <c r="E991" s="28" t="n"/>
      <c r="F991" s="2" t="n"/>
      <c r="G991" s="2" t="n"/>
      <c r="H991" s="2" t="n"/>
      <c r="I991" s="28" t="n"/>
      <c r="J991" s="2" t="n"/>
      <c r="K991" s="2" t="n"/>
      <c r="L991" s="2" t="n"/>
      <c r="M991" s="2" t="n"/>
    </row>
    <row r="992" ht="15.75" customHeight="1" s="168">
      <c r="A992" s="2" t="n"/>
      <c r="B992" s="2" t="n"/>
      <c r="C992" s="2" t="n"/>
      <c r="D992" s="2" t="n"/>
      <c r="E992" s="28" t="n"/>
      <c r="F992" s="2" t="n"/>
      <c r="G992" s="2" t="n"/>
      <c r="H992" s="2" t="n"/>
      <c r="I992" s="28" t="n"/>
      <c r="J992" s="2" t="n"/>
      <c r="K992" s="2" t="n"/>
      <c r="L992" s="2" t="n"/>
      <c r="M992" s="2" t="n"/>
    </row>
    <row r="993" ht="15.75" customHeight="1" s="168">
      <c r="A993" s="2" t="n"/>
      <c r="B993" s="2" t="n"/>
      <c r="C993" s="2" t="n"/>
      <c r="D993" s="2" t="n"/>
      <c r="E993" s="28" t="n"/>
      <c r="F993" s="2" t="n"/>
      <c r="G993" s="2" t="n"/>
      <c r="H993" s="2" t="n"/>
      <c r="I993" s="28" t="n"/>
      <c r="J993" s="2" t="n"/>
      <c r="K993" s="2" t="n"/>
      <c r="L993" s="2" t="n"/>
      <c r="M993" s="2" t="n"/>
    </row>
    <row r="994" ht="15.75" customHeight="1" s="168">
      <c r="A994" s="2" t="n"/>
      <c r="B994" s="2" t="n"/>
      <c r="C994" s="2" t="n"/>
      <c r="D994" s="2" t="n"/>
      <c r="E994" s="28" t="n"/>
      <c r="F994" s="2" t="n"/>
      <c r="G994" s="2" t="n"/>
      <c r="H994" s="2" t="n"/>
      <c r="I994" s="28" t="n"/>
      <c r="J994" s="2" t="n"/>
      <c r="K994" s="2" t="n"/>
      <c r="L994" s="2" t="n"/>
      <c r="M994" s="2" t="n"/>
    </row>
    <row r="995" ht="15.75" customHeight="1" s="168">
      <c r="A995" s="2" t="n"/>
      <c r="B995" s="2" t="n"/>
      <c r="C995" s="2" t="n"/>
      <c r="D995" s="2" t="n"/>
      <c r="E995" s="28" t="n"/>
      <c r="F995" s="2" t="n"/>
      <c r="G995" s="2" t="n"/>
      <c r="H995" s="2" t="n"/>
      <c r="I995" s="28" t="n"/>
      <c r="J995" s="2" t="n"/>
      <c r="K995" s="2" t="n"/>
      <c r="L995" s="2" t="n"/>
      <c r="M995" s="2" t="n"/>
    </row>
    <row r="996" ht="15.75" customHeight="1" s="168">
      <c r="A996" s="2" t="n"/>
      <c r="B996" s="2" t="n"/>
      <c r="C996" s="2" t="n"/>
      <c r="D996" s="2" t="n"/>
      <c r="E996" s="28" t="n"/>
      <c r="F996" s="2" t="n"/>
      <c r="G996" s="2" t="n"/>
      <c r="H996" s="2" t="n"/>
      <c r="I996" s="28" t="n"/>
      <c r="J996" s="2" t="n"/>
      <c r="K996" s="2" t="n"/>
      <c r="L996" s="2" t="n"/>
      <c r="M996" s="2" t="n"/>
    </row>
    <row r="997" ht="15.75" customHeight="1" s="168">
      <c r="A997" s="2" t="n"/>
      <c r="B997" s="2" t="n"/>
      <c r="C997" s="2" t="n"/>
      <c r="D997" s="2" t="n"/>
      <c r="E997" s="28" t="n"/>
      <c r="F997" s="2" t="n"/>
      <c r="G997" s="2" t="n"/>
      <c r="H997" s="2" t="n"/>
      <c r="I997" s="28" t="n"/>
      <c r="J997" s="2" t="n"/>
      <c r="K997" s="2" t="n"/>
      <c r="L997" s="2" t="n"/>
      <c r="M997" s="2" t="n"/>
    </row>
    <row r="998" ht="15.75" customHeight="1" s="168">
      <c r="A998" s="2" t="n"/>
      <c r="B998" s="2" t="n"/>
      <c r="C998" s="2" t="n"/>
      <c r="D998" s="2" t="n"/>
      <c r="E998" s="28" t="n"/>
      <c r="F998" s="2" t="n"/>
      <c r="G998" s="2" t="n"/>
      <c r="H998" s="2" t="n"/>
      <c r="I998" s="28" t="n"/>
      <c r="J998" s="2" t="n"/>
      <c r="K998" s="2" t="n"/>
      <c r="L998" s="2" t="n"/>
      <c r="M998" s="2" t="n"/>
    </row>
    <row r="999" ht="15.75" customHeight="1" s="168">
      <c r="A999" s="2" t="n"/>
      <c r="B999" s="2" t="n"/>
      <c r="C999" s="2" t="n"/>
      <c r="D999" s="2" t="n"/>
      <c r="E999" s="28" t="n"/>
      <c r="F999" s="2" t="n"/>
      <c r="G999" s="2" t="n"/>
      <c r="H999" s="2" t="n"/>
      <c r="I999" s="28" t="n"/>
      <c r="J999" s="2" t="n"/>
      <c r="K999" s="2" t="n"/>
      <c r="L999" s="2" t="n"/>
      <c r="M999" s="2" t="n"/>
    </row>
    <row r="1000" ht="15.75" customHeight="1" s="168">
      <c r="A1000" s="2" t="n"/>
      <c r="B1000" s="2" t="n"/>
      <c r="C1000" s="2" t="n"/>
      <c r="D1000" s="2" t="n"/>
      <c r="E1000" s="28" t="n"/>
      <c r="F1000" s="2" t="n"/>
      <c r="G1000" s="2" t="n"/>
      <c r="H1000" s="2" t="n"/>
      <c r="I1000" s="28" t="n"/>
      <c r="J1000" s="2" t="n"/>
      <c r="K1000" s="2" t="n"/>
      <c r="L1000" s="2" t="n"/>
      <c r="M1000" s="2" t="n"/>
    </row>
  </sheetData>
  <mergeCells count="30">
    <mergeCell ref="B99:H99"/>
    <mergeCell ref="C6:D6"/>
    <mergeCell ref="I6:J6"/>
    <mergeCell ref="A5:M5"/>
    <mergeCell ref="A8:M8"/>
    <mergeCell ref="A69:A70"/>
    <mergeCell ref="B95:H95"/>
    <mergeCell ref="A94:H94"/>
    <mergeCell ref="A81:M81"/>
    <mergeCell ref="A6:B6"/>
    <mergeCell ref="A75:A76"/>
    <mergeCell ref="A71:A72"/>
    <mergeCell ref="E3:H3"/>
    <mergeCell ref="A67:M67"/>
    <mergeCell ref="B97:H97"/>
    <mergeCell ref="G6:H6"/>
    <mergeCell ref="I3:J3"/>
    <mergeCell ref="E6:F6"/>
    <mergeCell ref="A1:M1"/>
    <mergeCell ref="B96:H96"/>
    <mergeCell ref="A77:A78"/>
    <mergeCell ref="K3:M3"/>
    <mergeCell ref="B98:H98"/>
    <mergeCell ref="A46:M46"/>
    <mergeCell ref="B3:D3"/>
    <mergeCell ref="A66:M66"/>
    <mergeCell ref="A73:A74"/>
    <mergeCell ref="K6:L6"/>
    <mergeCell ref="A2:M2"/>
    <mergeCell ref="A47:M47"/>
  </mergeCells>
  <conditionalFormatting sqref="K10:K44">
    <cfRule type="expression" priority="1" dxfId="0">
      <formula>K10="DEPLETED"</formula>
    </cfRule>
    <cfRule type="expression" priority="2" dxfId="1">
      <formula>K10="TODAY!"</formula>
    </cfRule>
    <cfRule type="expression" priority="3" dxfId="2">
      <formula>K10="URGENT"</formula>
    </cfRule>
    <cfRule type="expression" priority="4" dxfId="3">
      <formula>K10="LOW"</formula>
    </cfRule>
    <cfRule type="expression" priority="5" dxfId="4">
      <formula>K10="OK"</formula>
    </cfRule>
    <cfRule type="expression" priority="6" dxfId="5">
      <formula>$K10="DEPLETED"</formula>
    </cfRule>
  </conditionalFormatting>
  <conditionalFormatting sqref="A10:A44">
    <cfRule type="expression" priority="7" dxfId="5">
      <formula>$K10="DEPLETED"</formula>
    </cfRule>
  </conditionalFormatting>
  <conditionalFormatting sqref="B10:B44">
    <cfRule type="expression" priority="8" dxfId="5">
      <formula>$K10="DEPLETED"</formula>
    </cfRule>
  </conditionalFormatting>
  <conditionalFormatting sqref="C10:C44">
    <cfRule type="expression" priority="9" dxfId="5">
      <formula>$K10="DEPLETED"</formula>
    </cfRule>
  </conditionalFormatting>
  <conditionalFormatting sqref="D10:D44">
    <cfRule type="expression" priority="10" dxfId="5">
      <formula>$K10="DEPLETED"</formula>
    </cfRule>
  </conditionalFormatting>
  <conditionalFormatting sqref="E10:E44">
    <cfRule type="expression" priority="11" dxfId="5">
      <formula>$K10="DEPLETED"</formula>
    </cfRule>
  </conditionalFormatting>
  <conditionalFormatting sqref="F10:F44">
    <cfRule type="expression" priority="12" dxfId="5">
      <formula>$K10="DEPLETED"</formula>
    </cfRule>
  </conditionalFormatting>
  <conditionalFormatting sqref="G10:G44">
    <cfRule type="expression" priority="13" dxfId="5">
      <formula>$K10="DEPLETED"</formula>
    </cfRule>
  </conditionalFormatting>
  <conditionalFormatting sqref="H10:H44">
    <cfRule type="expression" priority="14" dxfId="5">
      <formula>$K10="DEPLETED"</formula>
    </cfRule>
  </conditionalFormatting>
  <conditionalFormatting sqref="I10:I44">
    <cfRule type="expression" priority="15" dxfId="5">
      <formula>$K10="DEPLETED"</formula>
    </cfRule>
  </conditionalFormatting>
  <conditionalFormatting sqref="J10:J44">
    <cfRule type="expression" priority="16" dxfId="5">
      <formula>$K10="DEPLETED"</formula>
    </cfRule>
  </conditionalFormatting>
  <conditionalFormatting sqref="L10:L44">
    <cfRule type="expression" priority="17" dxfId="5">
      <formula>$K10="DEPLETED"</formula>
    </cfRule>
  </conditionalFormatting>
  <conditionalFormatting sqref="M10:M44">
    <cfRule type="expression" priority="18" dxfId="5">
      <formula>$K10="DEPLETED"</formula>
    </cfRule>
  </conditionalFormatting>
  <conditionalFormatting sqref="I49:I63">
    <cfRule type="expression" priority="19" dxfId="0">
      <formula>I49="DEPLETED"</formula>
    </cfRule>
    <cfRule type="expression" priority="20" dxfId="1">
      <formula>I49="TODAY!"</formula>
    </cfRule>
    <cfRule type="expression" priority="21" dxfId="2">
      <formula>I49="URGENT"</formula>
    </cfRule>
    <cfRule type="expression" priority="22" dxfId="3">
      <formula>I49="LOW"</formula>
    </cfRule>
    <cfRule type="expression" priority="23" dxfId="4">
      <formula>I49="OK"</formula>
    </cfRule>
  </conditionalFormatting>
  <conditionalFormatting sqref="B83:B92">
    <cfRule type="expression" priority="24" dxfId="0">
      <formula>B83="DEPLETED"</formula>
    </cfRule>
    <cfRule type="expression" priority="25" dxfId="1">
      <formula>B83="TODAY!"</formula>
    </cfRule>
    <cfRule type="expression" priority="26" dxfId="2">
      <formula>B83="URGENT"</formula>
    </cfRule>
    <cfRule type="expression" priority="27" dxfId="3">
      <formula>B83="LOW"</formula>
    </cfRule>
    <cfRule type="expression" priority="28" dxfId="4">
      <formula>B83="OK"</formula>
    </cfRule>
  </conditionalFormatting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tabColor rgb="FF40404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5" customWidth="1" style="168" min="1" max="1"/>
    <col width="20" customWidth="1" style="168" min="2" max="2"/>
    <col width="40" customWidth="1" style="168" min="3" max="3"/>
    <col width="8.710000000000001" customWidth="1" style="168" min="4" max="6"/>
  </cols>
  <sheetData>
    <row r="1">
      <c r="A1" s="101" t="inlineStr">
        <is>
          <t>SETTINGS &amp; CONFIGURATION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02" t="inlineStr">
        <is>
          <t>Parameter</t>
        </is>
      </c>
      <c r="B2" s="102" t="inlineStr">
        <is>
          <t>Value</t>
        </is>
      </c>
      <c r="C2" s="102" t="inlineStr">
        <is>
          <t>Description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03" t="inlineStr">
        <is>
          <t>Tracker Year</t>
        </is>
      </c>
      <c r="B3" s="104" t="n">
        <v>2026</v>
      </c>
      <c r="C3" s="19" t="inlineStr">
        <is>
          <t>Year for all calculations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03" t="inlineStr">
        <is>
          <t>GBP to INR Exchange Rate</t>
        </is>
      </c>
      <c r="B4" s="104" t="n">
        <v>123</v>
      </c>
      <c r="C4" s="19" t="inlineStr">
        <is>
          <t>Update manually as needed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03" t="inlineStr">
        <is>
          <t>INR to GBP Exchange Rate</t>
        </is>
      </c>
      <c r="B5" s="105">
        <f>IF(B4=0,"",1/B4)</f>
        <v/>
      </c>
      <c r="C5" s="19" t="inlineStr">
        <is>
          <t>Auto-calculated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03" t="inlineStr">
        <is>
          <t>Default Currency</t>
        </is>
      </c>
      <c r="B6" s="104" t="inlineStr">
        <is>
          <t>GBP</t>
        </is>
      </c>
      <c r="C6" s="19" t="inlineStr">
        <is>
          <t>Your primary currency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103" t="inlineStr">
        <is>
          <t>Date Format</t>
        </is>
      </c>
      <c r="B7" s="104" t="inlineStr">
        <is>
          <t>DD/MM/YYYY</t>
        </is>
      </c>
      <c r="C7" s="19" t="inlineStr">
        <is>
          <t>Used across all sheets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03" t="inlineStr">
        <is>
          <t>Budget Alert Threshold</t>
        </is>
      </c>
      <c r="B8" s="106" t="n">
        <v>0.8</v>
      </c>
      <c r="C8" s="19" t="inlineStr">
        <is>
          <t>Warn at 80% of budget (0.0 to 1.0)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107" t="inlineStr">
        <is>
          <t>Version</t>
        </is>
      </c>
      <c r="B11" s="108" t="inlineStr">
        <is>
          <t>4.0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07" t="inlineStr">
        <is>
          <t>Last Updated</t>
        </is>
      </c>
      <c r="B12" s="109" t="n">
        <v>46119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6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6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6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6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6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6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6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6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6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6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6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6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6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6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6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6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6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6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6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6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6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6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6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6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6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6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6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6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6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6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6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6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6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6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6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6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6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6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6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6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6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6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6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6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6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6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6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6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6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6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6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6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6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6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6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6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6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6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6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6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6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6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6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6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6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6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6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6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6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6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6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6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6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6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6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6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6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6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6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6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6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6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6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6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6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6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6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6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6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6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6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6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6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6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6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6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6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6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6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6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6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6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6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6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6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6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6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6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6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6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6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6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6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6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6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6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6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6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6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6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6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6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6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6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6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6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6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6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6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6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6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6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6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6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6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6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6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6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6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6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6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6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6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6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6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6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6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6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6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6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6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6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6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6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6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6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6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6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6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6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6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6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6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6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6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6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6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6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6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6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6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6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6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6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6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6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6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6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6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6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6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6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6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6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6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6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6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6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6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6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6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6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6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6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6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6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6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6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6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6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6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6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6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6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6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6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6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6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6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6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6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6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6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6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6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6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6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6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6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6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6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6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6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6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6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6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6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6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6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6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6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6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6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6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6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6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6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6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6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6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6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6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6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6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6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6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6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6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6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6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6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6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6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6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6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6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6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6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6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6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6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6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6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6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6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6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6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6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6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6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6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6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6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6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6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6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6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6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6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6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6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6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6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6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6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6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6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6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6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6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6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6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6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6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6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6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6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6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6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6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6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6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6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6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6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6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6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6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6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6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6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6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6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6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6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6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6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6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6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6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6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6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6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6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6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6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6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6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6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6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6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6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6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6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6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6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6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6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6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6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6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6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6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6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6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6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6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6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6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6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6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6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6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6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6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6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6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6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6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6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6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6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6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6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6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6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6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6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6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6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6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6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6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6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6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6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6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6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6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6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6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6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6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6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6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6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6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6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6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6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6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6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6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6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6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6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6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6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6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6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6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6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6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6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6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6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6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6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6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6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6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6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6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6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6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6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6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6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6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6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6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6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6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6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6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6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6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6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6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6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6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6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6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6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6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6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6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6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6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6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6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6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6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6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6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6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6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6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6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6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6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6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6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6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6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6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6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6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6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6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6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6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6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6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6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6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6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6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6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6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6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6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6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6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6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6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6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6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6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6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6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6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6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6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6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6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6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6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6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6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6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6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6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6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6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6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6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6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6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6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6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6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6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6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6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6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6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6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6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6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6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6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6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6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6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6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6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6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6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6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6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6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6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6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6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6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6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6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6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6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6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6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6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6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6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6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6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6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6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6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6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6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6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6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6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6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6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6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6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6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6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6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6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6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6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6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6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6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6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6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6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6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6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6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6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6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6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6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6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6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6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6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6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6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6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6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6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6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6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6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6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6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6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6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6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6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6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6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6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6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6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6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6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6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6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6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6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6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6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6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6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6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6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6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6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6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6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6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6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6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6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6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6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6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6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6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6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6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6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6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6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6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6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6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6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6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6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6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6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6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6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6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6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6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6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6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6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6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6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6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6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6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6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6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6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6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6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6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6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6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6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6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6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6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6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6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6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6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6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6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6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6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6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6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6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6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6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6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6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6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6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6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6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6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6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6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6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6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6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6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6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6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6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6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6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6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6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6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6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6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6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6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6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6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6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6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6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6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6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6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6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6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6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6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6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6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6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6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6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6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6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6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6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6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6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6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6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6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6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6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6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6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6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6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6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6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6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6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6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6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6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6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6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6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6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6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6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6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6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6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6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6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6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6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6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6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6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6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6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6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6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6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6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6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6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6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6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6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6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6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6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6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6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6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6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6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6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6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6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6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6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6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6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6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6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6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6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6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6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6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6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6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6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6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6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6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6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6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6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6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6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6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6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6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6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6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6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6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6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6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6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6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6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6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6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6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6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6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6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6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6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6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6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6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6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6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6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6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6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6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6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6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6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6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6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6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6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6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6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6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6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6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6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6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6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6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6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6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6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6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6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6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6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6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6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6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6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6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6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6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6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6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6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6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6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6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6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6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6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6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6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6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6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6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6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6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6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6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6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6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6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6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6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6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6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6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6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6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6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6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6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6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6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6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6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6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6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6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6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6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6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6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6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6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6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6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6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6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6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6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6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6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6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6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6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6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6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6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6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6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6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6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6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6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6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6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6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6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6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6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6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6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6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6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6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6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6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6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6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6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6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6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6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6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6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6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6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6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6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6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6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6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6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6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6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6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6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6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6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6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6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6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6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6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6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6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6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6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6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6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6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6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6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6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6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6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6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6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6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6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">
    <mergeCell ref="A1:D1"/>
  </mergeCell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tabColor rgb="FF4472C4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8" customWidth="1" style="168" min="1" max="1"/>
    <col width="18" customWidth="1" style="168" min="2" max="2"/>
    <col width="10" customWidth="1" style="168" min="3" max="3"/>
    <col width="18" customWidth="1" style="168" min="4" max="4"/>
    <col hidden="1" width="20" customWidth="1" style="168" min="5" max="5"/>
    <col width="28" customWidth="1" style="168" min="6" max="6"/>
    <col width="10" customWidth="1" style="168" min="7" max="7"/>
    <col width="14" customWidth="1" style="168" min="8" max="8"/>
    <col width="30" customWidth="1" style="168" min="9" max="9"/>
  </cols>
  <sheetData>
    <row r="1">
      <c r="A1" s="101" t="inlineStr">
        <is>
          <t>MASTER ACCOUNT LIST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10" t="inlineStr">
        <is>
          <t>Account Name</t>
        </is>
      </c>
      <c r="B2" s="110" t="inlineStr">
        <is>
          <t>Account Type</t>
        </is>
      </c>
      <c r="C2" s="110" t="inlineStr">
        <is>
          <t>Currency</t>
        </is>
      </c>
      <c r="D2" s="110" t="inlineStr">
        <is>
          <t>Card Last 4 Digits</t>
        </is>
      </c>
      <c r="E2" s="110" t="inlineStr">
        <is>
          <t>Bank/Provider</t>
        </is>
      </c>
      <c r="F2" s="110" t="inlineStr">
        <is>
          <t>Opening Balance / Credit Limit</t>
        </is>
      </c>
      <c r="G2" s="110" t="inlineStr">
        <is>
          <t>Status</t>
        </is>
      </c>
      <c r="H2" s="110" t="inlineStr">
        <is>
          <t>Date Opened</t>
        </is>
      </c>
      <c r="I2" s="110" t="inlineStr">
        <is>
          <t>Notes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03" t="inlineStr">
        <is>
          <t>Lloyds Bank (GBP)</t>
        </is>
      </c>
      <c r="B3" s="19" t="inlineStr">
        <is>
          <t>Bank Account</t>
        </is>
      </c>
      <c r="C3" s="19" t="inlineStr">
        <is>
          <t>GBP</t>
        </is>
      </c>
      <c r="D3" s="111" t="n"/>
      <c r="E3" s="111" t="inlineStr">
        <is>
          <t>LLYODS Bank</t>
        </is>
      </c>
      <c r="F3" s="112" t="n">
        <v>79.91</v>
      </c>
      <c r="G3" s="19" t="inlineStr">
        <is>
          <t>Active</t>
        </is>
      </c>
      <c r="H3" s="113" t="n"/>
      <c r="I3" s="111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14" t="inlineStr">
        <is>
          <t>HSBC Bank (GBP)</t>
        </is>
      </c>
      <c r="B4" s="115" t="inlineStr">
        <is>
          <t>Bank Account</t>
        </is>
      </c>
      <c r="C4" s="115" t="inlineStr">
        <is>
          <t>GBP</t>
        </is>
      </c>
      <c r="D4" s="111" t="n"/>
      <c r="E4" s="111" t="n"/>
      <c r="F4" s="112" t="n">
        <v>1754.79</v>
      </c>
      <c r="G4" s="115" t="inlineStr">
        <is>
          <t>Active</t>
        </is>
      </c>
      <c r="H4" s="113" t="n"/>
      <c r="I4" s="111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03" t="inlineStr">
        <is>
          <t>Barclays Bank (GBP)</t>
        </is>
      </c>
      <c r="B5" s="19" t="inlineStr">
        <is>
          <t>Bank Account</t>
        </is>
      </c>
      <c r="C5" s="19" t="inlineStr">
        <is>
          <t>GBP</t>
        </is>
      </c>
      <c r="D5" s="111" t="n"/>
      <c r="E5" s="111" t="n"/>
      <c r="F5" s="112" t="n">
        <v>181.73</v>
      </c>
      <c r="G5" s="19" t="inlineStr">
        <is>
          <t>Active</t>
        </is>
      </c>
      <c r="H5" s="113" t="n"/>
      <c r="I5" s="111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08" t="inlineStr">
        <is>
          <t>Halifax Bank (GBP)</t>
        </is>
      </c>
      <c r="B6" s="208" t="inlineStr">
        <is>
          <t>Bank Account</t>
        </is>
      </c>
      <c r="C6" s="208" t="inlineStr">
        <is>
          <t>GBP</t>
        </is>
      </c>
      <c r="D6" s="208" t="n"/>
      <c r="E6" s="208" t="n"/>
      <c r="F6" s="209" t="n">
        <v>362.67</v>
      </c>
      <c r="G6" s="208" t="inlineStr">
        <is>
          <t>Discontinued</t>
        </is>
      </c>
      <c r="H6" s="210" t="n"/>
      <c r="I6" s="208" t="inlineStr">
        <is>
          <t>Discontinued 16/05/2026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103" t="inlineStr">
        <is>
          <t>Klarna Pay (GBP)</t>
        </is>
      </c>
      <c r="B7" s="19" t="inlineStr">
        <is>
          <t>Bank Account</t>
        </is>
      </c>
      <c r="C7" s="19" t="inlineStr">
        <is>
          <t>GBP</t>
        </is>
      </c>
      <c r="D7" s="111" t="n"/>
      <c r="E7" s="111" t="n"/>
      <c r="F7" s="112" t="n">
        <v>27.62</v>
      </c>
      <c r="G7" s="19" t="inlineStr">
        <is>
          <t>Active</t>
        </is>
      </c>
      <c r="H7" s="113" t="n"/>
      <c r="I7" s="111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14" t="inlineStr">
        <is>
          <t>Capitol One Credit Card (GBP)</t>
        </is>
      </c>
      <c r="B8" s="115" t="inlineStr">
        <is>
          <t>Credit Card</t>
        </is>
      </c>
      <c r="C8" s="115" t="inlineStr">
        <is>
          <t>GBP</t>
        </is>
      </c>
      <c r="D8" s="111" t="n"/>
      <c r="E8" s="111" t="n"/>
      <c r="F8" s="112" t="n">
        <v>550</v>
      </c>
      <c r="G8" s="115" t="inlineStr">
        <is>
          <t>Active</t>
        </is>
      </c>
      <c r="H8" s="113" t="n"/>
      <c r="I8" s="111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03" t="inlineStr">
        <is>
          <t>HSBC Rewards Credit Card (GBP)</t>
        </is>
      </c>
      <c r="B9" s="19" t="inlineStr">
        <is>
          <t>Credit Card</t>
        </is>
      </c>
      <c r="C9" s="19" t="inlineStr">
        <is>
          <t>GBP</t>
        </is>
      </c>
      <c r="D9" s="111" t="n"/>
      <c r="E9" s="111" t="n"/>
      <c r="F9" s="112" t="n">
        <v>6000</v>
      </c>
      <c r="G9" s="19" t="inlineStr">
        <is>
          <t>Active</t>
        </is>
      </c>
      <c r="H9" s="113" t="n"/>
      <c r="I9" s="111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114" t="inlineStr">
        <is>
          <t>Barclays Rewards Credit Card (GBP)</t>
        </is>
      </c>
      <c r="B10" s="115" t="inlineStr">
        <is>
          <t>Credit Card</t>
        </is>
      </c>
      <c r="C10" s="115" t="inlineStr">
        <is>
          <t>GBP</t>
        </is>
      </c>
      <c r="D10" s="111" t="n"/>
      <c r="E10" s="111" t="n"/>
      <c r="F10" s="112" t="n">
        <v>3500</v>
      </c>
      <c r="G10" s="115" t="inlineStr">
        <is>
          <t>Active</t>
        </is>
      </c>
      <c r="H10" s="113" t="n"/>
      <c r="I10" s="111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103" t="inlineStr">
        <is>
          <t>Klarna Pay Later (GBP)</t>
        </is>
      </c>
      <c r="B11" s="19" t="inlineStr">
        <is>
          <t>Pay Later</t>
        </is>
      </c>
      <c r="C11" s="19" t="inlineStr">
        <is>
          <t>GBP</t>
        </is>
      </c>
      <c r="D11" s="111" t="n"/>
      <c r="E11" s="111" t="n"/>
      <c r="F11" s="112" t="n"/>
      <c r="G11" s="19" t="inlineStr">
        <is>
          <t>Active</t>
        </is>
      </c>
      <c r="H11" s="113" t="n"/>
      <c r="I11" s="111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14" t="inlineStr">
        <is>
          <t>Splitwise (GBP)</t>
        </is>
      </c>
      <c r="B12" s="115" t="inlineStr">
        <is>
          <t>Expense Sharing</t>
        </is>
      </c>
      <c r="C12" s="115" t="inlineStr">
        <is>
          <t>GBP</t>
        </is>
      </c>
      <c r="D12" s="111" t="n"/>
      <c r="E12" s="111" t="n"/>
      <c r="F12" s="112" t="n"/>
      <c r="G12" s="115" t="inlineStr">
        <is>
          <t>Active</t>
        </is>
      </c>
      <c r="H12" s="113" t="n"/>
      <c r="I12" s="111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103" t="inlineStr">
        <is>
          <t>Oyster Travel Card (GBP)</t>
        </is>
      </c>
      <c r="B13" s="19" t="inlineStr">
        <is>
          <t>Travel Card</t>
        </is>
      </c>
      <c r="C13" s="19" t="inlineStr">
        <is>
          <t>GBP</t>
        </is>
      </c>
      <c r="D13" s="111" t="n"/>
      <c r="E13" s="111" t="n"/>
      <c r="F13" s="112" t="n">
        <v>78.7</v>
      </c>
      <c r="G13" s="19" t="inlineStr">
        <is>
          <t>Active</t>
        </is>
      </c>
      <c r="H13" s="113" t="n"/>
      <c r="I13" s="111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114" t="inlineStr">
        <is>
          <t>HDFC Bank (INR)</t>
        </is>
      </c>
      <c r="B14" s="115" t="inlineStr">
        <is>
          <t>Bank Account</t>
        </is>
      </c>
      <c r="C14" s="115" t="inlineStr">
        <is>
          <t>INR</t>
        </is>
      </c>
      <c r="D14" s="111" t="n"/>
      <c r="E14" s="111" t="n"/>
      <c r="F14" s="112" t="n">
        <v>75570.25999999999</v>
      </c>
      <c r="G14" s="115" t="inlineStr">
        <is>
          <t>Active</t>
        </is>
      </c>
      <c r="H14" s="113" t="n"/>
      <c r="I14" s="111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103" t="inlineStr">
        <is>
          <t>HDFC IOCL Credit Card (INR)</t>
        </is>
      </c>
      <c r="B15" s="19" t="inlineStr">
        <is>
          <t>Credit Card</t>
        </is>
      </c>
      <c r="C15" s="19" t="inlineStr">
        <is>
          <t>INR</t>
        </is>
      </c>
      <c r="D15" s="111" t="n"/>
      <c r="E15" s="111" t="n"/>
      <c r="F15" s="112" t="n">
        <v>25000</v>
      </c>
      <c r="G15" s="19" t="inlineStr">
        <is>
          <t>Active</t>
        </is>
      </c>
      <c r="H15" s="113" t="n"/>
      <c r="I15" s="111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114" t="inlineStr">
        <is>
          <t>HDFC Swiggy Credit Card (INR)</t>
        </is>
      </c>
      <c r="B16" s="115" t="inlineStr">
        <is>
          <t>Credit Card</t>
        </is>
      </c>
      <c r="C16" s="115" t="inlineStr">
        <is>
          <t>INR</t>
        </is>
      </c>
      <c r="D16" s="111" t="n"/>
      <c r="E16" s="111" t="n"/>
      <c r="F16" s="112" t="n">
        <v>25000</v>
      </c>
      <c r="G16" s="115" t="inlineStr">
        <is>
          <t>Active</t>
        </is>
      </c>
      <c r="H16" s="113" t="n"/>
      <c r="I16" s="111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103" t="inlineStr">
        <is>
          <t>Axis Airtel Credit Card (INR)</t>
        </is>
      </c>
      <c r="B17" s="19" t="inlineStr">
        <is>
          <t>Credit Card</t>
        </is>
      </c>
      <c r="C17" s="19" t="inlineStr">
        <is>
          <t>INR</t>
        </is>
      </c>
      <c r="D17" s="111" t="n"/>
      <c r="E17" s="111" t="n"/>
      <c r="F17" s="112" t="n">
        <v>110000</v>
      </c>
      <c r="G17" s="19" t="inlineStr">
        <is>
          <t>Active</t>
        </is>
      </c>
      <c r="H17" s="113" t="n"/>
      <c r="I17" s="111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11" t="inlineStr">
        <is>
          <t>Chase Bank (GBP)</t>
        </is>
      </c>
      <c r="B18" s="212" t="inlineStr">
        <is>
          <t>Bank Account</t>
        </is>
      </c>
      <c r="C18" s="212" t="inlineStr">
        <is>
          <t>GBP</t>
        </is>
      </c>
      <c r="D18" s="212" t="inlineStr"/>
      <c r="E18" s="212" t="inlineStr">
        <is>
          <t>Chase UK</t>
        </is>
      </c>
      <c r="F18" s="212" t="n">
        <v>0</v>
      </c>
      <c r="G18" s="212" t="inlineStr">
        <is>
          <t>Active</t>
        </is>
      </c>
      <c r="H18" s="212" t="inlineStr">
        <is>
          <t>16/05/2026</t>
        </is>
      </c>
      <c r="I18" s="212" t="inlineStr">
        <is>
          <t>New account</t>
        </is>
      </c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13" t="inlineStr">
        <is>
          <t>Monzo (GBP)</t>
        </is>
      </c>
      <c r="B19" s="214" t="inlineStr">
        <is>
          <t>Bank Account</t>
        </is>
      </c>
      <c r="C19" s="214" t="inlineStr">
        <is>
          <t>GBP</t>
        </is>
      </c>
      <c r="D19" s="214" t="inlineStr"/>
      <c r="E19" s="214" t="inlineStr">
        <is>
          <t>Monzo</t>
        </is>
      </c>
      <c r="F19" s="214" t="n">
        <v>0</v>
      </c>
      <c r="G19" s="214" t="inlineStr">
        <is>
          <t>Active</t>
        </is>
      </c>
      <c r="H19" s="214" t="inlineStr">
        <is>
          <t>16/05/2026</t>
        </is>
      </c>
      <c r="I19" s="214" t="inlineStr">
        <is>
          <t>New account</t>
        </is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111" t="n"/>
      <c r="B20" s="111" t="n"/>
      <c r="C20" s="111" t="n"/>
      <c r="D20" s="111" t="n"/>
      <c r="E20" s="111" t="n"/>
      <c r="F20" s="111" t="n"/>
      <c r="G20" s="111" t="n"/>
      <c r="H20" s="111" t="n"/>
      <c r="I20" s="111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68">
      <c r="A21" s="111" t="n"/>
      <c r="B21" s="111" t="n"/>
      <c r="C21" s="111" t="n"/>
      <c r="D21" s="111" t="n"/>
      <c r="E21" s="111" t="n"/>
      <c r="F21" s="111" t="n"/>
      <c r="G21" s="111" t="n"/>
      <c r="H21" s="111" t="n"/>
      <c r="I21" s="111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68">
      <c r="A22" s="111" t="n"/>
      <c r="B22" s="111" t="n"/>
      <c r="C22" s="111" t="n"/>
      <c r="D22" s="111" t="n"/>
      <c r="E22" s="111" t="n"/>
      <c r="F22" s="111" t="n"/>
      <c r="G22" s="111" t="n"/>
      <c r="H22" s="111" t="n"/>
      <c r="I22" s="111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68">
      <c r="A23" s="111" t="n"/>
      <c r="B23" s="111" t="n"/>
      <c r="C23" s="111" t="n"/>
      <c r="D23" s="111" t="n"/>
      <c r="E23" s="111" t="n"/>
      <c r="F23" s="111" t="n"/>
      <c r="G23" s="111" t="n"/>
      <c r="H23" s="111" t="n"/>
      <c r="I23" s="111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68">
      <c r="A24" s="111" t="n"/>
      <c r="B24" s="111" t="n"/>
      <c r="C24" s="111" t="n"/>
      <c r="D24" s="111" t="n"/>
      <c r="E24" s="111" t="n"/>
      <c r="F24" s="111" t="n"/>
      <c r="G24" s="111" t="n"/>
      <c r="H24" s="111" t="n"/>
      <c r="I24" s="111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68">
      <c r="A25" s="111" t="n"/>
      <c r="B25" s="111" t="n"/>
      <c r="C25" s="111" t="n"/>
      <c r="D25" s="111" t="n"/>
      <c r="E25" s="111" t="n"/>
      <c r="F25" s="111" t="n"/>
      <c r="G25" s="111" t="n"/>
      <c r="H25" s="111" t="n"/>
      <c r="I25" s="111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68">
      <c r="A26" s="111" t="n"/>
      <c r="B26" s="111" t="n"/>
      <c r="C26" s="111" t="n"/>
      <c r="D26" s="111" t="n"/>
      <c r="E26" s="111" t="n"/>
      <c r="F26" s="111" t="n"/>
      <c r="G26" s="111" t="n"/>
      <c r="H26" s="111" t="n"/>
      <c r="I26" s="111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68">
      <c r="A27" s="111" t="n"/>
      <c r="B27" s="111" t="n"/>
      <c r="C27" s="111" t="n"/>
      <c r="D27" s="111" t="n"/>
      <c r="E27" s="111" t="n"/>
      <c r="F27" s="111" t="n"/>
      <c r="G27" s="111" t="n"/>
      <c r="H27" s="111" t="n"/>
      <c r="I27" s="111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68">
      <c r="A28" s="111" t="n"/>
      <c r="B28" s="111" t="n"/>
      <c r="C28" s="111" t="n"/>
      <c r="D28" s="111" t="n"/>
      <c r="E28" s="111" t="n"/>
      <c r="F28" s="111" t="n"/>
      <c r="G28" s="111" t="n"/>
      <c r="H28" s="111" t="n"/>
      <c r="I28" s="111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68">
      <c r="A29" s="111" t="n"/>
      <c r="B29" s="111" t="n"/>
      <c r="C29" s="111" t="n"/>
      <c r="D29" s="111" t="n"/>
      <c r="E29" s="111" t="n"/>
      <c r="F29" s="111" t="n"/>
      <c r="G29" s="111" t="n"/>
      <c r="H29" s="111" t="n"/>
      <c r="I29" s="111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68">
      <c r="A30" s="111" t="n"/>
      <c r="B30" s="111" t="n"/>
      <c r="C30" s="111" t="n"/>
      <c r="D30" s="111" t="n"/>
      <c r="E30" s="111" t="n"/>
      <c r="F30" s="111" t="n"/>
      <c r="G30" s="111" t="n"/>
      <c r="H30" s="111" t="n"/>
      <c r="I30" s="111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68">
      <c r="A31" s="111" t="n"/>
      <c r="B31" s="111" t="n"/>
      <c r="C31" s="111" t="n"/>
      <c r="D31" s="111" t="n"/>
      <c r="E31" s="111" t="n"/>
      <c r="F31" s="111" t="n"/>
      <c r="G31" s="111" t="n"/>
      <c r="H31" s="111" t="n"/>
      <c r="I31" s="111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68">
      <c r="A32" s="111" t="n"/>
      <c r="B32" s="111" t="n"/>
      <c r="C32" s="111" t="n"/>
      <c r="D32" s="111" t="n"/>
      <c r="E32" s="111" t="n"/>
      <c r="F32" s="111" t="n"/>
      <c r="G32" s="111" t="n"/>
      <c r="H32" s="111" t="n"/>
      <c r="I32" s="111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68">
      <c r="A33" s="111" t="n"/>
      <c r="B33" s="111" t="n"/>
      <c r="C33" s="111" t="n"/>
      <c r="D33" s="111" t="n"/>
      <c r="E33" s="111" t="n"/>
      <c r="F33" s="111" t="n"/>
      <c r="G33" s="111" t="n"/>
      <c r="H33" s="111" t="n"/>
      <c r="I33" s="111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68">
      <c r="A34" s="111" t="n"/>
      <c r="B34" s="111" t="n"/>
      <c r="C34" s="111" t="n"/>
      <c r="D34" s="111" t="n"/>
      <c r="E34" s="111" t="n"/>
      <c r="F34" s="111" t="n"/>
      <c r="G34" s="111" t="n"/>
      <c r="H34" s="111" t="n"/>
      <c r="I34" s="111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68">
      <c r="A35" s="111" t="n"/>
      <c r="B35" s="111" t="n"/>
      <c r="C35" s="111" t="n"/>
      <c r="D35" s="111" t="n"/>
      <c r="E35" s="111" t="n"/>
      <c r="F35" s="111" t="n"/>
      <c r="G35" s="111" t="n"/>
      <c r="H35" s="111" t="n"/>
      <c r="I35" s="111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68">
      <c r="A36" s="111" t="n"/>
      <c r="B36" s="111" t="n"/>
      <c r="C36" s="111" t="n"/>
      <c r="D36" s="111" t="n"/>
      <c r="E36" s="111" t="n"/>
      <c r="F36" s="111" t="n"/>
      <c r="G36" s="111" t="n"/>
      <c r="H36" s="111" t="n"/>
      <c r="I36" s="111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68">
      <c r="A37" s="111" t="n"/>
      <c r="B37" s="111" t="n"/>
      <c r="C37" s="111" t="n"/>
      <c r="D37" s="111" t="n"/>
      <c r="E37" s="111" t="n"/>
      <c r="F37" s="111" t="n"/>
      <c r="G37" s="111" t="n"/>
      <c r="H37" s="111" t="n"/>
      <c r="I37" s="111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68">
      <c r="A38" s="111" t="n"/>
      <c r="B38" s="111" t="n"/>
      <c r="C38" s="111" t="n"/>
      <c r="D38" s="111" t="n"/>
      <c r="E38" s="111" t="n"/>
      <c r="F38" s="111" t="n"/>
      <c r="G38" s="111" t="n"/>
      <c r="H38" s="111" t="n"/>
      <c r="I38" s="111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68">
      <c r="A39" s="111" t="n"/>
      <c r="B39" s="111" t="n"/>
      <c r="C39" s="111" t="n"/>
      <c r="D39" s="111" t="n"/>
      <c r="E39" s="111" t="n"/>
      <c r="F39" s="111" t="n"/>
      <c r="G39" s="111" t="n"/>
      <c r="H39" s="111" t="n"/>
      <c r="I39" s="111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68">
      <c r="A40" s="111" t="n"/>
      <c r="B40" s="111" t="n"/>
      <c r="C40" s="111" t="n"/>
      <c r="D40" s="111" t="n"/>
      <c r="E40" s="111" t="n"/>
      <c r="F40" s="111" t="n"/>
      <c r="G40" s="111" t="n"/>
      <c r="H40" s="111" t="n"/>
      <c r="I40" s="111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68">
      <c r="A41" s="111" t="n"/>
      <c r="B41" s="111" t="n"/>
      <c r="C41" s="111" t="n"/>
      <c r="D41" s="111" t="n"/>
      <c r="E41" s="111" t="n"/>
      <c r="F41" s="111" t="n"/>
      <c r="G41" s="111" t="n"/>
      <c r="H41" s="111" t="n"/>
      <c r="I41" s="111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68">
      <c r="A42" s="111" t="n"/>
      <c r="B42" s="111" t="n"/>
      <c r="C42" s="111" t="n"/>
      <c r="D42" s="111" t="n"/>
      <c r="E42" s="111" t="n"/>
      <c r="F42" s="111" t="n"/>
      <c r="G42" s="111" t="n"/>
      <c r="H42" s="111" t="n"/>
      <c r="I42" s="111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68">
      <c r="A43" s="111" t="n"/>
      <c r="B43" s="111" t="n"/>
      <c r="C43" s="111" t="n"/>
      <c r="D43" s="111" t="n"/>
      <c r="E43" s="111" t="n"/>
      <c r="F43" s="111" t="n"/>
      <c r="G43" s="111" t="n"/>
      <c r="H43" s="111" t="n"/>
      <c r="I43" s="111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68">
      <c r="A44" s="111" t="n"/>
      <c r="B44" s="111" t="n"/>
      <c r="C44" s="111" t="n"/>
      <c r="D44" s="111" t="n"/>
      <c r="E44" s="111" t="n"/>
      <c r="F44" s="111" t="n"/>
      <c r="G44" s="111" t="n"/>
      <c r="H44" s="111" t="n"/>
      <c r="I44" s="111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68">
      <c r="A45" s="111" t="n"/>
      <c r="B45" s="111" t="n"/>
      <c r="C45" s="111" t="n"/>
      <c r="D45" s="111" t="n"/>
      <c r="E45" s="111" t="n"/>
      <c r="F45" s="111" t="n"/>
      <c r="G45" s="111" t="n"/>
      <c r="H45" s="111" t="n"/>
      <c r="I45" s="111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68">
      <c r="A46" s="111" t="n"/>
      <c r="B46" s="111" t="n"/>
      <c r="C46" s="111" t="n"/>
      <c r="D46" s="111" t="n"/>
      <c r="E46" s="111" t="n"/>
      <c r="F46" s="111" t="n"/>
      <c r="G46" s="111" t="n"/>
      <c r="H46" s="111" t="n"/>
      <c r="I46" s="111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68">
      <c r="A47" s="111" t="n"/>
      <c r="B47" s="111" t="n"/>
      <c r="C47" s="111" t="n"/>
      <c r="D47" s="111" t="n"/>
      <c r="E47" s="111" t="n"/>
      <c r="F47" s="111" t="n"/>
      <c r="G47" s="111" t="n"/>
      <c r="H47" s="111" t="n"/>
      <c r="I47" s="111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68">
      <c r="A48" s="111" t="n"/>
      <c r="B48" s="111" t="n"/>
      <c r="C48" s="111" t="n"/>
      <c r="D48" s="111" t="n"/>
      <c r="E48" s="111" t="n"/>
      <c r="F48" s="111" t="n"/>
      <c r="G48" s="111" t="n"/>
      <c r="H48" s="111" t="n"/>
      <c r="I48" s="111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68">
      <c r="A49" s="111" t="n"/>
      <c r="B49" s="111" t="n"/>
      <c r="C49" s="111" t="n"/>
      <c r="D49" s="111" t="n"/>
      <c r="E49" s="111" t="n"/>
      <c r="F49" s="111" t="n"/>
      <c r="G49" s="111" t="n"/>
      <c r="H49" s="111" t="n"/>
      <c r="I49" s="111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68">
      <c r="A50" s="111" t="n"/>
      <c r="B50" s="111" t="n"/>
      <c r="C50" s="111" t="n"/>
      <c r="D50" s="111" t="n"/>
      <c r="E50" s="111" t="n"/>
      <c r="F50" s="111" t="n"/>
      <c r="G50" s="111" t="n"/>
      <c r="H50" s="111" t="n"/>
      <c r="I50" s="111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68">
      <c r="A51" s="111" t="n"/>
      <c r="B51" s="111" t="n"/>
      <c r="C51" s="111" t="n"/>
      <c r="D51" s="111" t="n"/>
      <c r="E51" s="111" t="n"/>
      <c r="F51" s="111" t="n"/>
      <c r="G51" s="111" t="n"/>
      <c r="H51" s="111" t="n"/>
      <c r="I51" s="111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68">
      <c r="A52" s="111" t="n"/>
      <c r="B52" s="111" t="n"/>
      <c r="C52" s="111" t="n"/>
      <c r="D52" s="111" t="n"/>
      <c r="E52" s="111" t="n"/>
      <c r="F52" s="111" t="n"/>
      <c r="G52" s="111" t="n"/>
      <c r="H52" s="111" t="n"/>
      <c r="I52" s="111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68">
      <c r="A53" s="111" t="n"/>
      <c r="B53" s="111" t="n"/>
      <c r="C53" s="111" t="n"/>
      <c r="D53" s="111" t="n"/>
      <c r="E53" s="111" t="n"/>
      <c r="F53" s="111" t="n"/>
      <c r="G53" s="111" t="n"/>
      <c r="H53" s="111" t="n"/>
      <c r="I53" s="111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68">
      <c r="A54" s="111" t="n"/>
      <c r="B54" s="111" t="n"/>
      <c r="C54" s="111" t="n"/>
      <c r="D54" s="111" t="n"/>
      <c r="E54" s="111" t="n"/>
      <c r="F54" s="111" t="n"/>
      <c r="G54" s="111" t="n"/>
      <c r="H54" s="111" t="n"/>
      <c r="I54" s="111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68">
      <c r="A55" s="111" t="n"/>
      <c r="B55" s="111" t="n"/>
      <c r="C55" s="111" t="n"/>
      <c r="D55" s="111" t="n"/>
      <c r="E55" s="111" t="n"/>
      <c r="F55" s="111" t="n"/>
      <c r="G55" s="111" t="n"/>
      <c r="H55" s="111" t="n"/>
      <c r="I55" s="111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68">
      <c r="A56" s="111" t="n"/>
      <c r="B56" s="111" t="n"/>
      <c r="C56" s="111" t="n"/>
      <c r="D56" s="111" t="n"/>
      <c r="E56" s="111" t="n"/>
      <c r="F56" s="111" t="n"/>
      <c r="G56" s="111" t="n"/>
      <c r="H56" s="111" t="n"/>
      <c r="I56" s="111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68">
      <c r="A57" s="111" t="n"/>
      <c r="B57" s="111" t="n"/>
      <c r="C57" s="111" t="n"/>
      <c r="D57" s="111" t="n"/>
      <c r="E57" s="111" t="n"/>
      <c r="F57" s="111" t="n"/>
      <c r="G57" s="111" t="n"/>
      <c r="H57" s="111" t="n"/>
      <c r="I57" s="111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68">
      <c r="A58" s="111" t="n"/>
      <c r="B58" s="111" t="n"/>
      <c r="C58" s="111" t="n"/>
      <c r="D58" s="111" t="n"/>
      <c r="E58" s="111" t="n"/>
      <c r="F58" s="111" t="n"/>
      <c r="G58" s="111" t="n"/>
      <c r="H58" s="111" t="n"/>
      <c r="I58" s="111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68">
      <c r="A59" s="111" t="n"/>
      <c r="B59" s="111" t="n"/>
      <c r="C59" s="111" t="n"/>
      <c r="D59" s="111" t="n"/>
      <c r="E59" s="111" t="n"/>
      <c r="F59" s="111" t="n"/>
      <c r="G59" s="111" t="n"/>
      <c r="H59" s="111" t="n"/>
      <c r="I59" s="111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68">
      <c r="A60" s="111" t="n"/>
      <c r="B60" s="111" t="n"/>
      <c r="C60" s="111" t="n"/>
      <c r="D60" s="111" t="n"/>
      <c r="E60" s="111" t="n"/>
      <c r="F60" s="111" t="n"/>
      <c r="G60" s="111" t="n"/>
      <c r="H60" s="111" t="n"/>
      <c r="I60" s="111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68">
      <c r="A61" s="111" t="n"/>
      <c r="B61" s="111" t="n"/>
      <c r="C61" s="111" t="n"/>
      <c r="D61" s="111" t="n"/>
      <c r="E61" s="111" t="n"/>
      <c r="F61" s="111" t="n"/>
      <c r="G61" s="111" t="n"/>
      <c r="H61" s="111" t="n"/>
      <c r="I61" s="111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68">
      <c r="A62" s="111" t="n"/>
      <c r="B62" s="111" t="n"/>
      <c r="C62" s="111" t="n"/>
      <c r="D62" s="111" t="n"/>
      <c r="E62" s="111" t="n"/>
      <c r="F62" s="111" t="n"/>
      <c r="G62" s="111" t="n"/>
      <c r="H62" s="111" t="n"/>
      <c r="I62" s="111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68">
      <c r="A63" s="111" t="n"/>
      <c r="B63" s="111" t="n"/>
      <c r="C63" s="111" t="n"/>
      <c r="D63" s="111" t="n"/>
      <c r="E63" s="111" t="n"/>
      <c r="F63" s="111" t="n"/>
      <c r="G63" s="111" t="n"/>
      <c r="H63" s="111" t="n"/>
      <c r="I63" s="111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68">
      <c r="A64" s="111" t="n"/>
      <c r="B64" s="111" t="n"/>
      <c r="C64" s="111" t="n"/>
      <c r="D64" s="111" t="n"/>
      <c r="E64" s="111" t="n"/>
      <c r="F64" s="111" t="n"/>
      <c r="G64" s="111" t="n"/>
      <c r="H64" s="111" t="n"/>
      <c r="I64" s="111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68">
      <c r="A65" s="111" t="n"/>
      <c r="B65" s="111" t="n"/>
      <c r="C65" s="111" t="n"/>
      <c r="D65" s="111" t="n"/>
      <c r="E65" s="111" t="n"/>
      <c r="F65" s="111" t="n"/>
      <c r="G65" s="111" t="n"/>
      <c r="H65" s="111" t="n"/>
      <c r="I65" s="111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68">
      <c r="A66" s="111" t="n"/>
      <c r="B66" s="111" t="n"/>
      <c r="C66" s="111" t="n"/>
      <c r="D66" s="111" t="n"/>
      <c r="E66" s="111" t="n"/>
      <c r="F66" s="111" t="n"/>
      <c r="G66" s="111" t="n"/>
      <c r="H66" s="111" t="n"/>
      <c r="I66" s="111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68">
      <c r="A67" s="111" t="n"/>
      <c r="B67" s="111" t="n"/>
      <c r="C67" s="111" t="n"/>
      <c r="D67" s="111" t="n"/>
      <c r="E67" s="111" t="n"/>
      <c r="F67" s="111" t="n"/>
      <c r="G67" s="111" t="n"/>
      <c r="H67" s="111" t="n"/>
      <c r="I67" s="111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68">
      <c r="A68" s="111" t="n"/>
      <c r="B68" s="111" t="n"/>
      <c r="C68" s="111" t="n"/>
      <c r="D68" s="111" t="n"/>
      <c r="E68" s="111" t="n"/>
      <c r="F68" s="111" t="n"/>
      <c r="G68" s="111" t="n"/>
      <c r="H68" s="111" t="n"/>
      <c r="I68" s="111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68">
      <c r="A69" s="111" t="n"/>
      <c r="B69" s="111" t="n"/>
      <c r="C69" s="111" t="n"/>
      <c r="D69" s="111" t="n"/>
      <c r="E69" s="111" t="n"/>
      <c r="F69" s="111" t="n"/>
      <c r="G69" s="111" t="n"/>
      <c r="H69" s="111" t="n"/>
      <c r="I69" s="111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68">
      <c r="A70" s="111" t="n"/>
      <c r="B70" s="111" t="n"/>
      <c r="C70" s="111" t="n"/>
      <c r="D70" s="111" t="n"/>
      <c r="E70" s="111" t="n"/>
      <c r="F70" s="111" t="n"/>
      <c r="G70" s="111" t="n"/>
      <c r="H70" s="111" t="n"/>
      <c r="I70" s="111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68">
      <c r="A71" s="111" t="n"/>
      <c r="B71" s="111" t="n"/>
      <c r="C71" s="111" t="n"/>
      <c r="D71" s="111" t="n"/>
      <c r="E71" s="111" t="n"/>
      <c r="F71" s="111" t="n"/>
      <c r="G71" s="111" t="n"/>
      <c r="H71" s="111" t="n"/>
      <c r="I71" s="111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68">
      <c r="A72" s="111" t="n"/>
      <c r="B72" s="111" t="n"/>
      <c r="C72" s="111" t="n"/>
      <c r="D72" s="111" t="n"/>
      <c r="E72" s="111" t="n"/>
      <c r="F72" s="111" t="n"/>
      <c r="G72" s="111" t="n"/>
      <c r="H72" s="111" t="n"/>
      <c r="I72" s="111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68">
      <c r="A73" s="111" t="n"/>
      <c r="B73" s="111" t="n"/>
      <c r="C73" s="111" t="n"/>
      <c r="D73" s="111" t="n"/>
      <c r="E73" s="111" t="n"/>
      <c r="F73" s="111" t="n"/>
      <c r="G73" s="111" t="n"/>
      <c r="H73" s="111" t="n"/>
      <c r="I73" s="111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68">
      <c r="A74" s="111" t="n"/>
      <c r="B74" s="111" t="n"/>
      <c r="C74" s="111" t="n"/>
      <c r="D74" s="111" t="n"/>
      <c r="E74" s="111" t="n"/>
      <c r="F74" s="111" t="n"/>
      <c r="G74" s="111" t="n"/>
      <c r="H74" s="111" t="n"/>
      <c r="I74" s="111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68">
      <c r="A75" s="111" t="n"/>
      <c r="B75" s="111" t="n"/>
      <c r="C75" s="111" t="n"/>
      <c r="D75" s="111" t="n"/>
      <c r="E75" s="111" t="n"/>
      <c r="F75" s="111" t="n"/>
      <c r="G75" s="111" t="n"/>
      <c r="H75" s="111" t="n"/>
      <c r="I75" s="111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68">
      <c r="A76" s="111" t="n"/>
      <c r="B76" s="111" t="n"/>
      <c r="C76" s="111" t="n"/>
      <c r="D76" s="111" t="n"/>
      <c r="E76" s="111" t="n"/>
      <c r="F76" s="111" t="n"/>
      <c r="G76" s="111" t="n"/>
      <c r="H76" s="111" t="n"/>
      <c r="I76" s="111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68">
      <c r="A77" s="111" t="n"/>
      <c r="B77" s="111" t="n"/>
      <c r="C77" s="111" t="n"/>
      <c r="D77" s="111" t="n"/>
      <c r="E77" s="111" t="n"/>
      <c r="F77" s="111" t="n"/>
      <c r="G77" s="111" t="n"/>
      <c r="H77" s="111" t="n"/>
      <c r="I77" s="111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68">
      <c r="A78" s="111" t="n"/>
      <c r="B78" s="111" t="n"/>
      <c r="C78" s="111" t="n"/>
      <c r="D78" s="111" t="n"/>
      <c r="E78" s="111" t="n"/>
      <c r="F78" s="111" t="n"/>
      <c r="G78" s="111" t="n"/>
      <c r="H78" s="111" t="n"/>
      <c r="I78" s="111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68">
      <c r="A79" s="111" t="n"/>
      <c r="B79" s="111" t="n"/>
      <c r="C79" s="111" t="n"/>
      <c r="D79" s="111" t="n"/>
      <c r="E79" s="111" t="n"/>
      <c r="F79" s="111" t="n"/>
      <c r="G79" s="111" t="n"/>
      <c r="H79" s="111" t="n"/>
      <c r="I79" s="111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68">
      <c r="A80" s="111" t="n"/>
      <c r="B80" s="111" t="n"/>
      <c r="C80" s="111" t="n"/>
      <c r="D80" s="111" t="n"/>
      <c r="E80" s="111" t="n"/>
      <c r="F80" s="111" t="n"/>
      <c r="G80" s="111" t="n"/>
      <c r="H80" s="111" t="n"/>
      <c r="I80" s="111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68">
      <c r="A81" s="111" t="n"/>
      <c r="B81" s="111" t="n"/>
      <c r="C81" s="111" t="n"/>
      <c r="D81" s="111" t="n"/>
      <c r="E81" s="111" t="n"/>
      <c r="F81" s="111" t="n"/>
      <c r="G81" s="111" t="n"/>
      <c r="H81" s="111" t="n"/>
      <c r="I81" s="111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68">
      <c r="A82" s="111" t="n"/>
      <c r="B82" s="111" t="n"/>
      <c r="C82" s="111" t="n"/>
      <c r="D82" s="111" t="n"/>
      <c r="E82" s="111" t="n"/>
      <c r="F82" s="111" t="n"/>
      <c r="G82" s="111" t="n"/>
      <c r="H82" s="111" t="n"/>
      <c r="I82" s="111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68">
      <c r="A83" s="111" t="n"/>
      <c r="B83" s="111" t="n"/>
      <c r="C83" s="111" t="n"/>
      <c r="D83" s="111" t="n"/>
      <c r="E83" s="111" t="n"/>
      <c r="F83" s="111" t="n"/>
      <c r="G83" s="111" t="n"/>
      <c r="H83" s="111" t="n"/>
      <c r="I83" s="111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68">
      <c r="A84" s="111" t="n"/>
      <c r="B84" s="111" t="n"/>
      <c r="C84" s="111" t="n"/>
      <c r="D84" s="111" t="n"/>
      <c r="E84" s="111" t="n"/>
      <c r="F84" s="111" t="n"/>
      <c r="G84" s="111" t="n"/>
      <c r="H84" s="111" t="n"/>
      <c r="I84" s="111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68">
      <c r="A85" s="111" t="n"/>
      <c r="B85" s="111" t="n"/>
      <c r="C85" s="111" t="n"/>
      <c r="D85" s="111" t="n"/>
      <c r="E85" s="111" t="n"/>
      <c r="F85" s="111" t="n"/>
      <c r="G85" s="111" t="n"/>
      <c r="H85" s="111" t="n"/>
      <c r="I85" s="111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68">
      <c r="A86" s="111" t="n"/>
      <c r="B86" s="111" t="n"/>
      <c r="C86" s="111" t="n"/>
      <c r="D86" s="111" t="n"/>
      <c r="E86" s="111" t="n"/>
      <c r="F86" s="111" t="n"/>
      <c r="G86" s="111" t="n"/>
      <c r="H86" s="111" t="n"/>
      <c r="I86" s="111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68">
      <c r="A87" s="111" t="n"/>
      <c r="B87" s="111" t="n"/>
      <c r="C87" s="111" t="n"/>
      <c r="D87" s="111" t="n"/>
      <c r="E87" s="111" t="n"/>
      <c r="F87" s="111" t="n"/>
      <c r="G87" s="111" t="n"/>
      <c r="H87" s="111" t="n"/>
      <c r="I87" s="111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68">
      <c r="A88" s="111" t="n"/>
      <c r="B88" s="111" t="n"/>
      <c r="C88" s="111" t="n"/>
      <c r="D88" s="111" t="n"/>
      <c r="E88" s="111" t="n"/>
      <c r="F88" s="111" t="n"/>
      <c r="G88" s="111" t="n"/>
      <c r="H88" s="111" t="n"/>
      <c r="I88" s="111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68">
      <c r="A89" s="111" t="n"/>
      <c r="B89" s="111" t="n"/>
      <c r="C89" s="111" t="n"/>
      <c r="D89" s="111" t="n"/>
      <c r="E89" s="111" t="n"/>
      <c r="F89" s="111" t="n"/>
      <c r="G89" s="111" t="n"/>
      <c r="H89" s="111" t="n"/>
      <c r="I89" s="111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68">
      <c r="A90" s="111" t="n"/>
      <c r="B90" s="111" t="n"/>
      <c r="C90" s="111" t="n"/>
      <c r="D90" s="111" t="n"/>
      <c r="E90" s="111" t="n"/>
      <c r="F90" s="111" t="n"/>
      <c r="G90" s="111" t="n"/>
      <c r="H90" s="111" t="n"/>
      <c r="I90" s="111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68">
      <c r="A91" s="111" t="n"/>
      <c r="B91" s="111" t="n"/>
      <c r="C91" s="111" t="n"/>
      <c r="D91" s="111" t="n"/>
      <c r="E91" s="111" t="n"/>
      <c r="F91" s="111" t="n"/>
      <c r="G91" s="111" t="n"/>
      <c r="H91" s="111" t="n"/>
      <c r="I91" s="111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68">
      <c r="A92" s="111" t="n"/>
      <c r="B92" s="111" t="n"/>
      <c r="C92" s="111" t="n"/>
      <c r="D92" s="111" t="n"/>
      <c r="E92" s="111" t="n"/>
      <c r="F92" s="111" t="n"/>
      <c r="G92" s="111" t="n"/>
      <c r="H92" s="111" t="n"/>
      <c r="I92" s="111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68">
      <c r="A93" s="111" t="n"/>
      <c r="B93" s="111" t="n"/>
      <c r="C93" s="111" t="n"/>
      <c r="D93" s="111" t="n"/>
      <c r="E93" s="111" t="n"/>
      <c r="F93" s="111" t="n"/>
      <c r="G93" s="111" t="n"/>
      <c r="H93" s="111" t="n"/>
      <c r="I93" s="111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68">
      <c r="A94" s="111" t="n"/>
      <c r="B94" s="111" t="n"/>
      <c r="C94" s="111" t="n"/>
      <c r="D94" s="111" t="n"/>
      <c r="E94" s="111" t="n"/>
      <c r="F94" s="111" t="n"/>
      <c r="G94" s="111" t="n"/>
      <c r="H94" s="111" t="n"/>
      <c r="I94" s="111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68">
      <c r="A95" s="111" t="n"/>
      <c r="B95" s="111" t="n"/>
      <c r="C95" s="111" t="n"/>
      <c r="D95" s="111" t="n"/>
      <c r="E95" s="111" t="n"/>
      <c r="F95" s="111" t="n"/>
      <c r="G95" s="111" t="n"/>
      <c r="H95" s="111" t="n"/>
      <c r="I95" s="111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68">
      <c r="A96" s="111" t="n"/>
      <c r="B96" s="111" t="n"/>
      <c r="C96" s="111" t="n"/>
      <c r="D96" s="111" t="n"/>
      <c r="E96" s="111" t="n"/>
      <c r="F96" s="111" t="n"/>
      <c r="G96" s="111" t="n"/>
      <c r="H96" s="111" t="n"/>
      <c r="I96" s="111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68">
      <c r="A97" s="111" t="n"/>
      <c r="B97" s="111" t="n"/>
      <c r="C97" s="111" t="n"/>
      <c r="D97" s="111" t="n"/>
      <c r="E97" s="111" t="n"/>
      <c r="F97" s="111" t="n"/>
      <c r="G97" s="111" t="n"/>
      <c r="H97" s="111" t="n"/>
      <c r="I97" s="111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68">
      <c r="A98" s="111" t="n"/>
      <c r="B98" s="111" t="n"/>
      <c r="C98" s="111" t="n"/>
      <c r="D98" s="111" t="n"/>
      <c r="E98" s="111" t="n"/>
      <c r="F98" s="111" t="n"/>
      <c r="G98" s="111" t="n"/>
      <c r="H98" s="111" t="n"/>
      <c r="I98" s="111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68">
      <c r="A99" s="111" t="n"/>
      <c r="B99" s="111" t="n"/>
      <c r="C99" s="111" t="n"/>
      <c r="D99" s="111" t="n"/>
      <c r="E99" s="111" t="n"/>
      <c r="F99" s="111" t="n"/>
      <c r="G99" s="111" t="n"/>
      <c r="H99" s="111" t="n"/>
      <c r="I99" s="111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68">
      <c r="A100" s="111" t="n"/>
      <c r="B100" s="111" t="n"/>
      <c r="C100" s="111" t="n"/>
      <c r="D100" s="111" t="n"/>
      <c r="E100" s="111" t="n"/>
      <c r="F100" s="111" t="n"/>
      <c r="G100" s="111" t="n"/>
      <c r="H100" s="111" t="n"/>
      <c r="I100" s="111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68">
      <c r="A101" s="111" t="n"/>
      <c r="B101" s="111" t="n"/>
      <c r="C101" s="111" t="n"/>
      <c r="D101" s="111" t="n"/>
      <c r="E101" s="111" t="n"/>
      <c r="F101" s="111" t="n"/>
      <c r="G101" s="111" t="n"/>
      <c r="H101" s="111" t="n"/>
      <c r="I101" s="111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68">
      <c r="A102" s="111" t="n"/>
      <c r="B102" s="111" t="n"/>
      <c r="C102" s="111" t="n"/>
      <c r="D102" s="111" t="n"/>
      <c r="E102" s="111" t="n"/>
      <c r="F102" s="111" t="n"/>
      <c r="G102" s="111" t="n"/>
      <c r="H102" s="111" t="n"/>
      <c r="I102" s="111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6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6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6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6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6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6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6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6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6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6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6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6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6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6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6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6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6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6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6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6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6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6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6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6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6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6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6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6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6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6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6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6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6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6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6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6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6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6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6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6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6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6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6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6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6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6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6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6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6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6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6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6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6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6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6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6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6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6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6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6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6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6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6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6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6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6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6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6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6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6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6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6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6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6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6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6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6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6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6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6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6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6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6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6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6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6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6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6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6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6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6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6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6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6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6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6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6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6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6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6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6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6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6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6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6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6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6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6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6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6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6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6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6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6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6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6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6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6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6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6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6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6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6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6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6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6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6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6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6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6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6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6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6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6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6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6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6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6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6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6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6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6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6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6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6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6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6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6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6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6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6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6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6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6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6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6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6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6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6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6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6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6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6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6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6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6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6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6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6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6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6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6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6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6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6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6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6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6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6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6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6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6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6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6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6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6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6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6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6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6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6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6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6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6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6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6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6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6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6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6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6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6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6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6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6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6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6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6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6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6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6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6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6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6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6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6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6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6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6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6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6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6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6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6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6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6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6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6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6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6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6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6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6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6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6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6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6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6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6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6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6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6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6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6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6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6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6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6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6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6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6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6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6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6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6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6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6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6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6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6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6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6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6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6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6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6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6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6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6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6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6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6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6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6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6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6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6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6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6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6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6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6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6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6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6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6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6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6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6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6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6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6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6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6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6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6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6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6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6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6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6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6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6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6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6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6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6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6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6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6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6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6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6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6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6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6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6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6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6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6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6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6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6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6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6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6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6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6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6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6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6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6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6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6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6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6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6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6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6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6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6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6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6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6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6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6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6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6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6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6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6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6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6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6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6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6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6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6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6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6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6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6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6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6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6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6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6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6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6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6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6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6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6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6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6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6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6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6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6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6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6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6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6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6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6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6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6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6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6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6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6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6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6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6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6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6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6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6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6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6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6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6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6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6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6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6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6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6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6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6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6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6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6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6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6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6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6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6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6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6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6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6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6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6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6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6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6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6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6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6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6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6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6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6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6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6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6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6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6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6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6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6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6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6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6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6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6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6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6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6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6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6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6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6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6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6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6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6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6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6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6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6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6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6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6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6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6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6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6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6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6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6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6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6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6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6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6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6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6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6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6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6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6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6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6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6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6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6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6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6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6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6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6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6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6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6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6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6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6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6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6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6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6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6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6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6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6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6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6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6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6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6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6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6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6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6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6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6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6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6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6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6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6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6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6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6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6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6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6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6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6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6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6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6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6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6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6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6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6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6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6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6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6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6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6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6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6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6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6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6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6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6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6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6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6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6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6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6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6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6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6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6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6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6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6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6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6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6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6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6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6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6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6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6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6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6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6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6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6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6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6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6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6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6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6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6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6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6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6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6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6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6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6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6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6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6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6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6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6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6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6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6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6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6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6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6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6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6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6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6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6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6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6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6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6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6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6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6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6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6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6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6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6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6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6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6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6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6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6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6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6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6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6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6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6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6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6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6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6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6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6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6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6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6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6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6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6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6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6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6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6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6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6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6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6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6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6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6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6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6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6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6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6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6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6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6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6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6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6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6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6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6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6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6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6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6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6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6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6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6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6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6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6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6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6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6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6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6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6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6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6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6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6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6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6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6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6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6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6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6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6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6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6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6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6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6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6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6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6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6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6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6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6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6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6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6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6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6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6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6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6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6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6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6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6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6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6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6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6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6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6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6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6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6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6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6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6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6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6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6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6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6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6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6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6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6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6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6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6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6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6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6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6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6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6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6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6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6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6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6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6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6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6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6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6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6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6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6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6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6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6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6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6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6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6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6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6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6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6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6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6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6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6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6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6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6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6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6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6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6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6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6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6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6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6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6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6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6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6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6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6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6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6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6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6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6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6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6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6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6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6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6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6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6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6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6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6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6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6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6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6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6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6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6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6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6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6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6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6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6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6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6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6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6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6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6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6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6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6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6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6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6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6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6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6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6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6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6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6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6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6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6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6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6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6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6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6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6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6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6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6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6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6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6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6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6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6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6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6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6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6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6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6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6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6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6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6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6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6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6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6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6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6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6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6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6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6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6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6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">
    <mergeCell ref="A1:I1"/>
  </mergeCells>
  <dataValidations count="3">
    <dataValidation sqref="B3:B102" showDropDown="0" showInputMessage="0" showErrorMessage="0" allowBlank="1" type="list">
      <formula1>"Bank Account,Credit Card,Pay Later,Travel Card,Expense Sharing,Digital Wallet,Loan Account"</formula1>
    </dataValidation>
    <dataValidation sqref="C3:C102" showDropDown="0" showInputMessage="0" showErrorMessage="0" allowBlank="1" type="list">
      <formula1>"GBP,INR"</formula1>
    </dataValidation>
    <dataValidation sqref="G3:G102" showDropDown="0" showInputMessage="0" showErrorMessage="0" allowBlank="1" type="list">
      <formula1>"Active,Closed"</formula1>
    </dataValidation>
  </dataValidation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tabColor rgb="FFC0000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168" min="1" max="1"/>
    <col width="30" customWidth="1" style="168" min="2" max="2"/>
    <col width="20" customWidth="1" style="168" min="3" max="3"/>
    <col width="14" customWidth="1" style="168" min="4" max="4"/>
    <col width="10" customWidth="1" style="168" min="5" max="5"/>
    <col width="35" customWidth="1" style="168" min="6" max="6"/>
    <col width="12" customWidth="1" style="168" min="7" max="7"/>
    <col width="14" customWidth="1" style="168" min="8" max="8"/>
    <col width="12" customWidth="1" style="168" min="9" max="9"/>
    <col width="30" customWidth="1" style="168" min="10" max="10"/>
  </cols>
  <sheetData>
    <row r="1">
      <c r="A1" s="101" t="inlineStr">
        <is>
          <t>EXPENSE TRACKER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16" t="inlineStr">
        <is>
          <t>Date</t>
        </is>
      </c>
      <c r="B2" s="116" t="inlineStr">
        <is>
          <t>Name/Description</t>
        </is>
      </c>
      <c r="C2" s="116" t="inlineStr">
        <is>
          <t>Category</t>
        </is>
      </c>
      <c r="D2" s="116" t="inlineStr">
        <is>
          <t>Price</t>
        </is>
      </c>
      <c r="E2" s="116" t="inlineStr">
        <is>
          <t>Currency</t>
        </is>
      </c>
      <c r="F2" s="116" t="inlineStr">
        <is>
          <t>Transaction Gateway</t>
        </is>
      </c>
      <c r="G2" s="116" t="inlineStr">
        <is>
          <t>Splitwise</t>
        </is>
      </c>
      <c r="H2" s="116" t="inlineStr">
        <is>
          <t>Your Share</t>
        </is>
      </c>
      <c r="I2" s="116" t="inlineStr">
        <is>
          <t>Recurring</t>
        </is>
      </c>
      <c r="J2" s="116" t="inlineStr">
        <is>
          <t>Notes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idden="1" s="168">
      <c r="A3" s="113" t="n">
        <v>46119</v>
      </c>
      <c r="B3" s="111" t="inlineStr">
        <is>
          <t>Barclays Card Due</t>
        </is>
      </c>
      <c r="C3" s="111" t="inlineStr">
        <is>
          <t>Shopping</t>
        </is>
      </c>
      <c r="D3" s="117" t="n">
        <v>680.53</v>
      </c>
      <c r="E3" s="118">
        <f>IF(F3="","",IF(OR(F3="HDFC Bank (INR)",F3="HDFC IOCL Credit Card (INR)",F3="HDFC Swiggy Credit Card (INR)",F3="Axis Airtel Credit Card (INR)"),"INR","GBP"))</f>
        <v/>
      </c>
      <c r="F3" s="111" t="inlineStr">
        <is>
          <t>Barclays Rewards Credit Card (GBP)</t>
        </is>
      </c>
      <c r="G3" s="111" t="inlineStr">
        <is>
          <t>No</t>
        </is>
      </c>
      <c r="H3" s="119">
        <f>IF(G3="Yes","",D3)</f>
        <v/>
      </c>
      <c r="I3" s="111" t="inlineStr">
        <is>
          <t>No</t>
        </is>
      </c>
      <c r="J3" s="215" t="inlineStr">
        <is>
          <t>previous payments dated back at APR 7 1400PM</t>
        </is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idden="1" s="168">
      <c r="A4" s="113" t="n">
        <v>46119</v>
      </c>
      <c r="B4" s="111" t="inlineStr">
        <is>
          <t>HSBC Card Due</t>
        </is>
      </c>
      <c r="C4" s="111" t="inlineStr">
        <is>
          <t>Shopping</t>
        </is>
      </c>
      <c r="D4" s="117">
        <f>505.93-19-10</f>
        <v/>
      </c>
      <c r="E4" s="118">
        <f>IF(F4="","",IF(OR(F4="HDFC Bank (INR)",F4="HDFC IOCL Credit Card (INR)",F4="HDFC Swiggy Credit Card (INR)",F4="Axis Airtel Credit Card (INR)"),"INR","GBP"))</f>
        <v/>
      </c>
      <c r="F4" s="111" t="inlineStr">
        <is>
          <t>HSBC Rewards Credit Card (GBP)</t>
        </is>
      </c>
      <c r="G4" s="111" t="inlineStr">
        <is>
          <t>No</t>
        </is>
      </c>
      <c r="H4" s="119">
        <f>IF(G4="Yes","",D4)</f>
        <v/>
      </c>
      <c r="I4" s="111" t="inlineStr">
        <is>
          <t>No</t>
        </is>
      </c>
      <c r="J4" s="216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idden="1" s="168">
      <c r="A5" s="113" t="n">
        <v>46119</v>
      </c>
      <c r="B5" s="111" t="inlineStr">
        <is>
          <t>Capitol One Card Due</t>
        </is>
      </c>
      <c r="C5" s="111" t="inlineStr">
        <is>
          <t>Shopping</t>
        </is>
      </c>
      <c r="D5" s="117" t="n">
        <v>0</v>
      </c>
      <c r="E5" s="118">
        <f>IF(F5="","",IF(OR(F5="HDFC Bank (INR)",F5="HDFC IOCL Credit Card (INR)",F5="HDFC Swiggy Credit Card (INR)",F5="Axis Airtel Credit Card (INR)"),"INR","GBP"))</f>
        <v/>
      </c>
      <c r="F5" s="111" t="inlineStr">
        <is>
          <t>Capitol One Credit Card (GBP)</t>
        </is>
      </c>
      <c r="G5" s="111" t="inlineStr">
        <is>
          <t>No</t>
        </is>
      </c>
      <c r="H5" s="119">
        <f>IF(G5="Yes","",D5)</f>
        <v/>
      </c>
      <c r="I5" s="111" t="inlineStr">
        <is>
          <t>No</t>
        </is>
      </c>
      <c r="J5" s="216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idden="1" s="168">
      <c r="A6" s="113" t="n">
        <v>46119</v>
      </c>
      <c r="B6" s="111" t="inlineStr">
        <is>
          <t>Klarna Pay Later</t>
        </is>
      </c>
      <c r="C6" s="111" t="inlineStr">
        <is>
          <t>Shopping</t>
        </is>
      </c>
      <c r="D6" s="117" t="n">
        <v>181.34</v>
      </c>
      <c r="E6" s="118">
        <f>IF(F6="","",IF(OR(F6="HDFC Bank (INR)",F6="HDFC IOCL Credit Card (INR)",F6="HDFC Swiggy Credit Card (INR)",F6="Axis Airtel Credit Card (INR)"),"INR","GBP"))</f>
        <v/>
      </c>
      <c r="F6" s="111" t="inlineStr">
        <is>
          <t>Klarna Pay Later (GBP)</t>
        </is>
      </c>
      <c r="G6" s="111" t="inlineStr">
        <is>
          <t>No</t>
        </is>
      </c>
      <c r="H6" s="119">
        <f>IF(G6="Yes","",D6)</f>
        <v/>
      </c>
      <c r="I6" s="111" t="inlineStr">
        <is>
          <t>No</t>
        </is>
      </c>
      <c r="J6" s="216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idden="1" s="168">
      <c r="A7" s="113" t="n">
        <v>46119</v>
      </c>
      <c r="B7" s="111" t="inlineStr">
        <is>
          <t>HDFC Credit Due</t>
        </is>
      </c>
      <c r="C7" s="111" t="inlineStr">
        <is>
          <t>Shopping</t>
        </is>
      </c>
      <c r="D7" s="117" t="n">
        <v>335.4</v>
      </c>
      <c r="E7" s="118">
        <f>IF(F7="","",IF(OR(F7="HDFC Bank (INR)",F7="HDFC IOCL Credit Card (INR)",F7="HDFC Swiggy Credit Card (INR)",F7="Axis Airtel Credit Card (INR)"),"INR","GBP"))</f>
        <v/>
      </c>
      <c r="F7" s="111" t="inlineStr">
        <is>
          <t>HDFC IOCL Credit Card (INR)</t>
        </is>
      </c>
      <c r="G7" s="111" t="inlineStr">
        <is>
          <t>No</t>
        </is>
      </c>
      <c r="H7" s="119">
        <f>IF(G7="Yes","",D7)</f>
        <v/>
      </c>
      <c r="I7" s="111" t="inlineStr">
        <is>
          <t>No</t>
        </is>
      </c>
      <c r="J7" s="216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idden="1" s="168">
      <c r="A8" s="113" t="n">
        <v>46119</v>
      </c>
      <c r="B8" s="111" t="inlineStr">
        <is>
          <t>HDFC Credit Due</t>
        </is>
      </c>
      <c r="C8" s="111" t="inlineStr">
        <is>
          <t>Shopping</t>
        </is>
      </c>
      <c r="D8" s="117" t="n">
        <v>799</v>
      </c>
      <c r="E8" s="118">
        <f>IF(F8="","",IF(OR(F8="HDFC Bank (INR)",F8="HDFC IOCL Credit Card (INR)",F8="HDFC Swiggy Credit Card (INR)",F8="Axis Airtel Credit Card (INR)"),"INR","GBP"))</f>
        <v/>
      </c>
      <c r="F8" s="111" t="inlineStr">
        <is>
          <t>HDFC Swiggy Credit Card (INR)</t>
        </is>
      </c>
      <c r="G8" s="111" t="inlineStr">
        <is>
          <t>No</t>
        </is>
      </c>
      <c r="H8" s="119">
        <f>IF(G8="Yes","",D8)</f>
        <v/>
      </c>
      <c r="I8" s="111" t="inlineStr">
        <is>
          <t>No</t>
        </is>
      </c>
      <c r="J8" s="216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idden="1" s="168">
      <c r="A9" s="113" t="n">
        <v>46119</v>
      </c>
      <c r="B9" s="111" t="inlineStr">
        <is>
          <t>Axis Credit Due</t>
        </is>
      </c>
      <c r="C9" s="111" t="inlineStr">
        <is>
          <t>Shopping</t>
        </is>
      </c>
      <c r="D9" s="117">
        <f>110000-27121+21</f>
        <v/>
      </c>
      <c r="E9" s="118">
        <f>IF(F9="","",IF(OR(F9="HDFC Bank (INR)",F9="HDFC IOCL Credit Card (INR)",F9="HDFC Swiggy Credit Card (INR)",F9="Axis Airtel Credit Card (INR)"),"INR","GBP"))</f>
        <v/>
      </c>
      <c r="F9" s="111" t="inlineStr">
        <is>
          <t>Axis Airtel Credit Card (INR)</t>
        </is>
      </c>
      <c r="G9" s="111" t="inlineStr">
        <is>
          <t>No</t>
        </is>
      </c>
      <c r="H9" s="119">
        <f>IF(G9="Yes","",D9)</f>
        <v/>
      </c>
      <c r="I9" s="111" t="inlineStr">
        <is>
          <t>No</t>
        </is>
      </c>
      <c r="J9" s="206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idden="1" s="168">
      <c r="A10" s="113" t="n">
        <v>46119</v>
      </c>
      <c r="B10" s="111" t="inlineStr">
        <is>
          <t>East Ham to oxford Circus(U/D)</t>
        </is>
      </c>
      <c r="C10" s="111" t="inlineStr">
        <is>
          <t>Transport</t>
        </is>
      </c>
      <c r="D10" s="117" t="n">
        <v>4.3</v>
      </c>
      <c r="E10" s="118">
        <f>IF(F10="","",IF(OR(F10="HDFC Bank (INR)",F10="HDFC IOCL Credit Card (INR)",F10="HDFC Swiggy Credit Card (INR)",F10="Axis Airtel Credit Card (INR)"),"INR","GBP"))</f>
        <v/>
      </c>
      <c r="F10" s="111" t="inlineStr">
        <is>
          <t>Oyster Travel Card (GBP)</t>
        </is>
      </c>
      <c r="G10" s="111" t="inlineStr">
        <is>
          <t>No</t>
        </is>
      </c>
      <c r="H10" s="119" t="n"/>
      <c r="I10" s="111" t="inlineStr">
        <is>
          <t>No</t>
        </is>
      </c>
      <c r="J10" s="111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idden="1" s="168">
      <c r="A11" s="113" t="n">
        <v>46120</v>
      </c>
      <c r="B11" s="111" t="inlineStr">
        <is>
          <t>Ticket Machine</t>
        </is>
      </c>
      <c r="C11" s="111" t="n"/>
      <c r="D11" s="117" t="n">
        <v>10</v>
      </c>
      <c r="E11" s="118">
        <f>IF(F11="","",IF(OR(F11="HDFC Bank (INR)",F11="HDFC IOCL Credit Card (INR)",F11="HDFC Swiggy Credit Card (INR)",F11="Axis Airtel Credit Card (INR)"),"INR","GBP"))</f>
        <v/>
      </c>
      <c r="F11" s="111" t="inlineStr">
        <is>
          <t>HSBC Rewards Credit Card (GBP)</t>
        </is>
      </c>
      <c r="G11" s="111" t="inlineStr">
        <is>
          <t>Yes</t>
        </is>
      </c>
      <c r="H11" s="119" t="n">
        <v>0</v>
      </c>
      <c r="I11" s="111" t="inlineStr">
        <is>
          <t>No</t>
        </is>
      </c>
      <c r="J11" s="111" t="inlineStr">
        <is>
          <t>To tanisha</t>
        </is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idden="1" s="168">
      <c r="A12" s="113" t="n">
        <v>46120</v>
      </c>
      <c r="B12" s="111" t="inlineStr">
        <is>
          <t>Apple Polishing Cloth</t>
        </is>
      </c>
      <c r="C12" s="111" t="inlineStr">
        <is>
          <t>Shopping</t>
        </is>
      </c>
      <c r="D12" s="117" t="n">
        <v>19</v>
      </c>
      <c r="E12" s="118">
        <f>IF(F12="","",IF(OR(F12="HDFC Bank (INR)",F12="HDFC IOCL Credit Card (INR)",F12="HDFC Swiggy Credit Card (INR)",F12="Axis Airtel Credit Card (INR)"),"INR","GBP"))</f>
        <v/>
      </c>
      <c r="F12" s="111" t="inlineStr">
        <is>
          <t>HSBC Rewards Credit Card (GBP)</t>
        </is>
      </c>
      <c r="G12" s="111" t="inlineStr">
        <is>
          <t>No</t>
        </is>
      </c>
      <c r="H12" s="119">
        <f>IF(G12="Yes","",D12)</f>
        <v/>
      </c>
      <c r="I12" s="111" t="inlineStr">
        <is>
          <t>No</t>
        </is>
      </c>
      <c r="J12" s="111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idden="1" s="168">
      <c r="A13" s="113" t="n">
        <v>46120</v>
      </c>
      <c r="B13" s="111" t="inlineStr">
        <is>
          <t>Free Prints</t>
        </is>
      </c>
      <c r="C13" s="111" t="inlineStr">
        <is>
          <t>Shopping</t>
        </is>
      </c>
      <c r="D13" s="117" t="n">
        <v>5.11</v>
      </c>
      <c r="E13" s="118">
        <f>IF(F13="","",IF(OR(F13="HDFC Bank (INR)",F13="HDFC IOCL Credit Card (INR)",F13="HDFC Swiggy Credit Card (INR)",F13="Axis Airtel Credit Card (INR)"),"INR","GBP"))</f>
        <v/>
      </c>
      <c r="F13" s="111" t="inlineStr">
        <is>
          <t>Lloyds Bank (GBP)</t>
        </is>
      </c>
      <c r="G13" s="111" t="inlineStr">
        <is>
          <t>No</t>
        </is>
      </c>
      <c r="H13" s="119">
        <f>IF(G13="Yes","",D13)</f>
        <v/>
      </c>
      <c r="I13" s="111" t="inlineStr">
        <is>
          <t>No</t>
        </is>
      </c>
      <c r="J13" s="111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idden="1" s="168">
      <c r="A14" s="113" t="n">
        <v>46120</v>
      </c>
      <c r="B14" s="111" t="inlineStr">
        <is>
          <t>Amazon Album</t>
        </is>
      </c>
      <c r="C14" s="111" t="inlineStr">
        <is>
          <t>Shopping</t>
        </is>
      </c>
      <c r="D14" s="117" t="n">
        <v>6.99</v>
      </c>
      <c r="E14" s="118">
        <f>IF(F14="","",IF(OR(F14="HDFC Bank (INR)",F14="HDFC IOCL Credit Card (INR)",F14="HDFC Swiggy Credit Card (INR)",F14="Axis Airtel Credit Card (INR)"),"INR","GBP"))</f>
        <v/>
      </c>
      <c r="F14" s="111" t="inlineStr">
        <is>
          <t>Capitol One Credit Card (GBP)</t>
        </is>
      </c>
      <c r="G14" s="111" t="inlineStr">
        <is>
          <t>No</t>
        </is>
      </c>
      <c r="H14" s="119">
        <f>IF(G14="Yes","",D14)</f>
        <v/>
      </c>
      <c r="I14" s="111" t="inlineStr">
        <is>
          <t>No</t>
        </is>
      </c>
      <c r="J14" s="12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idden="1" s="168">
      <c r="A15" s="113" t="n">
        <v>46120</v>
      </c>
      <c r="B15" s="111" t="inlineStr">
        <is>
          <t>Amazon Watch klit</t>
        </is>
      </c>
      <c r="C15" s="111" t="inlineStr">
        <is>
          <t>Shopping</t>
        </is>
      </c>
      <c r="D15" s="117" t="n">
        <v>9.99</v>
      </c>
      <c r="E15" s="118">
        <f>IF(F15="","",IF(OR(F15="HDFC Bank (INR)",F15="HDFC IOCL Credit Card (INR)",F15="HDFC Swiggy Credit Card (INR)",F15="Axis Airtel Credit Card (INR)"),"INR","GBP"))</f>
        <v/>
      </c>
      <c r="F15" s="111" t="inlineStr">
        <is>
          <t>Capitol One Credit Card (GBP)</t>
        </is>
      </c>
      <c r="G15" s="111" t="inlineStr">
        <is>
          <t>No</t>
        </is>
      </c>
      <c r="H15" s="119">
        <f>IF(G15="Yes","",D15)</f>
        <v/>
      </c>
      <c r="I15" s="111" t="inlineStr">
        <is>
          <t>No</t>
        </is>
      </c>
      <c r="J15" s="111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idden="1" s="168">
      <c r="A16" s="113" t="n">
        <v>46120</v>
      </c>
      <c r="B16" s="111" t="inlineStr">
        <is>
          <t>Amazon Brita water catridfges</t>
        </is>
      </c>
      <c r="C16" s="111" t="inlineStr">
        <is>
          <t>Others</t>
        </is>
      </c>
      <c r="D16" s="117" t="n">
        <v>24.99</v>
      </c>
      <c r="E16" s="118">
        <f>IF(F16="","",IF(OR(F16="HDFC Bank (INR)",F16="HDFC IOCL Credit Card (INR)",F16="HDFC Swiggy Credit Card (INR)",F16="Axis Airtel Credit Card (INR)"),"INR","GBP"))</f>
        <v/>
      </c>
      <c r="F16" s="111" t="inlineStr">
        <is>
          <t>Capitol One Credit Card (GBP)</t>
        </is>
      </c>
      <c r="G16" s="111" t="inlineStr">
        <is>
          <t>No</t>
        </is>
      </c>
      <c r="H16" s="119">
        <f>IF(G16="Yes","",D16)</f>
        <v/>
      </c>
      <c r="I16" s="111" t="inlineStr">
        <is>
          <t>Yes</t>
        </is>
      </c>
      <c r="J16" s="111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idden="1" s="168">
      <c r="A17" s="113" t="n">
        <v>46120</v>
      </c>
      <c r="B17" s="111" t="inlineStr">
        <is>
          <t>East Ham to Shoreditch U/D</t>
        </is>
      </c>
      <c r="C17" s="111" t="inlineStr">
        <is>
          <t>Transport</t>
        </is>
      </c>
      <c r="D17" s="117" t="n">
        <v>4.3</v>
      </c>
      <c r="E17" s="118">
        <f>IF(F17="","",IF(OR(F17="HDFC Bank (INR)",F17="HDFC IOCL Credit Card (INR)",F17="HDFC Swiggy Credit Card (INR)",F17="Axis Airtel Credit Card (INR)"),"INR","GBP"))</f>
        <v/>
      </c>
      <c r="F17" s="111" t="inlineStr">
        <is>
          <t>Oyster Travel Card (GBP)</t>
        </is>
      </c>
      <c r="G17" s="111" t="inlineStr">
        <is>
          <t>No</t>
        </is>
      </c>
      <c r="H17" s="119">
        <f>IF(G17="Yes","",D17)</f>
        <v/>
      </c>
      <c r="I17" s="111" t="inlineStr">
        <is>
          <t>No</t>
        </is>
      </c>
      <c r="J17" s="111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idden="1" s="168">
      <c r="A18" s="113" t="n">
        <v>46121</v>
      </c>
      <c r="B18" s="111" t="inlineStr">
        <is>
          <t>East Ham to Shoreditch U/D</t>
        </is>
      </c>
      <c r="C18" s="111" t="inlineStr">
        <is>
          <t>Transport</t>
        </is>
      </c>
      <c r="D18" s="117" t="n">
        <v>6.05</v>
      </c>
      <c r="E18" s="118">
        <f>IF(F18="","",IF(OR(F18="HDFC Bank (INR)",F18="HDFC IOCL Credit Card (INR)",F18="HDFC Swiggy Credit Card (INR)",F18="Axis Airtel Credit Card (INR)"),"INR","GBP"))</f>
        <v/>
      </c>
      <c r="F18" s="111" t="inlineStr">
        <is>
          <t>Oyster Travel Card (GBP)</t>
        </is>
      </c>
      <c r="G18" s="111" t="inlineStr">
        <is>
          <t>No</t>
        </is>
      </c>
      <c r="H18" s="119">
        <f>IF(G18="Yes","",D18)</f>
        <v/>
      </c>
      <c r="I18" s="111" t="inlineStr">
        <is>
          <t>No</t>
        </is>
      </c>
      <c r="J18" s="111" t="inlineStr">
        <is>
          <t>in peak time travel</t>
        </is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idden="1" ht="15.75" customHeight="1" s="168">
      <c r="A19" s="113" t="n">
        <v>46124</v>
      </c>
      <c r="B19" s="111" t="inlineStr">
        <is>
          <t>Barber</t>
        </is>
      </c>
      <c r="C19" s="111" t="inlineStr">
        <is>
          <t>Others</t>
        </is>
      </c>
      <c r="D19" s="117" t="n">
        <v>20</v>
      </c>
      <c r="E19" s="118">
        <f>IF(F19="","",IF(OR(F19="HDFC Bank (INR)",F19="HDFC IOCL Credit Card (INR)",F19="HDFC Swiggy Credit Card (INR)",F19="Axis Airtel Credit Card (INR)"),"INR","GBP"))</f>
        <v/>
      </c>
      <c r="F19" s="111" t="inlineStr">
        <is>
          <t>Barclays Rewards Credit Card (GBP)</t>
        </is>
      </c>
      <c r="G19" s="111" t="inlineStr">
        <is>
          <t>No</t>
        </is>
      </c>
      <c r="H19" s="119">
        <f>IF(G19="Yes","",D19)</f>
        <v/>
      </c>
      <c r="I19" s="111" t="inlineStr">
        <is>
          <t>No</t>
        </is>
      </c>
      <c r="J19" s="111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idden="1" ht="15.75" customHeight="1" s="168">
      <c r="A20" s="113" t="n">
        <v>46124</v>
      </c>
      <c r="B20" s="111" t="inlineStr">
        <is>
          <t>KFC</t>
        </is>
      </c>
      <c r="C20" s="111" t="inlineStr">
        <is>
          <t>Food and Drinks</t>
        </is>
      </c>
      <c r="D20" s="117" t="n">
        <v>5.62</v>
      </c>
      <c r="E20" s="118">
        <f>IF(F20="","",IF(OR(F20="HDFC Bank (INR)",F20="HDFC IOCL Credit Card (INR)",F20="HDFC Swiggy Credit Card (INR)",F20="Axis Airtel Credit Card (INR)"),"INR","GBP"))</f>
        <v/>
      </c>
      <c r="F20" s="111" t="inlineStr">
        <is>
          <t>Splitwise (GBP)</t>
        </is>
      </c>
      <c r="G20" s="111" t="inlineStr">
        <is>
          <t>No</t>
        </is>
      </c>
      <c r="H20" s="119">
        <f>IF(G20="Yes","",D20)</f>
        <v/>
      </c>
      <c r="I20" s="111" t="inlineStr">
        <is>
          <t>No</t>
        </is>
      </c>
      <c r="J20" s="111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idden="1" ht="15.75" customHeight="1" s="168">
      <c r="A21" s="113" t="n">
        <v>46125</v>
      </c>
      <c r="B21" s="111" t="inlineStr">
        <is>
          <t>Post Cards</t>
        </is>
      </c>
      <c r="C21" s="111" t="inlineStr">
        <is>
          <t>Travel</t>
        </is>
      </c>
      <c r="D21" s="117" t="n">
        <v>2.8</v>
      </c>
      <c r="E21" s="118">
        <f>IF(F21="","",IF(OR(F21="HDFC Bank (INR)",F21="HDFC IOCL Credit Card (INR)",F21="HDFC Swiggy Credit Card (INR)",F21="Axis Airtel Credit Card (INR)"),"INR","GBP"))</f>
        <v/>
      </c>
      <c r="F21" s="111" t="inlineStr">
        <is>
          <t>Barclays Rewards Credit Card (GBP)</t>
        </is>
      </c>
      <c r="G21" s="111" t="inlineStr">
        <is>
          <t>No</t>
        </is>
      </c>
      <c r="H21" s="119">
        <f>IF(G21="Yes","",D21)</f>
        <v/>
      </c>
      <c r="I21" s="111" t="inlineStr">
        <is>
          <t>No</t>
        </is>
      </c>
      <c r="J21" s="111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idden="1" ht="15.75" customHeight="1" s="168">
      <c r="A22" s="113" t="n">
        <v>46125</v>
      </c>
      <c r="B22" s="111" t="inlineStr">
        <is>
          <t>Top Church View</t>
        </is>
      </c>
      <c r="C22" s="111" t="inlineStr">
        <is>
          <t>Travel</t>
        </is>
      </c>
      <c r="D22" s="117" t="n">
        <v>6</v>
      </c>
      <c r="E22" s="118">
        <f>IF(F22="","",IF(OR(F22="HDFC Bank (INR)",F22="HDFC IOCL Credit Card (INR)",F22="HDFC Swiggy Credit Card (INR)",F22="Axis Airtel Credit Card (INR)"),"INR","GBP"))</f>
        <v/>
      </c>
      <c r="F22" s="111" t="inlineStr">
        <is>
          <t>Splitwise (GBP)</t>
        </is>
      </c>
      <c r="G22" s="111" t="inlineStr">
        <is>
          <t>No</t>
        </is>
      </c>
      <c r="H22" s="119">
        <f>IF(G22="Yes","",D22)</f>
        <v/>
      </c>
      <c r="I22" s="111" t="inlineStr">
        <is>
          <t>No</t>
        </is>
      </c>
      <c r="J22" s="111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idden="1" ht="15.75" customHeight="1" s="168">
      <c r="A23" s="113" t="n">
        <v>46125</v>
      </c>
      <c r="B23" s="111" t="inlineStr">
        <is>
          <t>Ask Italian</t>
        </is>
      </c>
      <c r="C23" s="111" t="inlineStr">
        <is>
          <t>Food and Drinks</t>
        </is>
      </c>
      <c r="D23" s="117" t="n"/>
      <c r="E23" s="118">
        <f>IF(F23="","",IF(OR(F23="HDFC Bank (INR)",F23="HDFC IOCL Credit Card (INR)",F23="HDFC Swiggy Credit Card (INR)",F23="Axis Airtel Credit Card (INR)"),"INR","GBP"))</f>
        <v/>
      </c>
      <c r="F23" s="111" t="inlineStr">
        <is>
          <t>Splitwise (GBP)</t>
        </is>
      </c>
      <c r="G23" s="111" t="inlineStr">
        <is>
          <t>No</t>
        </is>
      </c>
      <c r="H23" s="119">
        <f>IF(G23="Yes","",D23)</f>
        <v/>
      </c>
      <c r="I23" s="111" t="inlineStr">
        <is>
          <t>No</t>
        </is>
      </c>
      <c r="J23" s="111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idden="1" ht="15.75" customHeight="1" s="168">
      <c r="A24" s="113" t="n">
        <v>46125</v>
      </c>
      <c r="B24" s="111" t="inlineStr">
        <is>
          <t>Pret</t>
        </is>
      </c>
      <c r="C24" s="111" t="inlineStr">
        <is>
          <t>Food and Drinks</t>
        </is>
      </c>
      <c r="D24" s="117" t="n">
        <v>2.35</v>
      </c>
      <c r="E24" s="118">
        <f>IF(F24="","",IF(OR(F24="HDFC Bank (INR)",F24="HDFC IOCL Credit Card (INR)",F24="HDFC Swiggy Credit Card (INR)",F24="Axis Airtel Credit Card (INR)"),"INR","GBP"))</f>
        <v/>
      </c>
      <c r="F24" s="111" t="inlineStr">
        <is>
          <t>Barclays Rewards Credit Card (GBP)</t>
        </is>
      </c>
      <c r="G24" s="111" t="inlineStr">
        <is>
          <t>No</t>
        </is>
      </c>
      <c r="H24" s="119">
        <f>IF(G24="Yes","",D24)</f>
        <v/>
      </c>
      <c r="I24" s="111" t="inlineStr">
        <is>
          <t>No</t>
        </is>
      </c>
      <c r="J24" s="111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idden="1" ht="15.75" customHeight="1" s="168">
      <c r="A25" s="113" t="n">
        <v>46125</v>
      </c>
      <c r="B25" s="111" t="inlineStr">
        <is>
          <t>Gelato</t>
        </is>
      </c>
      <c r="C25" s="111" t="inlineStr">
        <is>
          <t>Food and Drinks</t>
        </is>
      </c>
      <c r="D25" s="117" t="n">
        <v>16</v>
      </c>
      <c r="E25" s="118">
        <f>IF(F25="","",IF(OR(F25="HDFC Bank (INR)",F25="HDFC IOCL Credit Card (INR)",F25="HDFC Swiggy Credit Card (INR)",F25="Axis Airtel Credit Card (INR)"),"INR","GBP"))</f>
        <v/>
      </c>
      <c r="F25" s="111" t="inlineStr">
        <is>
          <t>Barclays Rewards Credit Card (GBP)</t>
        </is>
      </c>
      <c r="G25" s="111" t="inlineStr">
        <is>
          <t>Yes</t>
        </is>
      </c>
      <c r="H25" s="119" t="n">
        <v>4</v>
      </c>
      <c r="I25" s="111" t="inlineStr">
        <is>
          <t>No</t>
        </is>
      </c>
      <c r="J25" s="111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idden="1" ht="15.75" customHeight="1" s="168">
      <c r="A26" s="113" t="n">
        <v>46125</v>
      </c>
      <c r="B26" s="111" t="inlineStr">
        <is>
          <t>Donation Church</t>
        </is>
      </c>
      <c r="C26" s="111" t="inlineStr">
        <is>
          <t>Donations</t>
        </is>
      </c>
      <c r="D26" s="117" t="n">
        <v>2.09</v>
      </c>
      <c r="E26" s="118">
        <f>IF(F26="","",IF(OR(F26="HDFC Bank (INR)",F26="HDFC IOCL Credit Card (INR)",F26="HDFC Swiggy Credit Card (INR)",F26="Axis Airtel Credit Card (INR)"),"INR","GBP"))</f>
        <v/>
      </c>
      <c r="F26" s="111" t="inlineStr">
        <is>
          <t>Lloyds Bank (GBP)</t>
        </is>
      </c>
      <c r="G26" s="111" t="inlineStr">
        <is>
          <t>No</t>
        </is>
      </c>
      <c r="H26" s="119">
        <f>IF(G26="Yes","",D26)</f>
        <v/>
      </c>
      <c r="I26" s="111" t="inlineStr">
        <is>
          <t>No</t>
        </is>
      </c>
      <c r="J26" s="111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idden="1" ht="15.75" customHeight="1" s="168">
      <c r="A27" s="113" t="n">
        <v>46125</v>
      </c>
      <c r="B27" s="111" t="inlineStr">
        <is>
          <t>Now Sky Sports</t>
        </is>
      </c>
      <c r="C27" s="111" t="inlineStr">
        <is>
          <t>Subscriptions</t>
        </is>
      </c>
      <c r="D27" s="117" t="n">
        <v>27.99</v>
      </c>
      <c r="E27" s="118">
        <f>IF(F27="","",IF(OR(F27="HDFC Bank (INR)",F27="HDFC IOCL Credit Card (INR)",F27="HDFC Swiggy Credit Card (INR)",F27="Axis Airtel Credit Card (INR)"),"INR","GBP"))</f>
        <v/>
      </c>
      <c r="F27" s="111" t="inlineStr">
        <is>
          <t>Barclays Rewards Credit Card (GBP)</t>
        </is>
      </c>
      <c r="G27" s="111" t="inlineStr">
        <is>
          <t>No</t>
        </is>
      </c>
      <c r="H27" s="119">
        <f>IF(G27="Yes","",D27)</f>
        <v/>
      </c>
      <c r="I27" s="111" t="inlineStr">
        <is>
          <t>Yes</t>
        </is>
      </c>
      <c r="J27" s="111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idden="1" ht="15.75" customHeight="1" s="168">
      <c r="A28" s="113" t="n">
        <v>46125</v>
      </c>
      <c r="B28" s="111" t="inlineStr">
        <is>
          <t>Chai and hill</t>
        </is>
      </c>
      <c r="C28" s="111" t="inlineStr">
        <is>
          <t>Food and Drinks</t>
        </is>
      </c>
      <c r="D28" s="117" t="n">
        <v>1</v>
      </c>
      <c r="E28" s="118">
        <f>IF(F28="","",IF(OR(F28="HDFC Bank (INR)",F28="HDFC IOCL Credit Card (INR)",F28="HDFC Swiggy Credit Card (INR)",F28="Axis Airtel Credit Card (INR)"),"INR","GBP"))</f>
        <v/>
      </c>
      <c r="F28" s="111" t="inlineStr">
        <is>
          <t>Lloyds Bank (GBP)</t>
        </is>
      </c>
      <c r="G28" s="111" t="inlineStr">
        <is>
          <t>No</t>
        </is>
      </c>
      <c r="H28" s="119">
        <f>IF(G28="Yes","",D28)</f>
        <v/>
      </c>
      <c r="I28" s="111" t="inlineStr">
        <is>
          <t>No</t>
        </is>
      </c>
      <c r="J28" s="111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idden="1" ht="15.75" customHeight="1" s="168">
      <c r="A29" s="113" t="n">
        <v>46125</v>
      </c>
      <c r="B29" s="111" t="inlineStr">
        <is>
          <t>Chocolates</t>
        </is>
      </c>
      <c r="C29" s="111" t="inlineStr">
        <is>
          <t>Food and Drinks</t>
        </is>
      </c>
      <c r="D29" s="117" t="n">
        <v>3.19</v>
      </c>
      <c r="E29" s="118">
        <f>IF(F29="","",IF(OR(F29="HDFC Bank (INR)",F29="HDFC IOCL Credit Card (INR)",F29="HDFC Swiggy Credit Card (INR)",F29="Axis Airtel Credit Card (INR)"),"INR","GBP"))</f>
        <v/>
      </c>
      <c r="F29" s="111" t="inlineStr">
        <is>
          <t>Lloyds Bank (GBP)</t>
        </is>
      </c>
      <c r="G29" s="111" t="inlineStr">
        <is>
          <t>No</t>
        </is>
      </c>
      <c r="H29" s="119">
        <f>IF(G29="Yes","",D29)</f>
        <v/>
      </c>
      <c r="I29" s="111" t="inlineStr">
        <is>
          <t>No</t>
        </is>
      </c>
      <c r="J29" s="111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idden="1" ht="15.75" customHeight="1" s="168">
      <c r="A30" s="113" t="n">
        <v>46125</v>
      </c>
      <c r="B30" s="111" t="inlineStr">
        <is>
          <t>Lays</t>
        </is>
      </c>
      <c r="C30" s="111" t="inlineStr">
        <is>
          <t>Food and Drinks</t>
        </is>
      </c>
      <c r="D30" s="117" t="n">
        <v>0.89</v>
      </c>
      <c r="E30" s="118">
        <f>IF(F30="","",IF(OR(F30="HDFC Bank (INR)",F30="HDFC IOCL Credit Card (INR)",F30="HDFC Swiggy Credit Card (INR)",F30="Axis Airtel Credit Card (INR)"),"INR","GBP"))</f>
        <v/>
      </c>
      <c r="F30" s="111" t="inlineStr">
        <is>
          <t>Lloyds Bank (GBP)</t>
        </is>
      </c>
      <c r="G30" s="111" t="inlineStr">
        <is>
          <t>No</t>
        </is>
      </c>
      <c r="H30" s="119">
        <f>IF(G30="Yes","",D30)</f>
        <v/>
      </c>
      <c r="I30" s="111" t="inlineStr">
        <is>
          <t>No</t>
        </is>
      </c>
      <c r="J30" s="111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idden="1" ht="15.75" customHeight="1" s="168">
      <c r="A31" s="113" t="n">
        <v>46125</v>
      </c>
      <c r="B31" s="111" t="inlineStr">
        <is>
          <t>Redbull</t>
        </is>
      </c>
      <c r="C31" s="111" t="inlineStr">
        <is>
          <t>Food and Drinks</t>
        </is>
      </c>
      <c r="D31" s="117" t="n">
        <v>1.65</v>
      </c>
      <c r="E31" s="118">
        <f>IF(F31="","",IF(OR(F31="HDFC Bank (INR)",F31="HDFC IOCL Credit Card (INR)",F31="HDFC Swiggy Credit Card (INR)",F31="Axis Airtel Credit Card (INR)"),"INR","GBP"))</f>
        <v/>
      </c>
      <c r="F31" s="111" t="inlineStr">
        <is>
          <t>Lloyds Bank (GBP)</t>
        </is>
      </c>
      <c r="G31" s="111" t="inlineStr">
        <is>
          <t>No</t>
        </is>
      </c>
      <c r="H31" s="119">
        <f>IF(G31="Yes","",D31)</f>
        <v/>
      </c>
      <c r="I31" s="111" t="inlineStr">
        <is>
          <t>No</t>
        </is>
      </c>
      <c r="J31" s="111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idden="1" ht="15.75" customHeight="1" s="168">
      <c r="A32" s="113" t="n">
        <v>46125</v>
      </c>
      <c r="B32" s="111" t="inlineStr">
        <is>
          <t>Prime Sub</t>
        </is>
      </c>
      <c r="C32" s="111" t="inlineStr">
        <is>
          <t>Subscriptions</t>
        </is>
      </c>
      <c r="D32" s="117" t="n">
        <v>4.49</v>
      </c>
      <c r="E32" s="118">
        <f>IF(F32="","",IF(OR(F32="HDFC Bank (INR)",F32="HDFC IOCL Credit Card (INR)",F32="HDFC Swiggy Credit Card (INR)",F32="Axis Airtel Credit Card (INR)"),"INR","GBP"))</f>
        <v/>
      </c>
      <c r="F32" s="111" t="inlineStr">
        <is>
          <t>Capitol One Credit Card (GBP)</t>
        </is>
      </c>
      <c r="G32" s="111" t="inlineStr">
        <is>
          <t>Yes</t>
        </is>
      </c>
      <c r="H32" s="119" t="n">
        <v>1.49</v>
      </c>
      <c r="I32" s="111" t="inlineStr">
        <is>
          <t>Yes</t>
        </is>
      </c>
      <c r="J32" s="111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idden="1" ht="15.75" customHeight="1" s="168">
      <c r="A33" s="113" t="n">
        <v>46125</v>
      </c>
      <c r="B33" s="111" t="inlineStr">
        <is>
          <t>Seeko</t>
        </is>
      </c>
      <c r="C33" s="111" t="inlineStr">
        <is>
          <t>Food and Drinks</t>
        </is>
      </c>
      <c r="D33" s="117" t="n">
        <v>5.51</v>
      </c>
      <c r="E33" s="118">
        <f>IF(F33="","",IF(OR(F33="HDFC Bank (INR)",F33="HDFC IOCL Credit Card (INR)",F33="HDFC Swiggy Credit Card (INR)",F33="Axis Airtel Credit Card (INR)"),"INR","GBP"))</f>
        <v/>
      </c>
      <c r="F33" s="111" t="inlineStr">
        <is>
          <t>Splitwise (GBP)</t>
        </is>
      </c>
      <c r="G33" s="111" t="inlineStr">
        <is>
          <t>No</t>
        </is>
      </c>
      <c r="H33" s="119">
        <f>IF(G33="Yes","",D33)</f>
        <v/>
      </c>
      <c r="I33" s="111" t="inlineStr">
        <is>
          <t>No</t>
        </is>
      </c>
      <c r="J33" s="111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idden="1" ht="15.75" customHeight="1" s="168">
      <c r="A34" s="113" t="n">
        <v>46125</v>
      </c>
      <c r="B34" s="111" t="inlineStr">
        <is>
          <t>Nike</t>
        </is>
      </c>
      <c r="C34" s="111" t="inlineStr">
        <is>
          <t>Shopping</t>
        </is>
      </c>
      <c r="D34" s="117" t="n">
        <v>99.98</v>
      </c>
      <c r="E34" s="118">
        <f>IF(F34="","",IF(OR(F34="HDFC Bank (INR)",F34="HDFC IOCL Credit Card (INR)",F34="HDFC Swiggy Credit Card (INR)",F34="Axis Airtel Credit Card (INR)"),"INR","GBP"))</f>
        <v/>
      </c>
      <c r="F34" s="111" t="inlineStr">
        <is>
          <t>HSBC Rewards Credit Card (GBP)</t>
        </is>
      </c>
      <c r="G34" s="111" t="inlineStr">
        <is>
          <t>No</t>
        </is>
      </c>
      <c r="H34" s="119">
        <f>IF(G34="Yes","",D34)</f>
        <v/>
      </c>
      <c r="I34" s="111" t="inlineStr">
        <is>
          <t>No</t>
        </is>
      </c>
      <c r="J34" s="111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idden="1" ht="15.75" customHeight="1" s="168">
      <c r="A35" s="113" t="n">
        <v>46125</v>
      </c>
      <c r="B35" s="111" t="inlineStr">
        <is>
          <t>Fusion</t>
        </is>
      </c>
      <c r="C35" s="111" t="inlineStr">
        <is>
          <t>Entertainment</t>
        </is>
      </c>
      <c r="D35" s="117" t="n">
        <v>328</v>
      </c>
      <c r="E35" s="118">
        <f>IF(F35="","",IF(OR(F35="HDFC Bank (INR)",F35="HDFC IOCL Credit Card (INR)",F35="HDFC Swiggy Credit Card (INR)",F35="Axis Airtel Credit Card (INR)"),"INR","GBP"))</f>
        <v/>
      </c>
      <c r="F35" s="111" t="inlineStr">
        <is>
          <t>HDFC Bank (INR)</t>
        </is>
      </c>
      <c r="G35" s="111" t="inlineStr">
        <is>
          <t>No</t>
        </is>
      </c>
      <c r="H35" s="119">
        <f>IF(G35="Yes","",D35)</f>
        <v/>
      </c>
      <c r="I35" s="111" t="inlineStr">
        <is>
          <t>No</t>
        </is>
      </c>
      <c r="J35" s="111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idden="1" ht="15.75" customHeight="1" s="168">
      <c r="A36" s="113" t="n">
        <v>46125</v>
      </c>
      <c r="B36" s="111" t="inlineStr">
        <is>
          <t>Now Sky Sports 2nd Screen</t>
        </is>
      </c>
      <c r="C36" s="111" t="inlineStr">
        <is>
          <t>Subscriptions</t>
        </is>
      </c>
      <c r="D36" s="117" t="n">
        <v>6</v>
      </c>
      <c r="E36" s="118">
        <f>IF(F36="","",IF(OR(F36="HDFC Bank (INR)",F36="HDFC IOCL Credit Card (INR)",F36="HDFC Swiggy Credit Card (INR)",F36="Axis Airtel Credit Card (INR)"),"INR","GBP"))</f>
        <v/>
      </c>
      <c r="F36" s="111" t="inlineStr">
        <is>
          <t>Barclays Rewards Credit Card (GBP)</t>
        </is>
      </c>
      <c r="G36" s="111" t="inlineStr">
        <is>
          <t>No</t>
        </is>
      </c>
      <c r="H36" s="119">
        <f>IF(G36="Yes","",D36)</f>
        <v/>
      </c>
      <c r="I36" s="111" t="inlineStr">
        <is>
          <t>Yes</t>
        </is>
      </c>
      <c r="J36" s="111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idden="1" ht="15.75" customHeight="1" s="168">
      <c r="A37" s="113" t="n">
        <v>46129</v>
      </c>
      <c r="B37" s="111" t="inlineStr">
        <is>
          <t>Lidl</t>
        </is>
      </c>
      <c r="C37" s="111" t="inlineStr">
        <is>
          <t>Groceries</t>
        </is>
      </c>
      <c r="D37" s="117" t="n">
        <v>4.24</v>
      </c>
      <c r="E37" s="118">
        <f>IF(F37="","",IF(OR(F37="HDFC Bank (INR)",F37="HDFC IOCL Credit Card (INR)",F37="HDFC Swiggy Credit Card (INR)",F37="Axis Airtel Credit Card (INR)"),"INR","GBP"))</f>
        <v/>
      </c>
      <c r="F37" s="111" t="inlineStr">
        <is>
          <t>Splitwise (GBP)</t>
        </is>
      </c>
      <c r="G37" s="111" t="inlineStr">
        <is>
          <t>No</t>
        </is>
      </c>
      <c r="H37" s="119">
        <f>IF(G37="Yes","",D37)</f>
        <v/>
      </c>
      <c r="I37" s="111" t="n"/>
      <c r="J37" s="111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idden="1" ht="15.75" customHeight="1" s="168">
      <c r="A38" s="113" t="n">
        <v>46129</v>
      </c>
      <c r="B38" s="111" t="inlineStr">
        <is>
          <t>Onions</t>
        </is>
      </c>
      <c r="C38" s="111" t="inlineStr">
        <is>
          <t>Groceries</t>
        </is>
      </c>
      <c r="D38" s="117" t="n">
        <v>0.66</v>
      </c>
      <c r="E38" s="118">
        <f>IF(F38="","",IF(OR(F38="HDFC Bank (INR)",F38="HDFC IOCL Credit Card (INR)",F38="HDFC Swiggy Credit Card (INR)",F38="Axis Airtel Credit Card (INR)"),"INR","GBP"))</f>
        <v/>
      </c>
      <c r="F38" s="111" t="inlineStr">
        <is>
          <t>Splitwise (GBP)</t>
        </is>
      </c>
      <c r="G38" s="111" t="inlineStr">
        <is>
          <t>No</t>
        </is>
      </c>
      <c r="H38" s="119">
        <f>IF(G38="Yes","",D38)</f>
        <v/>
      </c>
      <c r="I38" s="111" t="n"/>
      <c r="J38" s="111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idden="1" ht="15.75" customHeight="1" s="168">
      <c r="A39" s="113" t="n">
        <v>46129</v>
      </c>
      <c r="B39" s="111" t="inlineStr">
        <is>
          <t>Paradise</t>
        </is>
      </c>
      <c r="C39" s="111" t="inlineStr">
        <is>
          <t>Food and Drinks</t>
        </is>
      </c>
      <c r="D39" s="117" t="n">
        <v>6.5</v>
      </c>
      <c r="E39" s="118">
        <f>IF(F39="","",IF(OR(F39="HDFC Bank (INR)",F39="HDFC IOCL Credit Card (INR)",F39="HDFC Swiggy Credit Card (INR)",F39="Axis Airtel Credit Card (INR)"),"INR","GBP"))</f>
        <v/>
      </c>
      <c r="F39" s="111" t="inlineStr">
        <is>
          <t>Lloyds Bank (GBP)</t>
        </is>
      </c>
      <c r="G39" s="111" t="inlineStr">
        <is>
          <t>No</t>
        </is>
      </c>
      <c r="H39" s="119">
        <f>IF(G39="Yes","",D39)</f>
        <v/>
      </c>
      <c r="I39" s="111" t="inlineStr">
        <is>
          <t>No</t>
        </is>
      </c>
      <c r="J39" s="111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idden="1" ht="15.75" customHeight="1" s="168">
      <c r="A40" s="113" t="n">
        <v>46129</v>
      </c>
      <c r="B40" s="111" t="inlineStr">
        <is>
          <t>Lighter</t>
        </is>
      </c>
      <c r="C40" s="111" t="inlineStr">
        <is>
          <t>Electronics</t>
        </is>
      </c>
      <c r="D40" s="117" t="n">
        <v>1</v>
      </c>
      <c r="E40" s="118">
        <f>IF(F40="","",IF(OR(F40="HDFC Bank (INR)",F40="HDFC IOCL Credit Card (INR)",F40="HDFC Swiggy Credit Card (INR)",F40="Axis Airtel Credit Card (INR)"),"INR","GBP"))</f>
        <v/>
      </c>
      <c r="F40" s="111" t="inlineStr">
        <is>
          <t>Lloyds Bank (GBP)</t>
        </is>
      </c>
      <c r="G40" s="111" t="inlineStr">
        <is>
          <t>No</t>
        </is>
      </c>
      <c r="H40" s="119">
        <f>IF(G40="Yes","",D40)</f>
        <v/>
      </c>
      <c r="I40" s="111" t="inlineStr">
        <is>
          <t>No</t>
        </is>
      </c>
      <c r="J40" s="111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idden="1" ht="15.75" customHeight="1" s="168">
      <c r="A41" s="113" t="n">
        <v>46129</v>
      </c>
      <c r="B41" s="111" t="inlineStr">
        <is>
          <t>Mints</t>
        </is>
      </c>
      <c r="C41" s="111" t="inlineStr">
        <is>
          <t>Food and Drinks</t>
        </is>
      </c>
      <c r="D41" s="117" t="n">
        <v>2.5</v>
      </c>
      <c r="E41" s="118">
        <f>IF(F41="","",IF(OR(F41="HDFC Bank (INR)",F41="HDFC IOCL Credit Card (INR)",F41="HDFC Swiggy Credit Card (INR)",F41="Axis Airtel Credit Card (INR)"),"INR","GBP"))</f>
        <v/>
      </c>
      <c r="F41" s="111" t="inlineStr">
        <is>
          <t>Lloyds Bank (GBP)</t>
        </is>
      </c>
      <c r="G41" s="111" t="inlineStr">
        <is>
          <t>No</t>
        </is>
      </c>
      <c r="H41" s="119">
        <f>IF(G41="Yes","",D41)</f>
        <v/>
      </c>
      <c r="I41" s="111" t="inlineStr">
        <is>
          <t>No</t>
        </is>
      </c>
      <c r="J41" s="111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idden="1" ht="15.75" customHeight="1" s="168">
      <c r="A42" s="113" t="n">
        <v>46129</v>
      </c>
      <c r="B42" s="111" t="inlineStr">
        <is>
          <t>eggs</t>
        </is>
      </c>
      <c r="C42" s="111" t="inlineStr">
        <is>
          <t>Groceries</t>
        </is>
      </c>
      <c r="D42" s="117" t="n">
        <v>4.45</v>
      </c>
      <c r="E42" s="118">
        <f>IF(F42="","",IF(OR(F42="HDFC Bank (INR)",F42="HDFC IOCL Credit Card (INR)",F42="HDFC Swiggy Credit Card (INR)",F42="Axis Airtel Credit Card (INR)"),"INR","GBP"))</f>
        <v/>
      </c>
      <c r="F42" s="111" t="inlineStr">
        <is>
          <t>Lloyds Bank (GBP)</t>
        </is>
      </c>
      <c r="G42" s="111" t="inlineStr">
        <is>
          <t>Yes</t>
        </is>
      </c>
      <c r="H42" s="119" t="n">
        <v>1.42</v>
      </c>
      <c r="I42" s="111" t="inlineStr">
        <is>
          <t>No</t>
        </is>
      </c>
      <c r="J42" s="111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idden="1" ht="15.75" customHeight="1" s="168">
      <c r="A43" s="113" t="n">
        <v>46129</v>
      </c>
      <c r="B43" s="111" t="inlineStr">
        <is>
          <t>Claude AI</t>
        </is>
      </c>
      <c r="C43" s="111" t="inlineStr">
        <is>
          <t>Subscriptions</t>
        </is>
      </c>
      <c r="D43" s="117" t="n">
        <v>18</v>
      </c>
      <c r="E43" s="118">
        <f>IF(F43="","",IF(OR(F43="HDFC Bank (INR)",F43="HDFC IOCL Credit Card (INR)",F43="HDFC Swiggy Credit Card (INR)",F43="Axis Airtel Credit Card (INR)"),"INR","GBP"))</f>
        <v/>
      </c>
      <c r="F43" s="111" t="inlineStr">
        <is>
          <t>Barclays Rewards Credit Card (GBP)</t>
        </is>
      </c>
      <c r="G43" s="111" t="inlineStr">
        <is>
          <t>No</t>
        </is>
      </c>
      <c r="H43" s="119">
        <f>IF(G43="Yes","",D43)</f>
        <v/>
      </c>
      <c r="I43" s="111" t="inlineStr">
        <is>
          <t>No</t>
        </is>
      </c>
      <c r="J43" s="111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idden="1" ht="15.75" customHeight="1" s="168">
      <c r="A44" s="113" t="n">
        <v>46129</v>
      </c>
      <c r="B44" s="111" t="inlineStr">
        <is>
          <t>EE</t>
        </is>
      </c>
      <c r="C44" s="111" t="inlineStr">
        <is>
          <t>Bills</t>
        </is>
      </c>
      <c r="D44" s="117" t="n">
        <v>26.92</v>
      </c>
      <c r="E44" s="118">
        <f>IF(F44="","",IF(OR(F44="HDFC Bank (INR)",F44="HDFC IOCL Credit Card (INR)",F44="HDFC Swiggy Credit Card (INR)",F44="Axis Airtel Credit Card (INR)"),"INR","GBP"))</f>
        <v/>
      </c>
      <c r="F44" s="111" t="inlineStr">
        <is>
          <t>Barclays Bank (GBP)</t>
        </is>
      </c>
      <c r="G44" s="111" t="inlineStr">
        <is>
          <t>No</t>
        </is>
      </c>
      <c r="H44" s="119">
        <f>IF(G44="Yes","",D44)</f>
        <v/>
      </c>
      <c r="I44" s="111" t="inlineStr">
        <is>
          <t>No</t>
        </is>
      </c>
      <c r="J44" s="111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idden="1" ht="15.75" customHeight="1" s="168">
      <c r="A45" s="113" t="n">
        <v>46129</v>
      </c>
      <c r="B45" s="111" t="inlineStr">
        <is>
          <t>GBP to Inr</t>
        </is>
      </c>
      <c r="C45" s="111" t="n"/>
      <c r="D45" s="117" t="n">
        <v>200</v>
      </c>
      <c r="E45" s="118">
        <f>IF(F45="","",IF(OR(F45="HDFC Bank (INR)",F45="HDFC IOCL Credit Card (INR)",F45="HDFC Swiggy Credit Card (INR)",F45="Axis Airtel Credit Card (INR)"),"INR","GBP"))</f>
        <v/>
      </c>
      <c r="F45" s="111" t="inlineStr">
        <is>
          <t>Halifax Bank (GBP)</t>
        </is>
      </c>
      <c r="G45" s="111" t="inlineStr">
        <is>
          <t>No</t>
        </is>
      </c>
      <c r="H45" s="119">
        <f>IF(G45="Yes","",D45)</f>
        <v/>
      </c>
      <c r="I45" s="111" t="inlineStr">
        <is>
          <t>No</t>
        </is>
      </c>
      <c r="J45" s="111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idden="1" ht="15.75" customHeight="1" s="168">
      <c r="A46" s="113" t="n">
        <v>46129</v>
      </c>
      <c r="B46" s="111" t="inlineStr">
        <is>
          <t>Mad MAx</t>
        </is>
      </c>
      <c r="C46" s="111" t="inlineStr">
        <is>
          <t>Entertainment</t>
        </is>
      </c>
      <c r="D46" s="117" t="n">
        <v>399</v>
      </c>
      <c r="E46" s="118">
        <f>IF(F46="","",IF(OR(F46="HDFC Bank (INR)",F46="HDFC IOCL Credit Card (INR)",F46="HDFC Swiggy Credit Card (INR)",F46="Axis Airtel Credit Card (INR)"),"INR","GBP"))</f>
        <v/>
      </c>
      <c r="F46" s="111" t="inlineStr">
        <is>
          <t>HDFC Bank (INR)</t>
        </is>
      </c>
      <c r="G46" s="111" t="inlineStr">
        <is>
          <t>No</t>
        </is>
      </c>
      <c r="H46" s="119">
        <f>IF(G46="Yes","",D46)</f>
        <v/>
      </c>
      <c r="I46" s="111" t="inlineStr">
        <is>
          <t>No</t>
        </is>
      </c>
      <c r="J46" s="111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idden="1" ht="15.75" customHeight="1" s="168">
      <c r="A47" s="113" t="n">
        <v>46129</v>
      </c>
      <c r="B47" s="111" t="inlineStr">
        <is>
          <t>Apple Itunes OM</t>
        </is>
      </c>
      <c r="C47" s="111" t="inlineStr">
        <is>
          <t>Entertainment</t>
        </is>
      </c>
      <c r="D47" s="117" t="n">
        <v>15</v>
      </c>
      <c r="E47" s="118">
        <f>IF(F47="","",IF(OR(F47="HDFC Bank (INR)",F47="HDFC IOCL Credit Card (INR)",F47="HDFC Swiggy Credit Card (INR)",F47="Axis Airtel Credit Card (INR)"),"INR","GBP"))</f>
        <v/>
      </c>
      <c r="F47" s="111" t="inlineStr">
        <is>
          <t>HDFC Bank (INR)</t>
        </is>
      </c>
      <c r="G47" s="111" t="inlineStr">
        <is>
          <t>No</t>
        </is>
      </c>
      <c r="H47" s="119">
        <f>IF(G47="Yes","",D47)</f>
        <v/>
      </c>
      <c r="I47" s="111" t="inlineStr">
        <is>
          <t>No</t>
        </is>
      </c>
      <c r="J47" s="111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idden="1" ht="15.75" customHeight="1" s="168">
      <c r="A48" s="113" t="n">
        <v>46129</v>
      </c>
      <c r="B48" s="111" t="inlineStr">
        <is>
          <t>TJ Jones</t>
        </is>
      </c>
      <c r="C48" s="111" t="inlineStr">
        <is>
          <t>Gifts</t>
        </is>
      </c>
      <c r="D48" s="117" t="n">
        <v>13.24</v>
      </c>
      <c r="E48" s="118">
        <f>IF(F48="","",IF(OR(F48="HDFC Bank (INR)",F48="HDFC IOCL Credit Card (INR)",F48="HDFC Swiggy Credit Card (INR)",F48="Axis Airtel Credit Card (INR)"),"INR","GBP"))</f>
        <v/>
      </c>
      <c r="F48" s="111" t="inlineStr">
        <is>
          <t>HSBC Rewards Credit Card (GBP)</t>
        </is>
      </c>
      <c r="G48" s="111" t="inlineStr">
        <is>
          <t>No</t>
        </is>
      </c>
      <c r="H48" s="119">
        <f>IF(G48="Yes","",D48)</f>
        <v/>
      </c>
      <c r="I48" s="111" t="inlineStr">
        <is>
          <t>No</t>
        </is>
      </c>
      <c r="J48" s="111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idden="1" ht="15.75" customHeight="1" s="168">
      <c r="A49" s="113" t="n">
        <v>46129</v>
      </c>
      <c r="B49" s="111" t="inlineStr">
        <is>
          <t>JD Sports</t>
        </is>
      </c>
      <c r="C49" s="111" t="inlineStr">
        <is>
          <t>Shopping</t>
        </is>
      </c>
      <c r="D49" s="117" t="n">
        <v>117</v>
      </c>
      <c r="E49" s="118">
        <f>IF(F49="","",IF(OR(F49="HDFC Bank (INR)",F49="HDFC IOCL Credit Card (INR)",F49="HDFC Swiggy Credit Card (INR)",F49="Axis Airtel Credit Card (INR)"),"INR","GBP"))</f>
        <v/>
      </c>
      <c r="F49" s="111" t="inlineStr">
        <is>
          <t>HSBC Rewards Credit Card (GBP)</t>
        </is>
      </c>
      <c r="G49" s="111" t="inlineStr">
        <is>
          <t>No</t>
        </is>
      </c>
      <c r="H49" s="119">
        <f>IF(G49="Yes","",D49)</f>
        <v/>
      </c>
      <c r="I49" s="111" t="inlineStr">
        <is>
          <t>No</t>
        </is>
      </c>
      <c r="J49" s="111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idden="1" ht="15.75" customHeight="1" s="168">
      <c r="A50" s="113" t="n">
        <v>46133</v>
      </c>
      <c r="B50" s="111" t="inlineStr">
        <is>
          <t xml:space="preserve">Top Gun IMAX </t>
        </is>
      </c>
      <c r="C50" s="111" t="inlineStr">
        <is>
          <t>Entertainment</t>
        </is>
      </c>
      <c r="D50" s="117" t="n">
        <v>5</v>
      </c>
      <c r="E50" s="118">
        <f>IF(F50="","",IF(OR(F50="HDFC Bank (INR)",F50="HDFC IOCL Credit Card (INR)",F50="HDFC Swiggy Credit Card (INR)",F50="Axis Airtel Credit Card (INR)"),"INR","GBP"))</f>
        <v/>
      </c>
      <c r="F50" s="111" t="inlineStr">
        <is>
          <t>Lloyds Bank (GBP)</t>
        </is>
      </c>
      <c r="G50" s="111" t="inlineStr">
        <is>
          <t>No</t>
        </is>
      </c>
      <c r="H50" s="119">
        <f>IF(G50="Yes","",D50)</f>
        <v/>
      </c>
      <c r="I50" s="111" t="inlineStr">
        <is>
          <t>No</t>
        </is>
      </c>
      <c r="J50" s="111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idden="1" ht="15.75" customHeight="1" s="168">
      <c r="A51" s="113" t="n">
        <v>46133</v>
      </c>
      <c r="B51" s="111" t="inlineStr">
        <is>
          <t>Pizza</t>
        </is>
      </c>
      <c r="C51" s="111" t="inlineStr">
        <is>
          <t>Food and Drinks</t>
        </is>
      </c>
      <c r="D51" s="117" t="n">
        <v>6.33</v>
      </c>
      <c r="E51" s="118">
        <f>IF(F51="","",IF(OR(F51="HDFC Bank (INR)",F51="HDFC IOCL Credit Card (INR)",F51="HDFC Swiggy Credit Card (INR)",F51="Axis Airtel Credit Card (INR)"),"INR","GBP"))</f>
        <v/>
      </c>
      <c r="F51" s="111" t="inlineStr">
        <is>
          <t>Splitwise (GBP)</t>
        </is>
      </c>
      <c r="G51" s="111" t="inlineStr">
        <is>
          <t>No</t>
        </is>
      </c>
      <c r="H51" s="119">
        <f>IF(G51="Yes","",D51)</f>
        <v/>
      </c>
      <c r="I51" s="111" t="inlineStr">
        <is>
          <t>No</t>
        </is>
      </c>
      <c r="J51" s="111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idden="1" ht="15.75" customHeight="1" s="168">
      <c r="A52" s="113" t="n">
        <v>46133</v>
      </c>
      <c r="B52" s="111" t="inlineStr">
        <is>
          <t>Lidl</t>
        </is>
      </c>
      <c r="C52" s="111" t="inlineStr">
        <is>
          <t>Groceries</t>
        </is>
      </c>
      <c r="D52" s="117">
        <f>6.18+0.25</f>
        <v/>
      </c>
      <c r="E52" s="118">
        <f>IF(F52="","",IF(OR(F52="HDFC Bank (INR)",F52="HDFC IOCL Credit Card (INR)",F52="HDFC Swiggy Credit Card (INR)",F52="Axis Airtel Credit Card (INR)"),"INR","GBP"))</f>
        <v/>
      </c>
      <c r="F52" s="111" t="inlineStr">
        <is>
          <t>Splitwise (GBP)</t>
        </is>
      </c>
      <c r="G52" s="111" t="inlineStr">
        <is>
          <t>No</t>
        </is>
      </c>
      <c r="H52" s="119">
        <f>IF(G52="Yes","",D52)</f>
        <v/>
      </c>
      <c r="I52" s="111" t="inlineStr">
        <is>
          <t>No</t>
        </is>
      </c>
      <c r="J52" s="111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idden="1" ht="15.75" customHeight="1" s="168">
      <c r="A53" s="113" t="n">
        <v>46133</v>
      </c>
      <c r="B53" s="111" t="inlineStr">
        <is>
          <t>Akka Shop</t>
        </is>
      </c>
      <c r="C53" s="111" t="inlineStr">
        <is>
          <t>Groceries</t>
        </is>
      </c>
      <c r="D53" s="117" t="n">
        <v>1.02</v>
      </c>
      <c r="E53" s="118">
        <f>IF(F53="","",IF(OR(F53="HDFC Bank (INR)",F53="HDFC IOCL Credit Card (INR)",F53="HDFC Swiggy Credit Card (INR)",F53="Axis Airtel Credit Card (INR)"),"INR","GBP"))</f>
        <v/>
      </c>
      <c r="F53" s="111" t="inlineStr">
        <is>
          <t>Splitwise (GBP)</t>
        </is>
      </c>
      <c r="G53" s="111" t="inlineStr">
        <is>
          <t>No</t>
        </is>
      </c>
      <c r="H53" s="119">
        <f>IF(G53="Yes","",D53)</f>
        <v/>
      </c>
      <c r="I53" s="111" t="inlineStr">
        <is>
          <t>No</t>
        </is>
      </c>
      <c r="J53" s="111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idden="1" ht="15.75" customHeight="1" s="168">
      <c r="A54" s="113" t="n">
        <v>46133</v>
      </c>
      <c r="B54" s="111" t="inlineStr">
        <is>
          <t>Mushrooms</t>
        </is>
      </c>
      <c r="C54" s="111" t="inlineStr">
        <is>
          <t>Groceries</t>
        </is>
      </c>
      <c r="D54" s="117" t="n">
        <v>1.68</v>
      </c>
      <c r="E54" s="118">
        <f>IF(F54="","",IF(OR(F54="HDFC Bank (INR)",F54="HDFC IOCL Credit Card (INR)",F54="HDFC Swiggy Credit Card (INR)",F54="Axis Airtel Credit Card (INR)"),"INR","GBP"))</f>
        <v/>
      </c>
      <c r="F54" s="111" t="inlineStr">
        <is>
          <t>Splitwise (GBP)</t>
        </is>
      </c>
      <c r="G54" s="111" t="inlineStr">
        <is>
          <t>No</t>
        </is>
      </c>
      <c r="H54" s="119">
        <f>IF(G54="Yes","",D54)</f>
        <v/>
      </c>
      <c r="I54" s="111" t="inlineStr">
        <is>
          <t>No</t>
        </is>
      </c>
      <c r="J54" s="111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idden="1" ht="15.75" customHeight="1" s="168">
      <c r="A55" s="113" t="n">
        <v>46133</v>
      </c>
      <c r="B55" s="111" t="inlineStr">
        <is>
          <t>Seeko</t>
        </is>
      </c>
      <c r="C55" s="111" t="inlineStr">
        <is>
          <t>Groceries</t>
        </is>
      </c>
      <c r="D55" s="117" t="n">
        <v>1.46</v>
      </c>
      <c r="E55" s="118">
        <f>IF(F55="","",IF(OR(F55="HDFC Bank (INR)",F55="HDFC IOCL Credit Card (INR)",F55="HDFC Swiggy Credit Card (INR)",F55="Axis Airtel Credit Card (INR)"),"INR","GBP"))</f>
        <v/>
      </c>
      <c r="F55" s="111" t="inlineStr">
        <is>
          <t>Splitwise (GBP)</t>
        </is>
      </c>
      <c r="G55" s="111" t="inlineStr">
        <is>
          <t>No</t>
        </is>
      </c>
      <c r="H55" s="119">
        <f>IF(G55="Yes","",D55)</f>
        <v/>
      </c>
      <c r="I55" s="111" t="inlineStr">
        <is>
          <t>No</t>
        </is>
      </c>
      <c r="J55" s="111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idden="1" ht="15.75" customHeight="1" s="168">
      <c r="A56" s="113" t="n">
        <v>46133</v>
      </c>
      <c r="B56" s="111" t="inlineStr">
        <is>
          <t>Washing Liquid</t>
        </is>
      </c>
      <c r="C56" s="111" t="inlineStr">
        <is>
          <t>Groceries</t>
        </is>
      </c>
      <c r="D56" s="117" t="n">
        <v>0.46</v>
      </c>
      <c r="E56" s="118">
        <f>IF(F56="","",IF(OR(F56="HDFC Bank (INR)",F56="HDFC IOCL Credit Card (INR)",F56="HDFC Swiggy Credit Card (INR)",F56="Axis Airtel Credit Card (INR)"),"INR","GBP"))</f>
        <v/>
      </c>
      <c r="F56" s="111" t="inlineStr">
        <is>
          <t>Splitwise (GBP)</t>
        </is>
      </c>
      <c r="G56" s="111" t="inlineStr">
        <is>
          <t>No</t>
        </is>
      </c>
      <c r="H56" s="119">
        <f>IF(G56="Yes","",D56)</f>
        <v/>
      </c>
      <c r="I56" s="111" t="inlineStr">
        <is>
          <t>No</t>
        </is>
      </c>
      <c r="J56" s="111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idden="1" ht="15.75" customHeight="1" s="168">
      <c r="A57" s="113" t="n">
        <v>46133</v>
      </c>
      <c r="B57" s="111" t="inlineStr">
        <is>
          <t>Mars</t>
        </is>
      </c>
      <c r="C57" s="111" t="inlineStr">
        <is>
          <t>Food and Drinks</t>
        </is>
      </c>
      <c r="D57" s="117" t="n">
        <v>1</v>
      </c>
      <c r="E57" s="118">
        <f>IF(F57="","",IF(OR(F57="HDFC Bank (INR)",F57="HDFC IOCL Credit Card (INR)",F57="HDFC Swiggy Credit Card (INR)",F57="Axis Airtel Credit Card (INR)"),"INR","GBP"))</f>
        <v/>
      </c>
      <c r="F57" s="111" t="inlineStr">
        <is>
          <t>Lloyds Bank (GBP)</t>
        </is>
      </c>
      <c r="G57" s="111" t="inlineStr">
        <is>
          <t>No</t>
        </is>
      </c>
      <c r="H57" s="119">
        <f>IF(G57="Yes","",D57)</f>
        <v/>
      </c>
      <c r="I57" s="111" t="inlineStr">
        <is>
          <t>No</t>
        </is>
      </c>
      <c r="J57" s="111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idden="1" ht="15.75" customHeight="1" s="168">
      <c r="A58" s="113" t="n">
        <v>46133</v>
      </c>
      <c r="B58" s="111" t="inlineStr">
        <is>
          <t>Paradise</t>
        </is>
      </c>
      <c r="C58" s="111" t="inlineStr">
        <is>
          <t>Food and Drinks</t>
        </is>
      </c>
      <c r="D58" s="117" t="n">
        <v>8</v>
      </c>
      <c r="E58" s="118">
        <f>IF(F58="","",IF(OR(F58="HDFC Bank (INR)",F58="HDFC IOCL Credit Card (INR)",F58="HDFC Swiggy Credit Card (INR)",F58="Axis Airtel Credit Card (INR)"),"INR","GBP"))</f>
        <v/>
      </c>
      <c r="F58" s="111" t="inlineStr">
        <is>
          <t>Lloyds Bank (GBP)</t>
        </is>
      </c>
      <c r="G58" s="111" t="inlineStr">
        <is>
          <t>No</t>
        </is>
      </c>
      <c r="H58" s="119">
        <f>IF(G58="Yes","",D58)</f>
        <v/>
      </c>
      <c r="I58" s="111" t="inlineStr">
        <is>
          <t>No</t>
        </is>
      </c>
      <c r="J58" s="111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idden="1" ht="15.75" customHeight="1" s="168">
      <c r="A59" s="113" t="n">
        <v>46133</v>
      </c>
      <c r="B59" s="111" t="inlineStr">
        <is>
          <t>East Ham to North Greewich</t>
        </is>
      </c>
      <c r="C59" s="111" t="inlineStr">
        <is>
          <t>Transport</t>
        </is>
      </c>
      <c r="D59" s="117" t="n">
        <v>2.9</v>
      </c>
      <c r="E59" s="118">
        <f>IF(F59="","",IF(OR(F59="HDFC Bank (INR)",F59="HDFC IOCL Credit Card (INR)",F59="HDFC Swiggy Credit Card (INR)",F59="Axis Airtel Credit Card (INR)"),"INR","GBP"))</f>
        <v/>
      </c>
      <c r="F59" s="111" t="inlineStr">
        <is>
          <t>Oyster Travel Card (GBP)</t>
        </is>
      </c>
      <c r="G59" s="111" t="inlineStr">
        <is>
          <t>No</t>
        </is>
      </c>
      <c r="H59" s="119">
        <f>IF(G59="Yes","",D59)</f>
        <v/>
      </c>
      <c r="I59" s="111" t="inlineStr">
        <is>
          <t>No</t>
        </is>
      </c>
      <c r="J59" s="111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idden="1" ht="15.75" customHeight="1" s="168">
      <c r="A60" s="113" t="n">
        <v>46133</v>
      </c>
      <c r="B60" s="111" t="inlineStr">
        <is>
          <t>East Ham to Shoreditch U/D</t>
        </is>
      </c>
      <c r="C60" s="111" t="inlineStr">
        <is>
          <t>Transport</t>
        </is>
      </c>
      <c r="D60" s="117" t="n">
        <v>4.3</v>
      </c>
      <c r="E60" s="118">
        <f>IF(F60="","",IF(OR(F60="HDFC Bank (INR)",F60="HDFC IOCL Credit Card (INR)",F60="HDFC Swiggy Credit Card (INR)",F60="Axis Airtel Credit Card (INR)"),"INR","GBP"))</f>
        <v/>
      </c>
      <c r="F60" s="111" t="inlineStr">
        <is>
          <t>Oyster Travel Card (GBP)</t>
        </is>
      </c>
      <c r="G60" s="111" t="inlineStr">
        <is>
          <t>No</t>
        </is>
      </c>
      <c r="H60" s="119">
        <f>IF(G60="Yes","",D60)</f>
        <v/>
      </c>
      <c r="I60" s="111" t="inlineStr">
        <is>
          <t>No</t>
        </is>
      </c>
      <c r="J60" s="111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idden="1" ht="15.75" customHeight="1" s="168">
      <c r="A61" s="113" t="n">
        <v>46133</v>
      </c>
      <c r="B61" s="111" t="inlineStr">
        <is>
          <t>East Ham to Shoreditch U/D</t>
        </is>
      </c>
      <c r="C61" s="111" t="inlineStr">
        <is>
          <t>Transport</t>
        </is>
      </c>
      <c r="D61" s="117" t="n">
        <v>4.3</v>
      </c>
      <c r="E61" s="118">
        <f>IF(F61="","",IF(OR(F61="HDFC Bank (INR)",F61="HDFC IOCL Credit Card (INR)",F61="HDFC Swiggy Credit Card (INR)",F61="Axis Airtel Credit Card (INR)"),"INR","GBP"))</f>
        <v/>
      </c>
      <c r="F61" s="111" t="inlineStr">
        <is>
          <t>Oyster Travel Card (GBP)</t>
        </is>
      </c>
      <c r="G61" s="111" t="inlineStr">
        <is>
          <t>No</t>
        </is>
      </c>
      <c r="H61" s="119">
        <f>IF(G61="Yes","",D61)</f>
        <v/>
      </c>
      <c r="I61" s="111" t="inlineStr">
        <is>
          <t>No</t>
        </is>
      </c>
      <c r="J61" s="111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idden="1" ht="15.75" customHeight="1" s="168">
      <c r="A62" s="113" t="n">
        <v>46133</v>
      </c>
      <c r="B62" s="111" t="inlineStr">
        <is>
          <t>East Ham to Shoreditch U/D</t>
        </is>
      </c>
      <c r="C62" s="111" t="inlineStr">
        <is>
          <t>Transport</t>
        </is>
      </c>
      <c r="D62" s="117" t="n">
        <v>6.95</v>
      </c>
      <c r="E62" s="118">
        <f>IF(F62="","",IF(OR(F62="HDFC Bank (INR)",F62="HDFC IOCL Credit Card (INR)",F62="HDFC Swiggy Credit Card (INR)",F62="Axis Airtel Credit Card (INR)"),"INR","GBP"))</f>
        <v/>
      </c>
      <c r="F62" s="111" t="inlineStr">
        <is>
          <t>Oyster Travel Card (GBP)</t>
        </is>
      </c>
      <c r="G62" s="111" t="inlineStr">
        <is>
          <t>No</t>
        </is>
      </c>
      <c r="H62" s="119">
        <f>IF(G62="Yes","",D62)</f>
        <v/>
      </c>
      <c r="I62" s="111" t="inlineStr">
        <is>
          <t>No</t>
        </is>
      </c>
      <c r="J62" s="111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idden="1" ht="15.75" customHeight="1" s="168">
      <c r="A63" s="113" t="n">
        <v>46133</v>
      </c>
      <c r="B63" s="111" t="inlineStr">
        <is>
          <t>East Ham to Shoreditch U/D</t>
        </is>
      </c>
      <c r="C63" s="111" t="inlineStr">
        <is>
          <t>Transport</t>
        </is>
      </c>
      <c r="D63" s="117" t="n">
        <v>4.3</v>
      </c>
      <c r="E63" s="118">
        <f>IF(F63="","",IF(OR(F63="HDFC Bank (INR)",F63="HDFC IOCL Credit Card (INR)",F63="HDFC Swiggy Credit Card (INR)",F63="Axis Airtel Credit Card (INR)"),"INR","GBP"))</f>
        <v/>
      </c>
      <c r="F63" s="111" t="inlineStr">
        <is>
          <t>Oyster Travel Card (GBP)</t>
        </is>
      </c>
      <c r="G63" s="111" t="inlineStr">
        <is>
          <t>No</t>
        </is>
      </c>
      <c r="H63" s="119">
        <f>IF(G63="Yes","",D63)</f>
        <v/>
      </c>
      <c r="I63" s="111" t="inlineStr">
        <is>
          <t>No</t>
        </is>
      </c>
      <c r="J63" s="111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idden="1" ht="15.75" customHeight="1" s="168">
      <c r="A64" s="113" t="n">
        <v>46133</v>
      </c>
      <c r="B64" s="111" t="inlineStr">
        <is>
          <t>East Ham to Shoreditch U/D</t>
        </is>
      </c>
      <c r="C64" s="111" t="inlineStr">
        <is>
          <t>Transport</t>
        </is>
      </c>
      <c r="D64" s="117" t="n">
        <v>4.3</v>
      </c>
      <c r="E64" s="118">
        <f>IF(F64="","",IF(OR(F64="HDFC Bank (INR)",F64="HDFC IOCL Credit Card (INR)",F64="HDFC Swiggy Credit Card (INR)",F64="Axis Airtel Credit Card (INR)"),"INR","GBP"))</f>
        <v/>
      </c>
      <c r="F64" s="111" t="inlineStr">
        <is>
          <t>Oyster Travel Card (GBP)</t>
        </is>
      </c>
      <c r="G64" s="111" t="inlineStr">
        <is>
          <t>No</t>
        </is>
      </c>
      <c r="H64" s="119">
        <f>IF(G64="Yes","",D64)</f>
        <v/>
      </c>
      <c r="I64" s="111" t="inlineStr">
        <is>
          <t>No</t>
        </is>
      </c>
      <c r="J64" s="111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idden="1" ht="15.75" customHeight="1" s="168">
      <c r="A65" s="113" t="n">
        <v>46133</v>
      </c>
      <c r="B65" s="111" t="inlineStr">
        <is>
          <t>East Ham to Shoreditch U/D</t>
        </is>
      </c>
      <c r="C65" s="111" t="inlineStr">
        <is>
          <t>Transport</t>
        </is>
      </c>
      <c r="D65" s="117" t="n">
        <v>5.95</v>
      </c>
      <c r="E65" s="118">
        <f>IF(F65="","",IF(OR(F65="HDFC Bank (INR)",F65="HDFC IOCL Credit Card (INR)",F65="HDFC Swiggy Credit Card (INR)",F65="Axis Airtel Credit Card (INR)"),"INR","GBP"))</f>
        <v/>
      </c>
      <c r="F65" s="111" t="inlineStr">
        <is>
          <t>Oyster Travel Card (GBP)</t>
        </is>
      </c>
      <c r="G65" s="111" t="inlineStr">
        <is>
          <t>No</t>
        </is>
      </c>
      <c r="H65" s="119">
        <f>IF(G65="Yes","",D65)</f>
        <v/>
      </c>
      <c r="I65" s="111" t="inlineStr">
        <is>
          <t>No</t>
        </is>
      </c>
      <c r="J65" s="111" t="inlineStr">
        <is>
          <t>Night travel</t>
        </is>
      </c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idden="1" ht="15.75" customHeight="1" s="168">
      <c r="A66" s="113" t="n">
        <v>46133</v>
      </c>
      <c r="B66" s="111" t="inlineStr">
        <is>
          <t>Claude Ai Sub</t>
        </is>
      </c>
      <c r="C66" s="111" t="inlineStr">
        <is>
          <t>Subscriptions</t>
        </is>
      </c>
      <c r="D66" s="117" t="n">
        <v>1999</v>
      </c>
      <c r="E66" s="118">
        <f>IF(F66="","",IF(OR(F66="HDFC Bank (INR)",F66="HDFC IOCL Credit Card (INR)",F66="HDFC Swiggy Credit Card (INR)",F66="Axis Airtel Credit Card (INR)"),"INR","GBP"))</f>
        <v/>
      </c>
      <c r="F66" s="111" t="inlineStr">
        <is>
          <t>HDFC Bank (INR)</t>
        </is>
      </c>
      <c r="G66" s="111" t="inlineStr">
        <is>
          <t>No</t>
        </is>
      </c>
      <c r="H66" s="119">
        <f>IF(G66="Yes","",D66)</f>
        <v/>
      </c>
      <c r="I66" s="111" t="inlineStr">
        <is>
          <t>No</t>
        </is>
      </c>
      <c r="J66" s="111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idden="1" ht="15.75" customHeight="1" s="168">
      <c r="A67" s="113" t="n">
        <v>46137</v>
      </c>
      <c r="B67" s="111" t="inlineStr">
        <is>
          <t>Paradise</t>
        </is>
      </c>
      <c r="C67" s="111" t="inlineStr">
        <is>
          <t>Food and Drinks</t>
        </is>
      </c>
      <c r="D67" s="117" t="n">
        <v>8</v>
      </c>
      <c r="E67" s="118">
        <f>IF(F67="","",IF(OR(F67="HDFC Bank (INR)",F67="HDFC IOCL Credit Card (INR)",F67="HDFC Swiggy Credit Card (INR)",F67="Axis Airtel Credit Card (INR)"),"INR","GBP"))</f>
        <v/>
      </c>
      <c r="F67" s="111" t="inlineStr">
        <is>
          <t>Lloyds Bank (GBP)</t>
        </is>
      </c>
      <c r="G67" s="111" t="inlineStr">
        <is>
          <t>No</t>
        </is>
      </c>
      <c r="H67" s="119">
        <f>IF(G67="Yes","",D67)</f>
        <v/>
      </c>
      <c r="I67" s="111" t="inlineStr">
        <is>
          <t>No</t>
        </is>
      </c>
      <c r="J67" s="111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idden="1" ht="15.75" customHeight="1" s="168">
      <c r="A68" s="113" t="n">
        <v>46137</v>
      </c>
      <c r="B68" s="111" t="inlineStr">
        <is>
          <t>TFL</t>
        </is>
      </c>
      <c r="C68" s="111" t="inlineStr">
        <is>
          <t>Transport</t>
        </is>
      </c>
      <c r="D68" s="117" t="n">
        <v>3.5</v>
      </c>
      <c r="E68" s="118">
        <f>IF(F68="","",IF(OR(F68="HDFC Bank (INR)",F68="HDFC IOCL Credit Card (INR)",F68="HDFC Swiggy Credit Card (INR)",F68="Axis Airtel Credit Card (INR)"),"INR","GBP"))</f>
        <v/>
      </c>
      <c r="F68" s="111" t="inlineStr">
        <is>
          <t>Lloyds Bank (GBP)</t>
        </is>
      </c>
      <c r="G68" s="111" t="inlineStr">
        <is>
          <t>No</t>
        </is>
      </c>
      <c r="H68" s="119">
        <f>IF(G68="Yes","",D68)</f>
        <v/>
      </c>
      <c r="I68" s="111" t="inlineStr">
        <is>
          <t>No</t>
        </is>
      </c>
      <c r="J68" s="111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idden="1" ht="15.75" customHeight="1" s="168">
      <c r="A69" s="113" t="n">
        <v>46137</v>
      </c>
      <c r="B69" s="111" t="inlineStr">
        <is>
          <t>Rumali roti</t>
        </is>
      </c>
      <c r="C69" s="111" t="inlineStr">
        <is>
          <t>Groceries</t>
        </is>
      </c>
      <c r="D69" s="117" t="n">
        <v>1.99</v>
      </c>
      <c r="E69" s="118">
        <f>IF(F69="","",IF(OR(F69="HDFC Bank (INR)",F69="HDFC IOCL Credit Card (INR)",F69="HDFC Swiggy Credit Card (INR)",F69="Axis Airtel Credit Card (INR)"),"INR","GBP"))</f>
        <v/>
      </c>
      <c r="F69" s="111" t="inlineStr">
        <is>
          <t>Lloyds Bank (GBP)</t>
        </is>
      </c>
      <c r="G69" s="111" t="inlineStr">
        <is>
          <t>No</t>
        </is>
      </c>
      <c r="H69" s="119">
        <f>IF(G69="Yes","",D69)</f>
        <v/>
      </c>
      <c r="I69" s="111" t="inlineStr">
        <is>
          <t>No</t>
        </is>
      </c>
      <c r="J69" s="111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idden="1" ht="15.75" customHeight="1" s="168">
      <c r="A70" s="113" t="n">
        <v>46137</v>
      </c>
      <c r="B70" s="111" t="inlineStr">
        <is>
          <t>Lidl</t>
        </is>
      </c>
      <c r="C70" s="111" t="inlineStr">
        <is>
          <t>Food and Drinks</t>
        </is>
      </c>
      <c r="D70" s="117" t="n">
        <v>1.5</v>
      </c>
      <c r="E70" s="118">
        <f>IF(F70="","",IF(OR(F70="HDFC Bank (INR)",F70="HDFC IOCL Credit Card (INR)",F70="HDFC Swiggy Credit Card (INR)",F70="Axis Airtel Credit Card (INR)"),"INR","GBP"))</f>
        <v/>
      </c>
      <c r="F70" s="111" t="inlineStr">
        <is>
          <t>Lloyds Bank (GBP)</t>
        </is>
      </c>
      <c r="G70" s="111" t="inlineStr">
        <is>
          <t>No</t>
        </is>
      </c>
      <c r="H70" s="119">
        <f>IF(G70="Yes","",D70)</f>
        <v/>
      </c>
      <c r="I70" s="111" t="inlineStr">
        <is>
          <t>No</t>
        </is>
      </c>
      <c r="J70" s="111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idden="1" ht="15.75" customHeight="1" s="168">
      <c r="A71" s="113" t="n">
        <v>46137</v>
      </c>
      <c r="B71" s="111" t="inlineStr">
        <is>
          <t>East to East</t>
        </is>
      </c>
      <c r="C71" s="111" t="inlineStr">
        <is>
          <t>Transport</t>
        </is>
      </c>
      <c r="D71" s="117" t="n">
        <v>5.95</v>
      </c>
      <c r="E71" s="118">
        <f>IF(F71="","",IF(OR(F71="HDFC Bank (INR)",F71="HDFC IOCL Credit Card (INR)",F71="HDFC Swiggy Credit Card (INR)",F71="Axis Airtel Credit Card (INR)"),"INR","GBP"))</f>
        <v/>
      </c>
      <c r="F71" s="111" t="inlineStr">
        <is>
          <t>Oyster Travel Card (GBP)</t>
        </is>
      </c>
      <c r="G71" s="111" t="inlineStr">
        <is>
          <t>No</t>
        </is>
      </c>
      <c r="H71" s="119">
        <f>IF(G71="Yes","",D71)</f>
        <v/>
      </c>
      <c r="I71" s="111" t="inlineStr">
        <is>
          <t>No</t>
        </is>
      </c>
      <c r="J71" s="111" t="inlineStr">
        <is>
          <t>Night travel</t>
        </is>
      </c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idden="1" ht="15.75" customHeight="1" s="168">
      <c r="A72" s="113" t="n">
        <v>46137</v>
      </c>
      <c r="B72" s="111" t="inlineStr">
        <is>
          <t>Chocolates</t>
        </is>
      </c>
      <c r="C72" s="111" t="inlineStr">
        <is>
          <t>Food and Drinks</t>
        </is>
      </c>
      <c r="D72" s="117" t="n">
        <v>1.78</v>
      </c>
      <c r="E72" s="118">
        <f>IF(F72="","",IF(OR(F72="HDFC Bank (INR)",F72="HDFC IOCL Credit Card (INR)",F72="HDFC Swiggy Credit Card (INR)",F72="Axis Airtel Credit Card (INR)"),"INR","GBP"))</f>
        <v/>
      </c>
      <c r="F72" s="111" t="inlineStr">
        <is>
          <t>Lloyds Bank (GBP)</t>
        </is>
      </c>
      <c r="G72" s="111" t="inlineStr">
        <is>
          <t>No</t>
        </is>
      </c>
      <c r="H72" s="119">
        <f>IF(G72="Yes","",D72)</f>
        <v/>
      </c>
      <c r="I72" s="111" t="inlineStr">
        <is>
          <t>No</t>
        </is>
      </c>
      <c r="J72" s="111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idden="1" ht="15.75" customHeight="1" s="168">
      <c r="A73" s="113" t="n">
        <v>46137</v>
      </c>
      <c r="B73" s="111" t="inlineStr">
        <is>
          <t>East to East</t>
        </is>
      </c>
      <c r="C73" s="111" t="inlineStr">
        <is>
          <t>Transport</t>
        </is>
      </c>
      <c r="D73" s="117" t="n">
        <v>3.9</v>
      </c>
      <c r="E73" s="118">
        <f>IF(F73="","",IF(OR(F73="HDFC Bank (INR)",F73="HDFC IOCL Credit Card (INR)",F73="HDFC Swiggy Credit Card (INR)",F73="Axis Airtel Credit Card (INR)"),"INR","GBP"))</f>
        <v/>
      </c>
      <c r="F73" s="111" t="inlineStr">
        <is>
          <t>Oyster Travel Card (GBP)</t>
        </is>
      </c>
      <c r="G73" s="111" t="inlineStr">
        <is>
          <t>No</t>
        </is>
      </c>
      <c r="H73" s="119">
        <f>IF(G73="Yes","",D73)</f>
        <v/>
      </c>
      <c r="I73" s="111" t="inlineStr">
        <is>
          <t>No</t>
        </is>
      </c>
      <c r="J73" s="111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idden="1" ht="15.75" customHeight="1" s="168">
      <c r="A74" s="113" t="n">
        <v>46137</v>
      </c>
      <c r="B74" s="111" t="inlineStr">
        <is>
          <t>Easto East</t>
        </is>
      </c>
      <c r="C74" s="111" t="inlineStr">
        <is>
          <t>Transport</t>
        </is>
      </c>
      <c r="D74" s="117" t="n">
        <v>5.95</v>
      </c>
      <c r="E74" s="118">
        <f>IF(F74="","",IF(OR(F74="HDFC Bank (INR)",F74="HDFC IOCL Credit Card (INR)",F74="HDFC Swiggy Credit Card (INR)",F74="Axis Airtel Credit Card (INR)"),"INR","GBP"))</f>
        <v/>
      </c>
      <c r="F74" s="111" t="inlineStr">
        <is>
          <t>Oyster Travel Card (GBP)</t>
        </is>
      </c>
      <c r="G74" s="111" t="inlineStr">
        <is>
          <t>No</t>
        </is>
      </c>
      <c r="H74" s="119">
        <f>IF(G74="Yes","",D74)</f>
        <v/>
      </c>
      <c r="I74" s="111" t="inlineStr">
        <is>
          <t>No</t>
        </is>
      </c>
      <c r="J74" s="111" t="inlineStr">
        <is>
          <t>Night travel</t>
        </is>
      </c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idden="1" ht="15.75" customHeight="1" s="168">
      <c r="A75" s="113" t="n">
        <v>46138</v>
      </c>
      <c r="B75" s="111" t="inlineStr">
        <is>
          <t>Eggs</t>
        </is>
      </c>
      <c r="C75" s="111" t="inlineStr">
        <is>
          <t>Groceries</t>
        </is>
      </c>
      <c r="D75" s="117" t="n">
        <v>2.55</v>
      </c>
      <c r="E75" s="118">
        <f>IF(F75="","",IF(OR(F75="HDFC Bank (INR)",F75="HDFC IOCL Credit Card (INR)",F75="HDFC Swiggy Credit Card (INR)",F75="Axis Airtel Credit Card (INR)"),"INR","GBP"))</f>
        <v/>
      </c>
      <c r="F75" s="111" t="inlineStr">
        <is>
          <t>Splitwise (GBP)</t>
        </is>
      </c>
      <c r="G75" s="111" t="inlineStr">
        <is>
          <t>No</t>
        </is>
      </c>
      <c r="H75" s="119">
        <f>IF(G75="Yes","",D75)</f>
        <v/>
      </c>
      <c r="I75" s="111" t="inlineStr">
        <is>
          <t>No</t>
        </is>
      </c>
      <c r="J75" s="111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idden="1" ht="15.75" customHeight="1" s="168">
      <c r="A76" s="113" t="n">
        <v>46138</v>
      </c>
      <c r="B76" s="111" t="inlineStr">
        <is>
          <t>Lemons</t>
        </is>
      </c>
      <c r="C76" s="111" t="inlineStr">
        <is>
          <t>Groceries</t>
        </is>
      </c>
      <c r="D76" s="117" t="n">
        <v>0.3</v>
      </c>
      <c r="E76" s="118">
        <f>IF(F76="","",IF(OR(F76="HDFC Bank (INR)",F76="HDFC IOCL Credit Card (INR)",F76="HDFC Swiggy Credit Card (INR)",F76="Axis Airtel Credit Card (INR)"),"INR","GBP"))</f>
        <v/>
      </c>
      <c r="F76" s="111" t="inlineStr">
        <is>
          <t>Splitwise (GBP)</t>
        </is>
      </c>
      <c r="G76" s="111" t="inlineStr">
        <is>
          <t>No</t>
        </is>
      </c>
      <c r="H76" s="119">
        <f>IF(G76="Yes","",D76)</f>
        <v/>
      </c>
      <c r="I76" s="111" t="inlineStr">
        <is>
          <t>No</t>
        </is>
      </c>
      <c r="J76" s="111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idden="1" ht="15.75" customHeight="1" s="168">
      <c r="A77" s="113" t="n">
        <v>46138</v>
      </c>
      <c r="B77" s="111" t="inlineStr">
        <is>
          <t>Week 1 Diest Grocery</t>
        </is>
      </c>
      <c r="C77" s="111" t="inlineStr">
        <is>
          <t>Groceries</t>
        </is>
      </c>
      <c r="D77" s="117" t="n">
        <v>17.81</v>
      </c>
      <c r="E77" s="118">
        <f>IF(F77="","",IF(OR(F77="HDFC Bank (INR)",F77="HDFC IOCL Credit Card (INR)",F77="HDFC Swiggy Credit Card (INR)",F77="Axis Airtel Credit Card (INR)"),"INR","GBP"))</f>
        <v/>
      </c>
      <c r="F77" s="111" t="inlineStr">
        <is>
          <t>Lloyds Bank (GBP)</t>
        </is>
      </c>
      <c r="G77" s="111" t="inlineStr">
        <is>
          <t>Yes</t>
        </is>
      </c>
      <c r="H77" s="119" t="n">
        <v>12.65</v>
      </c>
      <c r="I77" s="111" t="inlineStr">
        <is>
          <t>No</t>
        </is>
      </c>
      <c r="J77" s="111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idden="1" ht="15.75" customHeight="1" s="168">
      <c r="A78" s="113" t="n">
        <v>46138</v>
      </c>
      <c r="B78" s="111" t="inlineStr">
        <is>
          <t>Week 1 Diest Grocery</t>
        </is>
      </c>
      <c r="C78" s="111" t="inlineStr">
        <is>
          <t>Groceries</t>
        </is>
      </c>
      <c r="D78" s="117" t="n">
        <v>6.59</v>
      </c>
      <c r="E78" s="118">
        <f>IF(F78="","",IF(OR(F78="HDFC Bank (INR)",F78="HDFC IOCL Credit Card (INR)",F78="HDFC Swiggy Credit Card (INR)",F78="Axis Airtel Credit Card (INR)"),"INR","GBP"))</f>
        <v/>
      </c>
      <c r="F78" s="111" t="inlineStr">
        <is>
          <t>Splitwise (GBP)</t>
        </is>
      </c>
      <c r="G78" s="111" t="inlineStr">
        <is>
          <t>No</t>
        </is>
      </c>
      <c r="H78" s="119">
        <f>IF(G78="Yes","",D78)</f>
        <v/>
      </c>
      <c r="I78" s="111" t="inlineStr">
        <is>
          <t>No</t>
        </is>
      </c>
      <c r="J78" s="111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idden="1" ht="15.75" customHeight="1" s="168">
      <c r="A79" s="113" t="n">
        <v>46138</v>
      </c>
      <c r="B79" s="111" t="inlineStr">
        <is>
          <t>Week 1 Diest Grocery</t>
        </is>
      </c>
      <c r="C79" s="111" t="inlineStr">
        <is>
          <t>Groceries</t>
        </is>
      </c>
      <c r="D79" s="117" t="n">
        <v>4.28</v>
      </c>
      <c r="E79" s="118">
        <f>IF(F79="","",IF(OR(F79="HDFC Bank (INR)",F79="HDFC IOCL Credit Card (INR)",F79="HDFC Swiggy Credit Card (INR)",F79="Axis Airtel Credit Card (INR)"),"INR","GBP"))</f>
        <v/>
      </c>
      <c r="F79" s="111" t="inlineStr">
        <is>
          <t>Lloyds Bank (GBP)</t>
        </is>
      </c>
      <c r="G79" s="111" t="inlineStr">
        <is>
          <t>Yes</t>
        </is>
      </c>
      <c r="H79" s="119">
        <f>D79/2</f>
        <v/>
      </c>
      <c r="I79" s="111" t="inlineStr">
        <is>
          <t>No</t>
        </is>
      </c>
      <c r="J79" s="111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idden="1" ht="15.75" customHeight="1" s="168">
      <c r="A80" s="113" t="n">
        <v>46138</v>
      </c>
      <c r="B80" s="111" t="inlineStr">
        <is>
          <t>Chai and hill</t>
        </is>
      </c>
      <c r="C80" s="111" t="inlineStr">
        <is>
          <t>Food and Drinks</t>
        </is>
      </c>
      <c r="D80" s="117" t="n">
        <v>1</v>
      </c>
      <c r="E80" s="118">
        <f>IF(F80="","",IF(OR(F80="HDFC Bank (INR)",F80="HDFC IOCL Credit Card (INR)",F80="HDFC Swiggy Credit Card (INR)",F80="Axis Airtel Credit Card (INR)"),"INR","GBP"))</f>
        <v/>
      </c>
      <c r="F80" s="111" t="inlineStr">
        <is>
          <t>Lloyds Bank (GBP)</t>
        </is>
      </c>
      <c r="G80" s="111" t="inlineStr">
        <is>
          <t>No</t>
        </is>
      </c>
      <c r="H80" s="119">
        <f>IF(G80="Yes","",D80)</f>
        <v/>
      </c>
      <c r="I80" s="111" t="inlineStr">
        <is>
          <t>No</t>
        </is>
      </c>
      <c r="J80" s="111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idden="1" ht="15.75" customHeight="1" s="168">
      <c r="A81" s="113" t="n">
        <v>46138</v>
      </c>
      <c r="B81" s="111" t="inlineStr">
        <is>
          <t>Nike Shoe</t>
        </is>
      </c>
      <c r="C81" s="111" t="inlineStr">
        <is>
          <t>Shopping</t>
        </is>
      </c>
      <c r="D81" s="117" t="n">
        <v>63.99</v>
      </c>
      <c r="E81" s="118">
        <f>IF(F81="","",IF(OR(F81="HDFC Bank (INR)",F81="HDFC IOCL Credit Card (INR)",F81="HDFC Swiggy Credit Card (INR)",F81="Axis Airtel Credit Card (INR)"),"INR","GBP"))</f>
        <v/>
      </c>
      <c r="F81" s="111" t="inlineStr">
        <is>
          <t>HSBC Rewards Credit Card (GBP)</t>
        </is>
      </c>
      <c r="G81" s="111" t="inlineStr">
        <is>
          <t>No</t>
        </is>
      </c>
      <c r="H81" s="119">
        <f>IF(G81="Yes","",D81)</f>
        <v/>
      </c>
      <c r="I81" s="111" t="inlineStr">
        <is>
          <t>No</t>
        </is>
      </c>
      <c r="J81" s="111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idden="1" ht="15.75" customHeight="1" s="168">
      <c r="A82" s="113" t="n">
        <v>46138</v>
      </c>
      <c r="B82" s="111" t="inlineStr">
        <is>
          <t>Nike T shirt</t>
        </is>
      </c>
      <c r="C82" s="111" t="inlineStr">
        <is>
          <t>Shopping</t>
        </is>
      </c>
      <c r="D82" s="117" t="n">
        <v>30.39</v>
      </c>
      <c r="E82" s="118">
        <f>IF(F82="","",IF(OR(F82="HDFC Bank (INR)",F82="HDFC IOCL Credit Card (INR)",F82="HDFC Swiggy Credit Card (INR)",F82="Axis Airtel Credit Card (INR)"),"INR","GBP"))</f>
        <v/>
      </c>
      <c r="F82" s="111" t="inlineStr">
        <is>
          <t>HSBC Rewards Credit Card (GBP)</t>
        </is>
      </c>
      <c r="G82" s="111" t="inlineStr">
        <is>
          <t>No</t>
        </is>
      </c>
      <c r="H82" s="119">
        <f>IF(G82="Yes","",D82)</f>
        <v/>
      </c>
      <c r="I82" s="111" t="inlineStr">
        <is>
          <t>No</t>
        </is>
      </c>
      <c r="J82" s="111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idden="1" ht="15.75" customHeight="1" s="168">
      <c r="A83" s="113" t="n">
        <v>46138</v>
      </c>
      <c r="B83" s="111" t="inlineStr">
        <is>
          <t>New Balance Shoe</t>
        </is>
      </c>
      <c r="C83" s="111" t="inlineStr">
        <is>
          <t>Shopping</t>
        </is>
      </c>
      <c r="D83" s="117" t="n">
        <v>139.5</v>
      </c>
      <c r="E83" s="118">
        <f>IF(F83="","",IF(OR(F83="HDFC Bank (INR)",F83="HDFC IOCL Credit Card (INR)",F83="HDFC Swiggy Credit Card (INR)",F83="Axis Airtel Credit Card (INR)"),"INR","GBP"))</f>
        <v/>
      </c>
      <c r="F83" s="111" t="inlineStr">
        <is>
          <t>Barclays Rewards Credit Card (GBP)</t>
        </is>
      </c>
      <c r="G83" s="111" t="inlineStr">
        <is>
          <t>No</t>
        </is>
      </c>
      <c r="H83" s="119">
        <f>IF(G83="Yes","",D83)</f>
        <v/>
      </c>
      <c r="I83" s="111" t="inlineStr">
        <is>
          <t>No</t>
        </is>
      </c>
      <c r="J83" s="111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idden="1" ht="15.75" customHeight="1" s="168">
      <c r="A84" s="113" t="n">
        <v>46138</v>
      </c>
      <c r="B84" s="111" t="inlineStr">
        <is>
          <t>New Balance Shoe</t>
        </is>
      </c>
      <c r="C84" s="111" t="inlineStr">
        <is>
          <t>Shopping</t>
        </is>
      </c>
      <c r="D84" s="117" t="n">
        <v>139.5</v>
      </c>
      <c r="E84" s="118">
        <f>IF(F84="","",IF(OR(F84="HDFC Bank (INR)",F84="HDFC IOCL Credit Card (INR)",F84="HDFC Swiggy Credit Card (INR)",F84="Axis Airtel Credit Card (INR)"),"INR","GBP"))</f>
        <v/>
      </c>
      <c r="F84" s="111" t="inlineStr">
        <is>
          <t>Lloyds Bank (GBP)</t>
        </is>
      </c>
      <c r="G84" s="111" t="inlineStr">
        <is>
          <t>No</t>
        </is>
      </c>
      <c r="H84" s="119">
        <f>IF(G84="Yes","",D84)</f>
        <v/>
      </c>
      <c r="I84" s="111" t="inlineStr">
        <is>
          <t>No</t>
        </is>
      </c>
      <c r="J84" s="111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idden="1" ht="15.75" customHeight="1" s="168">
      <c r="A85" s="113" t="n">
        <v>46138</v>
      </c>
      <c r="B85" s="111" t="inlineStr">
        <is>
          <t>Temu</t>
        </is>
      </c>
      <c r="C85" s="111" t="inlineStr">
        <is>
          <t>Shopping</t>
        </is>
      </c>
      <c r="D85" s="117" t="n">
        <v>26.05</v>
      </c>
      <c r="E85" s="118">
        <f>IF(F85="","",IF(OR(F85="HDFC Bank (INR)",F85="HDFC IOCL Credit Card (INR)",F85="HDFC Swiggy Credit Card (INR)",F85="Axis Airtel Credit Card (INR)"),"INR","GBP"))</f>
        <v/>
      </c>
      <c r="F85" s="111" t="inlineStr">
        <is>
          <t>HSBC Rewards Credit Card (GBP)</t>
        </is>
      </c>
      <c r="G85" s="111" t="inlineStr">
        <is>
          <t>No</t>
        </is>
      </c>
      <c r="H85" s="119">
        <f>IF(G85="Yes","",D85)</f>
        <v/>
      </c>
      <c r="I85" s="111" t="inlineStr">
        <is>
          <t>No</t>
        </is>
      </c>
      <c r="J85" s="111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idden="1" ht="15.75" customHeight="1" s="168">
      <c r="A86" s="113" t="n">
        <v>46138</v>
      </c>
      <c r="B86" s="111" t="inlineStr">
        <is>
          <t>Amazon Weigh Scale</t>
        </is>
      </c>
      <c r="C86" s="111" t="inlineStr">
        <is>
          <t>Shopping</t>
        </is>
      </c>
      <c r="D86" s="117" t="n">
        <v>22.49</v>
      </c>
      <c r="E86" s="118">
        <f>IF(F86="","",IF(OR(F86="HDFC Bank (INR)",F86="HDFC IOCL Credit Card (INR)",F86="HDFC Swiggy Credit Card (INR)",F86="Axis Airtel Credit Card (INR)"),"INR","GBP"))</f>
        <v/>
      </c>
      <c r="F86" s="111" t="inlineStr">
        <is>
          <t>Capitol One Credit Card (GBP)</t>
        </is>
      </c>
      <c r="G86" s="111" t="inlineStr">
        <is>
          <t>No</t>
        </is>
      </c>
      <c r="H86" s="119">
        <f>IF(G86="Yes","",D86)</f>
        <v/>
      </c>
      <c r="I86" s="111" t="inlineStr">
        <is>
          <t>No</t>
        </is>
      </c>
      <c r="J86" s="111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idden="1" ht="15.75" customHeight="1" s="168">
      <c r="A87" s="113" t="n">
        <v>46150</v>
      </c>
      <c r="B87" s="111" t="n"/>
      <c r="C87" s="111" t="n"/>
      <c r="D87" s="117" t="n"/>
      <c r="E87" s="118">
        <f>IF(F87="","",IF(OR(F87="HDFC Bank (INR)",F87="HDFC IOCL Credit Card (INR)",F87="HDFC Swiggy Credit Card (INR)",F87="Axis Airtel Credit Card (INR)"),"INR","GBP"))</f>
        <v/>
      </c>
      <c r="F87" s="111" t="n"/>
      <c r="G87" s="111" t="n"/>
      <c r="H87" s="119">
        <f>IF(G87="Yes","",D87)</f>
        <v/>
      </c>
      <c r="I87" s="111" t="n"/>
      <c r="J87" s="111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68">
      <c r="A88" s="113" t="n">
        <v>46150</v>
      </c>
      <c r="B88" s="111" t="inlineStr">
        <is>
          <t>Leto</t>
        </is>
      </c>
      <c r="C88" s="111" t="inlineStr">
        <is>
          <t>Food and Drinks</t>
        </is>
      </c>
      <c r="D88" s="117" t="n">
        <v>19.6</v>
      </c>
      <c r="E88" s="118">
        <f>IF(F88="","",IF(OR(F88="HDFC Bank (INR)",F88="HDFC IOCL Credit Card (INR)",F88="HDFC Swiggy Credit Card (INR)",F88="Axis Airtel Credit Card (INR)"),"INR","GBP"))</f>
        <v/>
      </c>
      <c r="F88" s="111" t="inlineStr">
        <is>
          <t>Barclays Bank (GBP)</t>
        </is>
      </c>
      <c r="G88" s="111" t="inlineStr">
        <is>
          <t>Yes</t>
        </is>
      </c>
      <c r="H88" s="119" t="n">
        <v>9.800000000000001</v>
      </c>
      <c r="I88" s="111" t="inlineStr">
        <is>
          <t>No</t>
        </is>
      </c>
      <c r="J88" s="111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68">
      <c r="A89" s="113" t="n">
        <v>46150</v>
      </c>
      <c r="B89" s="111" t="inlineStr">
        <is>
          <t>Off Licesnce</t>
        </is>
      </c>
      <c r="C89" s="111" t="inlineStr">
        <is>
          <t>Food and Drinks</t>
        </is>
      </c>
      <c r="D89" s="117" t="n">
        <v>5.78</v>
      </c>
      <c r="E89" s="118">
        <f>IF(F89="","",IF(OR(F89="HDFC Bank (INR)",F89="HDFC IOCL Credit Card (INR)",F89="HDFC Swiggy Credit Card (INR)",F89="Axis Airtel Credit Card (INR)"),"INR","GBP"))</f>
        <v/>
      </c>
      <c r="F89" s="111" t="inlineStr">
        <is>
          <t>Lloyds Bank (GBP)</t>
        </is>
      </c>
      <c r="G89" s="111" t="inlineStr">
        <is>
          <t>Yes</t>
        </is>
      </c>
      <c r="H89" s="119" t="n">
        <v>2.89</v>
      </c>
      <c r="I89" s="111" t="inlineStr">
        <is>
          <t>No</t>
        </is>
      </c>
      <c r="J89" s="111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68">
      <c r="A90" s="113" t="n">
        <v>46150</v>
      </c>
      <c r="B90" s="111" t="inlineStr">
        <is>
          <t>Five Guys</t>
        </is>
      </c>
      <c r="C90" s="111" t="inlineStr">
        <is>
          <t>Food and Drinks</t>
        </is>
      </c>
      <c r="D90" s="117" t="n">
        <v>12.2</v>
      </c>
      <c r="E90" s="118">
        <f>IF(F90="","",IF(OR(F90="HDFC Bank (INR)",F90="HDFC IOCL Credit Card (INR)",F90="HDFC Swiggy Credit Card (INR)",F90="Axis Airtel Credit Card (INR)"),"INR","GBP"))</f>
        <v/>
      </c>
      <c r="F90" s="111" t="inlineStr">
        <is>
          <t>Barclays Bank (GBP)</t>
        </is>
      </c>
      <c r="G90" s="111" t="inlineStr">
        <is>
          <t>Yes</t>
        </is>
      </c>
      <c r="H90" s="119" t="n">
        <v>4.75</v>
      </c>
      <c r="I90" s="111" t="inlineStr">
        <is>
          <t>No</t>
        </is>
      </c>
      <c r="J90" s="111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68">
      <c r="A91" s="113" t="n">
        <v>46150</v>
      </c>
      <c r="B91" s="111" t="inlineStr">
        <is>
          <t>Bhai Bday gift</t>
        </is>
      </c>
      <c r="C91" s="111" t="inlineStr">
        <is>
          <t>Gifts</t>
        </is>
      </c>
      <c r="D91" s="117" t="n">
        <v>175</v>
      </c>
      <c r="E91" s="118">
        <f>IF(F91="","",IF(OR(F91="HDFC Bank (INR)",F91="HDFC IOCL Credit Card (INR)",F91="HDFC Swiggy Credit Card (INR)",F91="Axis Airtel Credit Card (INR)"),"INR","GBP"))</f>
        <v/>
      </c>
      <c r="F91" s="111" t="inlineStr">
        <is>
          <t>Splitwise (GBP)</t>
        </is>
      </c>
      <c r="G91" s="111" t="inlineStr">
        <is>
          <t>No</t>
        </is>
      </c>
      <c r="H91" s="119">
        <f>IF(G91="Yes","",D91)</f>
        <v/>
      </c>
      <c r="I91" s="111" t="inlineStr">
        <is>
          <t>No</t>
        </is>
      </c>
      <c r="J91" s="111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68">
      <c r="A92" s="113" t="n">
        <v>46150</v>
      </c>
      <c r="B92" s="111" t="inlineStr">
        <is>
          <t>EHH Carrots</t>
        </is>
      </c>
      <c r="C92" s="111" t="inlineStr">
        <is>
          <t>Groceries</t>
        </is>
      </c>
      <c r="D92" s="117" t="n">
        <v>0.27</v>
      </c>
      <c r="E92" s="118">
        <f>IF(F92="","",IF(OR(F92="HDFC Bank (INR)",F92="HDFC IOCL Credit Card (INR)",F92="HDFC Swiggy Credit Card (INR)",F92="Axis Airtel Credit Card (INR)"),"INR","GBP"))</f>
        <v/>
      </c>
      <c r="F92" s="111" t="inlineStr">
        <is>
          <t>Splitwise (GBP)</t>
        </is>
      </c>
      <c r="G92" s="111" t="inlineStr">
        <is>
          <t>No</t>
        </is>
      </c>
      <c r="H92" s="119">
        <f>IF(G92="Yes","",D92)</f>
        <v/>
      </c>
      <c r="I92" s="111" t="inlineStr">
        <is>
          <t>No</t>
        </is>
      </c>
      <c r="J92" s="111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68">
      <c r="A93" s="113" t="n">
        <v>46150</v>
      </c>
      <c r="B93" s="111" t="inlineStr">
        <is>
          <t>EHH Tomatoes</t>
        </is>
      </c>
      <c r="C93" s="111" t="inlineStr">
        <is>
          <t>Groceries</t>
        </is>
      </c>
      <c r="D93" s="117" t="n">
        <v>0.7</v>
      </c>
      <c r="E93" s="118">
        <f>IF(F93="","",IF(OR(F93="HDFC Bank (INR)",F93="HDFC IOCL Credit Card (INR)",F93="HDFC Swiggy Credit Card (INR)",F93="Axis Airtel Credit Card (INR)"),"INR","GBP"))</f>
        <v/>
      </c>
      <c r="F93" s="111" t="inlineStr">
        <is>
          <t>Splitwise (GBP)</t>
        </is>
      </c>
      <c r="G93" s="111" t="inlineStr">
        <is>
          <t>No</t>
        </is>
      </c>
      <c r="H93" s="119">
        <f>IF(G93="Yes","",D93)</f>
        <v/>
      </c>
      <c r="I93" s="111" t="inlineStr">
        <is>
          <t>No</t>
        </is>
      </c>
      <c r="J93" s="111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68">
      <c r="A94" s="113" t="n">
        <v>46150</v>
      </c>
      <c r="B94" s="111" t="inlineStr">
        <is>
          <t>EHH Pepper Brocli</t>
        </is>
      </c>
      <c r="C94" s="111" t="inlineStr">
        <is>
          <t>Groceries</t>
        </is>
      </c>
      <c r="D94" s="117" t="n">
        <v>2.85</v>
      </c>
      <c r="E94" s="118">
        <f>IF(F94="","",IF(OR(F94="HDFC Bank (INR)",F94="HDFC IOCL Credit Card (INR)",F94="HDFC Swiggy Credit Card (INR)",F94="Axis Airtel Credit Card (INR)"),"INR","GBP"))</f>
        <v/>
      </c>
      <c r="F94" s="111" t="inlineStr">
        <is>
          <t>Splitwise (GBP)</t>
        </is>
      </c>
      <c r="G94" s="111" t="inlineStr">
        <is>
          <t>No</t>
        </is>
      </c>
      <c r="H94" s="119">
        <f>IF(G94="Yes","",D94)</f>
        <v/>
      </c>
      <c r="I94" s="111" t="inlineStr">
        <is>
          <t>No</t>
        </is>
      </c>
      <c r="J94" s="111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68">
      <c r="A95" s="113" t="n">
        <v>46150</v>
      </c>
      <c r="B95" s="111" t="inlineStr">
        <is>
          <t>EHH Lidl</t>
        </is>
      </c>
      <c r="C95" s="111" t="inlineStr">
        <is>
          <t>Groceries</t>
        </is>
      </c>
      <c r="D95" s="117" t="n">
        <v>1.15</v>
      </c>
      <c r="E95" s="118">
        <f>IF(F95="","",IF(OR(F95="HDFC Bank (INR)",F95="HDFC IOCL Credit Card (INR)",F95="HDFC Swiggy Credit Card (INR)",F95="Axis Airtel Credit Card (INR)"),"INR","GBP"))</f>
        <v/>
      </c>
      <c r="F95" s="111" t="inlineStr">
        <is>
          <t>Splitwise (GBP)</t>
        </is>
      </c>
      <c r="G95" s="111" t="inlineStr">
        <is>
          <t>No</t>
        </is>
      </c>
      <c r="H95" s="119">
        <f>IF(G95="Yes","",D95)</f>
        <v/>
      </c>
      <c r="I95" s="111" t="inlineStr">
        <is>
          <t>No</t>
        </is>
      </c>
      <c r="J95" s="111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68">
      <c r="A96" s="113" t="n">
        <v>46150</v>
      </c>
      <c r="B96" s="111" t="inlineStr">
        <is>
          <t>EHH Fish</t>
        </is>
      </c>
      <c r="C96" s="111" t="inlineStr">
        <is>
          <t>Groceries</t>
        </is>
      </c>
      <c r="D96" s="117" t="n">
        <v>4.16</v>
      </c>
      <c r="E96" s="118">
        <f>IF(F96="","",IF(OR(F96="HDFC Bank (INR)",F96="HDFC IOCL Credit Card (INR)",F96="HDFC Swiggy Credit Card (INR)",F96="Axis Airtel Credit Card (INR)"),"INR","GBP"))</f>
        <v/>
      </c>
      <c r="F96" s="111" t="inlineStr">
        <is>
          <t>Splitwise (GBP)</t>
        </is>
      </c>
      <c r="G96" s="111" t="inlineStr">
        <is>
          <t>No</t>
        </is>
      </c>
      <c r="H96" s="119">
        <f>IF(G96="Yes","",D96)</f>
        <v/>
      </c>
      <c r="I96" s="111" t="inlineStr">
        <is>
          <t>No</t>
        </is>
      </c>
      <c r="J96" s="111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68">
      <c r="A97" s="113" t="n">
        <v>46150</v>
      </c>
      <c r="B97" s="111" t="inlineStr">
        <is>
          <t>EHH Rent</t>
        </is>
      </c>
      <c r="C97" s="111" t="inlineStr">
        <is>
          <t>Rent</t>
        </is>
      </c>
      <c r="D97" s="117" t="n">
        <v>15</v>
      </c>
      <c r="E97" s="118">
        <f>IF(F97="","",IF(OR(F97="HDFC Bank (INR)",F97="HDFC IOCL Credit Card (INR)",F97="HDFC Swiggy Credit Card (INR)",F97="Axis Airtel Credit Card (INR)"),"INR","GBP"))</f>
        <v/>
      </c>
      <c r="F97" s="111" t="inlineStr">
        <is>
          <t>Splitwise (GBP)</t>
        </is>
      </c>
      <c r="G97" s="111" t="inlineStr">
        <is>
          <t>No</t>
        </is>
      </c>
      <c r="H97" s="119">
        <f>IF(G97="Yes","",D97)</f>
        <v/>
      </c>
      <c r="I97" s="111" t="inlineStr">
        <is>
          <t>No</t>
        </is>
      </c>
      <c r="J97" s="111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68">
      <c r="A98" s="113" t="n">
        <v>46150</v>
      </c>
      <c r="B98" s="111" t="inlineStr">
        <is>
          <t>EHH Rice</t>
        </is>
      </c>
      <c r="C98" s="111" t="inlineStr">
        <is>
          <t>Groceries</t>
        </is>
      </c>
      <c r="D98" s="117" t="n">
        <v>4.33</v>
      </c>
      <c r="E98" s="118">
        <f>IF(F98="","",IF(OR(F98="HDFC Bank (INR)",F98="HDFC IOCL Credit Card (INR)",F98="HDFC Swiggy Credit Card (INR)",F98="Axis Airtel Credit Card (INR)"),"INR","GBP"))</f>
        <v/>
      </c>
      <c r="F98" s="111" t="inlineStr">
        <is>
          <t>Splitwise (GBP)</t>
        </is>
      </c>
      <c r="G98" s="111" t="inlineStr">
        <is>
          <t>No</t>
        </is>
      </c>
      <c r="H98" s="119">
        <f>IF(G98="Yes","",D98)</f>
        <v/>
      </c>
      <c r="I98" s="111" t="inlineStr">
        <is>
          <t>No</t>
        </is>
      </c>
      <c r="J98" s="111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68">
      <c r="A99" s="113" t="n">
        <v>46150</v>
      </c>
      <c r="B99" s="111" t="inlineStr">
        <is>
          <t>EHH Lemons</t>
        </is>
      </c>
      <c r="C99" s="111" t="inlineStr">
        <is>
          <t>Groceries</t>
        </is>
      </c>
      <c r="D99" s="117" t="n">
        <v>0.3</v>
      </c>
      <c r="E99" s="118">
        <f>IF(F99="","",IF(OR(F99="HDFC Bank (INR)",F99="HDFC IOCL Credit Card (INR)",F99="HDFC Swiggy Credit Card (INR)",F99="Axis Airtel Credit Card (INR)"),"INR","GBP"))</f>
        <v/>
      </c>
      <c r="F99" s="111" t="inlineStr">
        <is>
          <t>Splitwise (GBP)</t>
        </is>
      </c>
      <c r="G99" s="111" t="inlineStr">
        <is>
          <t>No</t>
        </is>
      </c>
      <c r="H99" s="119">
        <f>IF(G99="Yes","",D99)</f>
        <v/>
      </c>
      <c r="I99" s="111" t="inlineStr">
        <is>
          <t>No</t>
        </is>
      </c>
      <c r="J99" s="111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68">
      <c r="A100" s="113" t="n">
        <v>46150</v>
      </c>
      <c r="B100" s="111" t="inlineStr">
        <is>
          <t>Pan parak</t>
        </is>
      </c>
      <c r="C100" s="111" t="inlineStr">
        <is>
          <t>Others</t>
        </is>
      </c>
      <c r="D100" s="117" t="n">
        <v>9</v>
      </c>
      <c r="E100" s="118">
        <f>IF(F100="","",IF(OR(F100="HDFC Bank (INR)",F100="HDFC IOCL Credit Card (INR)",F100="HDFC Swiggy Credit Card (INR)",F100="Axis Airtel Credit Card (INR)"),"INR","GBP"))</f>
        <v/>
      </c>
      <c r="F100" s="111" t="inlineStr">
        <is>
          <t>Lloyds Bank (GBP)</t>
        </is>
      </c>
      <c r="G100" s="111" t="inlineStr">
        <is>
          <t>No</t>
        </is>
      </c>
      <c r="H100" s="119">
        <f>IF(G100="Yes","",D100)</f>
        <v/>
      </c>
      <c r="I100" s="111" t="inlineStr">
        <is>
          <t>No</t>
        </is>
      </c>
      <c r="J100" s="111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68">
      <c r="A101" s="113" t="n">
        <v>46150</v>
      </c>
      <c r="B101" s="111" t="inlineStr">
        <is>
          <t>City uper</t>
        </is>
      </c>
      <c r="C101" s="111" t="inlineStr">
        <is>
          <t>Food and Drinks</t>
        </is>
      </c>
      <c r="D101" s="117" t="n">
        <v>2.6</v>
      </c>
      <c r="E101" s="118">
        <f>IF(F101="","",IF(OR(F101="HDFC Bank (INR)",F101="HDFC IOCL Credit Card (INR)",F101="HDFC Swiggy Credit Card (INR)",F101="Axis Airtel Credit Card (INR)"),"INR","GBP"))</f>
        <v/>
      </c>
      <c r="F101" s="111" t="inlineStr">
        <is>
          <t>Lloyds Bank (GBP)</t>
        </is>
      </c>
      <c r="G101" s="111" t="inlineStr">
        <is>
          <t>No</t>
        </is>
      </c>
      <c r="H101" s="119">
        <f>IF(G101="Yes","",D101)</f>
        <v/>
      </c>
      <c r="I101" s="111" t="inlineStr">
        <is>
          <t>No</t>
        </is>
      </c>
      <c r="J101" s="111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68">
      <c r="A102" s="113" t="n">
        <v>46150</v>
      </c>
      <c r="B102" s="111" t="inlineStr">
        <is>
          <t>YT</t>
        </is>
      </c>
      <c r="C102" s="111" t="inlineStr">
        <is>
          <t>Subscriptions</t>
        </is>
      </c>
      <c r="D102" s="117" t="n">
        <v>0.99</v>
      </c>
      <c r="E102" s="118">
        <f>IF(F102="","",IF(OR(F102="HDFC Bank (INR)",F102="HDFC IOCL Credit Card (INR)",F102="HDFC Swiggy Credit Card (INR)",F102="Axis Airtel Credit Card (INR)"),"INR","GBP"))</f>
        <v/>
      </c>
      <c r="F102" s="111" t="inlineStr">
        <is>
          <t>Lloyds Bank (GBP)</t>
        </is>
      </c>
      <c r="G102" s="111" t="inlineStr">
        <is>
          <t>No</t>
        </is>
      </c>
      <c r="H102" s="119">
        <f>IF(G102="Yes","",D102)</f>
        <v/>
      </c>
      <c r="I102" s="111" t="inlineStr">
        <is>
          <t>No</t>
        </is>
      </c>
      <c r="J102" s="111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68">
      <c r="A103" s="113" t="n">
        <v>46150</v>
      </c>
      <c r="B103" s="111" t="inlineStr">
        <is>
          <t>Week 2 Diet Grocery Lidl</t>
        </is>
      </c>
      <c r="C103" s="111" t="inlineStr">
        <is>
          <t>Groceries</t>
        </is>
      </c>
      <c r="D103" s="117" t="n">
        <v>21.01</v>
      </c>
      <c r="E103" s="118">
        <f>IF(F103="","",IF(OR(F103="HDFC Bank (INR)",F103="HDFC IOCL Credit Card (INR)",F103="HDFC Swiggy Credit Card (INR)",F103="Axis Airtel Credit Card (INR)"),"INR","GBP"))</f>
        <v/>
      </c>
      <c r="F103" s="111" t="inlineStr">
        <is>
          <t>Lloyds Bank (GBP)</t>
        </is>
      </c>
      <c r="G103" s="111" t="inlineStr">
        <is>
          <t>No</t>
        </is>
      </c>
      <c r="H103" s="119">
        <f>IF(G103="Yes","",D103)</f>
        <v/>
      </c>
      <c r="I103" s="111" t="inlineStr">
        <is>
          <t>No</t>
        </is>
      </c>
      <c r="J103" s="111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68">
      <c r="A104" s="113" t="n">
        <v>46150</v>
      </c>
      <c r="B104" s="111" t="inlineStr">
        <is>
          <t>Week 2 Diet Grocery Yogurt</t>
        </is>
      </c>
      <c r="C104" s="111" t="inlineStr">
        <is>
          <t>Groceries</t>
        </is>
      </c>
      <c r="D104" s="117" t="n">
        <v>2.69</v>
      </c>
      <c r="E104" s="118">
        <f>IF(F104="","",IF(OR(F104="HDFC Bank (INR)",F104="HDFC IOCL Credit Card (INR)",F104="HDFC Swiggy Credit Card (INR)",F104="Axis Airtel Credit Card (INR)"),"INR","GBP"))</f>
        <v/>
      </c>
      <c r="F104" s="111" t="inlineStr">
        <is>
          <t>Lloyds Bank (GBP)</t>
        </is>
      </c>
      <c r="G104" s="111" t="inlineStr">
        <is>
          <t>No</t>
        </is>
      </c>
      <c r="H104" s="119">
        <f>IF(G104="Yes","",D104)</f>
        <v/>
      </c>
      <c r="I104" s="111" t="inlineStr">
        <is>
          <t>No</t>
        </is>
      </c>
      <c r="J104" s="111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68">
      <c r="A105" s="113" t="n">
        <v>46150</v>
      </c>
      <c r="B105" s="111" t="inlineStr">
        <is>
          <t>rent</t>
        </is>
      </c>
      <c r="C105" s="111" t="inlineStr">
        <is>
          <t>Rent</t>
        </is>
      </c>
      <c r="D105" s="117" t="n">
        <v>370</v>
      </c>
      <c r="E105" s="118">
        <f>IF(F105="","",IF(OR(F105="HDFC Bank (INR)",F105="HDFC IOCL Credit Card (INR)",F105="HDFC Swiggy Credit Card (INR)",F105="Axis Airtel Credit Card (INR)"),"INR","GBP"))</f>
        <v/>
      </c>
      <c r="F105" s="111" t="inlineStr">
        <is>
          <t>HSBC Bank (GBP)</t>
        </is>
      </c>
      <c r="G105" s="111" t="inlineStr">
        <is>
          <t>No</t>
        </is>
      </c>
      <c r="H105" s="119">
        <f>IF(G105="Yes","",D105)</f>
        <v/>
      </c>
      <c r="I105" s="111" t="inlineStr">
        <is>
          <t>No</t>
        </is>
      </c>
      <c r="J105" s="111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68">
      <c r="A106" s="113" t="n">
        <v>46150</v>
      </c>
      <c r="B106" s="111" t="inlineStr">
        <is>
          <t>TJ Jones</t>
        </is>
      </c>
      <c r="C106" s="111" t="inlineStr">
        <is>
          <t>Gifts</t>
        </is>
      </c>
      <c r="D106" s="117" t="n">
        <v>11.35</v>
      </c>
      <c r="E106" s="118">
        <f>IF(F106="","",IF(OR(F106="HDFC Bank (INR)",F106="HDFC IOCL Credit Card (INR)",F106="HDFC Swiggy Credit Card (INR)",F106="Axis Airtel Credit Card (INR)"),"INR","GBP"))</f>
        <v/>
      </c>
      <c r="F106" s="111" t="inlineStr">
        <is>
          <t>HSBC Rewards Credit Card (GBP)</t>
        </is>
      </c>
      <c r="G106" s="111" t="inlineStr">
        <is>
          <t>No</t>
        </is>
      </c>
      <c r="H106" s="119">
        <f>IF(G106="Yes","",D106)</f>
        <v/>
      </c>
      <c r="I106" s="111" t="inlineStr">
        <is>
          <t>No</t>
        </is>
      </c>
      <c r="J106" s="111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68">
      <c r="A107" s="113" t="n">
        <v>46150</v>
      </c>
      <c r="B107" s="111" t="inlineStr">
        <is>
          <t>Voxi</t>
        </is>
      </c>
      <c r="C107" s="111" t="inlineStr">
        <is>
          <t>Bills</t>
        </is>
      </c>
      <c r="D107" s="117" t="n">
        <v>12</v>
      </c>
      <c r="E107" s="118">
        <f>IF(F107="","",IF(OR(F107="HDFC Bank (INR)",F107="HDFC IOCL Credit Card (INR)",F107="HDFC Swiggy Credit Card (INR)",F107="Axis Airtel Credit Card (INR)"),"INR","GBP"))</f>
        <v/>
      </c>
      <c r="F107" s="111" t="inlineStr">
        <is>
          <t>Barclays Rewards Credit Card (GBP)</t>
        </is>
      </c>
      <c r="G107" s="111" t="inlineStr">
        <is>
          <t>No</t>
        </is>
      </c>
      <c r="H107" s="119">
        <f>IF(G107="Yes","",D107)</f>
        <v/>
      </c>
      <c r="I107" s="111" t="inlineStr">
        <is>
          <t>No</t>
        </is>
      </c>
      <c r="J107" s="111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68">
      <c r="A108" s="113" t="n">
        <v>46150</v>
      </c>
      <c r="B108" s="111" t="inlineStr">
        <is>
          <t>Dji</t>
        </is>
      </c>
      <c r="C108" s="111" t="inlineStr">
        <is>
          <t>Shopping</t>
        </is>
      </c>
      <c r="D108" s="117" t="n">
        <v>19.99</v>
      </c>
      <c r="E108" s="118">
        <f>IF(F108="","",IF(OR(F108="HDFC Bank (INR)",F108="HDFC IOCL Credit Card (INR)",F108="HDFC Swiggy Credit Card (INR)",F108="Axis Airtel Credit Card (INR)"),"INR","GBP"))</f>
        <v/>
      </c>
      <c r="F108" s="111" t="inlineStr">
        <is>
          <t>Barclays Rewards Credit Card (GBP)</t>
        </is>
      </c>
      <c r="G108" s="111" t="inlineStr">
        <is>
          <t>No</t>
        </is>
      </c>
      <c r="H108" s="119">
        <f>IF(G108="Yes","",D108)</f>
        <v/>
      </c>
      <c r="I108" s="111" t="inlineStr">
        <is>
          <t>No</t>
        </is>
      </c>
      <c r="J108" s="111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68">
      <c r="A109" s="113" t="n">
        <v>46150</v>
      </c>
      <c r="B109" s="111" t="inlineStr">
        <is>
          <t>cineworld</t>
        </is>
      </c>
      <c r="C109" s="111" t="inlineStr">
        <is>
          <t>Entertainment</t>
        </is>
      </c>
      <c r="D109" s="117" t="n">
        <v>19.99</v>
      </c>
      <c r="E109" s="118" t="inlineStr">
        <is>
          <t> </t>
        </is>
      </c>
      <c r="F109" s="111" t="inlineStr">
        <is>
          <t>Barclays Bank (GBP)</t>
        </is>
      </c>
      <c r="G109" s="111" t="inlineStr">
        <is>
          <t>No</t>
        </is>
      </c>
      <c r="H109" s="119">
        <f>IF(G109="Yes","",D109)</f>
        <v/>
      </c>
      <c r="I109" s="111" t="inlineStr">
        <is>
          <t>No</t>
        </is>
      </c>
      <c r="J109" s="111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68">
      <c r="A110" s="113" t="n">
        <v>46150</v>
      </c>
      <c r="B110" s="111" t="inlineStr">
        <is>
          <t>Bfi imax</t>
        </is>
      </c>
      <c r="C110" s="111" t="inlineStr">
        <is>
          <t>Entertainment</t>
        </is>
      </c>
      <c r="D110" s="117" t="n">
        <v>22</v>
      </c>
      <c r="E110" s="118">
        <f>IF(F110="","",IF(OR(F110="HDFC Bank (INR)",F110="HDFC IOCL Credit Card (INR)",F110="HDFC Swiggy Credit Card (INR)",F110="Axis Airtel Credit Card (INR)"),"INR","GBP"))</f>
        <v/>
      </c>
      <c r="F110" s="111" t="inlineStr">
        <is>
          <t>Barclays Bank (GBP)</t>
        </is>
      </c>
      <c r="G110" s="111" t="inlineStr">
        <is>
          <t>No</t>
        </is>
      </c>
      <c r="H110" s="119">
        <f>IF(G110="Yes","",D110)</f>
        <v/>
      </c>
      <c r="I110" s="111" t="inlineStr">
        <is>
          <t>No</t>
        </is>
      </c>
      <c r="J110" s="111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68">
      <c r="A111" s="113" t="n">
        <v>46150</v>
      </c>
      <c r="B111" s="111" t="inlineStr">
        <is>
          <t>Concert Faheem</t>
        </is>
      </c>
      <c r="C111" s="111" t="inlineStr">
        <is>
          <t>Entertainment</t>
        </is>
      </c>
      <c r="D111" s="117" t="n">
        <v>75.8</v>
      </c>
      <c r="E111" s="118">
        <f>IF(F111="","",IF(OR(F111="HDFC Bank (INR)",F111="HDFC IOCL Credit Card (INR)",F111="HDFC Swiggy Credit Card (INR)",F111="Axis Airtel Credit Card (INR)"),"INR","GBP"))</f>
        <v/>
      </c>
      <c r="F111" s="111" t="inlineStr">
        <is>
          <t>Klarna Pay Later (GBP)</t>
        </is>
      </c>
      <c r="G111" s="111" t="inlineStr">
        <is>
          <t>No</t>
        </is>
      </c>
      <c r="H111" s="119">
        <f>IF(G111="Yes","",D111)</f>
        <v/>
      </c>
      <c r="I111" s="111" t="inlineStr">
        <is>
          <t>No</t>
        </is>
      </c>
      <c r="J111" s="111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68">
      <c r="A112" s="113" t="n">
        <v>46150</v>
      </c>
      <c r="B112" s="111" t="inlineStr">
        <is>
          <t>Amazon Come</t>
        </is>
      </c>
      <c r="C112" s="111" t="inlineStr">
        <is>
          <t>Others</t>
        </is>
      </c>
      <c r="D112" s="117" t="n">
        <v>14.6</v>
      </c>
      <c r="E112" s="118">
        <f>IF(F112="","",IF(OR(F112="HDFC Bank (INR)",F112="HDFC IOCL Credit Card (INR)",F112="HDFC Swiggy Credit Card (INR)",F112="Axis Airtel Credit Card (INR)"),"INR","GBP"))</f>
        <v/>
      </c>
      <c r="F112" s="111" t="inlineStr">
        <is>
          <t>Capitol One Credit Card (GBP)</t>
        </is>
      </c>
      <c r="G112" s="111" t="inlineStr">
        <is>
          <t>Yes</t>
        </is>
      </c>
      <c r="H112" s="119" t="n">
        <v>5.6</v>
      </c>
      <c r="I112" s="111" t="inlineStr">
        <is>
          <t>No</t>
        </is>
      </c>
      <c r="J112" s="111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68">
      <c r="A113" s="113" t="n">
        <v>46150</v>
      </c>
      <c r="B113" s="111" t="inlineStr">
        <is>
          <t>Amazon Dji</t>
        </is>
      </c>
      <c r="C113" s="111" t="inlineStr">
        <is>
          <t>Shopping</t>
        </is>
      </c>
      <c r="D113" s="117" t="n">
        <v>26.98</v>
      </c>
      <c r="E113" s="118">
        <f>IF(F113="","",IF(OR(F113="HDFC Bank (INR)",F113="HDFC IOCL Credit Card (INR)",F113="HDFC Swiggy Credit Card (INR)",F113="Axis Airtel Credit Card (INR)"),"INR","GBP"))</f>
        <v/>
      </c>
      <c r="F113" s="111" t="inlineStr">
        <is>
          <t>Capitol One Credit Card (GBP)</t>
        </is>
      </c>
      <c r="G113" s="111" t="inlineStr">
        <is>
          <t>No</t>
        </is>
      </c>
      <c r="H113" s="119">
        <f>IF(G113="Yes","",D113)</f>
        <v/>
      </c>
      <c r="I113" s="111" t="inlineStr">
        <is>
          <t>No</t>
        </is>
      </c>
      <c r="J113" s="111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68">
      <c r="A114" s="113" t="n">
        <v>46150</v>
      </c>
      <c r="B114" s="111" t="inlineStr">
        <is>
          <t>East Ham to Shoreditch U/D</t>
        </is>
      </c>
      <c r="C114" s="111" t="inlineStr">
        <is>
          <t>Transport</t>
        </is>
      </c>
      <c r="D114" s="117" t="n">
        <v>4.3</v>
      </c>
      <c r="E114" s="118">
        <f>IF(F114="","",IF(OR(F114="HDFC Bank (INR)",F114="HDFC IOCL Credit Card (INR)",F114="HDFC Swiggy Credit Card (INR)",F114="Axis Airtel Credit Card (INR)"),"INR","GBP"))</f>
        <v/>
      </c>
      <c r="F114" s="111" t="inlineStr">
        <is>
          <t>Oyster Travel Card (GBP)</t>
        </is>
      </c>
      <c r="G114" s="111" t="inlineStr">
        <is>
          <t>No</t>
        </is>
      </c>
      <c r="H114" s="119">
        <f>IF(G114="Yes","",D114)</f>
        <v/>
      </c>
      <c r="I114" s="111" t="inlineStr">
        <is>
          <t>No</t>
        </is>
      </c>
      <c r="J114" s="111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68">
      <c r="A115" s="113" t="n">
        <v>46150</v>
      </c>
      <c r="B115" s="111" t="inlineStr">
        <is>
          <t>East Ham to Shoreditch U/D</t>
        </is>
      </c>
      <c r="C115" s="111" t="inlineStr">
        <is>
          <t>Transport</t>
        </is>
      </c>
      <c r="D115" s="117" t="n">
        <v>4.3</v>
      </c>
      <c r="E115" s="118">
        <f>IF(F115="","",IF(OR(F115="HDFC Bank (INR)",F115="HDFC IOCL Credit Card (INR)",F115="HDFC Swiggy Credit Card (INR)",F115="Axis Airtel Credit Card (INR)"),"INR","GBP"))</f>
        <v/>
      </c>
      <c r="F115" s="111" t="inlineStr">
        <is>
          <t>Oyster Travel Card (GBP)</t>
        </is>
      </c>
      <c r="G115" s="111" t="inlineStr">
        <is>
          <t>No</t>
        </is>
      </c>
      <c r="H115" s="119">
        <f>IF(G115="Yes","",D115)</f>
        <v/>
      </c>
      <c r="I115" s="111" t="inlineStr">
        <is>
          <t>No</t>
        </is>
      </c>
      <c r="J115" s="111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68">
      <c r="A116" s="113" t="n">
        <v>46150</v>
      </c>
      <c r="B116" s="111" t="inlineStr">
        <is>
          <t>East Ham to Shoreditch U/D</t>
        </is>
      </c>
      <c r="C116" s="111" t="inlineStr">
        <is>
          <t>Transport</t>
        </is>
      </c>
      <c r="D116" s="117" t="n">
        <v>4.3</v>
      </c>
      <c r="E116" s="118">
        <f>IF(F116="","",IF(OR(F116="HDFC Bank (INR)",F116="HDFC IOCL Credit Card (INR)",F116="HDFC Swiggy Credit Card (INR)",F116="Axis Airtel Credit Card (INR)"),"INR","GBP"))</f>
        <v/>
      </c>
      <c r="F116" s="111" t="inlineStr">
        <is>
          <t>Oyster Travel Card (GBP)</t>
        </is>
      </c>
      <c r="G116" s="111" t="inlineStr">
        <is>
          <t>No</t>
        </is>
      </c>
      <c r="H116" s="119">
        <f>IF(G116="Yes","",D116)</f>
        <v/>
      </c>
      <c r="I116" s="111" t="inlineStr">
        <is>
          <t>No</t>
        </is>
      </c>
      <c r="J116" s="111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68">
      <c r="A117" s="113" t="n">
        <v>46150</v>
      </c>
      <c r="B117" s="111" t="inlineStr">
        <is>
          <t>East Ham to White City to Westminster</t>
        </is>
      </c>
      <c r="C117" s="111" t="inlineStr">
        <is>
          <t>Transport</t>
        </is>
      </c>
      <c r="D117" s="117" t="n">
        <v>6.35</v>
      </c>
      <c r="E117" s="118">
        <f>IF(F117="","",IF(OR(F117="HDFC Bank (INR)",F117="HDFC IOCL Credit Card (INR)",F117="HDFC Swiggy Credit Card (INR)",F117="Axis Airtel Credit Card (INR)"),"INR","GBP"))</f>
        <v/>
      </c>
      <c r="F117" s="111" t="inlineStr">
        <is>
          <t>Oyster Travel Card (GBP)</t>
        </is>
      </c>
      <c r="G117" s="111" t="inlineStr">
        <is>
          <t>No</t>
        </is>
      </c>
      <c r="H117" s="119">
        <f>IF(G117="Yes","",D117)</f>
        <v/>
      </c>
      <c r="I117" s="111" t="inlineStr">
        <is>
          <t>No</t>
        </is>
      </c>
      <c r="J117" s="111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68">
      <c r="A118" s="113" t="n">
        <v>46150</v>
      </c>
      <c r="B118" s="111" t="inlineStr">
        <is>
          <t>East Ham to Shoreditch U/D</t>
        </is>
      </c>
      <c r="C118" s="111" t="inlineStr">
        <is>
          <t>Transport</t>
        </is>
      </c>
      <c r="D118" s="117" t="n">
        <v>4.3</v>
      </c>
      <c r="E118" s="118">
        <f>IF(F118="","",IF(OR(F118="HDFC Bank (INR)",F118="HDFC IOCL Credit Card (INR)",F118="HDFC Swiggy Credit Card (INR)",F118="Axis Airtel Credit Card (INR)"),"INR","GBP"))</f>
        <v/>
      </c>
      <c r="F118" s="111" t="inlineStr">
        <is>
          <t>Oyster Travel Card (GBP)</t>
        </is>
      </c>
      <c r="G118" s="111" t="inlineStr">
        <is>
          <t>No</t>
        </is>
      </c>
      <c r="H118" s="119">
        <f>IF(G118="Yes","",D118)</f>
        <v/>
      </c>
      <c r="I118" s="111" t="inlineStr">
        <is>
          <t>No</t>
        </is>
      </c>
      <c r="J118" s="111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68">
      <c r="A119" s="113" t="n">
        <v>46142</v>
      </c>
      <c r="B119" s="111" t="inlineStr">
        <is>
          <t>East Ham to Shoreditch U/D</t>
        </is>
      </c>
      <c r="C119" s="111" t="inlineStr">
        <is>
          <t>Transport</t>
        </is>
      </c>
      <c r="D119" s="117" t="n">
        <v>4.3</v>
      </c>
      <c r="E119" s="118">
        <f>IF(F119="","",IF(OR(F119="HDFC Bank (INR)",F119="HDFC IOCL Credit Card (INR)",F119="HDFC Swiggy Credit Card (INR)",F119="Axis Airtel Credit Card (INR)"),"INR","GBP"))</f>
        <v/>
      </c>
      <c r="F119" s="111" t="inlineStr">
        <is>
          <t>Oyster Travel Card (GBP)</t>
        </is>
      </c>
      <c r="G119" s="111" t="inlineStr">
        <is>
          <t>No</t>
        </is>
      </c>
      <c r="H119" s="119">
        <f>IF(G119="Yes","",D119)</f>
        <v/>
      </c>
      <c r="I119" s="111" t="inlineStr">
        <is>
          <t>No</t>
        </is>
      </c>
      <c r="J119" s="111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68">
      <c r="A120" s="113" t="n">
        <v>46142</v>
      </c>
      <c r="B120" s="111" t="inlineStr">
        <is>
          <t>East Ham to Shoreditch U/D</t>
        </is>
      </c>
      <c r="C120" s="111" t="inlineStr">
        <is>
          <t>Transport</t>
        </is>
      </c>
      <c r="D120" s="117" t="n">
        <v>5.95</v>
      </c>
      <c r="E120" s="118">
        <f>IF(F120="","",IF(OR(F120="HDFC Bank (INR)",F120="HDFC IOCL Credit Card (INR)",F120="HDFC Swiggy Credit Card (INR)",F120="Axis Airtel Credit Card (INR)"),"INR","GBP"))</f>
        <v/>
      </c>
      <c r="F120" s="111" t="inlineStr">
        <is>
          <t>Oyster Travel Card (GBP)</t>
        </is>
      </c>
      <c r="G120" s="111" t="inlineStr">
        <is>
          <t>No</t>
        </is>
      </c>
      <c r="H120" s="119">
        <f>IF(G120="Yes","",D120)</f>
        <v/>
      </c>
      <c r="I120" s="111" t="inlineStr">
        <is>
          <t>No</t>
        </is>
      </c>
      <c r="J120" s="111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68">
      <c r="A121" s="113" t="n">
        <v>46142</v>
      </c>
      <c r="B121" s="111" t="inlineStr">
        <is>
          <t>East Ham to Shoreditch U/D</t>
        </is>
      </c>
      <c r="C121" s="111" t="inlineStr">
        <is>
          <t>Transport</t>
        </is>
      </c>
      <c r="D121" s="117" t="n">
        <v>4.3</v>
      </c>
      <c r="E121" s="118">
        <f>IF(F121="","",IF(OR(F121="HDFC Bank (INR)",F121="HDFC IOCL Credit Card (INR)",F121="HDFC Swiggy Credit Card (INR)",F121="Axis Airtel Credit Card (INR)"),"INR","GBP"))</f>
        <v/>
      </c>
      <c r="F121" s="111" t="inlineStr">
        <is>
          <t>Oyster Travel Card (GBP)</t>
        </is>
      </c>
      <c r="G121" s="111" t="inlineStr">
        <is>
          <t>No</t>
        </is>
      </c>
      <c r="H121" s="119">
        <f>IF(G121="Yes","",D121)</f>
        <v/>
      </c>
      <c r="I121" s="111" t="inlineStr">
        <is>
          <t>No</t>
        </is>
      </c>
      <c r="J121" s="111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68">
      <c r="A122" s="113" t="n">
        <v>46150</v>
      </c>
      <c r="B122" s="111" t="inlineStr">
        <is>
          <t>Eggs</t>
        </is>
      </c>
      <c r="C122" s="111" t="inlineStr">
        <is>
          <t>Groceries</t>
        </is>
      </c>
      <c r="D122" s="117" t="n">
        <v>4.5</v>
      </c>
      <c r="E122" s="118">
        <f>IF(F122="","",IF(OR(F122="HDFC Bank (INR)",F122="HDFC IOCL Credit Card (INR)",F122="HDFC Swiggy Credit Card (INR)",F122="Axis Airtel Credit Card (INR)"),"INR","GBP"))</f>
        <v/>
      </c>
      <c r="F122" s="111" t="inlineStr">
        <is>
          <t>Splitwise (GBP)</t>
        </is>
      </c>
      <c r="G122" s="111" t="inlineStr">
        <is>
          <t>No</t>
        </is>
      </c>
      <c r="H122" s="119">
        <f>IF(G122="Yes","",D122)</f>
        <v/>
      </c>
      <c r="I122" s="111" t="inlineStr">
        <is>
          <t>No</t>
        </is>
      </c>
      <c r="J122" s="111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68">
      <c r="A123" s="113" t="n">
        <v>46150</v>
      </c>
      <c r="B123" s="111" t="inlineStr">
        <is>
          <t xml:space="preserve"> Dry fruits</t>
        </is>
      </c>
      <c r="C123" s="111" t="inlineStr">
        <is>
          <t>Groceries</t>
        </is>
      </c>
      <c r="D123" s="117" t="n">
        <v>1.39</v>
      </c>
      <c r="E123" s="118">
        <f>IF(F123="","",IF(OR(F123="HDFC Bank (INR)",F123="HDFC IOCL Credit Card (INR)",F123="HDFC Swiggy Credit Card (INR)",F123="Axis Airtel Credit Card (INR)"),"INR","GBP"))</f>
        <v/>
      </c>
      <c r="F123" s="111" t="inlineStr">
        <is>
          <t>Splitwise (GBP)</t>
        </is>
      </c>
      <c r="G123" s="111" t="inlineStr">
        <is>
          <t>No</t>
        </is>
      </c>
      <c r="H123" s="119">
        <f>IF(G123="Yes","",D123)</f>
        <v/>
      </c>
      <c r="I123" s="111" t="inlineStr">
        <is>
          <t>No</t>
        </is>
      </c>
      <c r="J123" s="111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68">
      <c r="A124" s="113" t="n">
        <v>46150</v>
      </c>
      <c r="B124" s="111" t="inlineStr">
        <is>
          <t>Masalas</t>
        </is>
      </c>
      <c r="C124" s="111" t="inlineStr">
        <is>
          <t>Groceries</t>
        </is>
      </c>
      <c r="D124" s="117">
        <f>2/3</f>
        <v/>
      </c>
      <c r="E124" s="118">
        <f>IF(F124="","",IF(OR(F124="HDFC Bank (INR)",F124="HDFC IOCL Credit Card (INR)",F124="HDFC Swiggy Credit Card (INR)",F124="Axis Airtel Credit Card (INR)"),"INR","GBP"))</f>
        <v/>
      </c>
      <c r="F124" s="111" t="inlineStr">
        <is>
          <t>Splitwise (GBP)</t>
        </is>
      </c>
      <c r="G124" s="111" t="inlineStr">
        <is>
          <t>No</t>
        </is>
      </c>
      <c r="H124" s="119">
        <f>IF(G124="Yes","",D124)</f>
        <v/>
      </c>
      <c r="I124" s="111" t="inlineStr">
        <is>
          <t>No</t>
        </is>
      </c>
      <c r="J124" s="111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68">
      <c r="A125" s="113" t="n">
        <v>46150</v>
      </c>
      <c r="B125" s="111" t="inlineStr">
        <is>
          <t>Splitwaise Pro</t>
        </is>
      </c>
      <c r="C125" s="111" t="inlineStr">
        <is>
          <t>Subscriptions</t>
        </is>
      </c>
      <c r="D125" s="117" t="n">
        <v>149</v>
      </c>
      <c r="E125" s="118">
        <f>IF(F125="","",IF(OR(F125="HDFC Bank (INR)",F125="HDFC IOCL Credit Card (INR)",F125="HDFC Swiggy Credit Card (INR)",F125="Axis Airtel Credit Card (INR)"),"INR","GBP"))</f>
        <v/>
      </c>
      <c r="F125" s="111" t="inlineStr">
        <is>
          <t>HDFC Bank (INR)</t>
        </is>
      </c>
      <c r="G125" s="111" t="inlineStr">
        <is>
          <t>No</t>
        </is>
      </c>
      <c r="H125" s="119">
        <f>IF(G125="Yes","",D125)</f>
        <v/>
      </c>
      <c r="I125" s="111" t="inlineStr">
        <is>
          <t>No</t>
        </is>
      </c>
      <c r="J125" s="111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68">
      <c r="A126" s="113" t="n">
        <v>46150</v>
      </c>
      <c r="B126" s="111" t="inlineStr">
        <is>
          <t>Apple Icloud</t>
        </is>
      </c>
      <c r="C126" s="111" t="inlineStr">
        <is>
          <t>Subscriptions</t>
        </is>
      </c>
      <c r="D126" s="117" t="n">
        <v>365</v>
      </c>
      <c r="E126" s="118">
        <f>IF(F126="","",IF(OR(F126="HDFC Bank (INR)",F126="HDFC IOCL Credit Card (INR)",F126="HDFC Swiggy Credit Card (INR)",F126="Axis Airtel Credit Card (INR)"),"INR","GBP"))</f>
        <v/>
      </c>
      <c r="F126" s="111" t="inlineStr">
        <is>
          <t>HDFC Bank (INR)</t>
        </is>
      </c>
      <c r="G126" s="111" t="inlineStr">
        <is>
          <t>No</t>
        </is>
      </c>
      <c r="H126" s="119">
        <f>IF(G126="Yes","",D126)</f>
        <v/>
      </c>
      <c r="I126" s="111" t="inlineStr">
        <is>
          <t>No</t>
        </is>
      </c>
      <c r="J126" s="111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68">
      <c r="A127" s="113" t="n">
        <v>46150</v>
      </c>
      <c r="B127" s="111" t="inlineStr">
        <is>
          <t>Netfliz</t>
        </is>
      </c>
      <c r="C127" s="111" t="inlineStr">
        <is>
          <t>Subscriptions</t>
        </is>
      </c>
      <c r="D127" s="117" t="n">
        <v>199</v>
      </c>
      <c r="E127" s="118">
        <f>IF(F127="","",IF(OR(F127="HDFC Bank (INR)",F127="HDFC IOCL Credit Card (INR)",F127="HDFC Swiggy Credit Card (INR)",F127="Axis Airtel Credit Card (INR)"),"INR","GBP"))</f>
        <v/>
      </c>
      <c r="F127" s="111" t="inlineStr">
        <is>
          <t>HDFC Bank (INR)</t>
        </is>
      </c>
      <c r="G127" s="111" t="inlineStr">
        <is>
          <t>No</t>
        </is>
      </c>
      <c r="H127" s="119">
        <f>IF(G127="Yes","",D127)</f>
        <v/>
      </c>
      <c r="I127" s="111" t="inlineStr">
        <is>
          <t>No</t>
        </is>
      </c>
      <c r="J127" s="111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68">
      <c r="A128" s="113" t="n">
        <v>46150</v>
      </c>
      <c r="B128" s="111" t="inlineStr">
        <is>
          <t>Irctc</t>
        </is>
      </c>
      <c r="C128" s="111" t="inlineStr">
        <is>
          <t>Travel</t>
        </is>
      </c>
      <c r="D128" s="117" t="n">
        <v>579.05</v>
      </c>
      <c r="E128" s="118">
        <f>IF(F128="","",IF(OR(F128="HDFC Bank (INR)",F128="HDFC IOCL Credit Card (INR)",F128="HDFC Swiggy Credit Card (INR)",F128="Axis Airtel Credit Card (INR)"),"INR","GBP"))</f>
        <v/>
      </c>
      <c r="F128" s="111" t="inlineStr">
        <is>
          <t>HDFC Bank (INR)</t>
        </is>
      </c>
      <c r="G128" s="111" t="inlineStr">
        <is>
          <t>No</t>
        </is>
      </c>
      <c r="H128" s="119">
        <f>IF(G128="Yes","",D128)</f>
        <v/>
      </c>
      <c r="I128" s="111" t="inlineStr">
        <is>
          <t>No</t>
        </is>
      </c>
      <c r="J128" s="111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68">
      <c r="A129" s="113" t="n">
        <v>46150</v>
      </c>
      <c r="B129" s="111" t="inlineStr">
        <is>
          <t>Snapchat</t>
        </is>
      </c>
      <c r="C129" s="111" t="inlineStr">
        <is>
          <t>Subscriptions</t>
        </is>
      </c>
      <c r="D129" s="117" t="n">
        <v>49</v>
      </c>
      <c r="E129" s="118">
        <f>IF(F129="","",IF(OR(F129="HDFC Bank (INR)",F129="HDFC IOCL Credit Card (INR)",F129="HDFC Swiggy Credit Card (INR)",F129="Axis Airtel Credit Card (INR)"),"INR","GBP"))</f>
        <v/>
      </c>
      <c r="F129" s="111" t="inlineStr">
        <is>
          <t>HDFC Bank (INR)</t>
        </is>
      </c>
      <c r="G129" s="111" t="inlineStr">
        <is>
          <t>No</t>
        </is>
      </c>
      <c r="H129" s="119">
        <f>IF(G129="Yes","",D129)</f>
        <v/>
      </c>
      <c r="I129" s="111" t="inlineStr">
        <is>
          <t>No</t>
        </is>
      </c>
      <c r="J129" s="111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68">
      <c r="A130" s="113" t="n">
        <v>46150</v>
      </c>
      <c r="B130" s="111" t="inlineStr">
        <is>
          <t xml:space="preserve">Dads Dosa @swiggy. </t>
        </is>
      </c>
      <c r="C130" s="111" t="inlineStr">
        <is>
          <t>Food and Drinks</t>
        </is>
      </c>
      <c r="D130" s="117" t="n">
        <v>155</v>
      </c>
      <c r="E130" s="118">
        <f>IF(F130="","",IF(OR(F130="HDFC Bank (INR)",F130="HDFC IOCL Credit Card (INR)",F130="HDFC Swiggy Credit Card (INR)",F130="Axis Airtel Credit Card (INR)"),"INR","GBP"))</f>
        <v/>
      </c>
      <c r="F130" s="111" t="inlineStr">
        <is>
          <t>HDFC Swiggy Credit Card (INR)</t>
        </is>
      </c>
      <c r="G130" s="111" t="inlineStr">
        <is>
          <t>No</t>
        </is>
      </c>
      <c r="H130" s="119">
        <f>IF(G130="Yes","",D130)</f>
        <v/>
      </c>
      <c r="I130" s="111" t="inlineStr">
        <is>
          <t>No</t>
        </is>
      </c>
      <c r="J130" s="111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68">
      <c r="A131" s="113" t="n">
        <v>46150</v>
      </c>
      <c r="B131" s="111" t="inlineStr">
        <is>
          <t>Aws Sarada tiruchukodaniki</t>
        </is>
      </c>
      <c r="C131" s="111" t="inlineStr">
        <is>
          <t>Bills</t>
        </is>
      </c>
      <c r="D131" s="117">
        <f>1869.92+65.45+11.78</f>
        <v/>
      </c>
      <c r="E131" s="118">
        <f>IF(F131="","",IF(OR(F131="HDFC Bank (INR)",F131="HDFC IOCL Credit Card (INR)",F131="HDFC Swiggy Credit Card (INR)",F131="Axis Airtel Credit Card (INR)"),"INR","GBP"))</f>
        <v/>
      </c>
      <c r="F131" s="111" t="inlineStr">
        <is>
          <t>Axis Airtel Credit Card (INR)</t>
        </is>
      </c>
      <c r="G131" s="111" t="inlineStr">
        <is>
          <t>No</t>
        </is>
      </c>
      <c r="H131" s="119">
        <f>IF(G131="Yes","",D131)</f>
        <v/>
      </c>
      <c r="I131" s="111" t="inlineStr">
        <is>
          <t>No</t>
        </is>
      </c>
      <c r="J131" s="111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68">
      <c r="A132" s="113" t="n">
        <v>46150</v>
      </c>
      <c r="B132" s="111" t="inlineStr">
        <is>
          <t>Handwash</t>
        </is>
      </c>
      <c r="C132" s="111" t="inlineStr">
        <is>
          <t>Others</t>
        </is>
      </c>
      <c r="D132" s="117" t="n">
        <v>0.18</v>
      </c>
      <c r="E132" s="118" t="inlineStr">
        <is>
          <t> </t>
        </is>
      </c>
      <c r="F132" s="111" t="inlineStr">
        <is>
          <t>Splitwise (GBP)</t>
        </is>
      </c>
      <c r="G132" s="111" t="inlineStr">
        <is>
          <t>No</t>
        </is>
      </c>
      <c r="H132" s="119">
        <f>IF(G132="Yes","",D132)</f>
        <v/>
      </c>
      <c r="I132" s="111" t="inlineStr">
        <is>
          <t>No</t>
        </is>
      </c>
      <c r="J132" s="111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68">
      <c r="A133" s="113" t="n"/>
      <c r="B133" s="111" t="n"/>
      <c r="C133" s="111" t="n"/>
      <c r="D133" s="117" t="n"/>
      <c r="E133" s="118">
        <f>IF(F133="","",IF(OR(F133="HDFC Bank (INR)",F133="HDFC IOCL Credit Card (INR)",F133="HDFC Swiggy Credit Card (INR)",F133="Axis Airtel Credit Card (INR)"),"INR","GBP"))</f>
        <v/>
      </c>
      <c r="F133" s="111" t="n"/>
      <c r="G133" s="111" t="n"/>
      <c r="H133" s="119">
        <f>IF(G133="Yes","",D133)</f>
        <v/>
      </c>
      <c r="I133" s="111" t="n"/>
      <c r="J133" s="111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68">
      <c r="A134" s="113" t="n"/>
      <c r="B134" s="111" t="n"/>
      <c r="C134" s="111" t="n"/>
      <c r="D134" s="117" t="n"/>
      <c r="E134" s="118">
        <f>IF(F134="","",IF(OR(F134="HDFC Bank (INR)",F134="HDFC IOCL Credit Card (INR)",F134="HDFC Swiggy Credit Card (INR)",F134="Axis Airtel Credit Card (INR)"),"INR","GBP"))</f>
        <v/>
      </c>
      <c r="F134" s="111" t="n"/>
      <c r="G134" s="111" t="n"/>
      <c r="H134" s="119">
        <f>IF(G134="Yes","",D134)</f>
        <v/>
      </c>
      <c r="I134" s="111" t="n"/>
      <c r="J134" s="111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68">
      <c r="A135" s="113" t="n"/>
      <c r="B135" s="111" t="n"/>
      <c r="C135" s="111" t="n"/>
      <c r="D135" s="117" t="n"/>
      <c r="E135" s="118">
        <f>IF(F135="","",IF(OR(F135="HDFC Bank (INR)",F135="HDFC IOCL Credit Card (INR)",F135="HDFC Swiggy Credit Card (INR)",F135="Axis Airtel Credit Card (INR)"),"INR","GBP"))</f>
        <v/>
      </c>
      <c r="F135" s="111" t="n"/>
      <c r="G135" s="111" t="n"/>
      <c r="H135" s="119">
        <f>IF(G135="Yes","",D135)</f>
        <v/>
      </c>
      <c r="I135" s="111" t="n"/>
      <c r="J135" s="111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68">
      <c r="A136" s="113" t="n"/>
      <c r="B136" s="111" t="n"/>
      <c r="C136" s="111" t="n"/>
      <c r="D136" s="117" t="n"/>
      <c r="E136" s="118">
        <f>IF(F136="","",IF(OR(F136="HDFC Bank (INR)",F136="HDFC IOCL Credit Card (INR)",F136="HDFC Swiggy Credit Card (INR)",F136="Axis Airtel Credit Card (INR)"),"INR","GBP"))</f>
        <v/>
      </c>
      <c r="F136" s="111" t="n"/>
      <c r="G136" s="111" t="n"/>
      <c r="H136" s="119">
        <f>IF(G136="Yes","",D136)</f>
        <v/>
      </c>
      <c r="I136" s="111" t="n"/>
      <c r="J136" s="111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68">
      <c r="A137" s="113" t="n"/>
      <c r="B137" s="111" t="n"/>
      <c r="C137" s="111" t="n"/>
      <c r="D137" s="117" t="n"/>
      <c r="E137" s="118">
        <f>IF(F137="","",IF(OR(F137="HDFC Bank (INR)",F137="HDFC IOCL Credit Card (INR)",F137="HDFC Swiggy Credit Card (INR)",F137="Axis Airtel Credit Card (INR)"),"INR","GBP"))</f>
        <v/>
      </c>
      <c r="F137" s="111" t="n"/>
      <c r="G137" s="111" t="n"/>
      <c r="H137" s="119">
        <f>IF(G137="Yes","",D137)</f>
        <v/>
      </c>
      <c r="I137" s="111" t="n"/>
      <c r="J137" s="111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68">
      <c r="A138" s="113" t="n"/>
      <c r="B138" s="111" t="n"/>
      <c r="C138" s="111" t="n"/>
      <c r="D138" s="117" t="n"/>
      <c r="E138" s="118">
        <f>IF(F138="","",IF(OR(F138="HDFC Bank (INR)",F138="HDFC IOCL Credit Card (INR)",F138="HDFC Swiggy Credit Card (INR)",F138="Axis Airtel Credit Card (INR)"),"INR","GBP"))</f>
        <v/>
      </c>
      <c r="F138" s="111" t="n"/>
      <c r="G138" s="111" t="n"/>
      <c r="H138" s="119">
        <f>IF(G138="Yes","",D138)</f>
        <v/>
      </c>
      <c r="I138" s="111" t="n"/>
      <c r="J138" s="111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68">
      <c r="A139" s="113" t="n"/>
      <c r="B139" s="111" t="n"/>
      <c r="C139" s="111" t="n"/>
      <c r="D139" s="117" t="n"/>
      <c r="E139" s="118">
        <f>IF(F139="","",IF(OR(F139="HDFC Bank (INR)",F139="HDFC IOCL Credit Card (INR)",F139="HDFC Swiggy Credit Card (INR)",F139="Axis Airtel Credit Card (INR)"),"INR","GBP"))</f>
        <v/>
      </c>
      <c r="F139" s="111" t="n"/>
      <c r="G139" s="111" t="n"/>
      <c r="H139" s="119">
        <f>IF(G139="Yes","",D139)</f>
        <v/>
      </c>
      <c r="I139" s="111" t="n"/>
      <c r="J139" s="111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68">
      <c r="A140" s="113" t="n"/>
      <c r="B140" s="111" t="n"/>
      <c r="C140" s="111" t="n"/>
      <c r="D140" s="117" t="n"/>
      <c r="E140" s="118">
        <f>IF(F140="","",IF(OR(F140="HDFC Bank (INR)",F140="HDFC IOCL Credit Card (INR)",F140="HDFC Swiggy Credit Card (INR)",F140="Axis Airtel Credit Card (INR)"),"INR","GBP"))</f>
        <v/>
      </c>
      <c r="F140" s="111" t="n"/>
      <c r="G140" s="111" t="n"/>
      <c r="H140" s="119">
        <f>IF(G140="Yes","",D140)</f>
        <v/>
      </c>
      <c r="I140" s="111" t="n"/>
      <c r="J140" s="111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68">
      <c r="A141" s="113" t="n"/>
      <c r="B141" s="111" t="n"/>
      <c r="C141" s="111" t="n"/>
      <c r="D141" s="117" t="n"/>
      <c r="E141" s="118">
        <f>IF(F141="","",IF(OR(F141="HDFC Bank (INR)",F141="HDFC IOCL Credit Card (INR)",F141="HDFC Swiggy Credit Card (INR)",F141="Axis Airtel Credit Card (INR)"),"INR","GBP"))</f>
        <v/>
      </c>
      <c r="F141" s="111" t="n"/>
      <c r="G141" s="111" t="n"/>
      <c r="H141" s="119">
        <f>IF(G141="Yes","",D141)</f>
        <v/>
      </c>
      <c r="I141" s="111" t="n"/>
      <c r="J141" s="111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68">
      <c r="A142" s="113" t="n"/>
      <c r="B142" s="111" t="n"/>
      <c r="C142" s="111" t="n"/>
      <c r="D142" s="117" t="n"/>
      <c r="E142" s="118">
        <f>IF(F142="","",IF(OR(F142="HDFC Bank (INR)",F142="HDFC IOCL Credit Card (INR)",F142="HDFC Swiggy Credit Card (INR)",F142="Axis Airtel Credit Card (INR)"),"INR","GBP"))</f>
        <v/>
      </c>
      <c r="F142" s="111" t="n"/>
      <c r="G142" s="111" t="n"/>
      <c r="H142" s="119">
        <f>IF(G142="Yes","",D142)</f>
        <v/>
      </c>
      <c r="I142" s="111" t="n"/>
      <c r="J142" s="111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68">
      <c r="A143" s="113" t="n"/>
      <c r="B143" s="111" t="n"/>
      <c r="C143" s="111" t="n"/>
      <c r="D143" s="117" t="n"/>
      <c r="E143" s="118">
        <f>IF(F143="","",IF(OR(F143="HDFC Bank (INR)",F143="HDFC IOCL Credit Card (INR)",F143="HDFC Swiggy Credit Card (INR)",F143="Axis Airtel Credit Card (INR)"),"INR","GBP"))</f>
        <v/>
      </c>
      <c r="F143" s="111" t="n"/>
      <c r="G143" s="111" t="n"/>
      <c r="H143" s="119">
        <f>IF(G143="Yes","",D143)</f>
        <v/>
      </c>
      <c r="I143" s="111" t="n"/>
      <c r="J143" s="111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68">
      <c r="A144" s="113" t="n"/>
      <c r="B144" s="111" t="n"/>
      <c r="C144" s="111" t="n"/>
      <c r="D144" s="117" t="n"/>
      <c r="E144" s="118">
        <f>IF(F144="","",IF(OR(F144="HDFC Bank (INR)",F144="HDFC IOCL Credit Card (INR)",F144="HDFC Swiggy Credit Card (INR)",F144="Axis Airtel Credit Card (INR)"),"INR","GBP"))</f>
        <v/>
      </c>
      <c r="F144" s="111" t="n"/>
      <c r="G144" s="111" t="n"/>
      <c r="H144" s="119">
        <f>IF(G144="Yes","",D144)</f>
        <v/>
      </c>
      <c r="I144" s="111" t="n"/>
      <c r="J144" s="111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68">
      <c r="A145" s="113" t="n"/>
      <c r="B145" s="111" t="n"/>
      <c r="C145" s="111" t="n"/>
      <c r="D145" s="117" t="n"/>
      <c r="E145" s="118">
        <f>IF(F145="","",IF(OR(F145="HDFC Bank (INR)",F145="HDFC IOCL Credit Card (INR)",F145="HDFC Swiggy Credit Card (INR)",F145="Axis Airtel Credit Card (INR)"),"INR","GBP"))</f>
        <v/>
      </c>
      <c r="F145" s="111" t="n"/>
      <c r="G145" s="111" t="n"/>
      <c r="H145" s="119">
        <f>IF(G145="Yes","",D145)</f>
        <v/>
      </c>
      <c r="I145" s="111" t="n"/>
      <c r="J145" s="111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68">
      <c r="A146" s="113" t="n"/>
      <c r="B146" s="111" t="n"/>
      <c r="C146" s="111" t="n"/>
      <c r="D146" s="117" t="n"/>
      <c r="E146" s="118">
        <f>IF(F146="","",IF(OR(F146="HDFC Bank (INR)",F146="HDFC IOCL Credit Card (INR)",F146="HDFC Swiggy Credit Card (INR)",F146="Axis Airtel Credit Card (INR)"),"INR","GBP"))</f>
        <v/>
      </c>
      <c r="F146" s="111" t="n"/>
      <c r="G146" s="111" t="n"/>
      <c r="H146" s="119">
        <f>IF(G146="Yes","",D146)</f>
        <v/>
      </c>
      <c r="I146" s="111" t="n"/>
      <c r="J146" s="111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68">
      <c r="A147" s="113" t="n"/>
      <c r="B147" s="111" t="n"/>
      <c r="C147" s="111" t="n"/>
      <c r="D147" s="117" t="n"/>
      <c r="E147" s="118">
        <f>IF(F147="","",IF(OR(F147="HDFC Bank (INR)",F147="HDFC IOCL Credit Card (INR)",F147="HDFC Swiggy Credit Card (INR)",F147="Axis Airtel Credit Card (INR)"),"INR","GBP"))</f>
        <v/>
      </c>
      <c r="F147" s="111" t="n"/>
      <c r="G147" s="111" t="n"/>
      <c r="H147" s="119">
        <f>IF(G147="Yes","",D147)</f>
        <v/>
      </c>
      <c r="I147" s="111" t="n"/>
      <c r="J147" s="111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68">
      <c r="A148" s="113" t="n"/>
      <c r="B148" s="111" t="n"/>
      <c r="C148" s="111" t="n"/>
      <c r="D148" s="117" t="n"/>
      <c r="E148" s="118">
        <f>IF(F148="","",IF(OR(F148="HDFC Bank (INR)",F148="HDFC IOCL Credit Card (INR)",F148="HDFC Swiggy Credit Card (INR)",F148="Axis Airtel Credit Card (INR)"),"INR","GBP"))</f>
        <v/>
      </c>
      <c r="F148" s="111" t="n"/>
      <c r="G148" s="111" t="n"/>
      <c r="H148" s="119">
        <f>IF(G148="Yes","",D148)</f>
        <v/>
      </c>
      <c r="I148" s="111" t="n"/>
      <c r="J148" s="111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68">
      <c r="A149" s="113" t="n"/>
      <c r="B149" s="111" t="n"/>
      <c r="C149" s="111" t="n"/>
      <c r="D149" s="117" t="n"/>
      <c r="E149" s="118">
        <f>IF(F149="","",IF(OR(F149="HDFC Bank (INR)",F149="HDFC IOCL Credit Card (INR)",F149="HDFC Swiggy Credit Card (INR)",F149="Axis Airtel Credit Card (INR)"),"INR","GBP"))</f>
        <v/>
      </c>
      <c r="F149" s="111" t="n"/>
      <c r="G149" s="111" t="n"/>
      <c r="H149" s="119">
        <f>IF(G149="Yes","",D149)</f>
        <v/>
      </c>
      <c r="I149" s="111" t="n"/>
      <c r="J149" s="111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68">
      <c r="A150" s="113" t="n"/>
      <c r="B150" s="111" t="n"/>
      <c r="C150" s="111" t="n"/>
      <c r="D150" s="117" t="n"/>
      <c r="E150" s="118">
        <f>IF(F150="","",IF(OR(F150="HDFC Bank (INR)",F150="HDFC IOCL Credit Card (INR)",F150="HDFC Swiggy Credit Card (INR)",F150="Axis Airtel Credit Card (INR)"),"INR","GBP"))</f>
        <v/>
      </c>
      <c r="F150" s="111" t="n"/>
      <c r="G150" s="111" t="n"/>
      <c r="H150" s="119">
        <f>IF(G150="Yes","",D150)</f>
        <v/>
      </c>
      <c r="I150" s="111" t="n"/>
      <c r="J150" s="111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68">
      <c r="A151" s="113" t="n"/>
      <c r="B151" s="111" t="n"/>
      <c r="C151" s="111" t="n"/>
      <c r="D151" s="117" t="n"/>
      <c r="E151" s="118">
        <f>IF(F151="","",IF(OR(F151="HDFC Bank (INR)",F151="HDFC IOCL Credit Card (INR)",F151="HDFC Swiggy Credit Card (INR)",F151="Axis Airtel Credit Card (INR)"),"INR","GBP"))</f>
        <v/>
      </c>
      <c r="F151" s="111" t="n"/>
      <c r="G151" s="111" t="n"/>
      <c r="H151" s="119">
        <f>IF(G151="Yes","",D151)</f>
        <v/>
      </c>
      <c r="I151" s="111" t="n"/>
      <c r="J151" s="111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68">
      <c r="A152" s="113" t="n"/>
      <c r="B152" s="111" t="n"/>
      <c r="C152" s="111" t="n"/>
      <c r="D152" s="117" t="n"/>
      <c r="E152" s="118">
        <f>IF(F152="","",IF(OR(F152="HDFC Bank (INR)",F152="HDFC IOCL Credit Card (INR)",F152="HDFC Swiggy Credit Card (INR)",F152="Axis Airtel Credit Card (INR)"),"INR","GBP"))</f>
        <v/>
      </c>
      <c r="F152" s="111" t="n"/>
      <c r="G152" s="111" t="n"/>
      <c r="H152" s="119">
        <f>IF(G152="Yes","",D152)</f>
        <v/>
      </c>
      <c r="I152" s="111" t="n"/>
      <c r="J152" s="111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68">
      <c r="A153" s="113" t="n"/>
      <c r="B153" s="111" t="n"/>
      <c r="C153" s="111" t="n"/>
      <c r="D153" s="117" t="n"/>
      <c r="E153" s="118">
        <f>IF(F153="","",IF(OR(F153="HDFC Bank (INR)",F153="HDFC IOCL Credit Card (INR)",F153="HDFC Swiggy Credit Card (INR)",F153="Axis Airtel Credit Card (INR)"),"INR","GBP"))</f>
        <v/>
      </c>
      <c r="F153" s="111" t="n"/>
      <c r="G153" s="111" t="n"/>
      <c r="H153" s="119">
        <f>IF(G153="Yes","",D153)</f>
        <v/>
      </c>
      <c r="I153" s="111" t="n"/>
      <c r="J153" s="111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68">
      <c r="A154" s="113" t="n"/>
      <c r="B154" s="111" t="n"/>
      <c r="C154" s="111" t="n"/>
      <c r="D154" s="117" t="n"/>
      <c r="E154" s="118">
        <f>IF(F154="","",IF(OR(F154="HDFC Bank (INR)",F154="HDFC IOCL Credit Card (INR)",F154="HDFC Swiggy Credit Card (INR)",F154="Axis Airtel Credit Card (INR)"),"INR","GBP"))</f>
        <v/>
      </c>
      <c r="F154" s="111" t="n"/>
      <c r="G154" s="111" t="n"/>
      <c r="H154" s="119">
        <f>IF(G154="Yes","",D154)</f>
        <v/>
      </c>
      <c r="I154" s="111" t="n"/>
      <c r="J154" s="111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68">
      <c r="A155" s="113" t="n"/>
      <c r="B155" s="111" t="n"/>
      <c r="C155" s="111" t="n"/>
      <c r="D155" s="117" t="n"/>
      <c r="E155" s="118">
        <f>IF(F155="","",IF(OR(F155="HDFC Bank (INR)",F155="HDFC IOCL Credit Card (INR)",F155="HDFC Swiggy Credit Card (INR)",F155="Axis Airtel Credit Card (INR)"),"INR","GBP"))</f>
        <v/>
      </c>
      <c r="F155" s="111" t="n"/>
      <c r="G155" s="111" t="n"/>
      <c r="H155" s="119">
        <f>IF(G155="Yes","",D155)</f>
        <v/>
      </c>
      <c r="I155" s="111" t="n"/>
      <c r="J155" s="111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68">
      <c r="A156" s="113" t="n"/>
      <c r="B156" s="111" t="n"/>
      <c r="C156" s="111" t="n"/>
      <c r="D156" s="117" t="n"/>
      <c r="E156" s="118">
        <f>IF(F156="","",IF(OR(F156="HDFC Bank (INR)",F156="HDFC IOCL Credit Card (INR)",F156="HDFC Swiggy Credit Card (INR)",F156="Axis Airtel Credit Card (INR)"),"INR","GBP"))</f>
        <v/>
      </c>
      <c r="F156" s="111" t="n"/>
      <c r="G156" s="111" t="n"/>
      <c r="H156" s="119">
        <f>IF(G156="Yes","",D156)</f>
        <v/>
      </c>
      <c r="I156" s="111" t="n"/>
      <c r="J156" s="111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68">
      <c r="A157" s="113" t="n"/>
      <c r="B157" s="111" t="n"/>
      <c r="C157" s="111" t="n"/>
      <c r="D157" s="117" t="n"/>
      <c r="E157" s="118">
        <f>IF(F157="","",IF(OR(F157="HDFC Bank (INR)",F157="HDFC IOCL Credit Card (INR)",F157="HDFC Swiggy Credit Card (INR)",F157="Axis Airtel Credit Card (INR)"),"INR","GBP"))</f>
        <v/>
      </c>
      <c r="F157" s="111" t="n"/>
      <c r="G157" s="111" t="n"/>
      <c r="H157" s="119">
        <f>IF(G157="Yes","",D157)</f>
        <v/>
      </c>
      <c r="I157" s="111" t="n"/>
      <c r="J157" s="111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68">
      <c r="A158" s="113" t="n"/>
      <c r="B158" s="111" t="n"/>
      <c r="C158" s="111" t="n"/>
      <c r="D158" s="117" t="n"/>
      <c r="E158" s="118">
        <f>IF(F158="","",IF(OR(F158="HDFC Bank (INR)",F158="HDFC IOCL Credit Card (INR)",F158="HDFC Swiggy Credit Card (INR)",F158="Axis Airtel Credit Card (INR)"),"INR","GBP"))</f>
        <v/>
      </c>
      <c r="F158" s="111" t="n"/>
      <c r="G158" s="111" t="n"/>
      <c r="H158" s="119">
        <f>IF(G158="Yes","",D158)</f>
        <v/>
      </c>
      <c r="I158" s="111" t="n"/>
      <c r="J158" s="111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68">
      <c r="A159" s="113" t="n"/>
      <c r="B159" s="111" t="n"/>
      <c r="C159" s="111" t="n"/>
      <c r="D159" s="117" t="n"/>
      <c r="E159" s="118">
        <f>IF(F159="","",IF(OR(F159="HDFC Bank (INR)",F159="HDFC IOCL Credit Card (INR)",F159="HDFC Swiggy Credit Card (INR)",F159="Axis Airtel Credit Card (INR)"),"INR","GBP"))</f>
        <v/>
      </c>
      <c r="F159" s="111" t="n"/>
      <c r="G159" s="111" t="n"/>
      <c r="H159" s="119">
        <f>IF(G159="Yes","",D159)</f>
        <v/>
      </c>
      <c r="I159" s="111" t="n"/>
      <c r="J159" s="111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68">
      <c r="A160" s="113" t="n"/>
      <c r="B160" s="111" t="n"/>
      <c r="C160" s="111" t="n"/>
      <c r="D160" s="117" t="n"/>
      <c r="E160" s="118">
        <f>IF(F160="","",IF(OR(F160="HDFC Bank (INR)",F160="HDFC IOCL Credit Card (INR)",F160="HDFC Swiggy Credit Card (INR)",F160="Axis Airtel Credit Card (INR)"),"INR","GBP"))</f>
        <v/>
      </c>
      <c r="F160" s="111" t="n"/>
      <c r="G160" s="111" t="n"/>
      <c r="H160" s="119">
        <f>IF(G160="Yes","",D160)</f>
        <v/>
      </c>
      <c r="I160" s="111" t="n"/>
      <c r="J160" s="111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68">
      <c r="A161" s="113" t="n"/>
      <c r="B161" s="111" t="n"/>
      <c r="C161" s="111" t="n"/>
      <c r="D161" s="117" t="n"/>
      <c r="E161" s="118">
        <f>IF(F161="","",IF(OR(F161="HDFC Bank (INR)",F161="HDFC IOCL Credit Card (INR)",F161="HDFC Swiggy Credit Card (INR)",F161="Axis Airtel Credit Card (INR)"),"INR","GBP"))</f>
        <v/>
      </c>
      <c r="F161" s="111" t="n"/>
      <c r="G161" s="111" t="n"/>
      <c r="H161" s="119">
        <f>IF(G161="Yes","",D161)</f>
        <v/>
      </c>
      <c r="I161" s="111" t="n"/>
      <c r="J161" s="111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68">
      <c r="A162" s="113" t="n"/>
      <c r="B162" s="111" t="n"/>
      <c r="C162" s="111" t="n"/>
      <c r="D162" s="117" t="n"/>
      <c r="E162" s="118">
        <f>IF(F162="","",IF(OR(F162="HDFC Bank (INR)",F162="HDFC IOCL Credit Card (INR)",F162="HDFC Swiggy Credit Card (INR)",F162="Axis Airtel Credit Card (INR)"),"INR","GBP"))</f>
        <v/>
      </c>
      <c r="F162" s="111" t="n"/>
      <c r="G162" s="111" t="n"/>
      <c r="H162" s="119">
        <f>IF(G162="Yes","",D162)</f>
        <v/>
      </c>
      <c r="I162" s="111" t="n"/>
      <c r="J162" s="111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68">
      <c r="A163" s="113" t="n"/>
      <c r="B163" s="111" t="n"/>
      <c r="C163" s="111" t="n"/>
      <c r="D163" s="117" t="n"/>
      <c r="E163" s="118">
        <f>IF(F163="","",IF(OR(F163="HDFC Bank (INR)",F163="HDFC IOCL Credit Card (INR)",F163="HDFC Swiggy Credit Card (INR)",F163="Axis Airtel Credit Card (INR)"),"INR","GBP"))</f>
        <v/>
      </c>
      <c r="F163" s="111" t="n"/>
      <c r="G163" s="111" t="n"/>
      <c r="H163" s="119">
        <f>IF(G163="Yes","",D163)</f>
        <v/>
      </c>
      <c r="I163" s="111" t="n"/>
      <c r="J163" s="111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68">
      <c r="A164" s="113" t="n"/>
      <c r="B164" s="111" t="n"/>
      <c r="C164" s="111" t="n"/>
      <c r="D164" s="117" t="n"/>
      <c r="E164" s="118">
        <f>IF(F164="","",IF(OR(F164="HDFC Bank (INR)",F164="HDFC IOCL Credit Card (INR)",F164="HDFC Swiggy Credit Card (INR)",F164="Axis Airtel Credit Card (INR)"),"INR","GBP"))</f>
        <v/>
      </c>
      <c r="F164" s="111" t="n"/>
      <c r="G164" s="111" t="n"/>
      <c r="H164" s="119">
        <f>IF(G164="Yes","",D164)</f>
        <v/>
      </c>
      <c r="I164" s="111" t="n"/>
      <c r="J164" s="111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68">
      <c r="A165" s="113" t="n"/>
      <c r="B165" s="111" t="n"/>
      <c r="C165" s="111" t="n"/>
      <c r="D165" s="117" t="n"/>
      <c r="E165" s="118">
        <f>IF(F165="","",IF(OR(F165="HDFC Bank (INR)",F165="HDFC IOCL Credit Card (INR)",F165="HDFC Swiggy Credit Card (INR)",F165="Axis Airtel Credit Card (INR)"),"INR","GBP"))</f>
        <v/>
      </c>
      <c r="F165" s="111" t="n"/>
      <c r="G165" s="111" t="n"/>
      <c r="H165" s="119">
        <f>IF(G165="Yes","",D165)</f>
        <v/>
      </c>
      <c r="I165" s="111" t="n"/>
      <c r="J165" s="111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68">
      <c r="A166" s="113" t="n"/>
      <c r="B166" s="111" t="n"/>
      <c r="C166" s="111" t="n"/>
      <c r="D166" s="117" t="n"/>
      <c r="E166" s="118">
        <f>IF(F166="","",IF(OR(F166="HDFC Bank (INR)",F166="HDFC IOCL Credit Card (INR)",F166="HDFC Swiggy Credit Card (INR)",F166="Axis Airtel Credit Card (INR)"),"INR","GBP"))</f>
        <v/>
      </c>
      <c r="F166" s="111" t="n"/>
      <c r="G166" s="111" t="n"/>
      <c r="H166" s="119">
        <f>IF(G166="Yes","",D166)</f>
        <v/>
      </c>
      <c r="I166" s="111" t="n"/>
      <c r="J166" s="111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68">
      <c r="A167" s="113" t="n"/>
      <c r="B167" s="111" t="n"/>
      <c r="C167" s="111" t="n"/>
      <c r="D167" s="117" t="n"/>
      <c r="E167" s="118">
        <f>IF(F167="","",IF(OR(F167="HDFC Bank (INR)",F167="HDFC IOCL Credit Card (INR)",F167="HDFC Swiggy Credit Card (INR)",F167="Axis Airtel Credit Card (INR)"),"INR","GBP"))</f>
        <v/>
      </c>
      <c r="F167" s="111" t="n"/>
      <c r="G167" s="111" t="n"/>
      <c r="H167" s="119">
        <f>IF(G167="Yes","",D167)</f>
        <v/>
      </c>
      <c r="I167" s="111" t="n"/>
      <c r="J167" s="111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68">
      <c r="A168" s="113" t="n"/>
      <c r="B168" s="111" t="n"/>
      <c r="C168" s="111" t="n"/>
      <c r="D168" s="117" t="n"/>
      <c r="E168" s="118">
        <f>IF(F168="","",IF(OR(F168="HDFC Bank (INR)",F168="HDFC IOCL Credit Card (INR)",F168="HDFC Swiggy Credit Card (INR)",F168="Axis Airtel Credit Card (INR)"),"INR","GBP"))</f>
        <v/>
      </c>
      <c r="F168" s="111" t="n"/>
      <c r="G168" s="111" t="n"/>
      <c r="H168" s="119">
        <f>IF(G168="Yes","",D168)</f>
        <v/>
      </c>
      <c r="I168" s="111" t="n"/>
      <c r="J168" s="111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68">
      <c r="A169" s="113" t="n"/>
      <c r="B169" s="111" t="n"/>
      <c r="C169" s="111" t="n"/>
      <c r="D169" s="117" t="n"/>
      <c r="E169" s="118">
        <f>IF(F169="","",IF(OR(F169="HDFC Bank (INR)",F169="HDFC IOCL Credit Card (INR)",F169="HDFC Swiggy Credit Card (INR)",F169="Axis Airtel Credit Card (INR)"),"INR","GBP"))</f>
        <v/>
      </c>
      <c r="F169" s="111" t="n"/>
      <c r="G169" s="111" t="n"/>
      <c r="H169" s="119">
        <f>IF(G169="Yes","",D169)</f>
        <v/>
      </c>
      <c r="I169" s="111" t="n"/>
      <c r="J169" s="111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68">
      <c r="A170" s="113" t="n"/>
      <c r="B170" s="111" t="n"/>
      <c r="C170" s="111" t="n"/>
      <c r="D170" s="117" t="n"/>
      <c r="E170" s="118">
        <f>IF(F170="","",IF(OR(F170="HDFC Bank (INR)",F170="HDFC IOCL Credit Card (INR)",F170="HDFC Swiggy Credit Card (INR)",F170="Axis Airtel Credit Card (INR)"),"INR","GBP"))</f>
        <v/>
      </c>
      <c r="F170" s="111" t="n"/>
      <c r="G170" s="111" t="n"/>
      <c r="H170" s="119">
        <f>IF(G170="Yes","",D170)</f>
        <v/>
      </c>
      <c r="I170" s="111" t="n"/>
      <c r="J170" s="111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68">
      <c r="A171" s="113" t="n"/>
      <c r="B171" s="111" t="n"/>
      <c r="C171" s="111" t="n"/>
      <c r="D171" s="117" t="n"/>
      <c r="E171" s="118">
        <f>IF(F171="","",IF(OR(F171="HDFC Bank (INR)",F171="HDFC IOCL Credit Card (INR)",F171="HDFC Swiggy Credit Card (INR)",F171="Axis Airtel Credit Card (INR)"),"INR","GBP"))</f>
        <v/>
      </c>
      <c r="F171" s="111" t="n"/>
      <c r="G171" s="111" t="n"/>
      <c r="H171" s="119">
        <f>IF(G171="Yes","",D171)</f>
        <v/>
      </c>
      <c r="I171" s="111" t="n"/>
      <c r="J171" s="111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68">
      <c r="A172" s="113" t="n"/>
      <c r="B172" s="111" t="n"/>
      <c r="C172" s="111" t="n"/>
      <c r="D172" s="117" t="n"/>
      <c r="E172" s="118">
        <f>IF(F172="","",IF(OR(F172="HDFC Bank (INR)",F172="HDFC IOCL Credit Card (INR)",F172="HDFC Swiggy Credit Card (INR)",F172="Axis Airtel Credit Card (INR)"),"INR","GBP"))</f>
        <v/>
      </c>
      <c r="F172" s="111" t="n"/>
      <c r="G172" s="111" t="n"/>
      <c r="H172" s="119">
        <f>IF(G172="Yes","",D172)</f>
        <v/>
      </c>
      <c r="I172" s="111" t="n"/>
      <c r="J172" s="111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68">
      <c r="A173" s="113" t="n"/>
      <c r="B173" s="111" t="n"/>
      <c r="C173" s="111" t="n"/>
      <c r="D173" s="117" t="n"/>
      <c r="E173" s="118">
        <f>IF(F173="","",IF(OR(F173="HDFC Bank (INR)",F173="HDFC IOCL Credit Card (INR)",F173="HDFC Swiggy Credit Card (INR)",F173="Axis Airtel Credit Card (INR)"),"INR","GBP"))</f>
        <v/>
      </c>
      <c r="F173" s="111" t="n"/>
      <c r="G173" s="111" t="n"/>
      <c r="H173" s="119">
        <f>IF(G173="Yes","",D173)</f>
        <v/>
      </c>
      <c r="I173" s="111" t="n"/>
      <c r="J173" s="111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68">
      <c r="A174" s="113" t="n"/>
      <c r="B174" s="111" t="n"/>
      <c r="C174" s="111" t="n"/>
      <c r="D174" s="117" t="n"/>
      <c r="E174" s="118">
        <f>IF(F174="","",IF(OR(F174="HDFC Bank (INR)",F174="HDFC IOCL Credit Card (INR)",F174="HDFC Swiggy Credit Card (INR)",F174="Axis Airtel Credit Card (INR)"),"INR","GBP"))</f>
        <v/>
      </c>
      <c r="F174" s="111" t="n"/>
      <c r="G174" s="111" t="n"/>
      <c r="H174" s="119">
        <f>IF(G174="Yes","",D174)</f>
        <v/>
      </c>
      <c r="I174" s="111" t="n"/>
      <c r="J174" s="111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68">
      <c r="A175" s="113" t="n"/>
      <c r="B175" s="111" t="n"/>
      <c r="C175" s="111" t="n"/>
      <c r="D175" s="117" t="n"/>
      <c r="E175" s="118">
        <f>IF(F175="","",IF(OR(F175="HDFC Bank (INR)",F175="HDFC IOCL Credit Card (INR)",F175="HDFC Swiggy Credit Card (INR)",F175="Axis Airtel Credit Card (INR)"),"INR","GBP"))</f>
        <v/>
      </c>
      <c r="F175" s="111" t="n"/>
      <c r="G175" s="111" t="n"/>
      <c r="H175" s="119">
        <f>IF(G175="Yes","",D175)</f>
        <v/>
      </c>
      <c r="I175" s="111" t="n"/>
      <c r="J175" s="111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68">
      <c r="A176" s="113" t="n"/>
      <c r="B176" s="111" t="n"/>
      <c r="C176" s="111" t="n"/>
      <c r="D176" s="117" t="n"/>
      <c r="E176" s="118">
        <f>IF(F176="","",IF(OR(F176="HDFC Bank (INR)",F176="HDFC IOCL Credit Card (INR)",F176="HDFC Swiggy Credit Card (INR)",F176="Axis Airtel Credit Card (INR)"),"INR","GBP"))</f>
        <v/>
      </c>
      <c r="F176" s="111" t="n"/>
      <c r="G176" s="111" t="n"/>
      <c r="H176" s="119">
        <f>IF(G176="Yes","",D176)</f>
        <v/>
      </c>
      <c r="I176" s="111" t="n"/>
      <c r="J176" s="111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68">
      <c r="A177" s="113" t="n"/>
      <c r="B177" s="111" t="n"/>
      <c r="C177" s="111" t="n"/>
      <c r="D177" s="117" t="n"/>
      <c r="E177" s="118">
        <f>IF(F177="","",IF(OR(F177="HDFC Bank (INR)",F177="HDFC IOCL Credit Card (INR)",F177="HDFC Swiggy Credit Card (INR)",F177="Axis Airtel Credit Card (INR)"),"INR","GBP"))</f>
        <v/>
      </c>
      <c r="F177" s="111" t="n"/>
      <c r="G177" s="111" t="n"/>
      <c r="H177" s="119">
        <f>IF(G177="Yes","",D177)</f>
        <v/>
      </c>
      <c r="I177" s="111" t="n"/>
      <c r="J177" s="111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68">
      <c r="A178" s="113" t="n"/>
      <c r="B178" s="111" t="n"/>
      <c r="C178" s="111" t="n"/>
      <c r="D178" s="117" t="n"/>
      <c r="E178" s="118">
        <f>IF(F178="","",IF(OR(F178="HDFC Bank (INR)",F178="HDFC IOCL Credit Card (INR)",F178="HDFC Swiggy Credit Card (INR)",F178="Axis Airtel Credit Card (INR)"),"INR","GBP"))</f>
        <v/>
      </c>
      <c r="F178" s="111" t="n"/>
      <c r="G178" s="111" t="n"/>
      <c r="H178" s="119">
        <f>IF(G178="Yes","",D178)</f>
        <v/>
      </c>
      <c r="I178" s="111" t="n"/>
      <c r="J178" s="111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68">
      <c r="A179" s="113" t="n"/>
      <c r="B179" s="111" t="n"/>
      <c r="C179" s="111" t="n"/>
      <c r="D179" s="117" t="n"/>
      <c r="E179" s="118">
        <f>IF(F179="","",IF(OR(F179="HDFC Bank (INR)",F179="HDFC IOCL Credit Card (INR)",F179="HDFC Swiggy Credit Card (INR)",F179="Axis Airtel Credit Card (INR)"),"INR","GBP"))</f>
        <v/>
      </c>
      <c r="F179" s="111" t="n"/>
      <c r="G179" s="111" t="n"/>
      <c r="H179" s="119">
        <f>IF(G179="Yes","",D179)</f>
        <v/>
      </c>
      <c r="I179" s="111" t="n"/>
      <c r="J179" s="111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68">
      <c r="A180" s="113" t="n"/>
      <c r="B180" s="111" t="n"/>
      <c r="C180" s="111" t="n"/>
      <c r="D180" s="117" t="n"/>
      <c r="E180" s="118">
        <f>IF(F180="","",IF(OR(F180="HDFC Bank (INR)",F180="HDFC IOCL Credit Card (INR)",F180="HDFC Swiggy Credit Card (INR)",F180="Axis Airtel Credit Card (INR)"),"INR","GBP"))</f>
        <v/>
      </c>
      <c r="F180" s="111" t="n"/>
      <c r="G180" s="111" t="n"/>
      <c r="H180" s="119">
        <f>IF(G180="Yes","",D180)</f>
        <v/>
      </c>
      <c r="I180" s="111" t="n"/>
      <c r="J180" s="111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68">
      <c r="A181" s="113" t="n"/>
      <c r="B181" s="111" t="n"/>
      <c r="C181" s="111" t="n"/>
      <c r="D181" s="117" t="n"/>
      <c r="E181" s="118">
        <f>IF(F181="","",IF(OR(F181="HDFC Bank (INR)",F181="HDFC IOCL Credit Card (INR)",F181="HDFC Swiggy Credit Card (INR)",F181="Axis Airtel Credit Card (INR)"),"INR","GBP"))</f>
        <v/>
      </c>
      <c r="F181" s="111" t="n"/>
      <c r="G181" s="111" t="n"/>
      <c r="H181" s="119">
        <f>IF(G181="Yes","",D181)</f>
        <v/>
      </c>
      <c r="I181" s="111" t="n"/>
      <c r="J181" s="111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68">
      <c r="A182" s="113" t="n"/>
      <c r="B182" s="111" t="n"/>
      <c r="C182" s="111" t="n"/>
      <c r="D182" s="117" t="n"/>
      <c r="E182" s="118">
        <f>IF(F182="","",IF(OR(F182="HDFC Bank (INR)",F182="HDFC IOCL Credit Card (INR)",F182="HDFC Swiggy Credit Card (INR)",F182="Axis Airtel Credit Card (INR)"),"INR","GBP"))</f>
        <v/>
      </c>
      <c r="F182" s="111" t="n"/>
      <c r="G182" s="111" t="n"/>
      <c r="H182" s="119">
        <f>IF(G182="Yes","",D182)</f>
        <v/>
      </c>
      <c r="I182" s="111" t="n"/>
      <c r="J182" s="111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68">
      <c r="A183" s="113" t="n"/>
      <c r="B183" s="111" t="n"/>
      <c r="C183" s="111" t="n"/>
      <c r="D183" s="117" t="n"/>
      <c r="E183" s="118">
        <f>IF(F183="","",IF(OR(F183="HDFC Bank (INR)",F183="HDFC IOCL Credit Card (INR)",F183="HDFC Swiggy Credit Card (INR)",F183="Axis Airtel Credit Card (INR)"),"INR","GBP"))</f>
        <v/>
      </c>
      <c r="F183" s="111" t="n"/>
      <c r="G183" s="111" t="n"/>
      <c r="H183" s="119">
        <f>IF(G183="Yes","",D183)</f>
        <v/>
      </c>
      <c r="I183" s="111" t="n"/>
      <c r="J183" s="111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68">
      <c r="A184" s="113" t="n"/>
      <c r="B184" s="111" t="n"/>
      <c r="C184" s="111" t="n"/>
      <c r="D184" s="117" t="n"/>
      <c r="E184" s="118">
        <f>IF(F184="","",IF(OR(F184="HDFC Bank (INR)",F184="HDFC IOCL Credit Card (INR)",F184="HDFC Swiggy Credit Card (INR)",F184="Axis Airtel Credit Card (INR)"),"INR","GBP"))</f>
        <v/>
      </c>
      <c r="F184" s="111" t="n"/>
      <c r="G184" s="111" t="n"/>
      <c r="H184" s="119">
        <f>IF(G184="Yes","",D184)</f>
        <v/>
      </c>
      <c r="I184" s="111" t="n"/>
      <c r="J184" s="111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68">
      <c r="A185" s="113" t="n"/>
      <c r="B185" s="111" t="n"/>
      <c r="C185" s="111" t="n"/>
      <c r="D185" s="117" t="n"/>
      <c r="E185" s="118">
        <f>IF(F185="","",IF(OR(F185="HDFC Bank (INR)",F185="HDFC IOCL Credit Card (INR)",F185="HDFC Swiggy Credit Card (INR)",F185="Axis Airtel Credit Card (INR)"),"INR","GBP"))</f>
        <v/>
      </c>
      <c r="F185" s="111" t="n"/>
      <c r="G185" s="111" t="n"/>
      <c r="H185" s="119">
        <f>IF(G185="Yes","",D185)</f>
        <v/>
      </c>
      <c r="I185" s="111" t="n"/>
      <c r="J185" s="111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68">
      <c r="A186" s="113" t="n"/>
      <c r="B186" s="111" t="n"/>
      <c r="C186" s="111" t="n"/>
      <c r="D186" s="117" t="n"/>
      <c r="E186" s="118">
        <f>IF(F186="","",IF(OR(F186="HDFC Bank (INR)",F186="HDFC IOCL Credit Card (INR)",F186="HDFC Swiggy Credit Card (INR)",F186="Axis Airtel Credit Card (INR)"),"INR","GBP"))</f>
        <v/>
      </c>
      <c r="F186" s="111" t="n"/>
      <c r="G186" s="111" t="n"/>
      <c r="H186" s="119">
        <f>IF(G186="Yes","",D186)</f>
        <v/>
      </c>
      <c r="I186" s="111" t="n"/>
      <c r="J186" s="111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68">
      <c r="A187" s="113" t="n"/>
      <c r="B187" s="111" t="n"/>
      <c r="C187" s="111" t="n"/>
      <c r="D187" s="117" t="n"/>
      <c r="E187" s="118">
        <f>IF(F187="","",IF(OR(F187="HDFC Bank (INR)",F187="HDFC IOCL Credit Card (INR)",F187="HDFC Swiggy Credit Card (INR)",F187="Axis Airtel Credit Card (INR)"),"INR","GBP"))</f>
        <v/>
      </c>
      <c r="F187" s="111" t="n"/>
      <c r="G187" s="111" t="n"/>
      <c r="H187" s="119">
        <f>IF(G187="Yes","",D187)</f>
        <v/>
      </c>
      <c r="I187" s="111" t="n"/>
      <c r="J187" s="111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68">
      <c r="A188" s="113" t="n"/>
      <c r="B188" s="111" t="n"/>
      <c r="C188" s="111" t="n"/>
      <c r="D188" s="117" t="n"/>
      <c r="E188" s="118">
        <f>IF(F188="","",IF(OR(F188="HDFC Bank (INR)",F188="HDFC IOCL Credit Card (INR)",F188="HDFC Swiggy Credit Card (INR)",F188="Axis Airtel Credit Card (INR)"),"INR","GBP"))</f>
        <v/>
      </c>
      <c r="F188" s="111" t="n"/>
      <c r="G188" s="111" t="n"/>
      <c r="H188" s="119">
        <f>IF(G188="Yes","",D188)</f>
        <v/>
      </c>
      <c r="I188" s="111" t="n"/>
      <c r="J188" s="111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68">
      <c r="A189" s="113" t="n"/>
      <c r="B189" s="111" t="n"/>
      <c r="C189" s="111" t="n"/>
      <c r="D189" s="117" t="n"/>
      <c r="E189" s="118">
        <f>IF(F189="","",IF(OR(F189="HDFC Bank (INR)",F189="HDFC IOCL Credit Card (INR)",F189="HDFC Swiggy Credit Card (INR)",F189="Axis Airtel Credit Card (INR)"),"INR","GBP"))</f>
        <v/>
      </c>
      <c r="F189" s="111" t="n"/>
      <c r="G189" s="111" t="n"/>
      <c r="H189" s="119">
        <f>IF(G189="Yes","",D189)</f>
        <v/>
      </c>
      <c r="I189" s="111" t="n"/>
      <c r="J189" s="111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68">
      <c r="A190" s="113" t="n"/>
      <c r="B190" s="111" t="n"/>
      <c r="C190" s="111" t="n"/>
      <c r="D190" s="117" t="n"/>
      <c r="E190" s="118">
        <f>IF(F190="","",IF(OR(F190="HDFC Bank (INR)",F190="HDFC IOCL Credit Card (INR)",F190="HDFC Swiggy Credit Card (INR)",F190="Axis Airtel Credit Card (INR)"),"INR","GBP"))</f>
        <v/>
      </c>
      <c r="F190" s="111" t="n"/>
      <c r="G190" s="111" t="n"/>
      <c r="H190" s="119">
        <f>IF(G190="Yes","",D190)</f>
        <v/>
      </c>
      <c r="I190" s="111" t="n"/>
      <c r="J190" s="111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68">
      <c r="A191" s="113" t="n"/>
      <c r="B191" s="111" t="n"/>
      <c r="C191" s="111" t="n"/>
      <c r="D191" s="117" t="n"/>
      <c r="E191" s="118">
        <f>IF(F191="","",IF(OR(F191="HDFC Bank (INR)",F191="HDFC IOCL Credit Card (INR)",F191="HDFC Swiggy Credit Card (INR)",F191="Axis Airtel Credit Card (INR)"),"INR","GBP"))</f>
        <v/>
      </c>
      <c r="F191" s="111" t="n"/>
      <c r="G191" s="111" t="n"/>
      <c r="H191" s="119">
        <f>IF(G191="Yes","",D191)</f>
        <v/>
      </c>
      <c r="I191" s="111" t="n"/>
      <c r="J191" s="111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68">
      <c r="A192" s="113" t="n"/>
      <c r="B192" s="111" t="n"/>
      <c r="C192" s="111" t="n"/>
      <c r="D192" s="117" t="n"/>
      <c r="E192" s="118">
        <f>IF(F192="","",IF(OR(F192="HDFC Bank (INR)",F192="HDFC IOCL Credit Card (INR)",F192="HDFC Swiggy Credit Card (INR)",F192="Axis Airtel Credit Card (INR)"),"INR","GBP"))</f>
        <v/>
      </c>
      <c r="F192" s="111" t="n"/>
      <c r="G192" s="111" t="n"/>
      <c r="H192" s="119">
        <f>IF(G192="Yes","",D192)</f>
        <v/>
      </c>
      <c r="I192" s="111" t="n"/>
      <c r="J192" s="111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68">
      <c r="A193" s="113" t="n"/>
      <c r="B193" s="111" t="n"/>
      <c r="C193" s="111" t="n"/>
      <c r="D193" s="117" t="n"/>
      <c r="E193" s="118">
        <f>IF(F193="","",IF(OR(F193="HDFC Bank (INR)",F193="HDFC IOCL Credit Card (INR)",F193="HDFC Swiggy Credit Card (INR)",F193="Axis Airtel Credit Card (INR)"),"INR","GBP"))</f>
        <v/>
      </c>
      <c r="F193" s="111" t="n"/>
      <c r="G193" s="111" t="n"/>
      <c r="H193" s="119">
        <f>IF(G193="Yes","",D193)</f>
        <v/>
      </c>
      <c r="I193" s="111" t="n"/>
      <c r="J193" s="111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68">
      <c r="A194" s="113" t="n"/>
      <c r="B194" s="111" t="n"/>
      <c r="C194" s="111" t="n"/>
      <c r="D194" s="117" t="n"/>
      <c r="E194" s="118">
        <f>IF(F194="","",IF(OR(F194="HDFC Bank (INR)",F194="HDFC IOCL Credit Card (INR)",F194="HDFC Swiggy Credit Card (INR)",F194="Axis Airtel Credit Card (INR)"),"INR","GBP"))</f>
        <v/>
      </c>
      <c r="F194" s="111" t="n"/>
      <c r="G194" s="111" t="n"/>
      <c r="H194" s="119">
        <f>IF(G194="Yes","",D194)</f>
        <v/>
      </c>
      <c r="I194" s="111" t="n"/>
      <c r="J194" s="111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68">
      <c r="A195" s="113" t="n"/>
      <c r="B195" s="111" t="n"/>
      <c r="C195" s="111" t="n"/>
      <c r="D195" s="117" t="n"/>
      <c r="E195" s="118">
        <f>IF(F195="","",IF(OR(F195="HDFC Bank (INR)",F195="HDFC IOCL Credit Card (INR)",F195="HDFC Swiggy Credit Card (INR)",F195="Axis Airtel Credit Card (INR)"),"INR","GBP"))</f>
        <v/>
      </c>
      <c r="F195" s="111" t="n"/>
      <c r="G195" s="111" t="n"/>
      <c r="H195" s="119">
        <f>IF(G195="Yes","",D195)</f>
        <v/>
      </c>
      <c r="I195" s="111" t="n"/>
      <c r="J195" s="111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68">
      <c r="A196" s="113" t="n"/>
      <c r="B196" s="111" t="n"/>
      <c r="C196" s="111" t="n"/>
      <c r="D196" s="117" t="n"/>
      <c r="E196" s="118">
        <f>IF(F196="","",IF(OR(F196="HDFC Bank (INR)",F196="HDFC IOCL Credit Card (INR)",F196="HDFC Swiggy Credit Card (INR)",F196="Axis Airtel Credit Card (INR)"),"INR","GBP"))</f>
        <v/>
      </c>
      <c r="F196" s="111" t="n"/>
      <c r="G196" s="111" t="n"/>
      <c r="H196" s="119">
        <f>IF(G196="Yes","",D196)</f>
        <v/>
      </c>
      <c r="I196" s="111" t="n"/>
      <c r="J196" s="111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68">
      <c r="A197" s="113" t="n"/>
      <c r="B197" s="111" t="n"/>
      <c r="C197" s="111" t="n"/>
      <c r="D197" s="117" t="n"/>
      <c r="E197" s="118">
        <f>IF(F197="","",IF(OR(F197="HDFC Bank (INR)",F197="HDFC IOCL Credit Card (INR)",F197="HDFC Swiggy Credit Card (INR)",F197="Axis Airtel Credit Card (INR)"),"INR","GBP"))</f>
        <v/>
      </c>
      <c r="F197" s="111" t="n"/>
      <c r="G197" s="111" t="n"/>
      <c r="H197" s="119">
        <f>IF(G197="Yes","",D197)</f>
        <v/>
      </c>
      <c r="I197" s="111" t="n"/>
      <c r="J197" s="111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68">
      <c r="A198" s="113" t="n"/>
      <c r="B198" s="111" t="n"/>
      <c r="C198" s="111" t="n"/>
      <c r="D198" s="117" t="n"/>
      <c r="E198" s="118">
        <f>IF(F198="","",IF(OR(F198="HDFC Bank (INR)",F198="HDFC IOCL Credit Card (INR)",F198="HDFC Swiggy Credit Card (INR)",F198="Axis Airtel Credit Card (INR)"),"INR","GBP"))</f>
        <v/>
      </c>
      <c r="F198" s="111" t="n"/>
      <c r="G198" s="111" t="n"/>
      <c r="H198" s="119">
        <f>IF(G198="Yes","",D198)</f>
        <v/>
      </c>
      <c r="I198" s="111" t="n"/>
      <c r="J198" s="111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68">
      <c r="A199" s="113" t="n"/>
      <c r="B199" s="111" t="n"/>
      <c r="C199" s="111" t="n"/>
      <c r="D199" s="117" t="n"/>
      <c r="E199" s="118">
        <f>IF(F199="","",IF(OR(F199="HDFC Bank (INR)",F199="HDFC IOCL Credit Card (INR)",F199="HDFC Swiggy Credit Card (INR)",F199="Axis Airtel Credit Card (INR)"),"INR","GBP"))</f>
        <v/>
      </c>
      <c r="F199" s="111" t="n"/>
      <c r="G199" s="111" t="n"/>
      <c r="H199" s="119">
        <f>IF(G199="Yes","",D199)</f>
        <v/>
      </c>
      <c r="I199" s="111" t="n"/>
      <c r="J199" s="111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68">
      <c r="A200" s="113" t="n"/>
      <c r="B200" s="111" t="n"/>
      <c r="C200" s="111" t="n"/>
      <c r="D200" s="117" t="n"/>
      <c r="E200" s="118">
        <f>IF(F200="","",IF(OR(F200="HDFC Bank (INR)",F200="HDFC IOCL Credit Card (INR)",F200="HDFC Swiggy Credit Card (INR)",F200="Axis Airtel Credit Card (INR)"),"INR","GBP"))</f>
        <v/>
      </c>
      <c r="F200" s="111" t="n"/>
      <c r="G200" s="111" t="n"/>
      <c r="H200" s="119">
        <f>IF(G200="Yes","",D200)</f>
        <v/>
      </c>
      <c r="I200" s="111" t="n"/>
      <c r="J200" s="111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68">
      <c r="A201" s="113" t="n"/>
      <c r="B201" s="111" t="n"/>
      <c r="C201" s="111" t="n"/>
      <c r="D201" s="117" t="n"/>
      <c r="E201" s="118">
        <f>IF(F201="","",IF(OR(F201="HDFC Bank (INR)",F201="HDFC IOCL Credit Card (INR)",F201="HDFC Swiggy Credit Card (INR)",F201="Axis Airtel Credit Card (INR)"),"INR","GBP"))</f>
        <v/>
      </c>
      <c r="F201" s="111" t="n"/>
      <c r="G201" s="111" t="n"/>
      <c r="H201" s="119">
        <f>IF(G201="Yes","",D201)</f>
        <v/>
      </c>
      <c r="I201" s="111" t="n"/>
      <c r="J201" s="111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68">
      <c r="A202" s="113" t="n"/>
      <c r="B202" s="111" t="n"/>
      <c r="C202" s="111" t="n"/>
      <c r="D202" s="117" t="n"/>
      <c r="E202" s="118">
        <f>IF(F202="","",IF(OR(F202="HDFC Bank (INR)",F202="HDFC IOCL Credit Card (INR)",F202="HDFC Swiggy Credit Card (INR)",F202="Axis Airtel Credit Card (INR)"),"INR","GBP"))</f>
        <v/>
      </c>
      <c r="F202" s="111" t="n"/>
      <c r="G202" s="111" t="n"/>
      <c r="H202" s="119">
        <f>IF(G202="Yes","",D202)</f>
        <v/>
      </c>
      <c r="I202" s="111" t="n"/>
      <c r="J202" s="111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68">
      <c r="A203" s="113" t="n"/>
      <c r="B203" s="111" t="n"/>
      <c r="C203" s="111" t="n"/>
      <c r="D203" s="117" t="n"/>
      <c r="E203" s="118">
        <f>IF(F203="","",IF(OR(F203="HDFC Bank (INR)",F203="HDFC IOCL Credit Card (INR)",F203="HDFC Swiggy Credit Card (INR)",F203="Axis Airtel Credit Card (INR)"),"INR","GBP"))</f>
        <v/>
      </c>
      <c r="F203" s="111" t="n"/>
      <c r="G203" s="111" t="n"/>
      <c r="H203" s="119">
        <f>IF(G203="Yes","",D203)</f>
        <v/>
      </c>
      <c r="I203" s="111" t="n"/>
      <c r="J203" s="111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68">
      <c r="A204" s="113" t="n"/>
      <c r="B204" s="111" t="n"/>
      <c r="C204" s="111" t="n"/>
      <c r="D204" s="117" t="n"/>
      <c r="E204" s="118">
        <f>IF(F204="","",IF(OR(F204="HDFC Bank (INR)",F204="HDFC IOCL Credit Card (INR)",F204="HDFC Swiggy Credit Card (INR)",F204="Axis Airtel Credit Card (INR)"),"INR","GBP"))</f>
        <v/>
      </c>
      <c r="F204" s="111" t="n"/>
      <c r="G204" s="111" t="n"/>
      <c r="H204" s="119">
        <f>IF(G204="Yes","",D204)</f>
        <v/>
      </c>
      <c r="I204" s="111" t="n"/>
      <c r="J204" s="111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68">
      <c r="A205" s="113" t="n"/>
      <c r="B205" s="111" t="n"/>
      <c r="C205" s="111" t="n"/>
      <c r="D205" s="117" t="n"/>
      <c r="E205" s="118">
        <f>IF(F205="","",IF(OR(F205="HDFC Bank (INR)",F205="HDFC IOCL Credit Card (INR)",F205="HDFC Swiggy Credit Card (INR)",F205="Axis Airtel Credit Card (INR)"),"INR","GBP"))</f>
        <v/>
      </c>
      <c r="F205" s="111" t="n"/>
      <c r="G205" s="111" t="n"/>
      <c r="H205" s="119">
        <f>IF(G205="Yes","",D205)</f>
        <v/>
      </c>
      <c r="I205" s="111" t="n"/>
      <c r="J205" s="111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68">
      <c r="A206" s="113" t="n"/>
      <c r="B206" s="111" t="n"/>
      <c r="C206" s="111" t="n"/>
      <c r="D206" s="117" t="n"/>
      <c r="E206" s="118">
        <f>IF(F206="","",IF(OR(F206="HDFC Bank (INR)",F206="HDFC IOCL Credit Card (INR)",F206="HDFC Swiggy Credit Card (INR)",F206="Axis Airtel Credit Card (INR)"),"INR","GBP"))</f>
        <v/>
      </c>
      <c r="F206" s="111" t="n"/>
      <c r="G206" s="111" t="n"/>
      <c r="H206" s="119">
        <f>IF(G206="Yes","",D206)</f>
        <v/>
      </c>
      <c r="I206" s="111" t="n"/>
      <c r="J206" s="111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68">
      <c r="A207" s="113" t="n"/>
      <c r="B207" s="111" t="n"/>
      <c r="C207" s="111" t="n"/>
      <c r="D207" s="117" t="n"/>
      <c r="E207" s="118">
        <f>IF(F207="","",IF(OR(F207="HDFC Bank (INR)",F207="HDFC IOCL Credit Card (INR)",F207="HDFC Swiggy Credit Card (INR)",F207="Axis Airtel Credit Card (INR)"),"INR","GBP"))</f>
        <v/>
      </c>
      <c r="F207" s="111" t="n"/>
      <c r="G207" s="111" t="n"/>
      <c r="H207" s="119">
        <f>IF(G207="Yes","",D207)</f>
        <v/>
      </c>
      <c r="I207" s="111" t="n"/>
      <c r="J207" s="111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68">
      <c r="A208" s="113" t="n"/>
      <c r="B208" s="111" t="n"/>
      <c r="C208" s="111" t="n"/>
      <c r="D208" s="117" t="n"/>
      <c r="E208" s="118">
        <f>IF(F208="","",IF(OR(F208="HDFC Bank (INR)",F208="HDFC IOCL Credit Card (INR)",F208="HDFC Swiggy Credit Card (INR)",F208="Axis Airtel Credit Card (INR)"),"INR","GBP"))</f>
        <v/>
      </c>
      <c r="F208" s="111" t="n"/>
      <c r="G208" s="111" t="n"/>
      <c r="H208" s="119">
        <f>IF(G208="Yes","",D208)</f>
        <v/>
      </c>
      <c r="I208" s="111" t="n"/>
      <c r="J208" s="111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68">
      <c r="A209" s="113" t="n"/>
      <c r="B209" s="111" t="n"/>
      <c r="C209" s="111" t="n"/>
      <c r="D209" s="117" t="n"/>
      <c r="E209" s="118">
        <f>IF(F209="","",IF(OR(F209="HDFC Bank (INR)",F209="HDFC IOCL Credit Card (INR)",F209="HDFC Swiggy Credit Card (INR)",F209="Axis Airtel Credit Card (INR)"),"INR","GBP"))</f>
        <v/>
      </c>
      <c r="F209" s="111" t="n"/>
      <c r="G209" s="111" t="n"/>
      <c r="H209" s="119">
        <f>IF(G209="Yes","",D209)</f>
        <v/>
      </c>
      <c r="I209" s="111" t="n"/>
      <c r="J209" s="111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68">
      <c r="A210" s="113" t="n"/>
      <c r="B210" s="111" t="n"/>
      <c r="C210" s="111" t="n"/>
      <c r="D210" s="117" t="n"/>
      <c r="E210" s="118">
        <f>IF(F210="","",IF(OR(F210="HDFC Bank (INR)",F210="HDFC IOCL Credit Card (INR)",F210="HDFC Swiggy Credit Card (INR)",F210="Axis Airtel Credit Card (INR)"),"INR","GBP"))</f>
        <v/>
      </c>
      <c r="F210" s="111" t="n"/>
      <c r="G210" s="111" t="n"/>
      <c r="H210" s="119">
        <f>IF(G210="Yes","",D210)</f>
        <v/>
      </c>
      <c r="I210" s="111" t="n"/>
      <c r="J210" s="111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68">
      <c r="A211" s="113" t="n"/>
      <c r="B211" s="111" t="n"/>
      <c r="C211" s="111" t="n"/>
      <c r="D211" s="117" t="n"/>
      <c r="E211" s="118">
        <f>IF(F211="","",IF(OR(F211="HDFC Bank (INR)",F211="HDFC IOCL Credit Card (INR)",F211="HDFC Swiggy Credit Card (INR)",F211="Axis Airtel Credit Card (INR)"),"INR","GBP"))</f>
        <v/>
      </c>
      <c r="F211" s="111" t="n"/>
      <c r="G211" s="111" t="n"/>
      <c r="H211" s="119">
        <f>IF(G211="Yes","",D211)</f>
        <v/>
      </c>
      <c r="I211" s="111" t="n"/>
      <c r="J211" s="111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68">
      <c r="A212" s="113" t="n"/>
      <c r="B212" s="111" t="n"/>
      <c r="C212" s="111" t="n"/>
      <c r="D212" s="117" t="n"/>
      <c r="E212" s="118">
        <f>IF(F212="","",IF(OR(F212="HDFC Bank (INR)",F212="HDFC IOCL Credit Card (INR)",F212="HDFC Swiggy Credit Card (INR)",F212="Axis Airtel Credit Card (INR)"),"INR","GBP"))</f>
        <v/>
      </c>
      <c r="F212" s="111" t="n"/>
      <c r="G212" s="111" t="n"/>
      <c r="H212" s="119">
        <f>IF(G212="Yes","",D212)</f>
        <v/>
      </c>
      <c r="I212" s="111" t="n"/>
      <c r="J212" s="111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68">
      <c r="A213" s="113" t="n"/>
      <c r="B213" s="111" t="n"/>
      <c r="C213" s="111" t="n"/>
      <c r="D213" s="117" t="n"/>
      <c r="E213" s="118">
        <f>IF(F213="","",IF(OR(F213="HDFC Bank (INR)",F213="HDFC IOCL Credit Card (INR)",F213="HDFC Swiggy Credit Card (INR)",F213="Axis Airtel Credit Card (INR)"),"INR","GBP"))</f>
        <v/>
      </c>
      <c r="F213" s="111" t="n"/>
      <c r="G213" s="111" t="n"/>
      <c r="H213" s="119">
        <f>IF(G213="Yes","",D213)</f>
        <v/>
      </c>
      <c r="I213" s="111" t="n"/>
      <c r="J213" s="111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68">
      <c r="A214" s="113" t="n"/>
      <c r="B214" s="111" t="n"/>
      <c r="C214" s="111" t="n"/>
      <c r="D214" s="117" t="n"/>
      <c r="E214" s="118">
        <f>IF(F214="","",IF(OR(F214="HDFC Bank (INR)",F214="HDFC IOCL Credit Card (INR)",F214="HDFC Swiggy Credit Card (INR)",F214="Axis Airtel Credit Card (INR)"),"INR","GBP"))</f>
        <v/>
      </c>
      <c r="F214" s="111" t="n"/>
      <c r="G214" s="111" t="n"/>
      <c r="H214" s="119">
        <f>IF(G214="Yes","",D214)</f>
        <v/>
      </c>
      <c r="I214" s="111" t="n"/>
      <c r="J214" s="111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68">
      <c r="A215" s="113" t="n"/>
      <c r="B215" s="111" t="n"/>
      <c r="C215" s="111" t="n"/>
      <c r="D215" s="117" t="n"/>
      <c r="E215" s="118">
        <f>IF(F215="","",IF(OR(F215="HDFC Bank (INR)",F215="HDFC IOCL Credit Card (INR)",F215="HDFC Swiggy Credit Card (INR)",F215="Axis Airtel Credit Card (INR)"),"INR","GBP"))</f>
        <v/>
      </c>
      <c r="F215" s="111" t="n"/>
      <c r="G215" s="111" t="n"/>
      <c r="H215" s="119">
        <f>IF(G215="Yes","",D215)</f>
        <v/>
      </c>
      <c r="I215" s="111" t="n"/>
      <c r="J215" s="111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68">
      <c r="A216" s="113" t="n"/>
      <c r="B216" s="111" t="n"/>
      <c r="C216" s="111" t="n"/>
      <c r="D216" s="117" t="n"/>
      <c r="E216" s="118">
        <f>IF(F216="","",IF(OR(F216="HDFC Bank (INR)",F216="HDFC IOCL Credit Card (INR)",F216="HDFC Swiggy Credit Card (INR)",F216="Axis Airtel Credit Card (INR)"),"INR","GBP"))</f>
        <v/>
      </c>
      <c r="F216" s="111" t="n"/>
      <c r="G216" s="111" t="n"/>
      <c r="H216" s="119">
        <f>IF(G216="Yes","",D216)</f>
        <v/>
      </c>
      <c r="I216" s="111" t="n"/>
      <c r="J216" s="111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68">
      <c r="A217" s="113" t="n"/>
      <c r="B217" s="111" t="n"/>
      <c r="C217" s="111" t="n"/>
      <c r="D217" s="117" t="n"/>
      <c r="E217" s="118">
        <f>IF(F217="","",IF(OR(F217="HDFC Bank (INR)",F217="HDFC IOCL Credit Card (INR)",F217="HDFC Swiggy Credit Card (INR)",F217="Axis Airtel Credit Card (INR)"),"INR","GBP"))</f>
        <v/>
      </c>
      <c r="F217" s="111" t="n"/>
      <c r="G217" s="111" t="n"/>
      <c r="H217" s="119">
        <f>IF(G217="Yes","",D217)</f>
        <v/>
      </c>
      <c r="I217" s="111" t="n"/>
      <c r="J217" s="111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68">
      <c r="A218" s="113" t="n"/>
      <c r="B218" s="111" t="n"/>
      <c r="C218" s="111" t="n"/>
      <c r="D218" s="117" t="n"/>
      <c r="E218" s="118">
        <f>IF(F218="","",IF(OR(F218="HDFC Bank (INR)",F218="HDFC IOCL Credit Card (INR)",F218="HDFC Swiggy Credit Card (INR)",F218="Axis Airtel Credit Card (INR)"),"INR","GBP"))</f>
        <v/>
      </c>
      <c r="F218" s="111" t="n"/>
      <c r="G218" s="111" t="n"/>
      <c r="H218" s="119">
        <f>IF(G218="Yes","",D218)</f>
        <v/>
      </c>
      <c r="I218" s="111" t="n"/>
      <c r="J218" s="111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68">
      <c r="A219" s="113" t="n"/>
      <c r="B219" s="111" t="n"/>
      <c r="C219" s="111" t="n"/>
      <c r="D219" s="117" t="n"/>
      <c r="E219" s="118">
        <f>IF(F219="","",IF(OR(F219="HDFC Bank (INR)",F219="HDFC IOCL Credit Card (INR)",F219="HDFC Swiggy Credit Card (INR)",F219="Axis Airtel Credit Card (INR)"),"INR","GBP"))</f>
        <v/>
      </c>
      <c r="F219" s="111" t="n"/>
      <c r="G219" s="111" t="n"/>
      <c r="H219" s="119">
        <f>IF(G219="Yes","",D219)</f>
        <v/>
      </c>
      <c r="I219" s="111" t="n"/>
      <c r="J219" s="111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68">
      <c r="A220" s="113" t="n"/>
      <c r="B220" s="111" t="n"/>
      <c r="C220" s="111" t="n"/>
      <c r="D220" s="117" t="n"/>
      <c r="E220" s="118">
        <f>IF(F220="","",IF(OR(F220="HDFC Bank (INR)",F220="HDFC IOCL Credit Card (INR)",F220="HDFC Swiggy Credit Card (INR)",F220="Axis Airtel Credit Card (INR)"),"INR","GBP"))</f>
        <v/>
      </c>
      <c r="F220" s="111" t="n"/>
      <c r="G220" s="111" t="n"/>
      <c r="H220" s="119">
        <f>IF(G220="Yes","",D220)</f>
        <v/>
      </c>
      <c r="I220" s="111" t="n"/>
      <c r="J220" s="111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68">
      <c r="A221" s="113" t="n"/>
      <c r="B221" s="111" t="n"/>
      <c r="C221" s="111" t="n"/>
      <c r="D221" s="117" t="n"/>
      <c r="E221" s="118">
        <f>IF(F221="","",IF(OR(F221="HDFC Bank (INR)",F221="HDFC IOCL Credit Card (INR)",F221="HDFC Swiggy Credit Card (INR)",F221="Axis Airtel Credit Card (INR)"),"INR","GBP"))</f>
        <v/>
      </c>
      <c r="F221" s="111" t="n"/>
      <c r="G221" s="111" t="n"/>
      <c r="H221" s="119">
        <f>IF(G221="Yes","",D221)</f>
        <v/>
      </c>
      <c r="I221" s="111" t="n"/>
      <c r="J221" s="111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68">
      <c r="A222" s="113" t="n"/>
      <c r="B222" s="111" t="n"/>
      <c r="C222" s="111" t="n"/>
      <c r="D222" s="117" t="n"/>
      <c r="E222" s="118">
        <f>IF(F222="","",IF(OR(F222="HDFC Bank (INR)",F222="HDFC IOCL Credit Card (INR)",F222="HDFC Swiggy Credit Card (INR)",F222="Axis Airtel Credit Card (INR)"),"INR","GBP"))</f>
        <v/>
      </c>
      <c r="F222" s="111" t="n"/>
      <c r="G222" s="111" t="n"/>
      <c r="H222" s="119">
        <f>IF(G222="Yes","",D222)</f>
        <v/>
      </c>
      <c r="I222" s="111" t="n"/>
      <c r="J222" s="111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68">
      <c r="A223" s="113" t="n"/>
      <c r="B223" s="111" t="n"/>
      <c r="C223" s="111" t="n"/>
      <c r="D223" s="117" t="n"/>
      <c r="E223" s="118">
        <f>IF(F223="","",IF(OR(F223="HDFC Bank (INR)",F223="HDFC IOCL Credit Card (INR)",F223="HDFC Swiggy Credit Card (INR)",F223="Axis Airtel Credit Card (INR)"),"INR","GBP"))</f>
        <v/>
      </c>
      <c r="F223" s="111" t="n"/>
      <c r="G223" s="111" t="n"/>
      <c r="H223" s="119">
        <f>IF(G223="Yes","",D223)</f>
        <v/>
      </c>
      <c r="I223" s="111" t="n"/>
      <c r="J223" s="111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68">
      <c r="A224" s="113" t="n"/>
      <c r="B224" s="111" t="n"/>
      <c r="C224" s="111" t="n"/>
      <c r="D224" s="117" t="n"/>
      <c r="E224" s="118">
        <f>IF(F224="","",IF(OR(F224="HDFC Bank (INR)",F224="HDFC IOCL Credit Card (INR)",F224="HDFC Swiggy Credit Card (INR)",F224="Axis Airtel Credit Card (INR)"),"INR","GBP"))</f>
        <v/>
      </c>
      <c r="F224" s="111" t="n"/>
      <c r="G224" s="111" t="n"/>
      <c r="H224" s="119">
        <f>IF(G224="Yes","",D224)</f>
        <v/>
      </c>
      <c r="I224" s="111" t="n"/>
      <c r="J224" s="111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68">
      <c r="A225" s="113" t="n"/>
      <c r="B225" s="111" t="n"/>
      <c r="C225" s="111" t="n"/>
      <c r="D225" s="117" t="n"/>
      <c r="E225" s="118">
        <f>IF(F225="","",IF(OR(F225="HDFC Bank (INR)",F225="HDFC IOCL Credit Card (INR)",F225="HDFC Swiggy Credit Card (INR)",F225="Axis Airtel Credit Card (INR)"),"INR","GBP"))</f>
        <v/>
      </c>
      <c r="F225" s="111" t="n"/>
      <c r="G225" s="111" t="n"/>
      <c r="H225" s="119">
        <f>IF(G225="Yes","",D225)</f>
        <v/>
      </c>
      <c r="I225" s="111" t="n"/>
      <c r="J225" s="111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68">
      <c r="A226" s="113" t="n"/>
      <c r="B226" s="111" t="n"/>
      <c r="C226" s="111" t="n"/>
      <c r="D226" s="117" t="n"/>
      <c r="E226" s="118">
        <f>IF(F226="","",IF(OR(F226="HDFC Bank (INR)",F226="HDFC IOCL Credit Card (INR)",F226="HDFC Swiggy Credit Card (INR)",F226="Axis Airtel Credit Card (INR)"),"INR","GBP"))</f>
        <v/>
      </c>
      <c r="F226" s="111" t="n"/>
      <c r="G226" s="111" t="n"/>
      <c r="H226" s="119">
        <f>IF(G226="Yes","",D226)</f>
        <v/>
      </c>
      <c r="I226" s="111" t="n"/>
      <c r="J226" s="111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68">
      <c r="A227" s="113" t="n"/>
      <c r="B227" s="111" t="n"/>
      <c r="C227" s="111" t="n"/>
      <c r="D227" s="117" t="n"/>
      <c r="E227" s="118">
        <f>IF(F227="","",IF(OR(F227="HDFC Bank (INR)",F227="HDFC IOCL Credit Card (INR)",F227="HDFC Swiggy Credit Card (INR)",F227="Axis Airtel Credit Card (INR)"),"INR","GBP"))</f>
        <v/>
      </c>
      <c r="F227" s="111" t="n"/>
      <c r="G227" s="111" t="n"/>
      <c r="H227" s="119">
        <f>IF(G227="Yes","",D227)</f>
        <v/>
      </c>
      <c r="I227" s="111" t="n"/>
      <c r="J227" s="111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68">
      <c r="A228" s="113" t="n"/>
      <c r="B228" s="111" t="n"/>
      <c r="C228" s="111" t="n"/>
      <c r="D228" s="117" t="n"/>
      <c r="E228" s="118">
        <f>IF(F228="","",IF(OR(F228="HDFC Bank (INR)",F228="HDFC IOCL Credit Card (INR)",F228="HDFC Swiggy Credit Card (INR)",F228="Axis Airtel Credit Card (INR)"),"INR","GBP"))</f>
        <v/>
      </c>
      <c r="F228" s="111" t="n"/>
      <c r="G228" s="111" t="n"/>
      <c r="H228" s="119">
        <f>IF(G228="Yes","",D228)</f>
        <v/>
      </c>
      <c r="I228" s="111" t="n"/>
      <c r="J228" s="111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68">
      <c r="A229" s="113" t="n"/>
      <c r="B229" s="111" t="n"/>
      <c r="C229" s="111" t="n"/>
      <c r="D229" s="117" t="n"/>
      <c r="E229" s="118">
        <f>IF(F229="","",IF(OR(F229="HDFC Bank (INR)",F229="HDFC IOCL Credit Card (INR)",F229="HDFC Swiggy Credit Card (INR)",F229="Axis Airtel Credit Card (INR)"),"INR","GBP"))</f>
        <v/>
      </c>
      <c r="F229" s="111" t="n"/>
      <c r="G229" s="111" t="n"/>
      <c r="H229" s="119">
        <f>IF(G229="Yes","",D229)</f>
        <v/>
      </c>
      <c r="I229" s="111" t="n"/>
      <c r="J229" s="111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68">
      <c r="A230" s="113" t="n"/>
      <c r="B230" s="111" t="n"/>
      <c r="C230" s="111" t="n"/>
      <c r="D230" s="117" t="n"/>
      <c r="E230" s="118">
        <f>IF(F230="","",IF(OR(F230="HDFC Bank (INR)",F230="HDFC IOCL Credit Card (INR)",F230="HDFC Swiggy Credit Card (INR)",F230="Axis Airtel Credit Card (INR)"),"INR","GBP"))</f>
        <v/>
      </c>
      <c r="F230" s="111" t="n"/>
      <c r="G230" s="111" t="n"/>
      <c r="H230" s="119">
        <f>IF(G230="Yes","",D230)</f>
        <v/>
      </c>
      <c r="I230" s="111" t="n"/>
      <c r="J230" s="111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68">
      <c r="A231" s="113" t="n"/>
      <c r="B231" s="111" t="n"/>
      <c r="C231" s="111" t="n"/>
      <c r="D231" s="117" t="n"/>
      <c r="E231" s="118">
        <f>IF(F231="","",IF(OR(F231="HDFC Bank (INR)",F231="HDFC IOCL Credit Card (INR)",F231="HDFC Swiggy Credit Card (INR)",F231="Axis Airtel Credit Card (INR)"),"INR","GBP"))</f>
        <v/>
      </c>
      <c r="F231" s="111" t="n"/>
      <c r="G231" s="111" t="n"/>
      <c r="H231" s="119">
        <f>IF(G231="Yes","",D231)</f>
        <v/>
      </c>
      <c r="I231" s="111" t="n"/>
      <c r="J231" s="111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68">
      <c r="A232" s="113" t="n"/>
      <c r="B232" s="111" t="n"/>
      <c r="C232" s="111" t="n"/>
      <c r="D232" s="117" t="n"/>
      <c r="E232" s="118">
        <f>IF(F232="","",IF(OR(F232="HDFC Bank (INR)",F232="HDFC IOCL Credit Card (INR)",F232="HDFC Swiggy Credit Card (INR)",F232="Axis Airtel Credit Card (INR)"),"INR","GBP"))</f>
        <v/>
      </c>
      <c r="F232" s="111" t="n"/>
      <c r="G232" s="111" t="n"/>
      <c r="H232" s="119">
        <f>IF(G232="Yes","",D232)</f>
        <v/>
      </c>
      <c r="I232" s="111" t="n"/>
      <c r="J232" s="111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68">
      <c r="A233" s="113" t="n"/>
      <c r="B233" s="111" t="n"/>
      <c r="C233" s="111" t="n"/>
      <c r="D233" s="117" t="n"/>
      <c r="E233" s="118">
        <f>IF(F233="","",IF(OR(F233="HDFC Bank (INR)",F233="HDFC IOCL Credit Card (INR)",F233="HDFC Swiggy Credit Card (INR)",F233="Axis Airtel Credit Card (INR)"),"INR","GBP"))</f>
        <v/>
      </c>
      <c r="F233" s="111" t="n"/>
      <c r="G233" s="111" t="n"/>
      <c r="H233" s="119">
        <f>IF(G233="Yes","",D233)</f>
        <v/>
      </c>
      <c r="I233" s="111" t="n"/>
      <c r="J233" s="111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68">
      <c r="A234" s="113" t="n"/>
      <c r="B234" s="111" t="n"/>
      <c r="C234" s="111" t="n"/>
      <c r="D234" s="117" t="n"/>
      <c r="E234" s="118">
        <f>IF(F234="","",IF(OR(F234="HDFC Bank (INR)",F234="HDFC IOCL Credit Card (INR)",F234="HDFC Swiggy Credit Card (INR)",F234="Axis Airtel Credit Card (INR)"),"INR","GBP"))</f>
        <v/>
      </c>
      <c r="F234" s="111" t="n"/>
      <c r="G234" s="111" t="n"/>
      <c r="H234" s="119">
        <f>IF(G234="Yes","",D234)</f>
        <v/>
      </c>
      <c r="I234" s="111" t="n"/>
      <c r="J234" s="111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68">
      <c r="A235" s="113" t="n"/>
      <c r="B235" s="111" t="n"/>
      <c r="C235" s="111" t="n"/>
      <c r="D235" s="117" t="n"/>
      <c r="E235" s="118">
        <f>IF(F235="","",IF(OR(F235="HDFC Bank (INR)",F235="HDFC IOCL Credit Card (INR)",F235="HDFC Swiggy Credit Card (INR)",F235="Axis Airtel Credit Card (INR)"),"INR","GBP"))</f>
        <v/>
      </c>
      <c r="F235" s="111" t="n"/>
      <c r="G235" s="111" t="n"/>
      <c r="H235" s="119">
        <f>IF(G235="Yes","",D235)</f>
        <v/>
      </c>
      <c r="I235" s="111" t="n"/>
      <c r="J235" s="111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68">
      <c r="A236" s="113" t="n"/>
      <c r="B236" s="111" t="n"/>
      <c r="C236" s="111" t="n"/>
      <c r="D236" s="117" t="n"/>
      <c r="E236" s="118">
        <f>IF(F236="","",IF(OR(F236="HDFC Bank (INR)",F236="HDFC IOCL Credit Card (INR)",F236="HDFC Swiggy Credit Card (INR)",F236="Axis Airtel Credit Card (INR)"),"INR","GBP"))</f>
        <v/>
      </c>
      <c r="F236" s="111" t="n"/>
      <c r="G236" s="111" t="n"/>
      <c r="H236" s="119">
        <f>IF(G236="Yes","",D236)</f>
        <v/>
      </c>
      <c r="I236" s="111" t="n"/>
      <c r="J236" s="111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68">
      <c r="A237" s="113" t="n"/>
      <c r="B237" s="111" t="n"/>
      <c r="C237" s="111" t="n"/>
      <c r="D237" s="117" t="n"/>
      <c r="E237" s="118">
        <f>IF(F237="","",IF(OR(F237="HDFC Bank (INR)",F237="HDFC IOCL Credit Card (INR)",F237="HDFC Swiggy Credit Card (INR)",F237="Axis Airtel Credit Card (INR)"),"INR","GBP"))</f>
        <v/>
      </c>
      <c r="F237" s="111" t="n"/>
      <c r="G237" s="111" t="n"/>
      <c r="H237" s="119">
        <f>IF(G237="Yes","",D237)</f>
        <v/>
      </c>
      <c r="I237" s="111" t="n"/>
      <c r="J237" s="111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68">
      <c r="A238" s="113" t="n"/>
      <c r="B238" s="111" t="n"/>
      <c r="C238" s="111" t="n"/>
      <c r="D238" s="117" t="n"/>
      <c r="E238" s="118">
        <f>IF(F238="","",IF(OR(F238="HDFC Bank (INR)",F238="HDFC IOCL Credit Card (INR)",F238="HDFC Swiggy Credit Card (INR)",F238="Axis Airtel Credit Card (INR)"),"INR","GBP"))</f>
        <v/>
      </c>
      <c r="F238" s="111" t="n"/>
      <c r="G238" s="111" t="n"/>
      <c r="H238" s="119">
        <f>IF(G238="Yes","",D238)</f>
        <v/>
      </c>
      <c r="I238" s="111" t="n"/>
      <c r="J238" s="111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68">
      <c r="A239" s="113" t="n"/>
      <c r="B239" s="111" t="n"/>
      <c r="C239" s="111" t="n"/>
      <c r="D239" s="117" t="n"/>
      <c r="E239" s="118">
        <f>IF(F239="","",IF(OR(F239="HDFC Bank (INR)",F239="HDFC IOCL Credit Card (INR)",F239="HDFC Swiggy Credit Card (INR)",F239="Axis Airtel Credit Card (INR)"),"INR","GBP"))</f>
        <v/>
      </c>
      <c r="F239" s="111" t="n"/>
      <c r="G239" s="111" t="n"/>
      <c r="H239" s="119">
        <f>IF(G239="Yes","",D239)</f>
        <v/>
      </c>
      <c r="I239" s="111" t="n"/>
      <c r="J239" s="111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68">
      <c r="A240" s="113" t="n"/>
      <c r="B240" s="111" t="n"/>
      <c r="C240" s="111" t="n"/>
      <c r="D240" s="117" t="n"/>
      <c r="E240" s="118">
        <f>IF(F240="","",IF(OR(F240="HDFC Bank (INR)",F240="HDFC IOCL Credit Card (INR)",F240="HDFC Swiggy Credit Card (INR)",F240="Axis Airtel Credit Card (INR)"),"INR","GBP"))</f>
        <v/>
      </c>
      <c r="F240" s="111" t="n"/>
      <c r="G240" s="111" t="n"/>
      <c r="H240" s="119">
        <f>IF(G240="Yes","",D240)</f>
        <v/>
      </c>
      <c r="I240" s="111" t="n"/>
      <c r="J240" s="111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68">
      <c r="A241" s="113" t="n"/>
      <c r="B241" s="111" t="n"/>
      <c r="C241" s="111" t="n"/>
      <c r="D241" s="117" t="n"/>
      <c r="E241" s="118">
        <f>IF(F241="","",IF(OR(F241="HDFC Bank (INR)",F241="HDFC IOCL Credit Card (INR)",F241="HDFC Swiggy Credit Card (INR)",F241="Axis Airtel Credit Card (INR)"),"INR","GBP"))</f>
        <v/>
      </c>
      <c r="F241" s="111" t="n"/>
      <c r="G241" s="111" t="n"/>
      <c r="H241" s="119">
        <f>IF(G241="Yes","",D241)</f>
        <v/>
      </c>
      <c r="I241" s="111" t="n"/>
      <c r="J241" s="111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68">
      <c r="A242" s="113" t="n"/>
      <c r="B242" s="111" t="n"/>
      <c r="C242" s="111" t="n"/>
      <c r="D242" s="117" t="n"/>
      <c r="E242" s="118">
        <f>IF(F242="","",IF(OR(F242="HDFC Bank (INR)",F242="HDFC IOCL Credit Card (INR)",F242="HDFC Swiggy Credit Card (INR)",F242="Axis Airtel Credit Card (INR)"),"INR","GBP"))</f>
        <v/>
      </c>
      <c r="F242" s="111" t="n"/>
      <c r="G242" s="111" t="n"/>
      <c r="H242" s="119">
        <f>IF(G242="Yes","",D242)</f>
        <v/>
      </c>
      <c r="I242" s="111" t="n"/>
      <c r="J242" s="111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68">
      <c r="A243" s="113" t="n"/>
      <c r="B243" s="111" t="n"/>
      <c r="C243" s="111" t="n"/>
      <c r="D243" s="117" t="n"/>
      <c r="E243" s="118">
        <f>IF(F243="","",IF(OR(F243="HDFC Bank (INR)",F243="HDFC IOCL Credit Card (INR)",F243="HDFC Swiggy Credit Card (INR)",F243="Axis Airtel Credit Card (INR)"),"INR","GBP"))</f>
        <v/>
      </c>
      <c r="F243" s="111" t="n"/>
      <c r="G243" s="111" t="n"/>
      <c r="H243" s="119">
        <f>IF(G243="Yes","",D243)</f>
        <v/>
      </c>
      <c r="I243" s="111" t="n"/>
      <c r="J243" s="111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68">
      <c r="A244" s="113" t="n"/>
      <c r="B244" s="111" t="n"/>
      <c r="C244" s="111" t="n"/>
      <c r="D244" s="117" t="n"/>
      <c r="E244" s="118">
        <f>IF(F244="","",IF(OR(F244="HDFC Bank (INR)",F244="HDFC IOCL Credit Card (INR)",F244="HDFC Swiggy Credit Card (INR)",F244="Axis Airtel Credit Card (INR)"),"INR","GBP"))</f>
        <v/>
      </c>
      <c r="F244" s="111" t="n"/>
      <c r="G244" s="111" t="n"/>
      <c r="H244" s="119">
        <f>IF(G244="Yes","",D244)</f>
        <v/>
      </c>
      <c r="I244" s="111" t="n"/>
      <c r="J244" s="111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68">
      <c r="A245" s="113" t="n"/>
      <c r="B245" s="111" t="n"/>
      <c r="C245" s="111" t="n"/>
      <c r="D245" s="117" t="n"/>
      <c r="E245" s="118">
        <f>IF(F245="","",IF(OR(F245="HDFC Bank (INR)",F245="HDFC IOCL Credit Card (INR)",F245="HDFC Swiggy Credit Card (INR)",F245="Axis Airtel Credit Card (INR)"),"INR","GBP"))</f>
        <v/>
      </c>
      <c r="F245" s="111" t="n"/>
      <c r="G245" s="111" t="n"/>
      <c r="H245" s="119">
        <f>IF(G245="Yes","",D245)</f>
        <v/>
      </c>
      <c r="I245" s="111" t="n"/>
      <c r="J245" s="111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68">
      <c r="A246" s="113" t="n"/>
      <c r="B246" s="111" t="n"/>
      <c r="C246" s="111" t="n"/>
      <c r="D246" s="117" t="n"/>
      <c r="E246" s="118">
        <f>IF(F246="","",IF(OR(F246="HDFC Bank (INR)",F246="HDFC IOCL Credit Card (INR)",F246="HDFC Swiggy Credit Card (INR)",F246="Axis Airtel Credit Card (INR)"),"INR","GBP"))</f>
        <v/>
      </c>
      <c r="F246" s="111" t="n"/>
      <c r="G246" s="111" t="n"/>
      <c r="H246" s="119">
        <f>IF(G246="Yes","",D246)</f>
        <v/>
      </c>
      <c r="I246" s="111" t="n"/>
      <c r="J246" s="111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68">
      <c r="A247" s="113" t="n"/>
      <c r="B247" s="111" t="n"/>
      <c r="C247" s="111" t="n"/>
      <c r="D247" s="117" t="n"/>
      <c r="E247" s="118">
        <f>IF(F247="","",IF(OR(F247="HDFC Bank (INR)",F247="HDFC IOCL Credit Card (INR)",F247="HDFC Swiggy Credit Card (INR)",F247="Axis Airtel Credit Card (INR)"),"INR","GBP"))</f>
        <v/>
      </c>
      <c r="F247" s="111" t="n"/>
      <c r="G247" s="111" t="n"/>
      <c r="H247" s="119">
        <f>IF(G247="Yes","",D247)</f>
        <v/>
      </c>
      <c r="I247" s="111" t="n"/>
      <c r="J247" s="111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68">
      <c r="A248" s="113" t="n"/>
      <c r="B248" s="111" t="n"/>
      <c r="C248" s="111" t="n"/>
      <c r="D248" s="117" t="n"/>
      <c r="E248" s="118">
        <f>IF(F248="","",IF(OR(F248="HDFC Bank (INR)",F248="HDFC IOCL Credit Card (INR)",F248="HDFC Swiggy Credit Card (INR)",F248="Axis Airtel Credit Card (INR)"),"INR","GBP"))</f>
        <v/>
      </c>
      <c r="F248" s="111" t="n"/>
      <c r="G248" s="111" t="n"/>
      <c r="H248" s="119">
        <f>IF(G248="Yes","",D248)</f>
        <v/>
      </c>
      <c r="I248" s="111" t="n"/>
      <c r="J248" s="111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68">
      <c r="A249" s="113" t="n"/>
      <c r="B249" s="111" t="n"/>
      <c r="C249" s="111" t="n"/>
      <c r="D249" s="117" t="n"/>
      <c r="E249" s="118">
        <f>IF(F249="","",IF(OR(F249="HDFC Bank (INR)",F249="HDFC IOCL Credit Card (INR)",F249="HDFC Swiggy Credit Card (INR)",F249="Axis Airtel Credit Card (INR)"),"INR","GBP"))</f>
        <v/>
      </c>
      <c r="F249" s="111" t="n"/>
      <c r="G249" s="111" t="n"/>
      <c r="H249" s="119">
        <f>IF(G249="Yes","",D249)</f>
        <v/>
      </c>
      <c r="I249" s="111" t="n"/>
      <c r="J249" s="111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68">
      <c r="A250" s="113" t="n"/>
      <c r="B250" s="111" t="n"/>
      <c r="C250" s="111" t="n"/>
      <c r="D250" s="117" t="n"/>
      <c r="E250" s="118">
        <f>IF(F250="","",IF(OR(F250="HDFC Bank (INR)",F250="HDFC IOCL Credit Card (INR)",F250="HDFC Swiggy Credit Card (INR)",F250="Axis Airtel Credit Card (INR)"),"INR","GBP"))</f>
        <v/>
      </c>
      <c r="F250" s="111" t="n"/>
      <c r="G250" s="111" t="n"/>
      <c r="H250" s="119">
        <f>IF(G250="Yes","",D250)</f>
        <v/>
      </c>
      <c r="I250" s="111" t="n"/>
      <c r="J250" s="111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68">
      <c r="A251" s="113" t="n"/>
      <c r="B251" s="111" t="n"/>
      <c r="C251" s="111" t="n"/>
      <c r="D251" s="117" t="n"/>
      <c r="E251" s="118">
        <f>IF(F251="","",IF(OR(F251="HDFC Bank (INR)",F251="HDFC IOCL Credit Card (INR)",F251="HDFC Swiggy Credit Card (INR)",F251="Axis Airtel Credit Card (INR)"),"INR","GBP"))</f>
        <v/>
      </c>
      <c r="F251" s="111" t="n"/>
      <c r="G251" s="111" t="n"/>
      <c r="H251" s="119">
        <f>IF(G251="Yes","",D251)</f>
        <v/>
      </c>
      <c r="I251" s="111" t="n"/>
      <c r="J251" s="111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68">
      <c r="A252" s="113" t="n"/>
      <c r="B252" s="111" t="n"/>
      <c r="C252" s="111" t="n"/>
      <c r="D252" s="117" t="n"/>
      <c r="E252" s="118">
        <f>IF(F252="","",IF(OR(F252="HDFC Bank (INR)",F252="HDFC IOCL Credit Card (INR)",F252="HDFC Swiggy Credit Card (INR)",F252="Axis Airtel Credit Card (INR)"),"INR","GBP"))</f>
        <v/>
      </c>
      <c r="F252" s="111" t="n"/>
      <c r="G252" s="111" t="n"/>
      <c r="H252" s="119">
        <f>IF(G252="Yes","",D252)</f>
        <v/>
      </c>
      <c r="I252" s="111" t="n"/>
      <c r="J252" s="111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68">
      <c r="A253" s="113" t="n"/>
      <c r="B253" s="111" t="n"/>
      <c r="C253" s="111" t="n"/>
      <c r="D253" s="117" t="n"/>
      <c r="E253" s="118">
        <f>IF(F253="","",IF(OR(F253="HDFC Bank (INR)",F253="HDFC IOCL Credit Card (INR)",F253="HDFC Swiggy Credit Card (INR)",F253="Axis Airtel Credit Card (INR)"),"INR","GBP"))</f>
        <v/>
      </c>
      <c r="F253" s="111" t="n"/>
      <c r="G253" s="111" t="n"/>
      <c r="H253" s="119">
        <f>IF(G253="Yes","",D253)</f>
        <v/>
      </c>
      <c r="I253" s="111" t="n"/>
      <c r="J253" s="111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68">
      <c r="A254" s="113" t="n"/>
      <c r="B254" s="111" t="n"/>
      <c r="C254" s="111" t="n"/>
      <c r="D254" s="117" t="n"/>
      <c r="E254" s="118">
        <f>IF(F254="","",IF(OR(F254="HDFC Bank (INR)",F254="HDFC IOCL Credit Card (INR)",F254="HDFC Swiggy Credit Card (INR)",F254="Axis Airtel Credit Card (INR)"),"INR","GBP"))</f>
        <v/>
      </c>
      <c r="F254" s="111" t="n"/>
      <c r="G254" s="111" t="n"/>
      <c r="H254" s="119">
        <f>IF(G254="Yes","",D254)</f>
        <v/>
      </c>
      <c r="I254" s="111" t="n"/>
      <c r="J254" s="111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68">
      <c r="A255" s="113" t="n"/>
      <c r="B255" s="111" t="n"/>
      <c r="C255" s="111" t="n"/>
      <c r="D255" s="117" t="n"/>
      <c r="E255" s="118">
        <f>IF(F255="","",IF(OR(F255="HDFC Bank (INR)",F255="HDFC IOCL Credit Card (INR)",F255="HDFC Swiggy Credit Card (INR)",F255="Axis Airtel Credit Card (INR)"),"INR","GBP"))</f>
        <v/>
      </c>
      <c r="F255" s="111" t="n"/>
      <c r="G255" s="111" t="n"/>
      <c r="H255" s="119">
        <f>IF(G255="Yes","",D255)</f>
        <v/>
      </c>
      <c r="I255" s="111" t="n"/>
      <c r="J255" s="111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68">
      <c r="A256" s="113" t="n"/>
      <c r="B256" s="111" t="n"/>
      <c r="C256" s="111" t="n"/>
      <c r="D256" s="117" t="n"/>
      <c r="E256" s="118">
        <f>IF(F256="","",IF(OR(F256="HDFC Bank (INR)",F256="HDFC IOCL Credit Card (INR)",F256="HDFC Swiggy Credit Card (INR)",F256="Axis Airtel Credit Card (INR)"),"INR","GBP"))</f>
        <v/>
      </c>
      <c r="F256" s="111" t="n"/>
      <c r="G256" s="111" t="n"/>
      <c r="H256" s="119">
        <f>IF(G256="Yes","",D256)</f>
        <v/>
      </c>
      <c r="I256" s="111" t="n"/>
      <c r="J256" s="111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68">
      <c r="A257" s="113" t="n"/>
      <c r="B257" s="111" t="n"/>
      <c r="C257" s="111" t="n"/>
      <c r="D257" s="117" t="n"/>
      <c r="E257" s="118">
        <f>IF(F257="","",IF(OR(F257="HDFC Bank (INR)",F257="HDFC IOCL Credit Card (INR)",F257="HDFC Swiggy Credit Card (INR)",F257="Axis Airtel Credit Card (INR)"),"INR","GBP"))</f>
        <v/>
      </c>
      <c r="F257" s="111" t="n"/>
      <c r="G257" s="111" t="n"/>
      <c r="H257" s="119">
        <f>IF(G257="Yes","",D257)</f>
        <v/>
      </c>
      <c r="I257" s="111" t="n"/>
      <c r="J257" s="111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68">
      <c r="A258" s="113" t="n"/>
      <c r="B258" s="111" t="n"/>
      <c r="C258" s="111" t="n"/>
      <c r="D258" s="117" t="n"/>
      <c r="E258" s="118">
        <f>IF(F258="","",IF(OR(F258="HDFC Bank (INR)",F258="HDFC IOCL Credit Card (INR)",F258="HDFC Swiggy Credit Card (INR)",F258="Axis Airtel Credit Card (INR)"),"INR","GBP"))</f>
        <v/>
      </c>
      <c r="F258" s="111" t="n"/>
      <c r="G258" s="111" t="n"/>
      <c r="H258" s="119">
        <f>IF(G258="Yes","",D258)</f>
        <v/>
      </c>
      <c r="I258" s="111" t="n"/>
      <c r="J258" s="111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68">
      <c r="A259" s="113" t="n"/>
      <c r="B259" s="111" t="n"/>
      <c r="C259" s="111" t="n"/>
      <c r="D259" s="117" t="n"/>
      <c r="E259" s="118">
        <f>IF(F259="","",IF(OR(F259="HDFC Bank (INR)",F259="HDFC IOCL Credit Card (INR)",F259="HDFC Swiggy Credit Card (INR)",F259="Axis Airtel Credit Card (INR)"),"INR","GBP"))</f>
        <v/>
      </c>
      <c r="F259" s="111" t="n"/>
      <c r="G259" s="111" t="n"/>
      <c r="H259" s="119">
        <f>IF(G259="Yes","",D259)</f>
        <v/>
      </c>
      <c r="I259" s="111" t="n"/>
      <c r="J259" s="111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68">
      <c r="A260" s="113" t="n"/>
      <c r="B260" s="111" t="n"/>
      <c r="C260" s="111" t="n"/>
      <c r="D260" s="117" t="n"/>
      <c r="E260" s="118">
        <f>IF(F260="","",IF(OR(F260="HDFC Bank (INR)",F260="HDFC IOCL Credit Card (INR)",F260="HDFC Swiggy Credit Card (INR)",F260="Axis Airtel Credit Card (INR)"),"INR","GBP"))</f>
        <v/>
      </c>
      <c r="F260" s="111" t="n"/>
      <c r="G260" s="111" t="n"/>
      <c r="H260" s="119">
        <f>IF(G260="Yes","",D260)</f>
        <v/>
      </c>
      <c r="I260" s="111" t="n"/>
      <c r="J260" s="111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68">
      <c r="A261" s="113" t="n"/>
      <c r="B261" s="111" t="n"/>
      <c r="C261" s="111" t="n"/>
      <c r="D261" s="117" t="n"/>
      <c r="E261" s="118">
        <f>IF(F261="","",IF(OR(F261="HDFC Bank (INR)",F261="HDFC IOCL Credit Card (INR)",F261="HDFC Swiggy Credit Card (INR)",F261="Axis Airtel Credit Card (INR)"),"INR","GBP"))</f>
        <v/>
      </c>
      <c r="F261" s="111" t="n"/>
      <c r="G261" s="111" t="n"/>
      <c r="H261" s="119">
        <f>IF(G261="Yes","",D261)</f>
        <v/>
      </c>
      <c r="I261" s="111" t="n"/>
      <c r="J261" s="111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68">
      <c r="A262" s="113" t="n"/>
      <c r="B262" s="111" t="n"/>
      <c r="C262" s="111" t="n"/>
      <c r="D262" s="117" t="n"/>
      <c r="E262" s="118">
        <f>IF(F262="","",IF(OR(F262="HDFC Bank (INR)",F262="HDFC IOCL Credit Card (INR)",F262="HDFC Swiggy Credit Card (INR)",F262="Axis Airtel Credit Card (INR)"),"INR","GBP"))</f>
        <v/>
      </c>
      <c r="F262" s="111" t="n"/>
      <c r="G262" s="111" t="n"/>
      <c r="H262" s="119">
        <f>IF(G262="Yes","",D262)</f>
        <v/>
      </c>
      <c r="I262" s="111" t="n"/>
      <c r="J262" s="111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68">
      <c r="A263" s="113" t="n"/>
      <c r="B263" s="111" t="n"/>
      <c r="C263" s="111" t="n"/>
      <c r="D263" s="117" t="n"/>
      <c r="E263" s="118">
        <f>IF(F263="","",IF(OR(F263="HDFC Bank (INR)",F263="HDFC IOCL Credit Card (INR)",F263="HDFC Swiggy Credit Card (INR)",F263="Axis Airtel Credit Card (INR)"),"INR","GBP"))</f>
        <v/>
      </c>
      <c r="F263" s="111" t="n"/>
      <c r="G263" s="111" t="n"/>
      <c r="H263" s="119">
        <f>IF(G263="Yes","",D263)</f>
        <v/>
      </c>
      <c r="I263" s="111" t="n"/>
      <c r="J263" s="111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68">
      <c r="A264" s="113" t="n"/>
      <c r="B264" s="111" t="n"/>
      <c r="C264" s="111" t="n"/>
      <c r="D264" s="117" t="n"/>
      <c r="E264" s="118">
        <f>IF(F264="","",IF(OR(F264="HDFC Bank (INR)",F264="HDFC IOCL Credit Card (INR)",F264="HDFC Swiggy Credit Card (INR)",F264="Axis Airtel Credit Card (INR)"),"INR","GBP"))</f>
        <v/>
      </c>
      <c r="F264" s="111" t="n"/>
      <c r="G264" s="111" t="n"/>
      <c r="H264" s="119">
        <f>IF(G264="Yes","",D264)</f>
        <v/>
      </c>
      <c r="I264" s="111" t="n"/>
      <c r="J264" s="111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68">
      <c r="A265" s="113" t="n"/>
      <c r="B265" s="111" t="n"/>
      <c r="C265" s="111" t="n"/>
      <c r="D265" s="117" t="n"/>
      <c r="E265" s="118">
        <f>IF(F265="","",IF(OR(F265="HDFC Bank (INR)",F265="HDFC IOCL Credit Card (INR)",F265="HDFC Swiggy Credit Card (INR)",F265="Axis Airtel Credit Card (INR)"),"INR","GBP"))</f>
        <v/>
      </c>
      <c r="F265" s="111" t="n"/>
      <c r="G265" s="111" t="n"/>
      <c r="H265" s="119">
        <f>IF(G265="Yes","",D265)</f>
        <v/>
      </c>
      <c r="I265" s="111" t="n"/>
      <c r="J265" s="111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68">
      <c r="A266" s="113" t="n"/>
      <c r="B266" s="111" t="n"/>
      <c r="C266" s="111" t="n"/>
      <c r="D266" s="117" t="n"/>
      <c r="E266" s="118">
        <f>IF(F266="","",IF(OR(F266="HDFC Bank (INR)",F266="HDFC IOCL Credit Card (INR)",F266="HDFC Swiggy Credit Card (INR)",F266="Axis Airtel Credit Card (INR)"),"INR","GBP"))</f>
        <v/>
      </c>
      <c r="F266" s="111" t="n"/>
      <c r="G266" s="111" t="n"/>
      <c r="H266" s="119">
        <f>IF(G266="Yes","",D266)</f>
        <v/>
      </c>
      <c r="I266" s="111" t="n"/>
      <c r="J266" s="111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68">
      <c r="A267" s="113" t="n"/>
      <c r="B267" s="111" t="n"/>
      <c r="C267" s="111" t="n"/>
      <c r="D267" s="117" t="n"/>
      <c r="E267" s="118">
        <f>IF(F267="","",IF(OR(F267="HDFC Bank (INR)",F267="HDFC IOCL Credit Card (INR)",F267="HDFC Swiggy Credit Card (INR)",F267="Axis Airtel Credit Card (INR)"),"INR","GBP"))</f>
        <v/>
      </c>
      <c r="F267" s="111" t="n"/>
      <c r="G267" s="111" t="n"/>
      <c r="H267" s="119">
        <f>IF(G267="Yes","",D267)</f>
        <v/>
      </c>
      <c r="I267" s="111" t="n"/>
      <c r="J267" s="111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68">
      <c r="A268" s="113" t="n"/>
      <c r="B268" s="111" t="n"/>
      <c r="C268" s="111" t="n"/>
      <c r="D268" s="117" t="n"/>
      <c r="E268" s="118">
        <f>IF(F268="","",IF(OR(F268="HDFC Bank (INR)",F268="HDFC IOCL Credit Card (INR)",F268="HDFC Swiggy Credit Card (INR)",F268="Axis Airtel Credit Card (INR)"),"INR","GBP"))</f>
        <v/>
      </c>
      <c r="F268" s="111" t="n"/>
      <c r="G268" s="111" t="n"/>
      <c r="H268" s="119">
        <f>IF(G268="Yes","",D268)</f>
        <v/>
      </c>
      <c r="I268" s="111" t="n"/>
      <c r="J268" s="111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68">
      <c r="A269" s="113" t="n"/>
      <c r="B269" s="111" t="n"/>
      <c r="C269" s="111" t="n"/>
      <c r="D269" s="117" t="n"/>
      <c r="E269" s="118">
        <f>IF(F269="","",IF(OR(F269="HDFC Bank (INR)",F269="HDFC IOCL Credit Card (INR)",F269="HDFC Swiggy Credit Card (INR)",F269="Axis Airtel Credit Card (INR)"),"INR","GBP"))</f>
        <v/>
      </c>
      <c r="F269" s="111" t="n"/>
      <c r="G269" s="111" t="n"/>
      <c r="H269" s="119">
        <f>IF(G269="Yes","",D269)</f>
        <v/>
      </c>
      <c r="I269" s="111" t="n"/>
      <c r="J269" s="111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68">
      <c r="A270" s="113" t="n"/>
      <c r="B270" s="111" t="n"/>
      <c r="C270" s="111" t="n"/>
      <c r="D270" s="117" t="n"/>
      <c r="E270" s="118">
        <f>IF(F270="","",IF(OR(F270="HDFC Bank (INR)",F270="HDFC IOCL Credit Card (INR)",F270="HDFC Swiggy Credit Card (INR)",F270="Axis Airtel Credit Card (INR)"),"INR","GBP"))</f>
        <v/>
      </c>
      <c r="F270" s="111" t="n"/>
      <c r="G270" s="111" t="n"/>
      <c r="H270" s="119">
        <f>IF(G270="Yes","",D270)</f>
        <v/>
      </c>
      <c r="I270" s="111" t="n"/>
      <c r="J270" s="111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68">
      <c r="A271" s="113" t="n"/>
      <c r="B271" s="111" t="n"/>
      <c r="C271" s="111" t="n"/>
      <c r="D271" s="117" t="n"/>
      <c r="E271" s="118">
        <f>IF(F271="","",IF(OR(F271="HDFC Bank (INR)",F271="HDFC IOCL Credit Card (INR)",F271="HDFC Swiggy Credit Card (INR)",F271="Axis Airtel Credit Card (INR)"),"INR","GBP"))</f>
        <v/>
      </c>
      <c r="F271" s="111" t="n"/>
      <c r="G271" s="111" t="n"/>
      <c r="H271" s="119">
        <f>IF(G271="Yes","",D271)</f>
        <v/>
      </c>
      <c r="I271" s="111" t="n"/>
      <c r="J271" s="111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68">
      <c r="A272" s="113" t="n"/>
      <c r="B272" s="111" t="n"/>
      <c r="C272" s="111" t="n"/>
      <c r="D272" s="117" t="n"/>
      <c r="E272" s="118">
        <f>IF(F272="","",IF(OR(F272="HDFC Bank (INR)",F272="HDFC IOCL Credit Card (INR)",F272="HDFC Swiggy Credit Card (INR)",F272="Axis Airtel Credit Card (INR)"),"INR","GBP"))</f>
        <v/>
      </c>
      <c r="F272" s="111" t="n"/>
      <c r="G272" s="111" t="n"/>
      <c r="H272" s="119">
        <f>IF(G272="Yes","",D272)</f>
        <v/>
      </c>
      <c r="I272" s="111" t="n"/>
      <c r="J272" s="111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68">
      <c r="A273" s="113" t="n"/>
      <c r="B273" s="111" t="n"/>
      <c r="C273" s="111" t="n"/>
      <c r="D273" s="117" t="n"/>
      <c r="E273" s="118">
        <f>IF(F273="","",IF(OR(F273="HDFC Bank (INR)",F273="HDFC IOCL Credit Card (INR)",F273="HDFC Swiggy Credit Card (INR)",F273="Axis Airtel Credit Card (INR)"),"INR","GBP"))</f>
        <v/>
      </c>
      <c r="F273" s="111" t="n"/>
      <c r="G273" s="111" t="n"/>
      <c r="H273" s="119">
        <f>IF(G273="Yes","",D273)</f>
        <v/>
      </c>
      <c r="I273" s="111" t="n"/>
      <c r="J273" s="111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68">
      <c r="A274" s="113" t="n"/>
      <c r="B274" s="111" t="n"/>
      <c r="C274" s="111" t="n"/>
      <c r="D274" s="117" t="n"/>
      <c r="E274" s="118">
        <f>IF(F274="","",IF(OR(F274="HDFC Bank (INR)",F274="HDFC IOCL Credit Card (INR)",F274="HDFC Swiggy Credit Card (INR)",F274="Axis Airtel Credit Card (INR)"),"INR","GBP"))</f>
        <v/>
      </c>
      <c r="F274" s="111" t="n"/>
      <c r="G274" s="111" t="n"/>
      <c r="H274" s="119">
        <f>IF(G274="Yes","",D274)</f>
        <v/>
      </c>
      <c r="I274" s="111" t="n"/>
      <c r="J274" s="111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68">
      <c r="A275" s="113" t="n"/>
      <c r="B275" s="111" t="n"/>
      <c r="C275" s="111" t="n"/>
      <c r="D275" s="117" t="n"/>
      <c r="E275" s="118">
        <f>IF(F275="","",IF(OR(F275="HDFC Bank (INR)",F275="HDFC IOCL Credit Card (INR)",F275="HDFC Swiggy Credit Card (INR)",F275="Axis Airtel Credit Card (INR)"),"INR","GBP"))</f>
        <v/>
      </c>
      <c r="F275" s="111" t="n"/>
      <c r="G275" s="111" t="n"/>
      <c r="H275" s="119">
        <f>IF(G275="Yes","",D275)</f>
        <v/>
      </c>
      <c r="I275" s="111" t="n"/>
      <c r="J275" s="111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68">
      <c r="A276" s="113" t="n"/>
      <c r="B276" s="111" t="n"/>
      <c r="C276" s="111" t="n"/>
      <c r="D276" s="117" t="n"/>
      <c r="E276" s="118">
        <f>IF(F276="","",IF(OR(F276="HDFC Bank (INR)",F276="HDFC IOCL Credit Card (INR)",F276="HDFC Swiggy Credit Card (INR)",F276="Axis Airtel Credit Card (INR)"),"INR","GBP"))</f>
        <v/>
      </c>
      <c r="F276" s="111" t="n"/>
      <c r="G276" s="111" t="n"/>
      <c r="H276" s="119">
        <f>IF(G276="Yes","",D276)</f>
        <v/>
      </c>
      <c r="I276" s="111" t="n"/>
      <c r="J276" s="111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68">
      <c r="A277" s="113" t="n"/>
      <c r="B277" s="111" t="n"/>
      <c r="C277" s="111" t="n"/>
      <c r="D277" s="117" t="n"/>
      <c r="E277" s="118">
        <f>IF(F277="","",IF(OR(F277="HDFC Bank (INR)",F277="HDFC IOCL Credit Card (INR)",F277="HDFC Swiggy Credit Card (INR)",F277="Axis Airtel Credit Card (INR)"),"INR","GBP"))</f>
        <v/>
      </c>
      <c r="F277" s="111" t="n"/>
      <c r="G277" s="111" t="n"/>
      <c r="H277" s="119">
        <f>IF(G277="Yes","",D277)</f>
        <v/>
      </c>
      <c r="I277" s="111" t="n"/>
      <c r="J277" s="111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68">
      <c r="A278" s="113" t="n"/>
      <c r="B278" s="111" t="n"/>
      <c r="C278" s="111" t="n"/>
      <c r="D278" s="117" t="n"/>
      <c r="E278" s="118">
        <f>IF(F278="","",IF(OR(F278="HDFC Bank (INR)",F278="HDFC IOCL Credit Card (INR)",F278="HDFC Swiggy Credit Card (INR)",F278="Axis Airtel Credit Card (INR)"),"INR","GBP"))</f>
        <v/>
      </c>
      <c r="F278" s="111" t="n"/>
      <c r="G278" s="111" t="n"/>
      <c r="H278" s="119">
        <f>IF(G278="Yes","",D278)</f>
        <v/>
      </c>
      <c r="I278" s="111" t="n"/>
      <c r="J278" s="111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68">
      <c r="A279" s="113" t="n"/>
      <c r="B279" s="111" t="n"/>
      <c r="C279" s="111" t="n"/>
      <c r="D279" s="117" t="n"/>
      <c r="E279" s="118">
        <f>IF(F279="","",IF(OR(F279="HDFC Bank (INR)",F279="HDFC IOCL Credit Card (INR)",F279="HDFC Swiggy Credit Card (INR)",F279="Axis Airtel Credit Card (INR)"),"INR","GBP"))</f>
        <v/>
      </c>
      <c r="F279" s="111" t="n"/>
      <c r="G279" s="111" t="n"/>
      <c r="H279" s="119">
        <f>IF(G279="Yes","",D279)</f>
        <v/>
      </c>
      <c r="I279" s="111" t="n"/>
      <c r="J279" s="111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68">
      <c r="A280" s="113" t="n"/>
      <c r="B280" s="111" t="n"/>
      <c r="C280" s="111" t="n"/>
      <c r="D280" s="117" t="n"/>
      <c r="E280" s="118">
        <f>IF(F280="","",IF(OR(F280="HDFC Bank (INR)",F280="HDFC IOCL Credit Card (INR)",F280="HDFC Swiggy Credit Card (INR)",F280="Axis Airtel Credit Card (INR)"),"INR","GBP"))</f>
        <v/>
      </c>
      <c r="F280" s="111" t="n"/>
      <c r="G280" s="111" t="n"/>
      <c r="H280" s="119">
        <f>IF(G280="Yes","",D280)</f>
        <v/>
      </c>
      <c r="I280" s="111" t="n"/>
      <c r="J280" s="111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68">
      <c r="A281" s="113" t="n"/>
      <c r="B281" s="111" t="n"/>
      <c r="C281" s="111" t="n"/>
      <c r="D281" s="117" t="n"/>
      <c r="E281" s="118">
        <f>IF(F281="","",IF(OR(F281="HDFC Bank (INR)",F281="HDFC IOCL Credit Card (INR)",F281="HDFC Swiggy Credit Card (INR)",F281="Axis Airtel Credit Card (INR)"),"INR","GBP"))</f>
        <v/>
      </c>
      <c r="F281" s="111" t="n"/>
      <c r="G281" s="111" t="n"/>
      <c r="H281" s="119">
        <f>IF(G281="Yes","",D281)</f>
        <v/>
      </c>
      <c r="I281" s="111" t="n"/>
      <c r="J281" s="111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68">
      <c r="A282" s="113" t="n"/>
      <c r="B282" s="111" t="n"/>
      <c r="C282" s="111" t="n"/>
      <c r="D282" s="117" t="n"/>
      <c r="E282" s="118">
        <f>IF(F282="","",IF(OR(F282="HDFC Bank (INR)",F282="HDFC IOCL Credit Card (INR)",F282="HDFC Swiggy Credit Card (INR)",F282="Axis Airtel Credit Card (INR)"),"INR","GBP"))</f>
        <v/>
      </c>
      <c r="F282" s="111" t="n"/>
      <c r="G282" s="111" t="n"/>
      <c r="H282" s="119">
        <f>IF(G282="Yes","",D282)</f>
        <v/>
      </c>
      <c r="I282" s="111" t="n"/>
      <c r="J282" s="111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68">
      <c r="A283" s="113" t="n"/>
      <c r="B283" s="111" t="n"/>
      <c r="C283" s="111" t="n"/>
      <c r="D283" s="117" t="n"/>
      <c r="E283" s="118">
        <f>IF(F283="","",IF(OR(F283="HDFC Bank (INR)",F283="HDFC IOCL Credit Card (INR)",F283="HDFC Swiggy Credit Card (INR)",F283="Axis Airtel Credit Card (INR)"),"INR","GBP"))</f>
        <v/>
      </c>
      <c r="F283" s="111" t="n"/>
      <c r="G283" s="111" t="n"/>
      <c r="H283" s="119">
        <f>IF(G283="Yes","",D283)</f>
        <v/>
      </c>
      <c r="I283" s="111" t="n"/>
      <c r="J283" s="111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68">
      <c r="A284" s="113" t="n"/>
      <c r="B284" s="111" t="n"/>
      <c r="C284" s="111" t="n"/>
      <c r="D284" s="117" t="n"/>
      <c r="E284" s="118">
        <f>IF(F284="","",IF(OR(F284="HDFC Bank (INR)",F284="HDFC IOCL Credit Card (INR)",F284="HDFC Swiggy Credit Card (INR)",F284="Axis Airtel Credit Card (INR)"),"INR","GBP"))</f>
        <v/>
      </c>
      <c r="F284" s="111" t="n"/>
      <c r="G284" s="111" t="n"/>
      <c r="H284" s="119">
        <f>IF(G284="Yes","",D284)</f>
        <v/>
      </c>
      <c r="I284" s="111" t="n"/>
      <c r="J284" s="111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68">
      <c r="A285" s="113" t="n"/>
      <c r="B285" s="111" t="n"/>
      <c r="C285" s="111" t="n"/>
      <c r="D285" s="117" t="n"/>
      <c r="E285" s="118">
        <f>IF(F285="","",IF(OR(F285="HDFC Bank (INR)",F285="HDFC IOCL Credit Card (INR)",F285="HDFC Swiggy Credit Card (INR)",F285="Axis Airtel Credit Card (INR)"),"INR","GBP"))</f>
        <v/>
      </c>
      <c r="F285" s="111" t="n"/>
      <c r="G285" s="111" t="n"/>
      <c r="H285" s="119">
        <f>IF(G285="Yes","",D285)</f>
        <v/>
      </c>
      <c r="I285" s="111" t="n"/>
      <c r="J285" s="111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68">
      <c r="A286" s="113" t="n"/>
      <c r="B286" s="111" t="n"/>
      <c r="C286" s="111" t="n"/>
      <c r="D286" s="117" t="n"/>
      <c r="E286" s="118">
        <f>IF(F286="","",IF(OR(F286="HDFC Bank (INR)",F286="HDFC IOCL Credit Card (INR)",F286="HDFC Swiggy Credit Card (INR)",F286="Axis Airtel Credit Card (INR)"),"INR","GBP"))</f>
        <v/>
      </c>
      <c r="F286" s="111" t="n"/>
      <c r="G286" s="111" t="n"/>
      <c r="H286" s="119">
        <f>IF(G286="Yes","",D286)</f>
        <v/>
      </c>
      <c r="I286" s="111" t="n"/>
      <c r="J286" s="111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68">
      <c r="A287" s="113" t="n"/>
      <c r="B287" s="111" t="n"/>
      <c r="C287" s="111" t="n"/>
      <c r="D287" s="117" t="n"/>
      <c r="E287" s="118">
        <f>IF(F287="","",IF(OR(F287="HDFC Bank (INR)",F287="HDFC IOCL Credit Card (INR)",F287="HDFC Swiggy Credit Card (INR)",F287="Axis Airtel Credit Card (INR)"),"INR","GBP"))</f>
        <v/>
      </c>
      <c r="F287" s="111" t="n"/>
      <c r="G287" s="111" t="n"/>
      <c r="H287" s="119">
        <f>IF(G287="Yes","",D287)</f>
        <v/>
      </c>
      <c r="I287" s="111" t="n"/>
      <c r="J287" s="111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68">
      <c r="A288" s="113" t="n"/>
      <c r="B288" s="111" t="n"/>
      <c r="C288" s="111" t="n"/>
      <c r="D288" s="117" t="n"/>
      <c r="E288" s="118">
        <f>IF(F288="","",IF(OR(F288="HDFC Bank (INR)",F288="HDFC IOCL Credit Card (INR)",F288="HDFC Swiggy Credit Card (INR)",F288="Axis Airtel Credit Card (INR)"),"INR","GBP"))</f>
        <v/>
      </c>
      <c r="F288" s="111" t="n"/>
      <c r="G288" s="111" t="n"/>
      <c r="H288" s="119">
        <f>IF(G288="Yes","",D288)</f>
        <v/>
      </c>
      <c r="I288" s="111" t="n"/>
      <c r="J288" s="111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68">
      <c r="A289" s="113" t="n"/>
      <c r="B289" s="111" t="n"/>
      <c r="C289" s="111" t="n"/>
      <c r="D289" s="117" t="n"/>
      <c r="E289" s="118">
        <f>IF(F289="","",IF(OR(F289="HDFC Bank (INR)",F289="HDFC IOCL Credit Card (INR)",F289="HDFC Swiggy Credit Card (INR)",F289="Axis Airtel Credit Card (INR)"),"INR","GBP"))</f>
        <v/>
      </c>
      <c r="F289" s="111" t="n"/>
      <c r="G289" s="111" t="n"/>
      <c r="H289" s="119">
        <f>IF(G289="Yes","",D289)</f>
        <v/>
      </c>
      <c r="I289" s="111" t="n"/>
      <c r="J289" s="111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68">
      <c r="A290" s="113" t="n"/>
      <c r="B290" s="111" t="n"/>
      <c r="C290" s="111" t="n"/>
      <c r="D290" s="117" t="n"/>
      <c r="E290" s="118">
        <f>IF(F290="","",IF(OR(F290="HDFC Bank (INR)",F290="HDFC IOCL Credit Card (INR)",F290="HDFC Swiggy Credit Card (INR)",F290="Axis Airtel Credit Card (INR)"),"INR","GBP"))</f>
        <v/>
      </c>
      <c r="F290" s="111" t="n"/>
      <c r="G290" s="111" t="n"/>
      <c r="H290" s="119">
        <f>IF(G290="Yes","",D290)</f>
        <v/>
      </c>
      <c r="I290" s="111" t="n"/>
      <c r="J290" s="111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68">
      <c r="A291" s="113" t="n"/>
      <c r="B291" s="111" t="n"/>
      <c r="C291" s="111" t="n"/>
      <c r="D291" s="117" t="n"/>
      <c r="E291" s="118">
        <f>IF(F291="","",IF(OR(F291="HDFC Bank (INR)",F291="HDFC IOCL Credit Card (INR)",F291="HDFC Swiggy Credit Card (INR)",F291="Axis Airtel Credit Card (INR)"),"INR","GBP"))</f>
        <v/>
      </c>
      <c r="F291" s="111" t="n"/>
      <c r="G291" s="111" t="n"/>
      <c r="H291" s="119">
        <f>IF(G291="Yes","",D291)</f>
        <v/>
      </c>
      <c r="I291" s="111" t="n"/>
      <c r="J291" s="111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68">
      <c r="A292" s="113" t="n"/>
      <c r="B292" s="111" t="n"/>
      <c r="C292" s="111" t="n"/>
      <c r="D292" s="117" t="n"/>
      <c r="E292" s="118">
        <f>IF(F292="","",IF(OR(F292="HDFC Bank (INR)",F292="HDFC IOCL Credit Card (INR)",F292="HDFC Swiggy Credit Card (INR)",F292="Axis Airtel Credit Card (INR)"),"INR","GBP"))</f>
        <v/>
      </c>
      <c r="F292" s="111" t="n"/>
      <c r="G292" s="111" t="n"/>
      <c r="H292" s="119">
        <f>IF(G292="Yes","",D292)</f>
        <v/>
      </c>
      <c r="I292" s="111" t="n"/>
      <c r="J292" s="111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68">
      <c r="A293" s="113" t="n"/>
      <c r="B293" s="111" t="n"/>
      <c r="C293" s="111" t="n"/>
      <c r="D293" s="117" t="n"/>
      <c r="E293" s="118">
        <f>IF(F293="","",IF(OR(F293="HDFC Bank (INR)",F293="HDFC IOCL Credit Card (INR)",F293="HDFC Swiggy Credit Card (INR)",F293="Axis Airtel Credit Card (INR)"),"INR","GBP"))</f>
        <v/>
      </c>
      <c r="F293" s="111" t="n"/>
      <c r="G293" s="111" t="n"/>
      <c r="H293" s="119">
        <f>IF(G293="Yes","",D293)</f>
        <v/>
      </c>
      <c r="I293" s="111" t="n"/>
      <c r="J293" s="111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68">
      <c r="A294" s="113" t="n"/>
      <c r="B294" s="111" t="n"/>
      <c r="C294" s="111" t="n"/>
      <c r="D294" s="117" t="n"/>
      <c r="E294" s="118">
        <f>IF(F294="","",IF(OR(F294="HDFC Bank (INR)",F294="HDFC IOCL Credit Card (INR)",F294="HDFC Swiggy Credit Card (INR)",F294="Axis Airtel Credit Card (INR)"),"INR","GBP"))</f>
        <v/>
      </c>
      <c r="F294" s="111" t="n"/>
      <c r="G294" s="111" t="n"/>
      <c r="H294" s="119">
        <f>IF(G294="Yes","",D294)</f>
        <v/>
      </c>
      <c r="I294" s="111" t="n"/>
      <c r="J294" s="111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68">
      <c r="A295" s="113" t="n"/>
      <c r="B295" s="111" t="n"/>
      <c r="C295" s="111" t="n"/>
      <c r="D295" s="117" t="n"/>
      <c r="E295" s="118">
        <f>IF(F295="","",IF(OR(F295="HDFC Bank (INR)",F295="HDFC IOCL Credit Card (INR)",F295="HDFC Swiggy Credit Card (INR)",F295="Axis Airtel Credit Card (INR)"),"INR","GBP"))</f>
        <v/>
      </c>
      <c r="F295" s="111" t="n"/>
      <c r="G295" s="111" t="n"/>
      <c r="H295" s="119">
        <f>IF(G295="Yes","",D295)</f>
        <v/>
      </c>
      <c r="I295" s="111" t="n"/>
      <c r="J295" s="111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68">
      <c r="A296" s="113" t="n"/>
      <c r="B296" s="111" t="n"/>
      <c r="C296" s="111" t="n"/>
      <c r="D296" s="117" t="n"/>
      <c r="E296" s="118">
        <f>IF(F296="","",IF(OR(F296="HDFC Bank (INR)",F296="HDFC IOCL Credit Card (INR)",F296="HDFC Swiggy Credit Card (INR)",F296="Axis Airtel Credit Card (INR)"),"INR","GBP"))</f>
        <v/>
      </c>
      <c r="F296" s="111" t="n"/>
      <c r="G296" s="111" t="n"/>
      <c r="H296" s="119">
        <f>IF(G296="Yes","",D296)</f>
        <v/>
      </c>
      <c r="I296" s="111" t="n"/>
      <c r="J296" s="111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68">
      <c r="A297" s="113" t="n"/>
      <c r="B297" s="111" t="n"/>
      <c r="C297" s="111" t="n"/>
      <c r="D297" s="117" t="n"/>
      <c r="E297" s="118">
        <f>IF(F297="","",IF(OR(F297="HDFC Bank (INR)",F297="HDFC IOCL Credit Card (INR)",F297="HDFC Swiggy Credit Card (INR)",F297="Axis Airtel Credit Card (INR)"),"INR","GBP"))</f>
        <v/>
      </c>
      <c r="F297" s="111" t="n"/>
      <c r="G297" s="111" t="n"/>
      <c r="H297" s="119">
        <f>IF(G297="Yes","",D297)</f>
        <v/>
      </c>
      <c r="I297" s="111" t="n"/>
      <c r="J297" s="111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68">
      <c r="A298" s="113" t="n"/>
      <c r="B298" s="111" t="n"/>
      <c r="C298" s="111" t="n"/>
      <c r="D298" s="117" t="n"/>
      <c r="E298" s="118">
        <f>IF(F298="","",IF(OR(F298="HDFC Bank (INR)",F298="HDFC IOCL Credit Card (INR)",F298="HDFC Swiggy Credit Card (INR)",F298="Axis Airtel Credit Card (INR)"),"INR","GBP"))</f>
        <v/>
      </c>
      <c r="F298" s="111" t="n"/>
      <c r="G298" s="111" t="n"/>
      <c r="H298" s="119">
        <f>IF(G298="Yes","",D298)</f>
        <v/>
      </c>
      <c r="I298" s="111" t="n"/>
      <c r="J298" s="111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68">
      <c r="A299" s="113" t="n"/>
      <c r="B299" s="111" t="n"/>
      <c r="C299" s="111" t="n"/>
      <c r="D299" s="117" t="n"/>
      <c r="E299" s="118">
        <f>IF(F299="","",IF(OR(F299="HDFC Bank (INR)",F299="HDFC IOCL Credit Card (INR)",F299="HDFC Swiggy Credit Card (INR)",F299="Axis Airtel Credit Card (INR)"),"INR","GBP"))</f>
        <v/>
      </c>
      <c r="F299" s="111" t="n"/>
      <c r="G299" s="111" t="n"/>
      <c r="H299" s="119">
        <f>IF(G299="Yes","",D299)</f>
        <v/>
      </c>
      <c r="I299" s="111" t="n"/>
      <c r="J299" s="111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68">
      <c r="A300" s="113" t="n"/>
      <c r="B300" s="111" t="n"/>
      <c r="C300" s="111" t="n"/>
      <c r="D300" s="117" t="n"/>
      <c r="E300" s="118">
        <f>IF(F300="","",IF(OR(F300="HDFC Bank (INR)",F300="HDFC IOCL Credit Card (INR)",F300="HDFC Swiggy Credit Card (INR)",F300="Axis Airtel Credit Card (INR)"),"INR","GBP"))</f>
        <v/>
      </c>
      <c r="F300" s="111" t="n"/>
      <c r="G300" s="111" t="n"/>
      <c r="H300" s="119">
        <f>IF(G300="Yes","",D300)</f>
        <v/>
      </c>
      <c r="I300" s="111" t="n"/>
      <c r="J300" s="111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68">
      <c r="A301" s="113" t="n"/>
      <c r="B301" s="111" t="n"/>
      <c r="C301" s="111" t="n"/>
      <c r="D301" s="117" t="n"/>
      <c r="E301" s="118">
        <f>IF(F301="","",IF(OR(F301="HDFC Bank (INR)",F301="HDFC IOCL Credit Card (INR)",F301="HDFC Swiggy Credit Card (INR)",F301="Axis Airtel Credit Card (INR)"),"INR","GBP"))</f>
        <v/>
      </c>
      <c r="F301" s="111" t="n"/>
      <c r="G301" s="111" t="n"/>
      <c r="H301" s="119">
        <f>IF(G301="Yes","",D301)</f>
        <v/>
      </c>
      <c r="I301" s="111" t="n"/>
      <c r="J301" s="111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68">
      <c r="A302" s="113" t="n"/>
      <c r="B302" s="111" t="n"/>
      <c r="C302" s="111" t="n"/>
      <c r="D302" s="117" t="n"/>
      <c r="E302" s="118">
        <f>IF(F302="","",IF(OR(F302="HDFC Bank (INR)",F302="HDFC IOCL Credit Card (INR)",F302="HDFC Swiggy Credit Card (INR)",F302="Axis Airtel Credit Card (INR)"),"INR","GBP"))</f>
        <v/>
      </c>
      <c r="F302" s="111" t="n"/>
      <c r="G302" s="111" t="n"/>
      <c r="H302" s="119">
        <f>IF(G302="Yes","",D302)</f>
        <v/>
      </c>
      <c r="I302" s="111" t="n"/>
      <c r="J302" s="111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68">
      <c r="A303" s="113" t="n"/>
      <c r="B303" s="111" t="n"/>
      <c r="C303" s="111" t="n"/>
      <c r="D303" s="117" t="n"/>
      <c r="E303" s="118">
        <f>IF(F303="","",IF(OR(F303="HDFC Bank (INR)",F303="HDFC IOCL Credit Card (INR)",F303="HDFC Swiggy Credit Card (INR)",F303="Axis Airtel Credit Card (INR)"),"INR","GBP"))</f>
        <v/>
      </c>
      <c r="F303" s="111" t="n"/>
      <c r="G303" s="111" t="n"/>
      <c r="H303" s="119">
        <f>IF(G303="Yes","",D303)</f>
        <v/>
      </c>
      <c r="I303" s="111" t="n"/>
      <c r="J303" s="111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68">
      <c r="A304" s="113" t="n"/>
      <c r="B304" s="111" t="n"/>
      <c r="C304" s="111" t="n"/>
      <c r="D304" s="117" t="n"/>
      <c r="E304" s="118">
        <f>IF(F304="","",IF(OR(F304="HDFC Bank (INR)",F304="HDFC IOCL Credit Card (INR)",F304="HDFC Swiggy Credit Card (INR)",F304="Axis Airtel Credit Card (INR)"),"INR","GBP"))</f>
        <v/>
      </c>
      <c r="F304" s="111" t="n"/>
      <c r="G304" s="111" t="n"/>
      <c r="H304" s="119">
        <f>IF(G304="Yes","",D304)</f>
        <v/>
      </c>
      <c r="I304" s="111" t="n"/>
      <c r="J304" s="111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68">
      <c r="A305" s="113" t="n"/>
      <c r="B305" s="111" t="n"/>
      <c r="C305" s="111" t="n"/>
      <c r="D305" s="117" t="n"/>
      <c r="E305" s="118">
        <f>IF(F305="","",IF(OR(F305="HDFC Bank (INR)",F305="HDFC IOCL Credit Card (INR)",F305="HDFC Swiggy Credit Card (INR)",F305="Axis Airtel Credit Card (INR)"),"INR","GBP"))</f>
        <v/>
      </c>
      <c r="F305" s="111" t="n"/>
      <c r="G305" s="111" t="n"/>
      <c r="H305" s="119">
        <f>IF(G305="Yes","",D305)</f>
        <v/>
      </c>
      <c r="I305" s="111" t="n"/>
      <c r="J305" s="111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68">
      <c r="A306" s="113" t="n"/>
      <c r="B306" s="111" t="n"/>
      <c r="C306" s="111" t="n"/>
      <c r="D306" s="117" t="n"/>
      <c r="E306" s="118">
        <f>IF(F306="","",IF(OR(F306="HDFC Bank (INR)",F306="HDFC IOCL Credit Card (INR)",F306="HDFC Swiggy Credit Card (INR)",F306="Axis Airtel Credit Card (INR)"),"INR","GBP"))</f>
        <v/>
      </c>
      <c r="F306" s="111" t="n"/>
      <c r="G306" s="111" t="n"/>
      <c r="H306" s="119">
        <f>IF(G306="Yes","",D306)</f>
        <v/>
      </c>
      <c r="I306" s="111" t="n"/>
      <c r="J306" s="111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68">
      <c r="A307" s="113" t="n"/>
      <c r="B307" s="111" t="n"/>
      <c r="C307" s="111" t="n"/>
      <c r="D307" s="117" t="n"/>
      <c r="E307" s="118">
        <f>IF(F307="","",IF(OR(F307="HDFC Bank (INR)",F307="HDFC IOCL Credit Card (INR)",F307="HDFC Swiggy Credit Card (INR)",F307="Axis Airtel Credit Card (INR)"),"INR","GBP"))</f>
        <v/>
      </c>
      <c r="F307" s="111" t="n"/>
      <c r="G307" s="111" t="n"/>
      <c r="H307" s="119">
        <f>IF(G307="Yes","",D307)</f>
        <v/>
      </c>
      <c r="I307" s="111" t="n"/>
      <c r="J307" s="111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68">
      <c r="A308" s="113" t="n"/>
      <c r="B308" s="111" t="n"/>
      <c r="C308" s="111" t="n"/>
      <c r="D308" s="117" t="n"/>
      <c r="E308" s="118">
        <f>IF(F308="","",IF(OR(F308="HDFC Bank (INR)",F308="HDFC IOCL Credit Card (INR)",F308="HDFC Swiggy Credit Card (INR)",F308="Axis Airtel Credit Card (INR)"),"INR","GBP"))</f>
        <v/>
      </c>
      <c r="F308" s="111" t="n"/>
      <c r="G308" s="111" t="n"/>
      <c r="H308" s="119">
        <f>IF(G308="Yes","",D308)</f>
        <v/>
      </c>
      <c r="I308" s="111" t="n"/>
      <c r="J308" s="111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68">
      <c r="A309" s="113" t="n"/>
      <c r="B309" s="111" t="n"/>
      <c r="C309" s="111" t="n"/>
      <c r="D309" s="117" t="n"/>
      <c r="E309" s="118">
        <f>IF(F309="","",IF(OR(F309="HDFC Bank (INR)",F309="HDFC IOCL Credit Card (INR)",F309="HDFC Swiggy Credit Card (INR)",F309="Axis Airtel Credit Card (INR)"),"INR","GBP"))</f>
        <v/>
      </c>
      <c r="F309" s="111" t="n"/>
      <c r="G309" s="111" t="n"/>
      <c r="H309" s="119">
        <f>IF(G309="Yes","",D309)</f>
        <v/>
      </c>
      <c r="I309" s="111" t="n"/>
      <c r="J309" s="111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68">
      <c r="A310" s="113" t="n"/>
      <c r="B310" s="111" t="n"/>
      <c r="C310" s="111" t="n"/>
      <c r="D310" s="117" t="n"/>
      <c r="E310" s="118">
        <f>IF(F310="","",IF(OR(F310="HDFC Bank (INR)",F310="HDFC IOCL Credit Card (INR)",F310="HDFC Swiggy Credit Card (INR)",F310="Axis Airtel Credit Card (INR)"),"INR","GBP"))</f>
        <v/>
      </c>
      <c r="F310" s="111" t="n"/>
      <c r="G310" s="111" t="n"/>
      <c r="H310" s="119">
        <f>IF(G310="Yes","",D310)</f>
        <v/>
      </c>
      <c r="I310" s="111" t="n"/>
      <c r="J310" s="111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68">
      <c r="A311" s="113" t="n"/>
      <c r="B311" s="111" t="n"/>
      <c r="C311" s="111" t="n"/>
      <c r="D311" s="117" t="n"/>
      <c r="E311" s="118">
        <f>IF(F311="","",IF(OR(F311="HDFC Bank (INR)",F311="HDFC IOCL Credit Card (INR)",F311="HDFC Swiggy Credit Card (INR)",F311="Axis Airtel Credit Card (INR)"),"INR","GBP"))</f>
        <v/>
      </c>
      <c r="F311" s="111" t="n"/>
      <c r="G311" s="111" t="n"/>
      <c r="H311" s="119">
        <f>IF(G311="Yes","",D311)</f>
        <v/>
      </c>
      <c r="I311" s="111" t="n"/>
      <c r="J311" s="111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68">
      <c r="A312" s="113" t="n"/>
      <c r="B312" s="111" t="n"/>
      <c r="C312" s="111" t="n"/>
      <c r="D312" s="117" t="n"/>
      <c r="E312" s="118">
        <f>IF(F312="","",IF(OR(F312="HDFC Bank (INR)",F312="HDFC IOCL Credit Card (INR)",F312="HDFC Swiggy Credit Card (INR)",F312="Axis Airtel Credit Card (INR)"),"INR","GBP"))</f>
        <v/>
      </c>
      <c r="F312" s="111" t="n"/>
      <c r="G312" s="111" t="n"/>
      <c r="H312" s="119">
        <f>IF(G312="Yes","",D312)</f>
        <v/>
      </c>
      <c r="I312" s="111" t="n"/>
      <c r="J312" s="111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68">
      <c r="A313" s="113" t="n"/>
      <c r="B313" s="111" t="n"/>
      <c r="C313" s="111" t="n"/>
      <c r="D313" s="117" t="n"/>
      <c r="E313" s="118">
        <f>IF(F313="","",IF(OR(F313="HDFC Bank (INR)",F313="HDFC IOCL Credit Card (INR)",F313="HDFC Swiggy Credit Card (INR)",F313="Axis Airtel Credit Card (INR)"),"INR","GBP"))</f>
        <v/>
      </c>
      <c r="F313" s="111" t="n"/>
      <c r="G313" s="111" t="n"/>
      <c r="H313" s="119">
        <f>IF(G313="Yes","",D313)</f>
        <v/>
      </c>
      <c r="I313" s="111" t="n"/>
      <c r="J313" s="111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68">
      <c r="A314" s="113" t="n"/>
      <c r="B314" s="111" t="n"/>
      <c r="C314" s="111" t="n"/>
      <c r="D314" s="117" t="n"/>
      <c r="E314" s="118">
        <f>IF(F314="","",IF(OR(F314="HDFC Bank (INR)",F314="HDFC IOCL Credit Card (INR)",F314="HDFC Swiggy Credit Card (INR)",F314="Axis Airtel Credit Card (INR)"),"INR","GBP"))</f>
        <v/>
      </c>
      <c r="F314" s="111" t="n"/>
      <c r="G314" s="111" t="n"/>
      <c r="H314" s="119">
        <f>IF(G314="Yes","",D314)</f>
        <v/>
      </c>
      <c r="I314" s="111" t="n"/>
      <c r="J314" s="111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68">
      <c r="A315" s="113" t="n"/>
      <c r="B315" s="111" t="n"/>
      <c r="C315" s="111" t="n"/>
      <c r="D315" s="117" t="n"/>
      <c r="E315" s="118">
        <f>IF(F315="","",IF(OR(F315="HDFC Bank (INR)",F315="HDFC IOCL Credit Card (INR)",F315="HDFC Swiggy Credit Card (INR)",F315="Axis Airtel Credit Card (INR)"),"INR","GBP"))</f>
        <v/>
      </c>
      <c r="F315" s="111" t="n"/>
      <c r="G315" s="111" t="n"/>
      <c r="H315" s="119">
        <f>IF(G315="Yes","",D315)</f>
        <v/>
      </c>
      <c r="I315" s="111" t="n"/>
      <c r="J315" s="111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68">
      <c r="A316" s="113" t="n"/>
      <c r="B316" s="111" t="n"/>
      <c r="C316" s="111" t="n"/>
      <c r="D316" s="117" t="n"/>
      <c r="E316" s="118">
        <f>IF(F316="","",IF(OR(F316="HDFC Bank (INR)",F316="HDFC IOCL Credit Card (INR)",F316="HDFC Swiggy Credit Card (INR)",F316="Axis Airtel Credit Card (INR)"),"INR","GBP"))</f>
        <v/>
      </c>
      <c r="F316" s="111" t="n"/>
      <c r="G316" s="111" t="n"/>
      <c r="H316" s="119">
        <f>IF(G316="Yes","",D316)</f>
        <v/>
      </c>
      <c r="I316" s="111" t="n"/>
      <c r="J316" s="111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68">
      <c r="A317" s="113" t="n"/>
      <c r="B317" s="111" t="n"/>
      <c r="C317" s="111" t="n"/>
      <c r="D317" s="117" t="n"/>
      <c r="E317" s="118">
        <f>IF(F317="","",IF(OR(F317="HDFC Bank (INR)",F317="HDFC IOCL Credit Card (INR)",F317="HDFC Swiggy Credit Card (INR)",F317="Axis Airtel Credit Card (INR)"),"INR","GBP"))</f>
        <v/>
      </c>
      <c r="F317" s="111" t="n"/>
      <c r="G317" s="111" t="n"/>
      <c r="H317" s="119">
        <f>IF(G317="Yes","",D317)</f>
        <v/>
      </c>
      <c r="I317" s="111" t="n"/>
      <c r="J317" s="111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68">
      <c r="A318" s="113" t="n"/>
      <c r="B318" s="111" t="n"/>
      <c r="C318" s="111" t="n"/>
      <c r="D318" s="117" t="n"/>
      <c r="E318" s="118">
        <f>IF(F318="","",IF(OR(F318="HDFC Bank (INR)",F318="HDFC IOCL Credit Card (INR)",F318="HDFC Swiggy Credit Card (INR)",F318="Axis Airtel Credit Card (INR)"),"INR","GBP"))</f>
        <v/>
      </c>
      <c r="F318" s="111" t="n"/>
      <c r="G318" s="111" t="n"/>
      <c r="H318" s="119">
        <f>IF(G318="Yes","",D318)</f>
        <v/>
      </c>
      <c r="I318" s="111" t="n"/>
      <c r="J318" s="111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68">
      <c r="A319" s="113" t="n"/>
      <c r="B319" s="111" t="n"/>
      <c r="C319" s="111" t="n"/>
      <c r="D319" s="117" t="n"/>
      <c r="E319" s="118">
        <f>IF(F319="","",IF(OR(F319="HDFC Bank (INR)",F319="HDFC IOCL Credit Card (INR)",F319="HDFC Swiggy Credit Card (INR)",F319="Axis Airtel Credit Card (INR)"),"INR","GBP"))</f>
        <v/>
      </c>
      <c r="F319" s="111" t="n"/>
      <c r="G319" s="111" t="n"/>
      <c r="H319" s="119">
        <f>IF(G319="Yes","",D319)</f>
        <v/>
      </c>
      <c r="I319" s="111" t="n"/>
      <c r="J319" s="111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68">
      <c r="A320" s="113" t="n"/>
      <c r="B320" s="111" t="n"/>
      <c r="C320" s="111" t="n"/>
      <c r="D320" s="117" t="n"/>
      <c r="E320" s="118">
        <f>IF(F320="","",IF(OR(F320="HDFC Bank (INR)",F320="HDFC IOCL Credit Card (INR)",F320="HDFC Swiggy Credit Card (INR)",F320="Axis Airtel Credit Card (INR)"),"INR","GBP"))</f>
        <v/>
      </c>
      <c r="F320" s="111" t="n"/>
      <c r="G320" s="111" t="n"/>
      <c r="H320" s="119">
        <f>IF(G320="Yes","",D320)</f>
        <v/>
      </c>
      <c r="I320" s="111" t="n"/>
      <c r="J320" s="111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68">
      <c r="A321" s="113" t="n"/>
      <c r="B321" s="111" t="n"/>
      <c r="C321" s="111" t="n"/>
      <c r="D321" s="117" t="n"/>
      <c r="E321" s="118">
        <f>IF(F321="","",IF(OR(F321="HDFC Bank (INR)",F321="HDFC IOCL Credit Card (INR)",F321="HDFC Swiggy Credit Card (INR)",F321="Axis Airtel Credit Card (INR)"),"INR","GBP"))</f>
        <v/>
      </c>
      <c r="F321" s="111" t="n"/>
      <c r="G321" s="111" t="n"/>
      <c r="H321" s="119">
        <f>IF(G321="Yes","",D321)</f>
        <v/>
      </c>
      <c r="I321" s="111" t="n"/>
      <c r="J321" s="111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68">
      <c r="A322" s="113" t="n"/>
      <c r="B322" s="111" t="n"/>
      <c r="C322" s="111" t="n"/>
      <c r="D322" s="117" t="n"/>
      <c r="E322" s="118">
        <f>IF(F322="","",IF(OR(F322="HDFC Bank (INR)",F322="HDFC IOCL Credit Card (INR)",F322="HDFC Swiggy Credit Card (INR)",F322="Axis Airtel Credit Card (INR)"),"INR","GBP"))</f>
        <v/>
      </c>
      <c r="F322" s="111" t="n"/>
      <c r="G322" s="111" t="n"/>
      <c r="H322" s="119">
        <f>IF(G322="Yes","",D322)</f>
        <v/>
      </c>
      <c r="I322" s="111" t="n"/>
      <c r="J322" s="111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68">
      <c r="A323" s="113" t="n"/>
      <c r="B323" s="111" t="n"/>
      <c r="C323" s="111" t="n"/>
      <c r="D323" s="117" t="n"/>
      <c r="E323" s="118">
        <f>IF(F323="","",IF(OR(F323="HDFC Bank (INR)",F323="HDFC IOCL Credit Card (INR)",F323="HDFC Swiggy Credit Card (INR)",F323="Axis Airtel Credit Card (INR)"),"INR","GBP"))</f>
        <v/>
      </c>
      <c r="F323" s="111" t="n"/>
      <c r="G323" s="111" t="n"/>
      <c r="H323" s="119">
        <f>IF(G323="Yes","",D323)</f>
        <v/>
      </c>
      <c r="I323" s="111" t="n"/>
      <c r="J323" s="111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68">
      <c r="A324" s="113" t="n"/>
      <c r="B324" s="111" t="n"/>
      <c r="C324" s="111" t="n"/>
      <c r="D324" s="117" t="n"/>
      <c r="E324" s="118">
        <f>IF(F324="","",IF(OR(F324="HDFC Bank (INR)",F324="HDFC IOCL Credit Card (INR)",F324="HDFC Swiggy Credit Card (INR)",F324="Axis Airtel Credit Card (INR)"),"INR","GBP"))</f>
        <v/>
      </c>
      <c r="F324" s="111" t="n"/>
      <c r="G324" s="111" t="n"/>
      <c r="H324" s="119">
        <f>IF(G324="Yes","",D324)</f>
        <v/>
      </c>
      <c r="I324" s="111" t="n"/>
      <c r="J324" s="111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68">
      <c r="A325" s="113" t="n"/>
      <c r="B325" s="111" t="n"/>
      <c r="C325" s="111" t="n"/>
      <c r="D325" s="117" t="n"/>
      <c r="E325" s="118">
        <f>IF(F325="","",IF(OR(F325="HDFC Bank (INR)",F325="HDFC IOCL Credit Card (INR)",F325="HDFC Swiggy Credit Card (INR)",F325="Axis Airtel Credit Card (INR)"),"INR","GBP"))</f>
        <v/>
      </c>
      <c r="F325" s="111" t="n"/>
      <c r="G325" s="111" t="n"/>
      <c r="H325" s="119">
        <f>IF(G325="Yes","",D325)</f>
        <v/>
      </c>
      <c r="I325" s="111" t="n"/>
      <c r="J325" s="111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68">
      <c r="A326" s="113" t="n"/>
      <c r="B326" s="111" t="n"/>
      <c r="C326" s="111" t="n"/>
      <c r="D326" s="117" t="n"/>
      <c r="E326" s="118">
        <f>IF(F326="","",IF(OR(F326="HDFC Bank (INR)",F326="HDFC IOCL Credit Card (INR)",F326="HDFC Swiggy Credit Card (INR)",F326="Axis Airtel Credit Card (INR)"),"INR","GBP"))</f>
        <v/>
      </c>
      <c r="F326" s="111" t="n"/>
      <c r="G326" s="111" t="n"/>
      <c r="H326" s="119">
        <f>IF(G326="Yes","",D326)</f>
        <v/>
      </c>
      <c r="I326" s="111" t="n"/>
      <c r="J326" s="111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68">
      <c r="A327" s="113" t="n"/>
      <c r="B327" s="111" t="n"/>
      <c r="C327" s="111" t="n"/>
      <c r="D327" s="117" t="n"/>
      <c r="E327" s="118">
        <f>IF(F327="","",IF(OR(F327="HDFC Bank (INR)",F327="HDFC IOCL Credit Card (INR)",F327="HDFC Swiggy Credit Card (INR)",F327="Axis Airtel Credit Card (INR)"),"INR","GBP"))</f>
        <v/>
      </c>
      <c r="F327" s="111" t="n"/>
      <c r="G327" s="111" t="n"/>
      <c r="H327" s="119">
        <f>IF(G327="Yes","",D327)</f>
        <v/>
      </c>
      <c r="I327" s="111" t="n"/>
      <c r="J327" s="111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68">
      <c r="A328" s="113" t="n"/>
      <c r="B328" s="111" t="n"/>
      <c r="C328" s="111" t="n"/>
      <c r="D328" s="117" t="n"/>
      <c r="E328" s="118">
        <f>IF(F328="","",IF(OR(F328="HDFC Bank (INR)",F328="HDFC IOCL Credit Card (INR)",F328="HDFC Swiggy Credit Card (INR)",F328="Axis Airtel Credit Card (INR)"),"INR","GBP"))</f>
        <v/>
      </c>
      <c r="F328" s="111" t="n"/>
      <c r="G328" s="111" t="n"/>
      <c r="H328" s="119">
        <f>IF(G328="Yes","",D328)</f>
        <v/>
      </c>
      <c r="I328" s="111" t="n"/>
      <c r="J328" s="111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68">
      <c r="A329" s="113" t="n"/>
      <c r="B329" s="111" t="n"/>
      <c r="C329" s="111" t="n"/>
      <c r="D329" s="117" t="n"/>
      <c r="E329" s="118">
        <f>IF(F329="","",IF(OR(F329="HDFC Bank (INR)",F329="HDFC IOCL Credit Card (INR)",F329="HDFC Swiggy Credit Card (INR)",F329="Axis Airtel Credit Card (INR)"),"INR","GBP"))</f>
        <v/>
      </c>
      <c r="F329" s="111" t="n"/>
      <c r="G329" s="111" t="n"/>
      <c r="H329" s="119">
        <f>IF(G329="Yes","",D329)</f>
        <v/>
      </c>
      <c r="I329" s="111" t="n"/>
      <c r="J329" s="111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68">
      <c r="A330" s="113" t="n"/>
      <c r="B330" s="111" t="n"/>
      <c r="C330" s="111" t="n"/>
      <c r="D330" s="117" t="n"/>
      <c r="E330" s="118">
        <f>IF(F330="","",IF(OR(F330="HDFC Bank (INR)",F330="HDFC IOCL Credit Card (INR)",F330="HDFC Swiggy Credit Card (INR)",F330="Axis Airtel Credit Card (INR)"),"INR","GBP"))</f>
        <v/>
      </c>
      <c r="F330" s="111" t="n"/>
      <c r="G330" s="111" t="n"/>
      <c r="H330" s="119">
        <f>IF(G330="Yes","",D330)</f>
        <v/>
      </c>
      <c r="I330" s="111" t="n"/>
      <c r="J330" s="111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68">
      <c r="A331" s="113" t="n"/>
      <c r="B331" s="111" t="n"/>
      <c r="C331" s="111" t="n"/>
      <c r="D331" s="117" t="n"/>
      <c r="E331" s="118">
        <f>IF(F331="","",IF(OR(F331="HDFC Bank (INR)",F331="HDFC IOCL Credit Card (INR)",F331="HDFC Swiggy Credit Card (INR)",F331="Axis Airtel Credit Card (INR)"),"INR","GBP"))</f>
        <v/>
      </c>
      <c r="F331" s="111" t="n"/>
      <c r="G331" s="111" t="n"/>
      <c r="H331" s="119">
        <f>IF(G331="Yes","",D331)</f>
        <v/>
      </c>
      <c r="I331" s="111" t="n"/>
      <c r="J331" s="111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68">
      <c r="A332" s="113" t="n"/>
      <c r="B332" s="111" t="n"/>
      <c r="C332" s="111" t="n"/>
      <c r="D332" s="117" t="n"/>
      <c r="E332" s="118">
        <f>IF(F332="","",IF(OR(F332="HDFC Bank (INR)",F332="HDFC IOCL Credit Card (INR)",F332="HDFC Swiggy Credit Card (INR)",F332="Axis Airtel Credit Card (INR)"),"INR","GBP"))</f>
        <v/>
      </c>
      <c r="F332" s="111" t="n"/>
      <c r="G332" s="111" t="n"/>
      <c r="H332" s="119">
        <f>IF(G332="Yes","",D332)</f>
        <v/>
      </c>
      <c r="I332" s="111" t="n"/>
      <c r="J332" s="111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68">
      <c r="A333" s="113" t="n"/>
      <c r="B333" s="111" t="n"/>
      <c r="C333" s="111" t="n"/>
      <c r="D333" s="117" t="n"/>
      <c r="E333" s="118">
        <f>IF(F333="","",IF(OR(F333="HDFC Bank (INR)",F333="HDFC IOCL Credit Card (INR)",F333="HDFC Swiggy Credit Card (INR)",F333="Axis Airtel Credit Card (INR)"),"INR","GBP"))</f>
        <v/>
      </c>
      <c r="F333" s="111" t="n"/>
      <c r="G333" s="111" t="n"/>
      <c r="H333" s="119">
        <f>IF(G333="Yes","",D333)</f>
        <v/>
      </c>
      <c r="I333" s="111" t="n"/>
      <c r="J333" s="111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68">
      <c r="A334" s="113" t="n"/>
      <c r="B334" s="111" t="n"/>
      <c r="C334" s="111" t="n"/>
      <c r="D334" s="117" t="n"/>
      <c r="E334" s="118">
        <f>IF(F334="","",IF(OR(F334="HDFC Bank (INR)",F334="HDFC IOCL Credit Card (INR)",F334="HDFC Swiggy Credit Card (INR)",F334="Axis Airtel Credit Card (INR)"),"INR","GBP"))</f>
        <v/>
      </c>
      <c r="F334" s="111" t="n"/>
      <c r="G334" s="111" t="n"/>
      <c r="H334" s="119">
        <f>IF(G334="Yes","",D334)</f>
        <v/>
      </c>
      <c r="I334" s="111" t="n"/>
      <c r="J334" s="111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68">
      <c r="A335" s="113" t="n"/>
      <c r="B335" s="111" t="n"/>
      <c r="C335" s="111" t="n"/>
      <c r="D335" s="117" t="n"/>
      <c r="E335" s="118">
        <f>IF(F335="","",IF(OR(F335="HDFC Bank (INR)",F335="HDFC IOCL Credit Card (INR)",F335="HDFC Swiggy Credit Card (INR)",F335="Axis Airtel Credit Card (INR)"),"INR","GBP"))</f>
        <v/>
      </c>
      <c r="F335" s="111" t="n"/>
      <c r="G335" s="111" t="n"/>
      <c r="H335" s="119">
        <f>IF(G335="Yes","",D335)</f>
        <v/>
      </c>
      <c r="I335" s="111" t="n"/>
      <c r="J335" s="111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68">
      <c r="A336" s="113" t="n"/>
      <c r="B336" s="111" t="n"/>
      <c r="C336" s="111" t="n"/>
      <c r="D336" s="117" t="n"/>
      <c r="E336" s="118">
        <f>IF(F336="","",IF(OR(F336="HDFC Bank (INR)",F336="HDFC IOCL Credit Card (INR)",F336="HDFC Swiggy Credit Card (INR)",F336="Axis Airtel Credit Card (INR)"),"INR","GBP"))</f>
        <v/>
      </c>
      <c r="F336" s="111" t="n"/>
      <c r="G336" s="111" t="n"/>
      <c r="H336" s="119">
        <f>IF(G336="Yes","",D336)</f>
        <v/>
      </c>
      <c r="I336" s="111" t="n"/>
      <c r="J336" s="111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68">
      <c r="A337" s="113" t="n"/>
      <c r="B337" s="111" t="n"/>
      <c r="C337" s="111" t="n"/>
      <c r="D337" s="117" t="n"/>
      <c r="E337" s="118">
        <f>IF(F337="","",IF(OR(F337="HDFC Bank (INR)",F337="HDFC IOCL Credit Card (INR)",F337="HDFC Swiggy Credit Card (INR)",F337="Axis Airtel Credit Card (INR)"),"INR","GBP"))</f>
        <v/>
      </c>
      <c r="F337" s="111" t="n"/>
      <c r="G337" s="111" t="n"/>
      <c r="H337" s="119">
        <f>IF(G337="Yes","",D337)</f>
        <v/>
      </c>
      <c r="I337" s="111" t="n"/>
      <c r="J337" s="111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68">
      <c r="A338" s="113" t="n"/>
      <c r="B338" s="111" t="n"/>
      <c r="C338" s="111" t="n"/>
      <c r="D338" s="117" t="n"/>
      <c r="E338" s="118">
        <f>IF(F338="","",IF(OR(F338="HDFC Bank (INR)",F338="HDFC IOCL Credit Card (INR)",F338="HDFC Swiggy Credit Card (INR)",F338="Axis Airtel Credit Card (INR)"),"INR","GBP"))</f>
        <v/>
      </c>
      <c r="F338" s="111" t="n"/>
      <c r="G338" s="111" t="n"/>
      <c r="H338" s="119">
        <f>IF(G338="Yes","",D338)</f>
        <v/>
      </c>
      <c r="I338" s="111" t="n"/>
      <c r="J338" s="111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68">
      <c r="A339" s="113" t="n"/>
      <c r="B339" s="111" t="n"/>
      <c r="C339" s="111" t="n"/>
      <c r="D339" s="117" t="n"/>
      <c r="E339" s="118">
        <f>IF(F339="","",IF(OR(F339="HDFC Bank (INR)",F339="HDFC IOCL Credit Card (INR)",F339="HDFC Swiggy Credit Card (INR)",F339="Axis Airtel Credit Card (INR)"),"INR","GBP"))</f>
        <v/>
      </c>
      <c r="F339" s="111" t="n"/>
      <c r="G339" s="111" t="n"/>
      <c r="H339" s="119">
        <f>IF(G339="Yes","",D339)</f>
        <v/>
      </c>
      <c r="I339" s="111" t="n"/>
      <c r="J339" s="111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68">
      <c r="A340" s="113" t="n"/>
      <c r="B340" s="111" t="n"/>
      <c r="C340" s="111" t="n"/>
      <c r="D340" s="117" t="n"/>
      <c r="E340" s="118">
        <f>IF(F340="","",IF(OR(F340="HDFC Bank (INR)",F340="HDFC IOCL Credit Card (INR)",F340="HDFC Swiggy Credit Card (INR)",F340="Axis Airtel Credit Card (INR)"),"INR","GBP"))</f>
        <v/>
      </c>
      <c r="F340" s="111" t="n"/>
      <c r="G340" s="111" t="n"/>
      <c r="H340" s="119">
        <f>IF(G340="Yes","",D340)</f>
        <v/>
      </c>
      <c r="I340" s="111" t="n"/>
      <c r="J340" s="111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68">
      <c r="A341" s="113" t="n"/>
      <c r="B341" s="111" t="n"/>
      <c r="C341" s="111" t="n"/>
      <c r="D341" s="117" t="n"/>
      <c r="E341" s="118">
        <f>IF(F341="","",IF(OR(F341="HDFC Bank (INR)",F341="HDFC IOCL Credit Card (INR)",F341="HDFC Swiggy Credit Card (INR)",F341="Axis Airtel Credit Card (INR)"),"INR","GBP"))</f>
        <v/>
      </c>
      <c r="F341" s="111" t="n"/>
      <c r="G341" s="111" t="n"/>
      <c r="H341" s="119">
        <f>IF(G341="Yes","",D341)</f>
        <v/>
      </c>
      <c r="I341" s="111" t="n"/>
      <c r="J341" s="111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68">
      <c r="A342" s="113" t="n"/>
      <c r="B342" s="111" t="n"/>
      <c r="C342" s="111" t="n"/>
      <c r="D342" s="117" t="n"/>
      <c r="E342" s="118">
        <f>IF(F342="","",IF(OR(F342="HDFC Bank (INR)",F342="HDFC IOCL Credit Card (INR)",F342="HDFC Swiggy Credit Card (INR)",F342="Axis Airtel Credit Card (INR)"),"INR","GBP"))</f>
        <v/>
      </c>
      <c r="F342" s="111" t="n"/>
      <c r="G342" s="111" t="n"/>
      <c r="H342" s="119">
        <f>IF(G342="Yes","",D342)</f>
        <v/>
      </c>
      <c r="I342" s="111" t="n"/>
      <c r="J342" s="111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68">
      <c r="A343" s="113" t="n"/>
      <c r="B343" s="111" t="n"/>
      <c r="C343" s="111" t="n"/>
      <c r="D343" s="117" t="n"/>
      <c r="E343" s="118">
        <f>IF(F343="","",IF(OR(F343="HDFC Bank (INR)",F343="HDFC IOCL Credit Card (INR)",F343="HDFC Swiggy Credit Card (INR)",F343="Axis Airtel Credit Card (INR)"),"INR","GBP"))</f>
        <v/>
      </c>
      <c r="F343" s="111" t="n"/>
      <c r="G343" s="111" t="n"/>
      <c r="H343" s="119">
        <f>IF(G343="Yes","",D343)</f>
        <v/>
      </c>
      <c r="I343" s="111" t="n"/>
      <c r="J343" s="111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68">
      <c r="A344" s="113" t="n"/>
      <c r="B344" s="111" t="n"/>
      <c r="C344" s="111" t="n"/>
      <c r="D344" s="117" t="n"/>
      <c r="E344" s="118">
        <f>IF(F344="","",IF(OR(F344="HDFC Bank (INR)",F344="HDFC IOCL Credit Card (INR)",F344="HDFC Swiggy Credit Card (INR)",F344="Axis Airtel Credit Card (INR)"),"INR","GBP"))</f>
        <v/>
      </c>
      <c r="F344" s="111" t="n"/>
      <c r="G344" s="111" t="n"/>
      <c r="H344" s="119">
        <f>IF(G344="Yes","",D344)</f>
        <v/>
      </c>
      <c r="I344" s="111" t="n"/>
      <c r="J344" s="111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68">
      <c r="A345" s="113" t="n"/>
      <c r="B345" s="111" t="n"/>
      <c r="C345" s="111" t="n"/>
      <c r="D345" s="117" t="n"/>
      <c r="E345" s="118">
        <f>IF(F345="","",IF(OR(F345="HDFC Bank (INR)",F345="HDFC IOCL Credit Card (INR)",F345="HDFC Swiggy Credit Card (INR)",F345="Axis Airtel Credit Card (INR)"),"INR","GBP"))</f>
        <v/>
      </c>
      <c r="F345" s="111" t="n"/>
      <c r="G345" s="111" t="n"/>
      <c r="H345" s="119">
        <f>IF(G345="Yes","",D345)</f>
        <v/>
      </c>
      <c r="I345" s="111" t="n"/>
      <c r="J345" s="111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68">
      <c r="A346" s="113" t="n"/>
      <c r="B346" s="111" t="n"/>
      <c r="C346" s="111" t="n"/>
      <c r="D346" s="117" t="n"/>
      <c r="E346" s="118">
        <f>IF(F346="","",IF(OR(F346="HDFC Bank (INR)",F346="HDFC IOCL Credit Card (INR)",F346="HDFC Swiggy Credit Card (INR)",F346="Axis Airtel Credit Card (INR)"),"INR","GBP"))</f>
        <v/>
      </c>
      <c r="F346" s="111" t="n"/>
      <c r="G346" s="111" t="n"/>
      <c r="H346" s="119">
        <f>IF(G346="Yes","",D346)</f>
        <v/>
      </c>
      <c r="I346" s="111" t="n"/>
      <c r="J346" s="111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68">
      <c r="A347" s="113" t="n"/>
      <c r="B347" s="111" t="n"/>
      <c r="C347" s="111" t="n"/>
      <c r="D347" s="117" t="n"/>
      <c r="E347" s="118">
        <f>IF(F347="","",IF(OR(F347="HDFC Bank (INR)",F347="HDFC IOCL Credit Card (INR)",F347="HDFC Swiggy Credit Card (INR)",F347="Axis Airtel Credit Card (INR)"),"INR","GBP"))</f>
        <v/>
      </c>
      <c r="F347" s="111" t="n"/>
      <c r="G347" s="111" t="n"/>
      <c r="H347" s="119">
        <f>IF(G347="Yes","",D347)</f>
        <v/>
      </c>
      <c r="I347" s="111" t="n"/>
      <c r="J347" s="111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68">
      <c r="A348" s="113" t="n"/>
      <c r="B348" s="111" t="n"/>
      <c r="C348" s="111" t="n"/>
      <c r="D348" s="117" t="n"/>
      <c r="E348" s="118">
        <f>IF(F348="","",IF(OR(F348="HDFC Bank (INR)",F348="HDFC IOCL Credit Card (INR)",F348="HDFC Swiggy Credit Card (INR)",F348="Axis Airtel Credit Card (INR)"),"INR","GBP"))</f>
        <v/>
      </c>
      <c r="F348" s="111" t="n"/>
      <c r="G348" s="111" t="n"/>
      <c r="H348" s="119">
        <f>IF(G348="Yes","",D348)</f>
        <v/>
      </c>
      <c r="I348" s="111" t="n"/>
      <c r="J348" s="111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68">
      <c r="A349" s="113" t="n"/>
      <c r="B349" s="111" t="n"/>
      <c r="C349" s="111" t="n"/>
      <c r="D349" s="117" t="n"/>
      <c r="E349" s="118">
        <f>IF(F349="","",IF(OR(F349="HDFC Bank (INR)",F349="HDFC IOCL Credit Card (INR)",F349="HDFC Swiggy Credit Card (INR)",F349="Axis Airtel Credit Card (INR)"),"INR","GBP"))</f>
        <v/>
      </c>
      <c r="F349" s="111" t="n"/>
      <c r="G349" s="111" t="n"/>
      <c r="H349" s="119">
        <f>IF(G349="Yes","",D349)</f>
        <v/>
      </c>
      <c r="I349" s="111" t="n"/>
      <c r="J349" s="111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68">
      <c r="A350" s="113" t="n"/>
      <c r="B350" s="111" t="n"/>
      <c r="C350" s="111" t="n"/>
      <c r="D350" s="117" t="n"/>
      <c r="E350" s="118">
        <f>IF(F350="","",IF(OR(F350="HDFC Bank (INR)",F350="HDFC IOCL Credit Card (INR)",F350="HDFC Swiggy Credit Card (INR)",F350="Axis Airtel Credit Card (INR)"),"INR","GBP"))</f>
        <v/>
      </c>
      <c r="F350" s="111" t="n"/>
      <c r="G350" s="111" t="n"/>
      <c r="H350" s="119">
        <f>IF(G350="Yes","",D350)</f>
        <v/>
      </c>
      <c r="I350" s="111" t="n"/>
      <c r="J350" s="111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68">
      <c r="A351" s="113" t="n"/>
      <c r="B351" s="111" t="n"/>
      <c r="C351" s="111" t="n"/>
      <c r="D351" s="117" t="n"/>
      <c r="E351" s="118">
        <f>IF(F351="","",IF(OR(F351="HDFC Bank (INR)",F351="HDFC IOCL Credit Card (INR)",F351="HDFC Swiggy Credit Card (INR)",F351="Axis Airtel Credit Card (INR)"),"INR","GBP"))</f>
        <v/>
      </c>
      <c r="F351" s="111" t="n"/>
      <c r="G351" s="111" t="n"/>
      <c r="H351" s="119">
        <f>IF(G351="Yes","",D351)</f>
        <v/>
      </c>
      <c r="I351" s="111" t="n"/>
      <c r="J351" s="111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68">
      <c r="A352" s="113" t="n"/>
      <c r="B352" s="111" t="n"/>
      <c r="C352" s="111" t="n"/>
      <c r="D352" s="117" t="n"/>
      <c r="E352" s="118">
        <f>IF(F352="","",IF(OR(F352="HDFC Bank (INR)",F352="HDFC IOCL Credit Card (INR)",F352="HDFC Swiggy Credit Card (INR)",F352="Axis Airtel Credit Card (INR)"),"INR","GBP"))</f>
        <v/>
      </c>
      <c r="F352" s="111" t="n"/>
      <c r="G352" s="111" t="n"/>
      <c r="H352" s="119">
        <f>IF(G352="Yes","",D352)</f>
        <v/>
      </c>
      <c r="I352" s="111" t="n"/>
      <c r="J352" s="111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68">
      <c r="A353" s="113" t="n"/>
      <c r="B353" s="111" t="n"/>
      <c r="C353" s="111" t="n"/>
      <c r="D353" s="117" t="n"/>
      <c r="E353" s="118">
        <f>IF(F353="","",IF(OR(F353="HDFC Bank (INR)",F353="HDFC IOCL Credit Card (INR)",F353="HDFC Swiggy Credit Card (INR)",F353="Axis Airtel Credit Card (INR)"),"INR","GBP"))</f>
        <v/>
      </c>
      <c r="F353" s="111" t="n"/>
      <c r="G353" s="111" t="n"/>
      <c r="H353" s="119">
        <f>IF(G353="Yes","",D353)</f>
        <v/>
      </c>
      <c r="I353" s="111" t="n"/>
      <c r="J353" s="111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68">
      <c r="A354" s="113" t="n"/>
      <c r="B354" s="111" t="n"/>
      <c r="C354" s="111" t="n"/>
      <c r="D354" s="117" t="n"/>
      <c r="E354" s="118">
        <f>IF(F354="","",IF(OR(F354="HDFC Bank (INR)",F354="HDFC IOCL Credit Card (INR)",F354="HDFC Swiggy Credit Card (INR)",F354="Axis Airtel Credit Card (INR)"),"INR","GBP"))</f>
        <v/>
      </c>
      <c r="F354" s="111" t="n"/>
      <c r="G354" s="111" t="n"/>
      <c r="H354" s="119">
        <f>IF(G354="Yes","",D354)</f>
        <v/>
      </c>
      <c r="I354" s="111" t="n"/>
      <c r="J354" s="111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68">
      <c r="A355" s="113" t="n"/>
      <c r="B355" s="111" t="n"/>
      <c r="C355" s="111" t="n"/>
      <c r="D355" s="117" t="n"/>
      <c r="E355" s="118">
        <f>IF(F355="","",IF(OR(F355="HDFC Bank (INR)",F355="HDFC IOCL Credit Card (INR)",F355="HDFC Swiggy Credit Card (INR)",F355="Axis Airtel Credit Card (INR)"),"INR","GBP"))</f>
        <v/>
      </c>
      <c r="F355" s="111" t="n"/>
      <c r="G355" s="111" t="n"/>
      <c r="H355" s="119">
        <f>IF(G355="Yes","",D355)</f>
        <v/>
      </c>
      <c r="I355" s="111" t="n"/>
      <c r="J355" s="111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68">
      <c r="A356" s="113" t="n"/>
      <c r="B356" s="111" t="n"/>
      <c r="C356" s="111" t="n"/>
      <c r="D356" s="117" t="n"/>
      <c r="E356" s="118">
        <f>IF(F356="","",IF(OR(F356="HDFC Bank (INR)",F356="HDFC IOCL Credit Card (INR)",F356="HDFC Swiggy Credit Card (INR)",F356="Axis Airtel Credit Card (INR)"),"INR","GBP"))</f>
        <v/>
      </c>
      <c r="F356" s="111" t="n"/>
      <c r="G356" s="111" t="n"/>
      <c r="H356" s="119">
        <f>IF(G356="Yes","",D356)</f>
        <v/>
      </c>
      <c r="I356" s="111" t="n"/>
      <c r="J356" s="111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68">
      <c r="A357" s="113" t="n"/>
      <c r="B357" s="111" t="n"/>
      <c r="C357" s="111" t="n"/>
      <c r="D357" s="117" t="n"/>
      <c r="E357" s="118">
        <f>IF(F357="","",IF(OR(F357="HDFC Bank (INR)",F357="HDFC IOCL Credit Card (INR)",F357="HDFC Swiggy Credit Card (INR)",F357="Axis Airtel Credit Card (INR)"),"INR","GBP"))</f>
        <v/>
      </c>
      <c r="F357" s="111" t="n"/>
      <c r="G357" s="111" t="n"/>
      <c r="H357" s="119">
        <f>IF(G357="Yes","",D357)</f>
        <v/>
      </c>
      <c r="I357" s="111" t="n"/>
      <c r="J357" s="111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68">
      <c r="A358" s="113" t="n"/>
      <c r="B358" s="111" t="n"/>
      <c r="C358" s="111" t="n"/>
      <c r="D358" s="117" t="n"/>
      <c r="E358" s="118">
        <f>IF(F358="","",IF(OR(F358="HDFC Bank (INR)",F358="HDFC IOCL Credit Card (INR)",F358="HDFC Swiggy Credit Card (INR)",F358="Axis Airtel Credit Card (INR)"),"INR","GBP"))</f>
        <v/>
      </c>
      <c r="F358" s="111" t="n"/>
      <c r="G358" s="111" t="n"/>
      <c r="H358" s="119">
        <f>IF(G358="Yes","",D358)</f>
        <v/>
      </c>
      <c r="I358" s="111" t="n"/>
      <c r="J358" s="111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68">
      <c r="A359" s="113" t="n"/>
      <c r="B359" s="111" t="n"/>
      <c r="C359" s="111" t="n"/>
      <c r="D359" s="117" t="n"/>
      <c r="E359" s="118">
        <f>IF(F359="","",IF(OR(F359="HDFC Bank (INR)",F359="HDFC IOCL Credit Card (INR)",F359="HDFC Swiggy Credit Card (INR)",F359="Axis Airtel Credit Card (INR)"),"INR","GBP"))</f>
        <v/>
      </c>
      <c r="F359" s="111" t="n"/>
      <c r="G359" s="111" t="n"/>
      <c r="H359" s="119">
        <f>IF(G359="Yes","",D359)</f>
        <v/>
      </c>
      <c r="I359" s="111" t="n"/>
      <c r="J359" s="111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68">
      <c r="A360" s="113" t="n"/>
      <c r="B360" s="111" t="n"/>
      <c r="C360" s="111" t="n"/>
      <c r="D360" s="117" t="n"/>
      <c r="E360" s="118">
        <f>IF(F360="","",IF(OR(F360="HDFC Bank (INR)",F360="HDFC IOCL Credit Card (INR)",F360="HDFC Swiggy Credit Card (INR)",F360="Axis Airtel Credit Card (INR)"),"INR","GBP"))</f>
        <v/>
      </c>
      <c r="F360" s="111" t="n"/>
      <c r="G360" s="111" t="n"/>
      <c r="H360" s="119">
        <f>IF(G360="Yes","",D360)</f>
        <v/>
      </c>
      <c r="I360" s="111" t="n"/>
      <c r="J360" s="111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68">
      <c r="A361" s="113" t="n"/>
      <c r="B361" s="111" t="n"/>
      <c r="C361" s="111" t="n"/>
      <c r="D361" s="117" t="n"/>
      <c r="E361" s="118">
        <f>IF(F361="","",IF(OR(F361="HDFC Bank (INR)",F361="HDFC IOCL Credit Card (INR)",F361="HDFC Swiggy Credit Card (INR)",F361="Axis Airtel Credit Card (INR)"),"INR","GBP"))</f>
        <v/>
      </c>
      <c r="F361" s="111" t="n"/>
      <c r="G361" s="111" t="n"/>
      <c r="H361" s="119">
        <f>IF(G361="Yes","",D361)</f>
        <v/>
      </c>
      <c r="I361" s="111" t="n"/>
      <c r="J361" s="111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68">
      <c r="A362" s="113" t="n"/>
      <c r="B362" s="111" t="n"/>
      <c r="C362" s="111" t="n"/>
      <c r="D362" s="117" t="n"/>
      <c r="E362" s="118">
        <f>IF(F362="","",IF(OR(F362="HDFC Bank (INR)",F362="HDFC IOCL Credit Card (INR)",F362="HDFC Swiggy Credit Card (INR)",F362="Axis Airtel Credit Card (INR)"),"INR","GBP"))</f>
        <v/>
      </c>
      <c r="F362" s="111" t="n"/>
      <c r="G362" s="111" t="n"/>
      <c r="H362" s="119">
        <f>IF(G362="Yes","",D362)</f>
        <v/>
      </c>
      <c r="I362" s="111" t="n"/>
      <c r="J362" s="111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68">
      <c r="A363" s="113" t="n"/>
      <c r="B363" s="111" t="n"/>
      <c r="C363" s="111" t="n"/>
      <c r="D363" s="117" t="n"/>
      <c r="E363" s="118">
        <f>IF(F363="","",IF(OR(F363="HDFC Bank (INR)",F363="HDFC IOCL Credit Card (INR)",F363="HDFC Swiggy Credit Card (INR)",F363="Axis Airtel Credit Card (INR)"),"INR","GBP"))</f>
        <v/>
      </c>
      <c r="F363" s="111" t="n"/>
      <c r="G363" s="111" t="n"/>
      <c r="H363" s="119">
        <f>IF(G363="Yes","",D363)</f>
        <v/>
      </c>
      <c r="I363" s="111" t="n"/>
      <c r="J363" s="111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68">
      <c r="A364" s="113" t="n"/>
      <c r="B364" s="111" t="n"/>
      <c r="C364" s="111" t="n"/>
      <c r="D364" s="117" t="n"/>
      <c r="E364" s="118">
        <f>IF(F364="","",IF(OR(F364="HDFC Bank (INR)",F364="HDFC IOCL Credit Card (INR)",F364="HDFC Swiggy Credit Card (INR)",F364="Axis Airtel Credit Card (INR)"),"INR","GBP"))</f>
        <v/>
      </c>
      <c r="F364" s="111" t="n"/>
      <c r="G364" s="111" t="n"/>
      <c r="H364" s="119">
        <f>IF(G364="Yes","",D364)</f>
        <v/>
      </c>
      <c r="I364" s="111" t="n"/>
      <c r="J364" s="111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68">
      <c r="A365" s="113" t="n"/>
      <c r="B365" s="111" t="n"/>
      <c r="C365" s="111" t="n"/>
      <c r="D365" s="117" t="n"/>
      <c r="E365" s="118">
        <f>IF(F365="","",IF(OR(F365="HDFC Bank (INR)",F365="HDFC IOCL Credit Card (INR)",F365="HDFC Swiggy Credit Card (INR)",F365="Axis Airtel Credit Card (INR)"),"INR","GBP"))</f>
        <v/>
      </c>
      <c r="F365" s="111" t="n"/>
      <c r="G365" s="111" t="n"/>
      <c r="H365" s="119">
        <f>IF(G365="Yes","",D365)</f>
        <v/>
      </c>
      <c r="I365" s="111" t="n"/>
      <c r="J365" s="111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68">
      <c r="A366" s="113" t="n"/>
      <c r="B366" s="111" t="n"/>
      <c r="C366" s="111" t="n"/>
      <c r="D366" s="117" t="n"/>
      <c r="E366" s="118">
        <f>IF(F366="","",IF(OR(F366="HDFC Bank (INR)",F366="HDFC IOCL Credit Card (INR)",F366="HDFC Swiggy Credit Card (INR)",F366="Axis Airtel Credit Card (INR)"),"INR","GBP"))</f>
        <v/>
      </c>
      <c r="F366" s="111" t="n"/>
      <c r="G366" s="111" t="n"/>
      <c r="H366" s="119">
        <f>IF(G366="Yes","",D366)</f>
        <v/>
      </c>
      <c r="I366" s="111" t="n"/>
      <c r="J366" s="111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68">
      <c r="A367" s="113" t="n"/>
      <c r="B367" s="111" t="n"/>
      <c r="C367" s="111" t="n"/>
      <c r="D367" s="117" t="n"/>
      <c r="E367" s="118">
        <f>IF(F367="","",IF(OR(F367="HDFC Bank (INR)",F367="HDFC IOCL Credit Card (INR)",F367="HDFC Swiggy Credit Card (INR)",F367="Axis Airtel Credit Card (INR)"),"INR","GBP"))</f>
        <v/>
      </c>
      <c r="F367" s="111" t="n"/>
      <c r="G367" s="111" t="n"/>
      <c r="H367" s="119">
        <f>IF(G367="Yes","",D367)</f>
        <v/>
      </c>
      <c r="I367" s="111" t="n"/>
      <c r="J367" s="111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68">
      <c r="A368" s="113" t="n"/>
      <c r="B368" s="111" t="n"/>
      <c r="C368" s="111" t="n"/>
      <c r="D368" s="117" t="n"/>
      <c r="E368" s="118">
        <f>IF(F368="","",IF(OR(F368="HDFC Bank (INR)",F368="HDFC IOCL Credit Card (INR)",F368="HDFC Swiggy Credit Card (INR)",F368="Axis Airtel Credit Card (INR)"),"INR","GBP"))</f>
        <v/>
      </c>
      <c r="F368" s="111" t="n"/>
      <c r="G368" s="111" t="n"/>
      <c r="H368" s="119">
        <f>IF(G368="Yes","",D368)</f>
        <v/>
      </c>
      <c r="I368" s="111" t="n"/>
      <c r="J368" s="111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68">
      <c r="A369" s="113" t="n"/>
      <c r="B369" s="111" t="n"/>
      <c r="C369" s="111" t="n"/>
      <c r="D369" s="117" t="n"/>
      <c r="E369" s="118">
        <f>IF(F369="","",IF(OR(F369="HDFC Bank (INR)",F369="HDFC IOCL Credit Card (INR)",F369="HDFC Swiggy Credit Card (INR)",F369="Axis Airtel Credit Card (INR)"),"INR","GBP"))</f>
        <v/>
      </c>
      <c r="F369" s="111" t="n"/>
      <c r="G369" s="111" t="n"/>
      <c r="H369" s="119">
        <f>IF(G369="Yes","",D369)</f>
        <v/>
      </c>
      <c r="I369" s="111" t="n"/>
      <c r="J369" s="111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68">
      <c r="A370" s="113" t="n"/>
      <c r="B370" s="111" t="n"/>
      <c r="C370" s="111" t="n"/>
      <c r="D370" s="117" t="n"/>
      <c r="E370" s="118">
        <f>IF(F370="","",IF(OR(F370="HDFC Bank (INR)",F370="HDFC IOCL Credit Card (INR)",F370="HDFC Swiggy Credit Card (INR)",F370="Axis Airtel Credit Card (INR)"),"INR","GBP"))</f>
        <v/>
      </c>
      <c r="F370" s="111" t="n"/>
      <c r="G370" s="111" t="n"/>
      <c r="H370" s="119">
        <f>IF(G370="Yes","",D370)</f>
        <v/>
      </c>
      <c r="I370" s="111" t="n"/>
      <c r="J370" s="111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68">
      <c r="A371" s="113" t="n"/>
      <c r="B371" s="111" t="n"/>
      <c r="C371" s="111" t="n"/>
      <c r="D371" s="117" t="n"/>
      <c r="E371" s="118">
        <f>IF(F371="","",IF(OR(F371="HDFC Bank (INR)",F371="HDFC IOCL Credit Card (INR)",F371="HDFC Swiggy Credit Card (INR)",F371="Axis Airtel Credit Card (INR)"),"INR","GBP"))</f>
        <v/>
      </c>
      <c r="F371" s="111" t="n"/>
      <c r="G371" s="111" t="n"/>
      <c r="H371" s="119">
        <f>IF(G371="Yes","",D371)</f>
        <v/>
      </c>
      <c r="I371" s="111" t="n"/>
      <c r="J371" s="111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68">
      <c r="A372" s="113" t="n"/>
      <c r="B372" s="111" t="n"/>
      <c r="C372" s="111" t="n"/>
      <c r="D372" s="117" t="n"/>
      <c r="E372" s="118">
        <f>IF(F372="","",IF(OR(F372="HDFC Bank (INR)",F372="HDFC IOCL Credit Card (INR)",F372="HDFC Swiggy Credit Card (INR)",F372="Axis Airtel Credit Card (INR)"),"INR","GBP"))</f>
        <v/>
      </c>
      <c r="F372" s="111" t="n"/>
      <c r="G372" s="111" t="n"/>
      <c r="H372" s="119">
        <f>IF(G372="Yes","",D372)</f>
        <v/>
      </c>
      <c r="I372" s="111" t="n"/>
      <c r="J372" s="111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68">
      <c r="A373" s="113" t="n"/>
      <c r="B373" s="111" t="n"/>
      <c r="C373" s="111" t="n"/>
      <c r="D373" s="117" t="n"/>
      <c r="E373" s="118">
        <f>IF(F373="","",IF(OR(F373="HDFC Bank (INR)",F373="HDFC IOCL Credit Card (INR)",F373="HDFC Swiggy Credit Card (INR)",F373="Axis Airtel Credit Card (INR)"),"INR","GBP"))</f>
        <v/>
      </c>
      <c r="F373" s="111" t="n"/>
      <c r="G373" s="111" t="n"/>
      <c r="H373" s="119">
        <f>IF(G373="Yes","",D373)</f>
        <v/>
      </c>
      <c r="I373" s="111" t="n"/>
      <c r="J373" s="111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68">
      <c r="A374" s="113" t="n"/>
      <c r="B374" s="111" t="n"/>
      <c r="C374" s="111" t="n"/>
      <c r="D374" s="117" t="n"/>
      <c r="E374" s="118">
        <f>IF(F374="","",IF(OR(F374="HDFC Bank (INR)",F374="HDFC IOCL Credit Card (INR)",F374="HDFC Swiggy Credit Card (INR)",F374="Axis Airtel Credit Card (INR)"),"INR","GBP"))</f>
        <v/>
      </c>
      <c r="F374" s="111" t="n"/>
      <c r="G374" s="111" t="n"/>
      <c r="H374" s="119">
        <f>IF(G374="Yes","",D374)</f>
        <v/>
      </c>
      <c r="I374" s="111" t="n"/>
      <c r="J374" s="111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68">
      <c r="A375" s="113" t="n"/>
      <c r="B375" s="111" t="n"/>
      <c r="C375" s="111" t="n"/>
      <c r="D375" s="117" t="n"/>
      <c r="E375" s="118">
        <f>IF(F375="","",IF(OR(F375="HDFC Bank (INR)",F375="HDFC IOCL Credit Card (INR)",F375="HDFC Swiggy Credit Card (INR)",F375="Axis Airtel Credit Card (INR)"),"INR","GBP"))</f>
        <v/>
      </c>
      <c r="F375" s="111" t="n"/>
      <c r="G375" s="111" t="n"/>
      <c r="H375" s="119">
        <f>IF(G375="Yes","",D375)</f>
        <v/>
      </c>
      <c r="I375" s="111" t="n"/>
      <c r="J375" s="111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68">
      <c r="A376" s="113" t="n"/>
      <c r="B376" s="111" t="n"/>
      <c r="C376" s="111" t="n"/>
      <c r="D376" s="117" t="n"/>
      <c r="E376" s="118">
        <f>IF(F376="","",IF(OR(F376="HDFC Bank (INR)",F376="HDFC IOCL Credit Card (INR)",F376="HDFC Swiggy Credit Card (INR)",F376="Axis Airtel Credit Card (INR)"),"INR","GBP"))</f>
        <v/>
      </c>
      <c r="F376" s="111" t="n"/>
      <c r="G376" s="111" t="n"/>
      <c r="H376" s="119">
        <f>IF(G376="Yes","",D376)</f>
        <v/>
      </c>
      <c r="I376" s="111" t="n"/>
      <c r="J376" s="111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68">
      <c r="A377" s="113" t="n"/>
      <c r="B377" s="111" t="n"/>
      <c r="C377" s="111" t="n"/>
      <c r="D377" s="117" t="n"/>
      <c r="E377" s="118">
        <f>IF(F377="","",IF(OR(F377="HDFC Bank (INR)",F377="HDFC IOCL Credit Card (INR)",F377="HDFC Swiggy Credit Card (INR)",F377="Axis Airtel Credit Card (INR)"),"INR","GBP"))</f>
        <v/>
      </c>
      <c r="F377" s="111" t="n"/>
      <c r="G377" s="111" t="n"/>
      <c r="H377" s="119">
        <f>IF(G377="Yes","",D377)</f>
        <v/>
      </c>
      <c r="I377" s="111" t="n"/>
      <c r="J377" s="111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68">
      <c r="A378" s="113" t="n"/>
      <c r="B378" s="111" t="n"/>
      <c r="C378" s="111" t="n"/>
      <c r="D378" s="117" t="n"/>
      <c r="E378" s="118">
        <f>IF(F378="","",IF(OR(F378="HDFC Bank (INR)",F378="HDFC IOCL Credit Card (INR)",F378="HDFC Swiggy Credit Card (INR)",F378="Axis Airtel Credit Card (INR)"),"INR","GBP"))</f>
        <v/>
      </c>
      <c r="F378" s="111" t="n"/>
      <c r="G378" s="111" t="n"/>
      <c r="H378" s="119">
        <f>IF(G378="Yes","",D378)</f>
        <v/>
      </c>
      <c r="I378" s="111" t="n"/>
      <c r="J378" s="111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68">
      <c r="A379" s="113" t="n"/>
      <c r="B379" s="111" t="n"/>
      <c r="C379" s="111" t="n"/>
      <c r="D379" s="117" t="n"/>
      <c r="E379" s="118">
        <f>IF(F379="","",IF(OR(F379="HDFC Bank (INR)",F379="HDFC IOCL Credit Card (INR)",F379="HDFC Swiggy Credit Card (INR)",F379="Axis Airtel Credit Card (INR)"),"INR","GBP"))</f>
        <v/>
      </c>
      <c r="F379" s="111" t="n"/>
      <c r="G379" s="111" t="n"/>
      <c r="H379" s="119">
        <f>IF(G379="Yes","",D379)</f>
        <v/>
      </c>
      <c r="I379" s="111" t="n"/>
      <c r="J379" s="111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68">
      <c r="A380" s="113" t="n"/>
      <c r="B380" s="111" t="n"/>
      <c r="C380" s="111" t="n"/>
      <c r="D380" s="117" t="n"/>
      <c r="E380" s="118">
        <f>IF(F380="","",IF(OR(F380="HDFC Bank (INR)",F380="HDFC IOCL Credit Card (INR)",F380="HDFC Swiggy Credit Card (INR)",F380="Axis Airtel Credit Card (INR)"),"INR","GBP"))</f>
        <v/>
      </c>
      <c r="F380" s="111" t="n"/>
      <c r="G380" s="111" t="n"/>
      <c r="H380" s="119">
        <f>IF(G380="Yes","",D380)</f>
        <v/>
      </c>
      <c r="I380" s="111" t="n"/>
      <c r="J380" s="111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68">
      <c r="A381" s="113" t="n"/>
      <c r="B381" s="111" t="n"/>
      <c r="C381" s="111" t="n"/>
      <c r="D381" s="117" t="n"/>
      <c r="E381" s="118">
        <f>IF(F381="","",IF(OR(F381="HDFC Bank (INR)",F381="HDFC IOCL Credit Card (INR)",F381="HDFC Swiggy Credit Card (INR)",F381="Axis Airtel Credit Card (INR)"),"INR","GBP"))</f>
        <v/>
      </c>
      <c r="F381" s="111" t="n"/>
      <c r="G381" s="111" t="n"/>
      <c r="H381" s="119">
        <f>IF(G381="Yes","",D381)</f>
        <v/>
      </c>
      <c r="I381" s="111" t="n"/>
      <c r="J381" s="111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68">
      <c r="A382" s="113" t="n"/>
      <c r="B382" s="111" t="n"/>
      <c r="C382" s="111" t="n"/>
      <c r="D382" s="117" t="n"/>
      <c r="E382" s="118">
        <f>IF(F382="","",IF(OR(F382="HDFC Bank (INR)",F382="HDFC IOCL Credit Card (INR)",F382="HDFC Swiggy Credit Card (INR)",F382="Axis Airtel Credit Card (INR)"),"INR","GBP"))</f>
        <v/>
      </c>
      <c r="F382" s="111" t="n"/>
      <c r="G382" s="111" t="n"/>
      <c r="H382" s="119">
        <f>IF(G382="Yes","",D382)</f>
        <v/>
      </c>
      <c r="I382" s="111" t="n"/>
      <c r="J382" s="111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68">
      <c r="A383" s="113" t="n"/>
      <c r="B383" s="111" t="n"/>
      <c r="C383" s="111" t="n"/>
      <c r="D383" s="117" t="n"/>
      <c r="E383" s="118">
        <f>IF(F383="","",IF(OR(F383="HDFC Bank (INR)",F383="HDFC IOCL Credit Card (INR)",F383="HDFC Swiggy Credit Card (INR)",F383="Axis Airtel Credit Card (INR)"),"INR","GBP"))</f>
        <v/>
      </c>
      <c r="F383" s="111" t="n"/>
      <c r="G383" s="111" t="n"/>
      <c r="H383" s="119">
        <f>IF(G383="Yes","",D383)</f>
        <v/>
      </c>
      <c r="I383" s="111" t="n"/>
      <c r="J383" s="111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68">
      <c r="A384" s="113" t="n"/>
      <c r="B384" s="111" t="n"/>
      <c r="C384" s="111" t="n"/>
      <c r="D384" s="117" t="n"/>
      <c r="E384" s="118">
        <f>IF(F384="","",IF(OR(F384="HDFC Bank (INR)",F384="HDFC IOCL Credit Card (INR)",F384="HDFC Swiggy Credit Card (INR)",F384="Axis Airtel Credit Card (INR)"),"INR","GBP"))</f>
        <v/>
      </c>
      <c r="F384" s="111" t="n"/>
      <c r="G384" s="111" t="n"/>
      <c r="H384" s="119">
        <f>IF(G384="Yes","",D384)</f>
        <v/>
      </c>
      <c r="I384" s="111" t="n"/>
      <c r="J384" s="111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68">
      <c r="A385" s="113" t="n"/>
      <c r="B385" s="111" t="n"/>
      <c r="C385" s="111" t="n"/>
      <c r="D385" s="117" t="n"/>
      <c r="E385" s="118">
        <f>IF(F385="","",IF(OR(F385="HDFC Bank (INR)",F385="HDFC IOCL Credit Card (INR)",F385="HDFC Swiggy Credit Card (INR)",F385="Axis Airtel Credit Card (INR)"),"INR","GBP"))</f>
        <v/>
      </c>
      <c r="F385" s="111" t="n"/>
      <c r="G385" s="111" t="n"/>
      <c r="H385" s="119">
        <f>IF(G385="Yes","",D385)</f>
        <v/>
      </c>
      <c r="I385" s="111" t="n"/>
      <c r="J385" s="111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68">
      <c r="A386" s="113" t="n"/>
      <c r="B386" s="111" t="n"/>
      <c r="C386" s="111" t="n"/>
      <c r="D386" s="117" t="n"/>
      <c r="E386" s="118">
        <f>IF(F386="","",IF(OR(F386="HDFC Bank (INR)",F386="HDFC IOCL Credit Card (INR)",F386="HDFC Swiggy Credit Card (INR)",F386="Axis Airtel Credit Card (INR)"),"INR","GBP"))</f>
        <v/>
      </c>
      <c r="F386" s="111" t="n"/>
      <c r="G386" s="111" t="n"/>
      <c r="H386" s="119">
        <f>IF(G386="Yes","",D386)</f>
        <v/>
      </c>
      <c r="I386" s="111" t="n"/>
      <c r="J386" s="111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68">
      <c r="A387" s="113" t="n"/>
      <c r="B387" s="111" t="n"/>
      <c r="C387" s="111" t="n"/>
      <c r="D387" s="117" t="n"/>
      <c r="E387" s="118">
        <f>IF(F387="","",IF(OR(F387="HDFC Bank (INR)",F387="HDFC IOCL Credit Card (INR)",F387="HDFC Swiggy Credit Card (INR)",F387="Axis Airtel Credit Card (INR)"),"INR","GBP"))</f>
        <v/>
      </c>
      <c r="F387" s="111" t="n"/>
      <c r="G387" s="111" t="n"/>
      <c r="H387" s="119">
        <f>IF(G387="Yes","",D387)</f>
        <v/>
      </c>
      <c r="I387" s="111" t="n"/>
      <c r="J387" s="111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68">
      <c r="A388" s="113" t="n"/>
      <c r="B388" s="111" t="n"/>
      <c r="C388" s="111" t="n"/>
      <c r="D388" s="117" t="n"/>
      <c r="E388" s="118">
        <f>IF(F388="","",IF(OR(F388="HDFC Bank (INR)",F388="HDFC IOCL Credit Card (INR)",F388="HDFC Swiggy Credit Card (INR)",F388="Axis Airtel Credit Card (INR)"),"INR","GBP"))</f>
        <v/>
      </c>
      <c r="F388" s="111" t="n"/>
      <c r="G388" s="111" t="n"/>
      <c r="H388" s="119">
        <f>IF(G388="Yes","",D388)</f>
        <v/>
      </c>
      <c r="I388" s="111" t="n"/>
      <c r="J388" s="111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68">
      <c r="A389" s="113" t="n"/>
      <c r="B389" s="111" t="n"/>
      <c r="C389" s="111" t="n"/>
      <c r="D389" s="117" t="n"/>
      <c r="E389" s="118">
        <f>IF(F389="","",IF(OR(F389="HDFC Bank (INR)",F389="HDFC IOCL Credit Card (INR)",F389="HDFC Swiggy Credit Card (INR)",F389="Axis Airtel Credit Card (INR)"),"INR","GBP"))</f>
        <v/>
      </c>
      <c r="F389" s="111" t="n"/>
      <c r="G389" s="111" t="n"/>
      <c r="H389" s="119">
        <f>IF(G389="Yes","",D389)</f>
        <v/>
      </c>
      <c r="I389" s="111" t="n"/>
      <c r="J389" s="111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68">
      <c r="A390" s="113" t="n"/>
      <c r="B390" s="111" t="n"/>
      <c r="C390" s="111" t="n"/>
      <c r="D390" s="117" t="n"/>
      <c r="E390" s="118">
        <f>IF(F390="","",IF(OR(F390="HDFC Bank (INR)",F390="HDFC IOCL Credit Card (INR)",F390="HDFC Swiggy Credit Card (INR)",F390="Axis Airtel Credit Card (INR)"),"INR","GBP"))</f>
        <v/>
      </c>
      <c r="F390" s="111" t="n"/>
      <c r="G390" s="111" t="n"/>
      <c r="H390" s="119">
        <f>IF(G390="Yes","",D390)</f>
        <v/>
      </c>
      <c r="I390" s="111" t="n"/>
      <c r="J390" s="111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68">
      <c r="A391" s="113" t="n"/>
      <c r="B391" s="111" t="n"/>
      <c r="C391" s="111" t="n"/>
      <c r="D391" s="117" t="n"/>
      <c r="E391" s="118">
        <f>IF(F391="","",IF(OR(F391="HDFC Bank (INR)",F391="HDFC IOCL Credit Card (INR)",F391="HDFC Swiggy Credit Card (INR)",F391="Axis Airtel Credit Card (INR)"),"INR","GBP"))</f>
        <v/>
      </c>
      <c r="F391" s="111" t="n"/>
      <c r="G391" s="111" t="n"/>
      <c r="H391" s="119">
        <f>IF(G391="Yes","",D391)</f>
        <v/>
      </c>
      <c r="I391" s="111" t="n"/>
      <c r="J391" s="111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68">
      <c r="A392" s="113" t="n"/>
      <c r="B392" s="111" t="n"/>
      <c r="C392" s="111" t="n"/>
      <c r="D392" s="117" t="n"/>
      <c r="E392" s="118">
        <f>IF(F392="","",IF(OR(F392="HDFC Bank (INR)",F392="HDFC IOCL Credit Card (INR)",F392="HDFC Swiggy Credit Card (INR)",F392="Axis Airtel Credit Card (INR)"),"INR","GBP"))</f>
        <v/>
      </c>
      <c r="F392" s="111" t="n"/>
      <c r="G392" s="111" t="n"/>
      <c r="H392" s="119">
        <f>IF(G392="Yes","",D392)</f>
        <v/>
      </c>
      <c r="I392" s="111" t="n"/>
      <c r="J392" s="111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68">
      <c r="A393" s="113" t="n"/>
      <c r="B393" s="111" t="n"/>
      <c r="C393" s="111" t="n"/>
      <c r="D393" s="117" t="n"/>
      <c r="E393" s="118">
        <f>IF(F393="","",IF(OR(F393="HDFC Bank (INR)",F393="HDFC IOCL Credit Card (INR)",F393="HDFC Swiggy Credit Card (INR)",F393="Axis Airtel Credit Card (INR)"),"INR","GBP"))</f>
        <v/>
      </c>
      <c r="F393" s="111" t="n"/>
      <c r="G393" s="111" t="n"/>
      <c r="H393" s="119">
        <f>IF(G393="Yes","",D393)</f>
        <v/>
      </c>
      <c r="I393" s="111" t="n"/>
      <c r="J393" s="111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68">
      <c r="A394" s="113" t="n"/>
      <c r="B394" s="111" t="n"/>
      <c r="C394" s="111" t="n"/>
      <c r="D394" s="117" t="n"/>
      <c r="E394" s="118">
        <f>IF(F394="","",IF(OR(F394="HDFC Bank (INR)",F394="HDFC IOCL Credit Card (INR)",F394="HDFC Swiggy Credit Card (INR)",F394="Axis Airtel Credit Card (INR)"),"INR","GBP"))</f>
        <v/>
      </c>
      <c r="F394" s="111" t="n"/>
      <c r="G394" s="111" t="n"/>
      <c r="H394" s="119">
        <f>IF(G394="Yes","",D394)</f>
        <v/>
      </c>
      <c r="I394" s="111" t="n"/>
      <c r="J394" s="111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68">
      <c r="A395" s="113" t="n"/>
      <c r="B395" s="111" t="n"/>
      <c r="C395" s="111" t="n"/>
      <c r="D395" s="117" t="n"/>
      <c r="E395" s="118">
        <f>IF(F395="","",IF(OR(F395="HDFC Bank (INR)",F395="HDFC IOCL Credit Card (INR)",F395="HDFC Swiggy Credit Card (INR)",F395="Axis Airtel Credit Card (INR)"),"INR","GBP"))</f>
        <v/>
      </c>
      <c r="F395" s="111" t="n"/>
      <c r="G395" s="111" t="n"/>
      <c r="H395" s="119">
        <f>IF(G395="Yes","",D395)</f>
        <v/>
      </c>
      <c r="I395" s="111" t="n"/>
      <c r="J395" s="111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68">
      <c r="A396" s="113" t="n"/>
      <c r="B396" s="111" t="n"/>
      <c r="C396" s="111" t="n"/>
      <c r="D396" s="117" t="n"/>
      <c r="E396" s="118">
        <f>IF(F396="","",IF(OR(F396="HDFC Bank (INR)",F396="HDFC IOCL Credit Card (INR)",F396="HDFC Swiggy Credit Card (INR)",F396="Axis Airtel Credit Card (INR)"),"INR","GBP"))</f>
        <v/>
      </c>
      <c r="F396" s="111" t="n"/>
      <c r="G396" s="111" t="n"/>
      <c r="H396" s="119">
        <f>IF(G396="Yes","",D396)</f>
        <v/>
      </c>
      <c r="I396" s="111" t="n"/>
      <c r="J396" s="111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68">
      <c r="A397" s="113" t="n"/>
      <c r="B397" s="111" t="n"/>
      <c r="C397" s="111" t="n"/>
      <c r="D397" s="117" t="n"/>
      <c r="E397" s="118">
        <f>IF(F397="","",IF(OR(F397="HDFC Bank (INR)",F397="HDFC IOCL Credit Card (INR)",F397="HDFC Swiggy Credit Card (INR)",F397="Axis Airtel Credit Card (INR)"),"INR","GBP"))</f>
        <v/>
      </c>
      <c r="F397" s="111" t="n"/>
      <c r="G397" s="111" t="n"/>
      <c r="H397" s="119">
        <f>IF(G397="Yes","",D397)</f>
        <v/>
      </c>
      <c r="I397" s="111" t="n"/>
      <c r="J397" s="111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68">
      <c r="A398" s="113" t="n"/>
      <c r="B398" s="111" t="n"/>
      <c r="C398" s="111" t="n"/>
      <c r="D398" s="117" t="n"/>
      <c r="E398" s="118">
        <f>IF(F398="","",IF(OR(F398="HDFC Bank (INR)",F398="HDFC IOCL Credit Card (INR)",F398="HDFC Swiggy Credit Card (INR)",F398="Axis Airtel Credit Card (INR)"),"INR","GBP"))</f>
        <v/>
      </c>
      <c r="F398" s="111" t="n"/>
      <c r="G398" s="111" t="n"/>
      <c r="H398" s="119">
        <f>IF(G398="Yes","",D398)</f>
        <v/>
      </c>
      <c r="I398" s="111" t="n"/>
      <c r="J398" s="111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68">
      <c r="A399" s="113" t="n"/>
      <c r="B399" s="111" t="n"/>
      <c r="C399" s="111" t="n"/>
      <c r="D399" s="117" t="n"/>
      <c r="E399" s="118">
        <f>IF(F399="","",IF(OR(F399="HDFC Bank (INR)",F399="HDFC IOCL Credit Card (INR)",F399="HDFC Swiggy Credit Card (INR)",F399="Axis Airtel Credit Card (INR)"),"INR","GBP"))</f>
        <v/>
      </c>
      <c r="F399" s="111" t="n"/>
      <c r="G399" s="111" t="n"/>
      <c r="H399" s="119">
        <f>IF(G399="Yes","",D399)</f>
        <v/>
      </c>
      <c r="I399" s="111" t="n"/>
      <c r="J399" s="111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68">
      <c r="A400" s="113" t="n"/>
      <c r="B400" s="111" t="n"/>
      <c r="C400" s="111" t="n"/>
      <c r="D400" s="117" t="n"/>
      <c r="E400" s="118">
        <f>IF(F400="","",IF(OR(F400="HDFC Bank (INR)",F400="HDFC IOCL Credit Card (INR)",F400="HDFC Swiggy Credit Card (INR)",F400="Axis Airtel Credit Card (INR)"),"INR","GBP"))</f>
        <v/>
      </c>
      <c r="F400" s="111" t="n"/>
      <c r="G400" s="111" t="n"/>
      <c r="H400" s="119">
        <f>IF(G400="Yes","",D400)</f>
        <v/>
      </c>
      <c r="I400" s="111" t="n"/>
      <c r="J400" s="111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68">
      <c r="A401" s="113" t="n"/>
      <c r="B401" s="111" t="n"/>
      <c r="C401" s="111" t="n"/>
      <c r="D401" s="117" t="n"/>
      <c r="E401" s="118">
        <f>IF(F401="","",IF(OR(F401="HDFC Bank (INR)",F401="HDFC IOCL Credit Card (INR)",F401="HDFC Swiggy Credit Card (INR)",F401="Axis Airtel Credit Card (INR)"),"INR","GBP"))</f>
        <v/>
      </c>
      <c r="F401" s="111" t="n"/>
      <c r="G401" s="111" t="n"/>
      <c r="H401" s="119">
        <f>IF(G401="Yes","",D401)</f>
        <v/>
      </c>
      <c r="I401" s="111" t="n"/>
      <c r="J401" s="111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68">
      <c r="A402" s="113" t="n"/>
      <c r="B402" s="111" t="n"/>
      <c r="C402" s="111" t="n"/>
      <c r="D402" s="117" t="n"/>
      <c r="E402" s="118">
        <f>IF(F402="","",IF(OR(F402="HDFC Bank (INR)",F402="HDFC IOCL Credit Card (INR)",F402="HDFC Swiggy Credit Card (INR)",F402="Axis Airtel Credit Card (INR)"),"INR","GBP"))</f>
        <v/>
      </c>
      <c r="F402" s="111" t="n"/>
      <c r="G402" s="111" t="n"/>
      <c r="H402" s="119">
        <f>IF(G402="Yes","",D402)</f>
        <v/>
      </c>
      <c r="I402" s="111" t="n"/>
      <c r="J402" s="111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68">
      <c r="A403" s="113" t="n"/>
      <c r="B403" s="111" t="n"/>
      <c r="C403" s="111" t="n"/>
      <c r="D403" s="117" t="n"/>
      <c r="E403" s="118">
        <f>IF(F403="","",IF(OR(F403="HDFC Bank (INR)",F403="HDFC IOCL Credit Card (INR)",F403="HDFC Swiggy Credit Card (INR)",F403="Axis Airtel Credit Card (INR)"),"INR","GBP"))</f>
        <v/>
      </c>
      <c r="F403" s="111" t="n"/>
      <c r="G403" s="111" t="n"/>
      <c r="H403" s="119">
        <f>IF(G403="Yes","",D403)</f>
        <v/>
      </c>
      <c r="I403" s="111" t="n"/>
      <c r="J403" s="111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68">
      <c r="A404" s="113" t="n"/>
      <c r="B404" s="111" t="n"/>
      <c r="C404" s="111" t="n"/>
      <c r="D404" s="117" t="n"/>
      <c r="E404" s="118">
        <f>IF(F404="","",IF(OR(F404="HDFC Bank (INR)",F404="HDFC IOCL Credit Card (INR)",F404="HDFC Swiggy Credit Card (INR)",F404="Axis Airtel Credit Card (INR)"),"INR","GBP"))</f>
        <v/>
      </c>
      <c r="F404" s="111" t="n"/>
      <c r="G404" s="111" t="n"/>
      <c r="H404" s="119">
        <f>IF(G404="Yes","",D404)</f>
        <v/>
      </c>
      <c r="I404" s="111" t="n"/>
      <c r="J404" s="111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68">
      <c r="A405" s="113" t="n"/>
      <c r="B405" s="111" t="n"/>
      <c r="C405" s="111" t="n"/>
      <c r="D405" s="117" t="n"/>
      <c r="E405" s="118">
        <f>IF(F405="","",IF(OR(F405="HDFC Bank (INR)",F405="HDFC IOCL Credit Card (INR)",F405="HDFC Swiggy Credit Card (INR)",F405="Axis Airtel Credit Card (INR)"),"INR","GBP"))</f>
        <v/>
      </c>
      <c r="F405" s="111" t="n"/>
      <c r="G405" s="111" t="n"/>
      <c r="H405" s="119">
        <f>IF(G405="Yes","",D405)</f>
        <v/>
      </c>
      <c r="I405" s="111" t="n"/>
      <c r="J405" s="111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68">
      <c r="A406" s="113" t="n"/>
      <c r="B406" s="111" t="n"/>
      <c r="C406" s="111" t="n"/>
      <c r="D406" s="117" t="n"/>
      <c r="E406" s="118">
        <f>IF(F406="","",IF(OR(F406="HDFC Bank (INR)",F406="HDFC IOCL Credit Card (INR)",F406="HDFC Swiggy Credit Card (INR)",F406="Axis Airtel Credit Card (INR)"),"INR","GBP"))</f>
        <v/>
      </c>
      <c r="F406" s="111" t="n"/>
      <c r="G406" s="111" t="n"/>
      <c r="H406" s="119">
        <f>IF(G406="Yes","",D406)</f>
        <v/>
      </c>
      <c r="I406" s="111" t="n"/>
      <c r="J406" s="111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68">
      <c r="A407" s="113" t="n"/>
      <c r="B407" s="111" t="n"/>
      <c r="C407" s="111" t="n"/>
      <c r="D407" s="117" t="n"/>
      <c r="E407" s="118">
        <f>IF(F407="","",IF(OR(F407="HDFC Bank (INR)",F407="HDFC IOCL Credit Card (INR)",F407="HDFC Swiggy Credit Card (INR)",F407="Axis Airtel Credit Card (INR)"),"INR","GBP"))</f>
        <v/>
      </c>
      <c r="F407" s="111" t="n"/>
      <c r="G407" s="111" t="n"/>
      <c r="H407" s="119">
        <f>IF(G407="Yes","",D407)</f>
        <v/>
      </c>
      <c r="I407" s="111" t="n"/>
      <c r="J407" s="111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68">
      <c r="A408" s="113" t="n"/>
      <c r="B408" s="111" t="n"/>
      <c r="C408" s="111" t="n"/>
      <c r="D408" s="117" t="n"/>
      <c r="E408" s="118">
        <f>IF(F408="","",IF(OR(F408="HDFC Bank (INR)",F408="HDFC IOCL Credit Card (INR)",F408="HDFC Swiggy Credit Card (INR)",F408="Axis Airtel Credit Card (INR)"),"INR","GBP"))</f>
        <v/>
      </c>
      <c r="F408" s="111" t="n"/>
      <c r="G408" s="111" t="n"/>
      <c r="H408" s="119">
        <f>IF(G408="Yes","",D408)</f>
        <v/>
      </c>
      <c r="I408" s="111" t="n"/>
      <c r="J408" s="111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68">
      <c r="A409" s="113" t="n"/>
      <c r="B409" s="111" t="n"/>
      <c r="C409" s="111" t="n"/>
      <c r="D409" s="117" t="n"/>
      <c r="E409" s="118">
        <f>IF(F409="","",IF(OR(F409="HDFC Bank (INR)",F409="HDFC IOCL Credit Card (INR)",F409="HDFC Swiggy Credit Card (INR)",F409="Axis Airtel Credit Card (INR)"),"INR","GBP"))</f>
        <v/>
      </c>
      <c r="F409" s="111" t="n"/>
      <c r="G409" s="111" t="n"/>
      <c r="H409" s="119">
        <f>IF(G409="Yes","",D409)</f>
        <v/>
      </c>
      <c r="I409" s="111" t="n"/>
      <c r="J409" s="111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68">
      <c r="A410" s="113" t="n"/>
      <c r="B410" s="111" t="n"/>
      <c r="C410" s="111" t="n"/>
      <c r="D410" s="117" t="n"/>
      <c r="E410" s="118">
        <f>IF(F410="","",IF(OR(F410="HDFC Bank (INR)",F410="HDFC IOCL Credit Card (INR)",F410="HDFC Swiggy Credit Card (INR)",F410="Axis Airtel Credit Card (INR)"),"INR","GBP"))</f>
        <v/>
      </c>
      <c r="F410" s="111" t="n"/>
      <c r="G410" s="111" t="n"/>
      <c r="H410" s="119">
        <f>IF(G410="Yes","",D410)</f>
        <v/>
      </c>
      <c r="I410" s="111" t="n"/>
      <c r="J410" s="111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68">
      <c r="A411" s="113" t="n"/>
      <c r="B411" s="111" t="n"/>
      <c r="C411" s="111" t="n"/>
      <c r="D411" s="117" t="n"/>
      <c r="E411" s="118">
        <f>IF(F411="","",IF(OR(F411="HDFC Bank (INR)",F411="HDFC IOCL Credit Card (INR)",F411="HDFC Swiggy Credit Card (INR)",F411="Axis Airtel Credit Card (INR)"),"INR","GBP"))</f>
        <v/>
      </c>
      <c r="F411" s="111" t="n"/>
      <c r="G411" s="111" t="n"/>
      <c r="H411" s="119">
        <f>IF(G411="Yes","",D411)</f>
        <v/>
      </c>
      <c r="I411" s="111" t="n"/>
      <c r="J411" s="111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68">
      <c r="A412" s="113" t="n"/>
      <c r="B412" s="111" t="n"/>
      <c r="C412" s="111" t="n"/>
      <c r="D412" s="117" t="n"/>
      <c r="E412" s="118">
        <f>IF(F412="","",IF(OR(F412="HDFC Bank (INR)",F412="HDFC IOCL Credit Card (INR)",F412="HDFC Swiggy Credit Card (INR)",F412="Axis Airtel Credit Card (INR)"),"INR","GBP"))</f>
        <v/>
      </c>
      <c r="F412" s="111" t="n"/>
      <c r="G412" s="111" t="n"/>
      <c r="H412" s="119">
        <f>IF(G412="Yes","",D412)</f>
        <v/>
      </c>
      <c r="I412" s="111" t="n"/>
      <c r="J412" s="111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68">
      <c r="A413" s="113" t="n"/>
      <c r="B413" s="111" t="n"/>
      <c r="C413" s="111" t="n"/>
      <c r="D413" s="117" t="n"/>
      <c r="E413" s="118">
        <f>IF(F413="","",IF(OR(F413="HDFC Bank (INR)",F413="HDFC IOCL Credit Card (INR)",F413="HDFC Swiggy Credit Card (INR)",F413="Axis Airtel Credit Card (INR)"),"INR","GBP"))</f>
        <v/>
      </c>
      <c r="F413" s="111" t="n"/>
      <c r="G413" s="111" t="n"/>
      <c r="H413" s="119">
        <f>IF(G413="Yes","",D413)</f>
        <v/>
      </c>
      <c r="I413" s="111" t="n"/>
      <c r="J413" s="111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68">
      <c r="A414" s="113" t="n"/>
      <c r="B414" s="111" t="n"/>
      <c r="C414" s="111" t="n"/>
      <c r="D414" s="117" t="n"/>
      <c r="E414" s="118">
        <f>IF(F414="","",IF(OR(F414="HDFC Bank (INR)",F414="HDFC IOCL Credit Card (INR)",F414="HDFC Swiggy Credit Card (INR)",F414="Axis Airtel Credit Card (INR)"),"INR","GBP"))</f>
        <v/>
      </c>
      <c r="F414" s="111" t="n"/>
      <c r="G414" s="111" t="n"/>
      <c r="H414" s="119">
        <f>IF(G414="Yes","",D414)</f>
        <v/>
      </c>
      <c r="I414" s="111" t="n"/>
      <c r="J414" s="111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68">
      <c r="A415" s="113" t="n"/>
      <c r="B415" s="111" t="n"/>
      <c r="C415" s="111" t="n"/>
      <c r="D415" s="117" t="n"/>
      <c r="E415" s="118">
        <f>IF(F415="","",IF(OR(F415="HDFC Bank (INR)",F415="HDFC IOCL Credit Card (INR)",F415="HDFC Swiggy Credit Card (INR)",F415="Axis Airtel Credit Card (INR)"),"INR","GBP"))</f>
        <v/>
      </c>
      <c r="F415" s="111" t="n"/>
      <c r="G415" s="111" t="n"/>
      <c r="H415" s="119">
        <f>IF(G415="Yes","",D415)</f>
        <v/>
      </c>
      <c r="I415" s="111" t="n"/>
      <c r="J415" s="111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68">
      <c r="A416" s="113" t="n"/>
      <c r="B416" s="111" t="n"/>
      <c r="C416" s="111" t="n"/>
      <c r="D416" s="117" t="n"/>
      <c r="E416" s="118">
        <f>IF(F416="","",IF(OR(F416="HDFC Bank (INR)",F416="HDFC IOCL Credit Card (INR)",F416="HDFC Swiggy Credit Card (INR)",F416="Axis Airtel Credit Card (INR)"),"INR","GBP"))</f>
        <v/>
      </c>
      <c r="F416" s="111" t="n"/>
      <c r="G416" s="111" t="n"/>
      <c r="H416" s="119">
        <f>IF(G416="Yes","",D416)</f>
        <v/>
      </c>
      <c r="I416" s="111" t="n"/>
      <c r="J416" s="111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68">
      <c r="A417" s="113" t="n"/>
      <c r="B417" s="111" t="n"/>
      <c r="C417" s="111" t="n"/>
      <c r="D417" s="117" t="n"/>
      <c r="E417" s="118">
        <f>IF(F417="","",IF(OR(F417="HDFC Bank (INR)",F417="HDFC IOCL Credit Card (INR)",F417="HDFC Swiggy Credit Card (INR)",F417="Axis Airtel Credit Card (INR)"),"INR","GBP"))</f>
        <v/>
      </c>
      <c r="F417" s="111" t="n"/>
      <c r="G417" s="111" t="n"/>
      <c r="H417" s="119">
        <f>IF(G417="Yes","",D417)</f>
        <v/>
      </c>
      <c r="I417" s="111" t="n"/>
      <c r="J417" s="111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68">
      <c r="A418" s="113" t="n"/>
      <c r="B418" s="111" t="n"/>
      <c r="C418" s="111" t="n"/>
      <c r="D418" s="117" t="n"/>
      <c r="E418" s="118">
        <f>IF(F418="","",IF(OR(F418="HDFC Bank (INR)",F418="HDFC IOCL Credit Card (INR)",F418="HDFC Swiggy Credit Card (INR)",F418="Axis Airtel Credit Card (INR)"),"INR","GBP"))</f>
        <v/>
      </c>
      <c r="F418" s="111" t="n"/>
      <c r="G418" s="111" t="n"/>
      <c r="H418" s="119">
        <f>IF(G418="Yes","",D418)</f>
        <v/>
      </c>
      <c r="I418" s="111" t="n"/>
      <c r="J418" s="111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68">
      <c r="A419" s="113" t="n"/>
      <c r="B419" s="111" t="n"/>
      <c r="C419" s="111" t="n"/>
      <c r="D419" s="117" t="n"/>
      <c r="E419" s="118">
        <f>IF(F419="","",IF(OR(F419="HDFC Bank (INR)",F419="HDFC IOCL Credit Card (INR)",F419="HDFC Swiggy Credit Card (INR)",F419="Axis Airtel Credit Card (INR)"),"INR","GBP"))</f>
        <v/>
      </c>
      <c r="F419" s="111" t="n"/>
      <c r="G419" s="111" t="n"/>
      <c r="H419" s="119">
        <f>IF(G419="Yes","",D419)</f>
        <v/>
      </c>
      <c r="I419" s="111" t="n"/>
      <c r="J419" s="111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68">
      <c r="A420" s="113" t="n"/>
      <c r="B420" s="111" t="n"/>
      <c r="C420" s="111" t="n"/>
      <c r="D420" s="117" t="n"/>
      <c r="E420" s="118">
        <f>IF(F420="","",IF(OR(F420="HDFC Bank (INR)",F420="HDFC IOCL Credit Card (INR)",F420="HDFC Swiggy Credit Card (INR)",F420="Axis Airtel Credit Card (INR)"),"INR","GBP"))</f>
        <v/>
      </c>
      <c r="F420" s="111" t="n"/>
      <c r="G420" s="111" t="n"/>
      <c r="H420" s="119">
        <f>IF(G420="Yes","",D420)</f>
        <v/>
      </c>
      <c r="I420" s="111" t="n"/>
      <c r="J420" s="111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68">
      <c r="A421" s="113" t="n"/>
      <c r="B421" s="111" t="n"/>
      <c r="C421" s="111" t="n"/>
      <c r="D421" s="117" t="n"/>
      <c r="E421" s="118">
        <f>IF(F421="","",IF(OR(F421="HDFC Bank (INR)",F421="HDFC IOCL Credit Card (INR)",F421="HDFC Swiggy Credit Card (INR)",F421="Axis Airtel Credit Card (INR)"),"INR","GBP"))</f>
        <v/>
      </c>
      <c r="F421" s="111" t="n"/>
      <c r="G421" s="111" t="n"/>
      <c r="H421" s="119">
        <f>IF(G421="Yes","",D421)</f>
        <v/>
      </c>
      <c r="I421" s="111" t="n"/>
      <c r="J421" s="111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68">
      <c r="A422" s="113" t="n"/>
      <c r="B422" s="111" t="n"/>
      <c r="C422" s="111" t="n"/>
      <c r="D422" s="117" t="n"/>
      <c r="E422" s="118">
        <f>IF(F422="","",IF(OR(F422="HDFC Bank (INR)",F422="HDFC IOCL Credit Card (INR)",F422="HDFC Swiggy Credit Card (INR)",F422="Axis Airtel Credit Card (INR)"),"INR","GBP"))</f>
        <v/>
      </c>
      <c r="F422" s="111" t="n"/>
      <c r="G422" s="111" t="n"/>
      <c r="H422" s="119">
        <f>IF(G422="Yes","",D422)</f>
        <v/>
      </c>
      <c r="I422" s="111" t="n"/>
      <c r="J422" s="111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68">
      <c r="A423" s="113" t="n"/>
      <c r="B423" s="111" t="n"/>
      <c r="C423" s="111" t="n"/>
      <c r="D423" s="117" t="n"/>
      <c r="E423" s="118">
        <f>IF(F423="","",IF(OR(F423="HDFC Bank (INR)",F423="HDFC IOCL Credit Card (INR)",F423="HDFC Swiggy Credit Card (INR)",F423="Axis Airtel Credit Card (INR)"),"INR","GBP"))</f>
        <v/>
      </c>
      <c r="F423" s="111" t="n"/>
      <c r="G423" s="111" t="n"/>
      <c r="H423" s="119">
        <f>IF(G423="Yes","",D423)</f>
        <v/>
      </c>
      <c r="I423" s="111" t="n"/>
      <c r="J423" s="111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68">
      <c r="A424" s="113" t="n"/>
      <c r="B424" s="111" t="n"/>
      <c r="C424" s="111" t="n"/>
      <c r="D424" s="117" t="n"/>
      <c r="E424" s="118">
        <f>IF(F424="","",IF(OR(F424="HDFC Bank (INR)",F424="HDFC IOCL Credit Card (INR)",F424="HDFC Swiggy Credit Card (INR)",F424="Axis Airtel Credit Card (INR)"),"INR","GBP"))</f>
        <v/>
      </c>
      <c r="F424" s="111" t="n"/>
      <c r="G424" s="111" t="n"/>
      <c r="H424" s="119">
        <f>IF(G424="Yes","",D424)</f>
        <v/>
      </c>
      <c r="I424" s="111" t="n"/>
      <c r="J424" s="111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68">
      <c r="A425" s="113" t="n"/>
      <c r="B425" s="111" t="n"/>
      <c r="C425" s="111" t="n"/>
      <c r="D425" s="117" t="n"/>
      <c r="E425" s="118">
        <f>IF(F425="","",IF(OR(F425="HDFC Bank (INR)",F425="HDFC IOCL Credit Card (INR)",F425="HDFC Swiggy Credit Card (INR)",F425="Axis Airtel Credit Card (INR)"),"INR","GBP"))</f>
        <v/>
      </c>
      <c r="F425" s="111" t="n"/>
      <c r="G425" s="111" t="n"/>
      <c r="H425" s="119">
        <f>IF(G425="Yes","",D425)</f>
        <v/>
      </c>
      <c r="I425" s="111" t="n"/>
      <c r="J425" s="111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68">
      <c r="A426" s="113" t="n"/>
      <c r="B426" s="111" t="n"/>
      <c r="C426" s="111" t="n"/>
      <c r="D426" s="117" t="n"/>
      <c r="E426" s="118">
        <f>IF(F426="","",IF(OR(F426="HDFC Bank (INR)",F426="HDFC IOCL Credit Card (INR)",F426="HDFC Swiggy Credit Card (INR)",F426="Axis Airtel Credit Card (INR)"),"INR","GBP"))</f>
        <v/>
      </c>
      <c r="F426" s="111" t="n"/>
      <c r="G426" s="111" t="n"/>
      <c r="H426" s="119">
        <f>IF(G426="Yes","",D426)</f>
        <v/>
      </c>
      <c r="I426" s="111" t="n"/>
      <c r="J426" s="111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68">
      <c r="A427" s="113" t="n"/>
      <c r="B427" s="111" t="n"/>
      <c r="C427" s="111" t="n"/>
      <c r="D427" s="117" t="n"/>
      <c r="E427" s="118">
        <f>IF(F427="","",IF(OR(F427="HDFC Bank (INR)",F427="HDFC IOCL Credit Card (INR)",F427="HDFC Swiggy Credit Card (INR)",F427="Axis Airtel Credit Card (INR)"),"INR","GBP"))</f>
        <v/>
      </c>
      <c r="F427" s="111" t="n"/>
      <c r="G427" s="111" t="n"/>
      <c r="H427" s="119">
        <f>IF(G427="Yes","",D427)</f>
        <v/>
      </c>
      <c r="I427" s="111" t="n"/>
      <c r="J427" s="111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68">
      <c r="A428" s="113" t="n"/>
      <c r="B428" s="111" t="n"/>
      <c r="C428" s="111" t="n"/>
      <c r="D428" s="117" t="n"/>
      <c r="E428" s="118">
        <f>IF(F428="","",IF(OR(F428="HDFC Bank (INR)",F428="HDFC IOCL Credit Card (INR)",F428="HDFC Swiggy Credit Card (INR)",F428="Axis Airtel Credit Card (INR)"),"INR","GBP"))</f>
        <v/>
      </c>
      <c r="F428" s="111" t="n"/>
      <c r="G428" s="111" t="n"/>
      <c r="H428" s="119">
        <f>IF(G428="Yes","",D428)</f>
        <v/>
      </c>
      <c r="I428" s="111" t="n"/>
      <c r="J428" s="111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68">
      <c r="A429" s="113" t="n"/>
      <c r="B429" s="111" t="n"/>
      <c r="C429" s="111" t="n"/>
      <c r="D429" s="117" t="n"/>
      <c r="E429" s="118">
        <f>IF(F429="","",IF(OR(F429="HDFC Bank (INR)",F429="HDFC IOCL Credit Card (INR)",F429="HDFC Swiggy Credit Card (INR)",F429="Axis Airtel Credit Card (INR)"),"INR","GBP"))</f>
        <v/>
      </c>
      <c r="F429" s="111" t="n"/>
      <c r="G429" s="111" t="n"/>
      <c r="H429" s="119">
        <f>IF(G429="Yes","",D429)</f>
        <v/>
      </c>
      <c r="I429" s="111" t="n"/>
      <c r="J429" s="111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68">
      <c r="A430" s="113" t="n"/>
      <c r="B430" s="111" t="n"/>
      <c r="C430" s="111" t="n"/>
      <c r="D430" s="117" t="n"/>
      <c r="E430" s="118">
        <f>IF(F430="","",IF(OR(F430="HDFC Bank (INR)",F430="HDFC IOCL Credit Card (INR)",F430="HDFC Swiggy Credit Card (INR)",F430="Axis Airtel Credit Card (INR)"),"INR","GBP"))</f>
        <v/>
      </c>
      <c r="F430" s="111" t="n"/>
      <c r="G430" s="111" t="n"/>
      <c r="H430" s="119">
        <f>IF(G430="Yes","",D430)</f>
        <v/>
      </c>
      <c r="I430" s="111" t="n"/>
      <c r="J430" s="111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68">
      <c r="A431" s="113" t="n"/>
      <c r="B431" s="111" t="n"/>
      <c r="C431" s="111" t="n"/>
      <c r="D431" s="117" t="n"/>
      <c r="E431" s="118">
        <f>IF(F431="","",IF(OR(F431="HDFC Bank (INR)",F431="HDFC IOCL Credit Card (INR)",F431="HDFC Swiggy Credit Card (INR)",F431="Axis Airtel Credit Card (INR)"),"INR","GBP"))</f>
        <v/>
      </c>
      <c r="F431" s="111" t="n"/>
      <c r="G431" s="111" t="n"/>
      <c r="H431" s="119">
        <f>IF(G431="Yes","",D431)</f>
        <v/>
      </c>
      <c r="I431" s="111" t="n"/>
      <c r="J431" s="111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68">
      <c r="A432" s="113" t="n"/>
      <c r="B432" s="111" t="n"/>
      <c r="C432" s="111" t="n"/>
      <c r="D432" s="117" t="n"/>
      <c r="E432" s="118">
        <f>IF(F432="","",IF(OR(F432="HDFC Bank (INR)",F432="HDFC IOCL Credit Card (INR)",F432="HDFC Swiggy Credit Card (INR)",F432="Axis Airtel Credit Card (INR)"),"INR","GBP"))</f>
        <v/>
      </c>
      <c r="F432" s="111" t="n"/>
      <c r="G432" s="111" t="n"/>
      <c r="H432" s="119">
        <f>IF(G432="Yes","",D432)</f>
        <v/>
      </c>
      <c r="I432" s="111" t="n"/>
      <c r="J432" s="111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68">
      <c r="A433" s="113" t="n"/>
      <c r="B433" s="111" t="n"/>
      <c r="C433" s="111" t="n"/>
      <c r="D433" s="117" t="n"/>
      <c r="E433" s="118">
        <f>IF(F433="","",IF(OR(F433="HDFC Bank (INR)",F433="HDFC IOCL Credit Card (INR)",F433="HDFC Swiggy Credit Card (INR)",F433="Axis Airtel Credit Card (INR)"),"INR","GBP"))</f>
        <v/>
      </c>
      <c r="F433" s="111" t="n"/>
      <c r="G433" s="111" t="n"/>
      <c r="H433" s="119">
        <f>IF(G433="Yes","",D433)</f>
        <v/>
      </c>
      <c r="I433" s="111" t="n"/>
      <c r="J433" s="111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68">
      <c r="A434" s="113" t="n"/>
      <c r="B434" s="111" t="n"/>
      <c r="C434" s="111" t="n"/>
      <c r="D434" s="117" t="n"/>
      <c r="E434" s="118">
        <f>IF(F434="","",IF(OR(F434="HDFC Bank (INR)",F434="HDFC IOCL Credit Card (INR)",F434="HDFC Swiggy Credit Card (INR)",F434="Axis Airtel Credit Card (INR)"),"INR","GBP"))</f>
        <v/>
      </c>
      <c r="F434" s="111" t="n"/>
      <c r="G434" s="111" t="n"/>
      <c r="H434" s="119">
        <f>IF(G434="Yes","",D434)</f>
        <v/>
      </c>
      <c r="I434" s="111" t="n"/>
      <c r="J434" s="111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68">
      <c r="A435" s="113" t="n"/>
      <c r="B435" s="111" t="n"/>
      <c r="C435" s="111" t="n"/>
      <c r="D435" s="117" t="n"/>
      <c r="E435" s="118">
        <f>IF(F435="","",IF(OR(F435="HDFC Bank (INR)",F435="HDFC IOCL Credit Card (INR)",F435="HDFC Swiggy Credit Card (INR)",F435="Axis Airtel Credit Card (INR)"),"INR","GBP"))</f>
        <v/>
      </c>
      <c r="F435" s="111" t="n"/>
      <c r="G435" s="111" t="n"/>
      <c r="H435" s="119">
        <f>IF(G435="Yes","",D435)</f>
        <v/>
      </c>
      <c r="I435" s="111" t="n"/>
      <c r="J435" s="111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68">
      <c r="A436" s="113" t="n"/>
      <c r="B436" s="111" t="n"/>
      <c r="C436" s="111" t="n"/>
      <c r="D436" s="117" t="n"/>
      <c r="E436" s="118">
        <f>IF(F436="","",IF(OR(F436="HDFC Bank (INR)",F436="HDFC IOCL Credit Card (INR)",F436="HDFC Swiggy Credit Card (INR)",F436="Axis Airtel Credit Card (INR)"),"INR","GBP"))</f>
        <v/>
      </c>
      <c r="F436" s="111" t="n"/>
      <c r="G436" s="111" t="n"/>
      <c r="H436" s="119">
        <f>IF(G436="Yes","",D436)</f>
        <v/>
      </c>
      <c r="I436" s="111" t="n"/>
      <c r="J436" s="111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68">
      <c r="A437" s="113" t="n"/>
      <c r="B437" s="111" t="n"/>
      <c r="C437" s="111" t="n"/>
      <c r="D437" s="117" t="n"/>
      <c r="E437" s="118">
        <f>IF(F437="","",IF(OR(F437="HDFC Bank (INR)",F437="HDFC IOCL Credit Card (INR)",F437="HDFC Swiggy Credit Card (INR)",F437="Axis Airtel Credit Card (INR)"),"INR","GBP"))</f>
        <v/>
      </c>
      <c r="F437" s="111" t="n"/>
      <c r="G437" s="111" t="n"/>
      <c r="H437" s="119">
        <f>IF(G437="Yes","",D437)</f>
        <v/>
      </c>
      <c r="I437" s="111" t="n"/>
      <c r="J437" s="111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68">
      <c r="A438" s="113" t="n"/>
      <c r="B438" s="111" t="n"/>
      <c r="C438" s="111" t="n"/>
      <c r="D438" s="117" t="n"/>
      <c r="E438" s="118">
        <f>IF(F438="","",IF(OR(F438="HDFC Bank (INR)",F438="HDFC IOCL Credit Card (INR)",F438="HDFC Swiggy Credit Card (INR)",F438="Axis Airtel Credit Card (INR)"),"INR","GBP"))</f>
        <v/>
      </c>
      <c r="F438" s="111" t="n"/>
      <c r="G438" s="111" t="n"/>
      <c r="H438" s="119">
        <f>IF(G438="Yes","",D438)</f>
        <v/>
      </c>
      <c r="I438" s="111" t="n"/>
      <c r="J438" s="111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68">
      <c r="A439" s="113" t="n"/>
      <c r="B439" s="111" t="n"/>
      <c r="C439" s="111" t="n"/>
      <c r="D439" s="117" t="n"/>
      <c r="E439" s="118">
        <f>IF(F439="","",IF(OR(F439="HDFC Bank (INR)",F439="HDFC IOCL Credit Card (INR)",F439="HDFC Swiggy Credit Card (INR)",F439="Axis Airtel Credit Card (INR)"),"INR","GBP"))</f>
        <v/>
      </c>
      <c r="F439" s="111" t="n"/>
      <c r="G439" s="111" t="n"/>
      <c r="H439" s="119">
        <f>IF(G439="Yes","",D439)</f>
        <v/>
      </c>
      <c r="I439" s="111" t="n"/>
      <c r="J439" s="111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68">
      <c r="A440" s="113" t="n"/>
      <c r="B440" s="111" t="n"/>
      <c r="C440" s="111" t="n"/>
      <c r="D440" s="117" t="n"/>
      <c r="E440" s="118">
        <f>IF(F440="","",IF(OR(F440="HDFC Bank (INR)",F440="HDFC IOCL Credit Card (INR)",F440="HDFC Swiggy Credit Card (INR)",F440="Axis Airtel Credit Card (INR)"),"INR","GBP"))</f>
        <v/>
      </c>
      <c r="F440" s="111" t="n"/>
      <c r="G440" s="111" t="n"/>
      <c r="H440" s="119">
        <f>IF(G440="Yes","",D440)</f>
        <v/>
      </c>
      <c r="I440" s="111" t="n"/>
      <c r="J440" s="111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68">
      <c r="A441" s="113" t="n"/>
      <c r="B441" s="111" t="n"/>
      <c r="C441" s="111" t="n"/>
      <c r="D441" s="117" t="n"/>
      <c r="E441" s="118">
        <f>IF(F441="","",IF(OR(F441="HDFC Bank (INR)",F441="HDFC IOCL Credit Card (INR)",F441="HDFC Swiggy Credit Card (INR)",F441="Axis Airtel Credit Card (INR)"),"INR","GBP"))</f>
        <v/>
      </c>
      <c r="F441" s="111" t="n"/>
      <c r="G441" s="111" t="n"/>
      <c r="H441" s="119">
        <f>IF(G441="Yes","",D441)</f>
        <v/>
      </c>
      <c r="I441" s="111" t="n"/>
      <c r="J441" s="111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68">
      <c r="A442" s="113" t="n"/>
      <c r="B442" s="111" t="n"/>
      <c r="C442" s="111" t="n"/>
      <c r="D442" s="117" t="n"/>
      <c r="E442" s="118">
        <f>IF(F442="","",IF(OR(F442="HDFC Bank (INR)",F442="HDFC IOCL Credit Card (INR)",F442="HDFC Swiggy Credit Card (INR)",F442="Axis Airtel Credit Card (INR)"),"INR","GBP"))</f>
        <v/>
      </c>
      <c r="F442" s="111" t="n"/>
      <c r="G442" s="111" t="n"/>
      <c r="H442" s="119">
        <f>IF(G442="Yes","",D442)</f>
        <v/>
      </c>
      <c r="I442" s="111" t="n"/>
      <c r="J442" s="111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68">
      <c r="A443" s="113" t="n"/>
      <c r="B443" s="111" t="n"/>
      <c r="C443" s="111" t="n"/>
      <c r="D443" s="117" t="n"/>
      <c r="E443" s="118">
        <f>IF(F443="","",IF(OR(F443="HDFC Bank (INR)",F443="HDFC IOCL Credit Card (INR)",F443="HDFC Swiggy Credit Card (INR)",F443="Axis Airtel Credit Card (INR)"),"INR","GBP"))</f>
        <v/>
      </c>
      <c r="F443" s="111" t="n"/>
      <c r="G443" s="111" t="n"/>
      <c r="H443" s="119">
        <f>IF(G443="Yes","",D443)</f>
        <v/>
      </c>
      <c r="I443" s="111" t="n"/>
      <c r="J443" s="111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68">
      <c r="A444" s="113" t="n"/>
      <c r="B444" s="111" t="n"/>
      <c r="C444" s="111" t="n"/>
      <c r="D444" s="117" t="n"/>
      <c r="E444" s="118">
        <f>IF(F444="","",IF(OR(F444="HDFC Bank (INR)",F444="HDFC IOCL Credit Card (INR)",F444="HDFC Swiggy Credit Card (INR)",F444="Axis Airtel Credit Card (INR)"),"INR","GBP"))</f>
        <v/>
      </c>
      <c r="F444" s="111" t="n"/>
      <c r="G444" s="111" t="n"/>
      <c r="H444" s="119">
        <f>IF(G444="Yes","",D444)</f>
        <v/>
      </c>
      <c r="I444" s="111" t="n"/>
      <c r="J444" s="111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68">
      <c r="A445" s="113" t="n"/>
      <c r="B445" s="111" t="n"/>
      <c r="C445" s="111" t="n"/>
      <c r="D445" s="117" t="n"/>
      <c r="E445" s="118">
        <f>IF(F445="","",IF(OR(F445="HDFC Bank (INR)",F445="HDFC IOCL Credit Card (INR)",F445="HDFC Swiggy Credit Card (INR)",F445="Axis Airtel Credit Card (INR)"),"INR","GBP"))</f>
        <v/>
      </c>
      <c r="F445" s="111" t="n"/>
      <c r="G445" s="111" t="n"/>
      <c r="H445" s="119">
        <f>IF(G445="Yes","",D445)</f>
        <v/>
      </c>
      <c r="I445" s="111" t="n"/>
      <c r="J445" s="111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68">
      <c r="A446" s="113" t="n"/>
      <c r="B446" s="111" t="n"/>
      <c r="C446" s="111" t="n"/>
      <c r="D446" s="117" t="n"/>
      <c r="E446" s="118">
        <f>IF(F446="","",IF(OR(F446="HDFC Bank (INR)",F446="HDFC IOCL Credit Card (INR)",F446="HDFC Swiggy Credit Card (INR)",F446="Axis Airtel Credit Card (INR)"),"INR","GBP"))</f>
        <v/>
      </c>
      <c r="F446" s="111" t="n"/>
      <c r="G446" s="111" t="n"/>
      <c r="H446" s="119">
        <f>IF(G446="Yes","",D446)</f>
        <v/>
      </c>
      <c r="I446" s="111" t="n"/>
      <c r="J446" s="111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68">
      <c r="A447" s="113" t="n"/>
      <c r="B447" s="111" t="n"/>
      <c r="C447" s="111" t="n"/>
      <c r="D447" s="117" t="n"/>
      <c r="E447" s="118">
        <f>IF(F447="","",IF(OR(F447="HDFC Bank (INR)",F447="HDFC IOCL Credit Card (INR)",F447="HDFC Swiggy Credit Card (INR)",F447="Axis Airtel Credit Card (INR)"),"INR","GBP"))</f>
        <v/>
      </c>
      <c r="F447" s="111" t="n"/>
      <c r="G447" s="111" t="n"/>
      <c r="H447" s="119">
        <f>IF(G447="Yes","",D447)</f>
        <v/>
      </c>
      <c r="I447" s="111" t="n"/>
      <c r="J447" s="111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68">
      <c r="A448" s="113" t="n"/>
      <c r="B448" s="111" t="n"/>
      <c r="C448" s="111" t="n"/>
      <c r="D448" s="117" t="n"/>
      <c r="E448" s="118">
        <f>IF(F448="","",IF(OR(F448="HDFC Bank (INR)",F448="HDFC IOCL Credit Card (INR)",F448="HDFC Swiggy Credit Card (INR)",F448="Axis Airtel Credit Card (INR)"),"INR","GBP"))</f>
        <v/>
      </c>
      <c r="F448" s="111" t="n"/>
      <c r="G448" s="111" t="n"/>
      <c r="H448" s="119">
        <f>IF(G448="Yes","",D448)</f>
        <v/>
      </c>
      <c r="I448" s="111" t="n"/>
      <c r="J448" s="111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68">
      <c r="A449" s="113" t="n"/>
      <c r="B449" s="111" t="n"/>
      <c r="C449" s="111" t="n"/>
      <c r="D449" s="117" t="n"/>
      <c r="E449" s="118">
        <f>IF(F449="","",IF(OR(F449="HDFC Bank (INR)",F449="HDFC IOCL Credit Card (INR)",F449="HDFC Swiggy Credit Card (INR)",F449="Axis Airtel Credit Card (INR)"),"INR","GBP"))</f>
        <v/>
      </c>
      <c r="F449" s="111" t="n"/>
      <c r="G449" s="111" t="n"/>
      <c r="H449" s="119">
        <f>IF(G449="Yes","",D449)</f>
        <v/>
      </c>
      <c r="I449" s="111" t="n"/>
      <c r="J449" s="111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68">
      <c r="A450" s="113" t="n"/>
      <c r="B450" s="111" t="n"/>
      <c r="C450" s="111" t="n"/>
      <c r="D450" s="117" t="n"/>
      <c r="E450" s="118">
        <f>IF(F450="","",IF(OR(F450="HDFC Bank (INR)",F450="HDFC IOCL Credit Card (INR)",F450="HDFC Swiggy Credit Card (INR)",F450="Axis Airtel Credit Card (INR)"),"INR","GBP"))</f>
        <v/>
      </c>
      <c r="F450" s="111" t="n"/>
      <c r="G450" s="111" t="n"/>
      <c r="H450" s="119">
        <f>IF(G450="Yes","",D450)</f>
        <v/>
      </c>
      <c r="I450" s="111" t="n"/>
      <c r="J450" s="111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68">
      <c r="A451" s="113" t="n"/>
      <c r="B451" s="111" t="n"/>
      <c r="C451" s="111" t="n"/>
      <c r="D451" s="117" t="n"/>
      <c r="E451" s="118">
        <f>IF(F451="","",IF(OR(F451="HDFC Bank (INR)",F451="HDFC IOCL Credit Card (INR)",F451="HDFC Swiggy Credit Card (INR)",F451="Axis Airtel Credit Card (INR)"),"INR","GBP"))</f>
        <v/>
      </c>
      <c r="F451" s="111" t="n"/>
      <c r="G451" s="111" t="n"/>
      <c r="H451" s="119">
        <f>IF(G451="Yes","",D451)</f>
        <v/>
      </c>
      <c r="I451" s="111" t="n"/>
      <c r="J451" s="111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68">
      <c r="A452" s="113" t="n"/>
      <c r="B452" s="111" t="n"/>
      <c r="C452" s="111" t="n"/>
      <c r="D452" s="117" t="n"/>
      <c r="E452" s="118">
        <f>IF(F452="","",IF(OR(F452="HDFC Bank (INR)",F452="HDFC IOCL Credit Card (INR)",F452="HDFC Swiggy Credit Card (INR)",F452="Axis Airtel Credit Card (INR)"),"INR","GBP"))</f>
        <v/>
      </c>
      <c r="F452" s="111" t="n"/>
      <c r="G452" s="111" t="n"/>
      <c r="H452" s="119">
        <f>IF(G452="Yes","",D452)</f>
        <v/>
      </c>
      <c r="I452" s="111" t="n"/>
      <c r="J452" s="111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68">
      <c r="A453" s="113" t="n"/>
      <c r="B453" s="111" t="n"/>
      <c r="C453" s="111" t="n"/>
      <c r="D453" s="117" t="n"/>
      <c r="E453" s="118">
        <f>IF(F453="","",IF(OR(F453="HDFC Bank (INR)",F453="HDFC IOCL Credit Card (INR)",F453="HDFC Swiggy Credit Card (INR)",F453="Axis Airtel Credit Card (INR)"),"INR","GBP"))</f>
        <v/>
      </c>
      <c r="F453" s="111" t="n"/>
      <c r="G453" s="111" t="n"/>
      <c r="H453" s="119">
        <f>IF(G453="Yes","",D453)</f>
        <v/>
      </c>
      <c r="I453" s="111" t="n"/>
      <c r="J453" s="111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68">
      <c r="A454" s="113" t="n"/>
      <c r="B454" s="111" t="n"/>
      <c r="C454" s="111" t="n"/>
      <c r="D454" s="117" t="n"/>
      <c r="E454" s="118">
        <f>IF(F454="","",IF(OR(F454="HDFC Bank (INR)",F454="HDFC IOCL Credit Card (INR)",F454="HDFC Swiggy Credit Card (INR)",F454="Axis Airtel Credit Card (INR)"),"INR","GBP"))</f>
        <v/>
      </c>
      <c r="F454" s="111" t="n"/>
      <c r="G454" s="111" t="n"/>
      <c r="H454" s="119">
        <f>IF(G454="Yes","",D454)</f>
        <v/>
      </c>
      <c r="I454" s="111" t="n"/>
      <c r="J454" s="111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68">
      <c r="A455" s="113" t="n"/>
      <c r="B455" s="111" t="n"/>
      <c r="C455" s="111" t="n"/>
      <c r="D455" s="117" t="n"/>
      <c r="E455" s="118">
        <f>IF(F455="","",IF(OR(F455="HDFC Bank (INR)",F455="HDFC IOCL Credit Card (INR)",F455="HDFC Swiggy Credit Card (INR)",F455="Axis Airtel Credit Card (INR)"),"INR","GBP"))</f>
        <v/>
      </c>
      <c r="F455" s="111" t="n"/>
      <c r="G455" s="111" t="n"/>
      <c r="H455" s="119">
        <f>IF(G455="Yes","",D455)</f>
        <v/>
      </c>
      <c r="I455" s="111" t="n"/>
      <c r="J455" s="111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68">
      <c r="A456" s="113" t="n"/>
      <c r="B456" s="111" t="n"/>
      <c r="C456" s="111" t="n"/>
      <c r="D456" s="117" t="n"/>
      <c r="E456" s="118">
        <f>IF(F456="","",IF(OR(F456="HDFC Bank (INR)",F456="HDFC IOCL Credit Card (INR)",F456="HDFC Swiggy Credit Card (INR)",F456="Axis Airtel Credit Card (INR)"),"INR","GBP"))</f>
        <v/>
      </c>
      <c r="F456" s="111" t="n"/>
      <c r="G456" s="111" t="n"/>
      <c r="H456" s="119">
        <f>IF(G456="Yes","",D456)</f>
        <v/>
      </c>
      <c r="I456" s="111" t="n"/>
      <c r="J456" s="111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68">
      <c r="A457" s="113" t="n"/>
      <c r="B457" s="111" t="n"/>
      <c r="C457" s="111" t="n"/>
      <c r="D457" s="117" t="n"/>
      <c r="E457" s="118">
        <f>IF(F457="","",IF(OR(F457="HDFC Bank (INR)",F457="HDFC IOCL Credit Card (INR)",F457="HDFC Swiggy Credit Card (INR)",F457="Axis Airtel Credit Card (INR)"),"INR","GBP"))</f>
        <v/>
      </c>
      <c r="F457" s="111" t="n"/>
      <c r="G457" s="111" t="n"/>
      <c r="H457" s="119">
        <f>IF(G457="Yes","",D457)</f>
        <v/>
      </c>
      <c r="I457" s="111" t="n"/>
      <c r="J457" s="111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68">
      <c r="A458" s="113" t="n"/>
      <c r="B458" s="111" t="n"/>
      <c r="C458" s="111" t="n"/>
      <c r="D458" s="117" t="n"/>
      <c r="E458" s="118">
        <f>IF(F458="","",IF(OR(F458="HDFC Bank (INR)",F458="HDFC IOCL Credit Card (INR)",F458="HDFC Swiggy Credit Card (INR)",F458="Axis Airtel Credit Card (INR)"),"INR","GBP"))</f>
        <v/>
      </c>
      <c r="F458" s="111" t="n"/>
      <c r="G458" s="111" t="n"/>
      <c r="H458" s="119">
        <f>IF(G458="Yes","",D458)</f>
        <v/>
      </c>
      <c r="I458" s="111" t="n"/>
      <c r="J458" s="111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68">
      <c r="A459" s="113" t="n"/>
      <c r="B459" s="111" t="n"/>
      <c r="C459" s="111" t="n"/>
      <c r="D459" s="117" t="n"/>
      <c r="E459" s="118">
        <f>IF(F459="","",IF(OR(F459="HDFC Bank (INR)",F459="HDFC IOCL Credit Card (INR)",F459="HDFC Swiggy Credit Card (INR)",F459="Axis Airtel Credit Card (INR)"),"INR","GBP"))</f>
        <v/>
      </c>
      <c r="F459" s="111" t="n"/>
      <c r="G459" s="111" t="n"/>
      <c r="H459" s="119">
        <f>IF(G459="Yes","",D459)</f>
        <v/>
      </c>
      <c r="I459" s="111" t="n"/>
      <c r="J459" s="111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68">
      <c r="A460" s="113" t="n"/>
      <c r="B460" s="111" t="n"/>
      <c r="C460" s="111" t="n"/>
      <c r="D460" s="117" t="n"/>
      <c r="E460" s="118">
        <f>IF(F460="","",IF(OR(F460="HDFC Bank (INR)",F460="HDFC IOCL Credit Card (INR)",F460="HDFC Swiggy Credit Card (INR)",F460="Axis Airtel Credit Card (INR)"),"INR","GBP"))</f>
        <v/>
      </c>
      <c r="F460" s="111" t="n"/>
      <c r="G460" s="111" t="n"/>
      <c r="H460" s="119">
        <f>IF(G460="Yes","",D460)</f>
        <v/>
      </c>
      <c r="I460" s="111" t="n"/>
      <c r="J460" s="111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68">
      <c r="A461" s="113" t="n"/>
      <c r="B461" s="111" t="n"/>
      <c r="C461" s="111" t="n"/>
      <c r="D461" s="117" t="n"/>
      <c r="E461" s="118">
        <f>IF(F461="","",IF(OR(F461="HDFC Bank (INR)",F461="HDFC IOCL Credit Card (INR)",F461="HDFC Swiggy Credit Card (INR)",F461="Axis Airtel Credit Card (INR)"),"INR","GBP"))</f>
        <v/>
      </c>
      <c r="F461" s="111" t="n"/>
      <c r="G461" s="111" t="n"/>
      <c r="H461" s="119">
        <f>IF(G461="Yes","",D461)</f>
        <v/>
      </c>
      <c r="I461" s="111" t="n"/>
      <c r="J461" s="111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68">
      <c r="A462" s="113" t="n"/>
      <c r="B462" s="111" t="n"/>
      <c r="C462" s="111" t="n"/>
      <c r="D462" s="117" t="n"/>
      <c r="E462" s="118">
        <f>IF(F462="","",IF(OR(F462="HDFC Bank (INR)",F462="HDFC IOCL Credit Card (INR)",F462="HDFC Swiggy Credit Card (INR)",F462="Axis Airtel Credit Card (INR)"),"INR","GBP"))</f>
        <v/>
      </c>
      <c r="F462" s="111" t="n"/>
      <c r="G462" s="111" t="n"/>
      <c r="H462" s="119">
        <f>IF(G462="Yes","",D462)</f>
        <v/>
      </c>
      <c r="I462" s="111" t="n"/>
      <c r="J462" s="111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68">
      <c r="A463" s="113" t="n"/>
      <c r="B463" s="111" t="n"/>
      <c r="C463" s="111" t="n"/>
      <c r="D463" s="117" t="n"/>
      <c r="E463" s="118">
        <f>IF(F463="","",IF(OR(F463="HDFC Bank (INR)",F463="HDFC IOCL Credit Card (INR)",F463="HDFC Swiggy Credit Card (INR)",F463="Axis Airtel Credit Card (INR)"),"INR","GBP"))</f>
        <v/>
      </c>
      <c r="F463" s="111" t="n"/>
      <c r="G463" s="111" t="n"/>
      <c r="H463" s="119">
        <f>IF(G463="Yes","",D463)</f>
        <v/>
      </c>
      <c r="I463" s="111" t="n"/>
      <c r="J463" s="111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68">
      <c r="A464" s="113" t="n"/>
      <c r="B464" s="111" t="n"/>
      <c r="C464" s="111" t="n"/>
      <c r="D464" s="117" t="n"/>
      <c r="E464" s="118">
        <f>IF(F464="","",IF(OR(F464="HDFC Bank (INR)",F464="HDFC IOCL Credit Card (INR)",F464="HDFC Swiggy Credit Card (INR)",F464="Axis Airtel Credit Card (INR)"),"INR","GBP"))</f>
        <v/>
      </c>
      <c r="F464" s="111" t="n"/>
      <c r="G464" s="111" t="n"/>
      <c r="H464" s="119">
        <f>IF(G464="Yes","",D464)</f>
        <v/>
      </c>
      <c r="I464" s="111" t="n"/>
      <c r="J464" s="111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68">
      <c r="A465" s="113" t="n"/>
      <c r="B465" s="111" t="n"/>
      <c r="C465" s="111" t="n"/>
      <c r="D465" s="117" t="n"/>
      <c r="E465" s="118">
        <f>IF(F465="","",IF(OR(F465="HDFC Bank (INR)",F465="HDFC IOCL Credit Card (INR)",F465="HDFC Swiggy Credit Card (INR)",F465="Axis Airtel Credit Card (INR)"),"INR","GBP"))</f>
        <v/>
      </c>
      <c r="F465" s="111" t="n"/>
      <c r="G465" s="111" t="n"/>
      <c r="H465" s="119">
        <f>IF(G465="Yes","",D465)</f>
        <v/>
      </c>
      <c r="I465" s="111" t="n"/>
      <c r="J465" s="111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68">
      <c r="A466" s="113" t="n"/>
      <c r="B466" s="111" t="n"/>
      <c r="C466" s="111" t="n"/>
      <c r="D466" s="117" t="n"/>
      <c r="E466" s="118">
        <f>IF(F466="","",IF(OR(F466="HDFC Bank (INR)",F466="HDFC IOCL Credit Card (INR)",F466="HDFC Swiggy Credit Card (INR)",F466="Axis Airtel Credit Card (INR)"),"INR","GBP"))</f>
        <v/>
      </c>
      <c r="F466" s="111" t="n"/>
      <c r="G466" s="111" t="n"/>
      <c r="H466" s="119">
        <f>IF(G466="Yes","",D466)</f>
        <v/>
      </c>
      <c r="I466" s="111" t="n"/>
      <c r="J466" s="111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68">
      <c r="A467" s="113" t="n"/>
      <c r="B467" s="111" t="n"/>
      <c r="C467" s="111" t="n"/>
      <c r="D467" s="117" t="n"/>
      <c r="E467" s="118">
        <f>IF(F467="","",IF(OR(F467="HDFC Bank (INR)",F467="HDFC IOCL Credit Card (INR)",F467="HDFC Swiggy Credit Card (INR)",F467="Axis Airtel Credit Card (INR)"),"INR","GBP"))</f>
        <v/>
      </c>
      <c r="F467" s="111" t="n"/>
      <c r="G467" s="111" t="n"/>
      <c r="H467" s="119">
        <f>IF(G467="Yes","",D467)</f>
        <v/>
      </c>
      <c r="I467" s="111" t="n"/>
      <c r="J467" s="111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68">
      <c r="A468" s="113" t="n"/>
      <c r="B468" s="111" t="n"/>
      <c r="C468" s="111" t="n"/>
      <c r="D468" s="117" t="n"/>
      <c r="E468" s="118">
        <f>IF(F468="","",IF(OR(F468="HDFC Bank (INR)",F468="HDFC IOCL Credit Card (INR)",F468="HDFC Swiggy Credit Card (INR)",F468="Axis Airtel Credit Card (INR)"),"INR","GBP"))</f>
        <v/>
      </c>
      <c r="F468" s="111" t="n"/>
      <c r="G468" s="111" t="n"/>
      <c r="H468" s="119">
        <f>IF(G468="Yes","",D468)</f>
        <v/>
      </c>
      <c r="I468" s="111" t="n"/>
      <c r="J468" s="111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68">
      <c r="A469" s="113" t="n"/>
      <c r="B469" s="111" t="n"/>
      <c r="C469" s="111" t="n"/>
      <c r="D469" s="117" t="n"/>
      <c r="E469" s="118">
        <f>IF(F469="","",IF(OR(F469="HDFC Bank (INR)",F469="HDFC IOCL Credit Card (INR)",F469="HDFC Swiggy Credit Card (INR)",F469="Axis Airtel Credit Card (INR)"),"INR","GBP"))</f>
        <v/>
      </c>
      <c r="F469" s="111" t="n"/>
      <c r="G469" s="111" t="n"/>
      <c r="H469" s="119">
        <f>IF(G469="Yes","",D469)</f>
        <v/>
      </c>
      <c r="I469" s="111" t="n"/>
      <c r="J469" s="111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68">
      <c r="A470" s="113" t="n"/>
      <c r="B470" s="111" t="n"/>
      <c r="C470" s="111" t="n"/>
      <c r="D470" s="117" t="n"/>
      <c r="E470" s="118">
        <f>IF(F470="","",IF(OR(F470="HDFC Bank (INR)",F470="HDFC IOCL Credit Card (INR)",F470="HDFC Swiggy Credit Card (INR)",F470="Axis Airtel Credit Card (INR)"),"INR","GBP"))</f>
        <v/>
      </c>
      <c r="F470" s="111" t="n"/>
      <c r="G470" s="111" t="n"/>
      <c r="H470" s="119">
        <f>IF(G470="Yes","",D470)</f>
        <v/>
      </c>
      <c r="I470" s="111" t="n"/>
      <c r="J470" s="111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68">
      <c r="A471" s="113" t="n"/>
      <c r="B471" s="111" t="n"/>
      <c r="C471" s="111" t="n"/>
      <c r="D471" s="117" t="n"/>
      <c r="E471" s="118">
        <f>IF(F471="","",IF(OR(F471="HDFC Bank (INR)",F471="HDFC IOCL Credit Card (INR)",F471="HDFC Swiggy Credit Card (INR)",F471="Axis Airtel Credit Card (INR)"),"INR","GBP"))</f>
        <v/>
      </c>
      <c r="F471" s="111" t="n"/>
      <c r="G471" s="111" t="n"/>
      <c r="H471" s="119">
        <f>IF(G471="Yes","",D471)</f>
        <v/>
      </c>
      <c r="I471" s="111" t="n"/>
      <c r="J471" s="111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68">
      <c r="A472" s="113" t="n"/>
      <c r="B472" s="111" t="n"/>
      <c r="C472" s="111" t="n"/>
      <c r="D472" s="117" t="n"/>
      <c r="E472" s="118">
        <f>IF(F472="","",IF(OR(F472="HDFC Bank (INR)",F472="HDFC IOCL Credit Card (INR)",F472="HDFC Swiggy Credit Card (INR)",F472="Axis Airtel Credit Card (INR)"),"INR","GBP"))</f>
        <v/>
      </c>
      <c r="F472" s="111" t="n"/>
      <c r="G472" s="111" t="n"/>
      <c r="H472" s="119">
        <f>IF(G472="Yes","",D472)</f>
        <v/>
      </c>
      <c r="I472" s="111" t="n"/>
      <c r="J472" s="111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68">
      <c r="A473" s="113" t="n"/>
      <c r="B473" s="111" t="n"/>
      <c r="C473" s="111" t="n"/>
      <c r="D473" s="117" t="n"/>
      <c r="E473" s="118">
        <f>IF(F473="","",IF(OR(F473="HDFC Bank (INR)",F473="HDFC IOCL Credit Card (INR)",F473="HDFC Swiggy Credit Card (INR)",F473="Axis Airtel Credit Card (INR)"),"INR","GBP"))</f>
        <v/>
      </c>
      <c r="F473" s="111" t="n"/>
      <c r="G473" s="111" t="n"/>
      <c r="H473" s="119">
        <f>IF(G473="Yes","",D473)</f>
        <v/>
      </c>
      <c r="I473" s="111" t="n"/>
      <c r="J473" s="111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68">
      <c r="A474" s="113" t="n"/>
      <c r="B474" s="111" t="n"/>
      <c r="C474" s="111" t="n"/>
      <c r="D474" s="117" t="n"/>
      <c r="E474" s="118">
        <f>IF(F474="","",IF(OR(F474="HDFC Bank (INR)",F474="HDFC IOCL Credit Card (INR)",F474="HDFC Swiggy Credit Card (INR)",F474="Axis Airtel Credit Card (INR)"),"INR","GBP"))</f>
        <v/>
      </c>
      <c r="F474" s="111" t="n"/>
      <c r="G474" s="111" t="n"/>
      <c r="H474" s="119">
        <f>IF(G474="Yes","",D474)</f>
        <v/>
      </c>
      <c r="I474" s="111" t="n"/>
      <c r="J474" s="111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68">
      <c r="A475" s="113" t="n"/>
      <c r="B475" s="111" t="n"/>
      <c r="C475" s="111" t="n"/>
      <c r="D475" s="117" t="n"/>
      <c r="E475" s="118">
        <f>IF(F475="","",IF(OR(F475="HDFC Bank (INR)",F475="HDFC IOCL Credit Card (INR)",F475="HDFC Swiggy Credit Card (INR)",F475="Axis Airtel Credit Card (INR)"),"INR","GBP"))</f>
        <v/>
      </c>
      <c r="F475" s="111" t="n"/>
      <c r="G475" s="111" t="n"/>
      <c r="H475" s="119">
        <f>IF(G475="Yes","",D475)</f>
        <v/>
      </c>
      <c r="I475" s="111" t="n"/>
      <c r="J475" s="111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68">
      <c r="A476" s="113" t="n"/>
      <c r="B476" s="111" t="n"/>
      <c r="C476" s="111" t="n"/>
      <c r="D476" s="117" t="n"/>
      <c r="E476" s="118">
        <f>IF(F476="","",IF(OR(F476="HDFC Bank (INR)",F476="HDFC IOCL Credit Card (INR)",F476="HDFC Swiggy Credit Card (INR)",F476="Axis Airtel Credit Card (INR)"),"INR","GBP"))</f>
        <v/>
      </c>
      <c r="F476" s="111" t="n"/>
      <c r="G476" s="111" t="n"/>
      <c r="H476" s="119">
        <f>IF(G476="Yes","",D476)</f>
        <v/>
      </c>
      <c r="I476" s="111" t="n"/>
      <c r="J476" s="111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68">
      <c r="A477" s="113" t="n"/>
      <c r="B477" s="111" t="n"/>
      <c r="C477" s="111" t="n"/>
      <c r="D477" s="117" t="n"/>
      <c r="E477" s="118">
        <f>IF(F477="","",IF(OR(F477="HDFC Bank (INR)",F477="HDFC IOCL Credit Card (INR)",F477="HDFC Swiggy Credit Card (INR)",F477="Axis Airtel Credit Card (INR)"),"INR","GBP"))</f>
        <v/>
      </c>
      <c r="F477" s="111" t="n"/>
      <c r="G477" s="111" t="n"/>
      <c r="H477" s="119">
        <f>IF(G477="Yes","",D477)</f>
        <v/>
      </c>
      <c r="I477" s="111" t="n"/>
      <c r="J477" s="111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68">
      <c r="A478" s="113" t="n"/>
      <c r="B478" s="111" t="n"/>
      <c r="C478" s="111" t="n"/>
      <c r="D478" s="117" t="n"/>
      <c r="E478" s="118">
        <f>IF(F478="","",IF(OR(F478="HDFC Bank (INR)",F478="HDFC IOCL Credit Card (INR)",F478="HDFC Swiggy Credit Card (INR)",F478="Axis Airtel Credit Card (INR)"),"INR","GBP"))</f>
        <v/>
      </c>
      <c r="F478" s="111" t="n"/>
      <c r="G478" s="111" t="n"/>
      <c r="H478" s="119">
        <f>IF(G478="Yes","",D478)</f>
        <v/>
      </c>
      <c r="I478" s="111" t="n"/>
      <c r="J478" s="111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68">
      <c r="A479" s="113" t="n"/>
      <c r="B479" s="111" t="n"/>
      <c r="C479" s="111" t="n"/>
      <c r="D479" s="117" t="n"/>
      <c r="E479" s="118">
        <f>IF(F479="","",IF(OR(F479="HDFC Bank (INR)",F479="HDFC IOCL Credit Card (INR)",F479="HDFC Swiggy Credit Card (INR)",F479="Axis Airtel Credit Card (INR)"),"INR","GBP"))</f>
        <v/>
      </c>
      <c r="F479" s="111" t="n"/>
      <c r="G479" s="111" t="n"/>
      <c r="H479" s="119">
        <f>IF(G479="Yes","",D479)</f>
        <v/>
      </c>
      <c r="I479" s="111" t="n"/>
      <c r="J479" s="111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68">
      <c r="A480" s="113" t="n"/>
      <c r="B480" s="111" t="n"/>
      <c r="C480" s="111" t="n"/>
      <c r="D480" s="117" t="n"/>
      <c r="E480" s="118">
        <f>IF(F480="","",IF(OR(F480="HDFC Bank (INR)",F480="HDFC IOCL Credit Card (INR)",F480="HDFC Swiggy Credit Card (INR)",F480="Axis Airtel Credit Card (INR)"),"INR","GBP"))</f>
        <v/>
      </c>
      <c r="F480" s="111" t="n"/>
      <c r="G480" s="111" t="n"/>
      <c r="H480" s="119">
        <f>IF(G480="Yes","",D480)</f>
        <v/>
      </c>
      <c r="I480" s="111" t="n"/>
      <c r="J480" s="111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68">
      <c r="A481" s="113" t="n"/>
      <c r="B481" s="111" t="n"/>
      <c r="C481" s="111" t="n"/>
      <c r="D481" s="117" t="n"/>
      <c r="E481" s="118">
        <f>IF(F481="","",IF(OR(F481="HDFC Bank (INR)",F481="HDFC IOCL Credit Card (INR)",F481="HDFC Swiggy Credit Card (INR)",F481="Axis Airtel Credit Card (INR)"),"INR","GBP"))</f>
        <v/>
      </c>
      <c r="F481" s="111" t="n"/>
      <c r="G481" s="111" t="n"/>
      <c r="H481" s="119">
        <f>IF(G481="Yes","",D481)</f>
        <v/>
      </c>
      <c r="I481" s="111" t="n"/>
      <c r="J481" s="111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68">
      <c r="A482" s="113" t="n"/>
      <c r="B482" s="111" t="n"/>
      <c r="C482" s="111" t="n"/>
      <c r="D482" s="117" t="n"/>
      <c r="E482" s="118">
        <f>IF(F482="","",IF(OR(F482="HDFC Bank (INR)",F482="HDFC IOCL Credit Card (INR)",F482="HDFC Swiggy Credit Card (INR)",F482="Axis Airtel Credit Card (INR)"),"INR","GBP"))</f>
        <v/>
      </c>
      <c r="F482" s="111" t="n"/>
      <c r="G482" s="111" t="n"/>
      <c r="H482" s="119">
        <f>IF(G482="Yes","",D482)</f>
        <v/>
      </c>
      <c r="I482" s="111" t="n"/>
      <c r="J482" s="111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68">
      <c r="A483" s="113" t="n"/>
      <c r="B483" s="111" t="n"/>
      <c r="C483" s="111" t="n"/>
      <c r="D483" s="117" t="n"/>
      <c r="E483" s="118">
        <f>IF(F483="","",IF(OR(F483="HDFC Bank (INR)",F483="HDFC IOCL Credit Card (INR)",F483="HDFC Swiggy Credit Card (INR)",F483="Axis Airtel Credit Card (INR)"),"INR","GBP"))</f>
        <v/>
      </c>
      <c r="F483" s="111" t="n"/>
      <c r="G483" s="111" t="n"/>
      <c r="H483" s="119">
        <f>IF(G483="Yes","",D483)</f>
        <v/>
      </c>
      <c r="I483" s="111" t="n"/>
      <c r="J483" s="111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68">
      <c r="A484" s="113" t="n"/>
      <c r="B484" s="111" t="n"/>
      <c r="C484" s="111" t="n"/>
      <c r="D484" s="117" t="n"/>
      <c r="E484" s="118">
        <f>IF(F484="","",IF(OR(F484="HDFC Bank (INR)",F484="HDFC IOCL Credit Card (INR)",F484="HDFC Swiggy Credit Card (INR)",F484="Axis Airtel Credit Card (INR)"),"INR","GBP"))</f>
        <v/>
      </c>
      <c r="F484" s="111" t="n"/>
      <c r="G484" s="111" t="n"/>
      <c r="H484" s="119">
        <f>IF(G484="Yes","",D484)</f>
        <v/>
      </c>
      <c r="I484" s="111" t="n"/>
      <c r="J484" s="111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68">
      <c r="A485" s="113" t="n"/>
      <c r="B485" s="111" t="n"/>
      <c r="C485" s="111" t="n"/>
      <c r="D485" s="117" t="n"/>
      <c r="E485" s="118">
        <f>IF(F485="","",IF(OR(F485="HDFC Bank (INR)",F485="HDFC IOCL Credit Card (INR)",F485="HDFC Swiggy Credit Card (INR)",F485="Axis Airtel Credit Card (INR)"),"INR","GBP"))</f>
        <v/>
      </c>
      <c r="F485" s="111" t="n"/>
      <c r="G485" s="111" t="n"/>
      <c r="H485" s="119">
        <f>IF(G485="Yes","",D485)</f>
        <v/>
      </c>
      <c r="I485" s="111" t="n"/>
      <c r="J485" s="111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68">
      <c r="A486" s="113" t="n"/>
      <c r="B486" s="111" t="n"/>
      <c r="C486" s="111" t="n"/>
      <c r="D486" s="117" t="n"/>
      <c r="E486" s="118">
        <f>IF(F486="","",IF(OR(F486="HDFC Bank (INR)",F486="HDFC IOCL Credit Card (INR)",F486="HDFC Swiggy Credit Card (INR)",F486="Axis Airtel Credit Card (INR)"),"INR","GBP"))</f>
        <v/>
      </c>
      <c r="F486" s="111" t="n"/>
      <c r="G486" s="111" t="n"/>
      <c r="H486" s="119">
        <f>IF(G486="Yes","",D486)</f>
        <v/>
      </c>
      <c r="I486" s="111" t="n"/>
      <c r="J486" s="111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68">
      <c r="A487" s="113" t="n"/>
      <c r="B487" s="111" t="n"/>
      <c r="C487" s="111" t="n"/>
      <c r="D487" s="117" t="n"/>
      <c r="E487" s="118">
        <f>IF(F487="","",IF(OR(F487="HDFC Bank (INR)",F487="HDFC IOCL Credit Card (INR)",F487="HDFC Swiggy Credit Card (INR)",F487="Axis Airtel Credit Card (INR)"),"INR","GBP"))</f>
        <v/>
      </c>
      <c r="F487" s="111" t="n"/>
      <c r="G487" s="111" t="n"/>
      <c r="H487" s="119">
        <f>IF(G487="Yes","",D487)</f>
        <v/>
      </c>
      <c r="I487" s="111" t="n"/>
      <c r="J487" s="111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68">
      <c r="A488" s="113" t="n"/>
      <c r="B488" s="111" t="n"/>
      <c r="C488" s="111" t="n"/>
      <c r="D488" s="117" t="n"/>
      <c r="E488" s="118">
        <f>IF(F488="","",IF(OR(F488="HDFC Bank (INR)",F488="HDFC IOCL Credit Card (INR)",F488="HDFC Swiggy Credit Card (INR)",F488="Axis Airtel Credit Card (INR)"),"INR","GBP"))</f>
        <v/>
      </c>
      <c r="F488" s="111" t="n"/>
      <c r="G488" s="111" t="n"/>
      <c r="H488" s="119">
        <f>IF(G488="Yes","",D488)</f>
        <v/>
      </c>
      <c r="I488" s="111" t="n"/>
      <c r="J488" s="111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68">
      <c r="A489" s="113" t="n"/>
      <c r="B489" s="111" t="n"/>
      <c r="C489" s="111" t="n"/>
      <c r="D489" s="117" t="n"/>
      <c r="E489" s="118">
        <f>IF(F489="","",IF(OR(F489="HDFC Bank (INR)",F489="HDFC IOCL Credit Card (INR)",F489="HDFC Swiggy Credit Card (INR)",F489="Axis Airtel Credit Card (INR)"),"INR","GBP"))</f>
        <v/>
      </c>
      <c r="F489" s="111" t="n"/>
      <c r="G489" s="111" t="n"/>
      <c r="H489" s="119">
        <f>IF(G489="Yes","",D489)</f>
        <v/>
      </c>
      <c r="I489" s="111" t="n"/>
      <c r="J489" s="111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68">
      <c r="A490" s="113" t="n"/>
      <c r="B490" s="111" t="n"/>
      <c r="C490" s="111" t="n"/>
      <c r="D490" s="117" t="n"/>
      <c r="E490" s="118">
        <f>IF(F490="","",IF(OR(F490="HDFC Bank (INR)",F490="HDFC IOCL Credit Card (INR)",F490="HDFC Swiggy Credit Card (INR)",F490="Axis Airtel Credit Card (INR)"),"INR","GBP"))</f>
        <v/>
      </c>
      <c r="F490" s="111" t="n"/>
      <c r="G490" s="111" t="n"/>
      <c r="H490" s="119">
        <f>IF(G490="Yes","",D490)</f>
        <v/>
      </c>
      <c r="I490" s="111" t="n"/>
      <c r="J490" s="111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68">
      <c r="A491" s="113" t="n"/>
      <c r="B491" s="111" t="n"/>
      <c r="C491" s="111" t="n"/>
      <c r="D491" s="117" t="n"/>
      <c r="E491" s="118">
        <f>IF(F491="","",IF(OR(F491="HDFC Bank (INR)",F491="HDFC IOCL Credit Card (INR)",F491="HDFC Swiggy Credit Card (INR)",F491="Axis Airtel Credit Card (INR)"),"INR","GBP"))</f>
        <v/>
      </c>
      <c r="F491" s="111" t="n"/>
      <c r="G491" s="111" t="n"/>
      <c r="H491" s="119">
        <f>IF(G491="Yes","",D491)</f>
        <v/>
      </c>
      <c r="I491" s="111" t="n"/>
      <c r="J491" s="111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68">
      <c r="A492" s="113" t="n"/>
      <c r="B492" s="111" t="n"/>
      <c r="C492" s="111" t="n"/>
      <c r="D492" s="117" t="n"/>
      <c r="E492" s="118">
        <f>IF(F492="","",IF(OR(F492="HDFC Bank (INR)",F492="HDFC IOCL Credit Card (INR)",F492="HDFC Swiggy Credit Card (INR)",F492="Axis Airtel Credit Card (INR)"),"INR","GBP"))</f>
        <v/>
      </c>
      <c r="F492" s="111" t="n"/>
      <c r="G492" s="111" t="n"/>
      <c r="H492" s="119">
        <f>IF(G492="Yes","",D492)</f>
        <v/>
      </c>
      <c r="I492" s="111" t="n"/>
      <c r="J492" s="111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68">
      <c r="A493" s="113" t="n"/>
      <c r="B493" s="111" t="n"/>
      <c r="C493" s="111" t="n"/>
      <c r="D493" s="117" t="n"/>
      <c r="E493" s="118">
        <f>IF(F493="","",IF(OR(F493="HDFC Bank (INR)",F493="HDFC IOCL Credit Card (INR)",F493="HDFC Swiggy Credit Card (INR)",F493="Axis Airtel Credit Card (INR)"),"INR","GBP"))</f>
        <v/>
      </c>
      <c r="F493" s="111" t="n"/>
      <c r="G493" s="111" t="n"/>
      <c r="H493" s="119">
        <f>IF(G493="Yes","",D493)</f>
        <v/>
      </c>
      <c r="I493" s="111" t="n"/>
      <c r="J493" s="111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68">
      <c r="A494" s="113" t="n"/>
      <c r="B494" s="111" t="n"/>
      <c r="C494" s="111" t="n"/>
      <c r="D494" s="117" t="n"/>
      <c r="E494" s="118">
        <f>IF(F494="","",IF(OR(F494="HDFC Bank (INR)",F494="HDFC IOCL Credit Card (INR)",F494="HDFC Swiggy Credit Card (INR)",F494="Axis Airtel Credit Card (INR)"),"INR","GBP"))</f>
        <v/>
      </c>
      <c r="F494" s="111" t="n"/>
      <c r="G494" s="111" t="n"/>
      <c r="H494" s="119">
        <f>IF(G494="Yes","",D494)</f>
        <v/>
      </c>
      <c r="I494" s="111" t="n"/>
      <c r="J494" s="111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68">
      <c r="A495" s="113" t="n"/>
      <c r="B495" s="111" t="n"/>
      <c r="C495" s="111" t="n"/>
      <c r="D495" s="117" t="n"/>
      <c r="E495" s="118">
        <f>IF(F495="","",IF(OR(F495="HDFC Bank (INR)",F495="HDFC IOCL Credit Card (INR)",F495="HDFC Swiggy Credit Card (INR)",F495="Axis Airtel Credit Card (INR)"),"INR","GBP"))</f>
        <v/>
      </c>
      <c r="F495" s="111" t="n"/>
      <c r="G495" s="111" t="n"/>
      <c r="H495" s="119">
        <f>IF(G495="Yes","",D495)</f>
        <v/>
      </c>
      <c r="I495" s="111" t="n"/>
      <c r="J495" s="111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68">
      <c r="A496" s="113" t="n"/>
      <c r="B496" s="111" t="n"/>
      <c r="C496" s="111" t="n"/>
      <c r="D496" s="117" t="n"/>
      <c r="E496" s="118">
        <f>IF(F496="","",IF(OR(F496="HDFC Bank (INR)",F496="HDFC IOCL Credit Card (INR)",F496="HDFC Swiggy Credit Card (INR)",F496="Axis Airtel Credit Card (INR)"),"INR","GBP"))</f>
        <v/>
      </c>
      <c r="F496" s="111" t="n"/>
      <c r="G496" s="111" t="n"/>
      <c r="H496" s="119">
        <f>IF(G496="Yes","",D496)</f>
        <v/>
      </c>
      <c r="I496" s="111" t="n"/>
      <c r="J496" s="111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68">
      <c r="A497" s="113" t="n"/>
      <c r="B497" s="111" t="n"/>
      <c r="C497" s="111" t="n"/>
      <c r="D497" s="117" t="n"/>
      <c r="E497" s="118">
        <f>IF(F497="","",IF(OR(F497="HDFC Bank (INR)",F497="HDFC IOCL Credit Card (INR)",F497="HDFC Swiggy Credit Card (INR)",F497="Axis Airtel Credit Card (INR)"),"INR","GBP"))</f>
        <v/>
      </c>
      <c r="F497" s="111" t="n"/>
      <c r="G497" s="111" t="n"/>
      <c r="H497" s="119">
        <f>IF(G497="Yes","",D497)</f>
        <v/>
      </c>
      <c r="I497" s="111" t="n"/>
      <c r="J497" s="111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68">
      <c r="A498" s="113" t="n"/>
      <c r="B498" s="111" t="n"/>
      <c r="C498" s="111" t="n"/>
      <c r="D498" s="117" t="n"/>
      <c r="E498" s="118">
        <f>IF(F498="","",IF(OR(F498="HDFC Bank (INR)",F498="HDFC IOCL Credit Card (INR)",F498="HDFC Swiggy Credit Card (INR)",F498="Axis Airtel Credit Card (INR)"),"INR","GBP"))</f>
        <v/>
      </c>
      <c r="F498" s="111" t="n"/>
      <c r="G498" s="111" t="n"/>
      <c r="H498" s="119">
        <f>IF(G498="Yes","",D498)</f>
        <v/>
      </c>
      <c r="I498" s="111" t="n"/>
      <c r="J498" s="111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68">
      <c r="A499" s="113" t="n"/>
      <c r="B499" s="111" t="n"/>
      <c r="C499" s="111" t="n"/>
      <c r="D499" s="117" t="n"/>
      <c r="E499" s="118">
        <f>IF(F499="","",IF(OR(F499="HDFC Bank (INR)",F499="HDFC IOCL Credit Card (INR)",F499="HDFC Swiggy Credit Card (INR)",F499="Axis Airtel Credit Card (INR)"),"INR","GBP"))</f>
        <v/>
      </c>
      <c r="F499" s="111" t="n"/>
      <c r="G499" s="111" t="n"/>
      <c r="H499" s="119">
        <f>IF(G499="Yes","",D499)</f>
        <v/>
      </c>
      <c r="I499" s="111" t="n"/>
      <c r="J499" s="111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68">
      <c r="A500" s="113" t="n"/>
      <c r="B500" s="111" t="n"/>
      <c r="C500" s="111" t="n"/>
      <c r="D500" s="117" t="n"/>
      <c r="E500" s="118">
        <f>IF(F500="","",IF(OR(F500="HDFC Bank (INR)",F500="HDFC IOCL Credit Card (INR)",F500="HDFC Swiggy Credit Card (INR)",F500="Axis Airtel Credit Card (INR)"),"INR","GBP"))</f>
        <v/>
      </c>
      <c r="F500" s="111" t="n"/>
      <c r="G500" s="111" t="n"/>
      <c r="H500" s="119">
        <f>IF(G500="Yes","",D500)</f>
        <v/>
      </c>
      <c r="I500" s="111" t="n"/>
      <c r="J500" s="111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68">
      <c r="A501" s="113" t="n"/>
      <c r="B501" s="111" t="n"/>
      <c r="C501" s="111" t="n"/>
      <c r="D501" s="117" t="n"/>
      <c r="E501" s="118">
        <f>IF(F501="","",IF(OR(F501="HDFC Bank (INR)",F501="HDFC IOCL Credit Card (INR)",F501="HDFC Swiggy Credit Card (INR)",F501="Axis Airtel Credit Card (INR)"),"INR","GBP"))</f>
        <v/>
      </c>
      <c r="F501" s="111" t="n"/>
      <c r="G501" s="111" t="n"/>
      <c r="H501" s="119">
        <f>IF(G501="Yes","",D501)</f>
        <v/>
      </c>
      <c r="I501" s="111" t="n"/>
      <c r="J501" s="111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68">
      <c r="A502" s="113" t="n"/>
      <c r="B502" s="111" t="n"/>
      <c r="C502" s="111" t="n"/>
      <c r="D502" s="117" t="n"/>
      <c r="E502" s="118">
        <f>IF(F502="","",IF(OR(F502="HDFC Bank (INR)",F502="HDFC IOCL Credit Card (INR)",F502="HDFC Swiggy Credit Card (INR)",F502="Axis Airtel Credit Card (INR)"),"INR","GBP"))</f>
        <v/>
      </c>
      <c r="F502" s="111" t="n"/>
      <c r="G502" s="111" t="n"/>
      <c r="H502" s="119">
        <f>IF(G502="Yes","",D502)</f>
        <v/>
      </c>
      <c r="I502" s="111" t="n"/>
      <c r="J502" s="111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68">
      <c r="A503" s="113" t="n"/>
      <c r="B503" s="111" t="n"/>
      <c r="C503" s="111" t="n"/>
      <c r="D503" s="117" t="n"/>
      <c r="E503" s="118">
        <f>IF(F503="","",IF(OR(F503="HDFC Bank (INR)",F503="HDFC IOCL Credit Card (INR)",F503="HDFC Swiggy Credit Card (INR)",F503="Axis Airtel Credit Card (INR)"),"INR","GBP"))</f>
        <v/>
      </c>
      <c r="F503" s="111" t="n"/>
      <c r="G503" s="111" t="n"/>
      <c r="H503" s="119">
        <f>IF(G503="Yes","",D503)</f>
        <v/>
      </c>
      <c r="I503" s="111" t="n"/>
      <c r="J503" s="111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68">
      <c r="A504" s="113" t="n"/>
      <c r="B504" s="111" t="n"/>
      <c r="C504" s="111" t="n"/>
      <c r="D504" s="117" t="n"/>
      <c r="E504" s="118">
        <f>IF(F504="","",IF(OR(F504="HDFC Bank (INR)",F504="HDFC IOCL Credit Card (INR)",F504="HDFC Swiggy Credit Card (INR)",F504="Axis Airtel Credit Card (INR)"),"INR","GBP"))</f>
        <v/>
      </c>
      <c r="F504" s="111" t="n"/>
      <c r="G504" s="111" t="n"/>
      <c r="H504" s="119">
        <f>IF(G504="Yes","",D504)</f>
        <v/>
      </c>
      <c r="I504" s="111" t="n"/>
      <c r="J504" s="111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68">
      <c r="A505" s="113" t="n"/>
      <c r="B505" s="111" t="n"/>
      <c r="C505" s="111" t="n"/>
      <c r="D505" s="117" t="n"/>
      <c r="E505" s="118">
        <f>IF(F505="","",IF(OR(F505="HDFC Bank (INR)",F505="HDFC IOCL Credit Card (INR)",F505="HDFC Swiggy Credit Card (INR)",F505="Axis Airtel Credit Card (INR)"),"INR","GBP"))</f>
        <v/>
      </c>
      <c r="F505" s="111" t="n"/>
      <c r="G505" s="111" t="n"/>
      <c r="H505" s="119">
        <f>IF(G505="Yes","",D505)</f>
        <v/>
      </c>
      <c r="I505" s="111" t="n"/>
      <c r="J505" s="111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68">
      <c r="A506" s="113" t="n"/>
      <c r="B506" s="111" t="n"/>
      <c r="C506" s="111" t="n"/>
      <c r="D506" s="117" t="n"/>
      <c r="E506" s="118">
        <f>IF(F506="","",IF(OR(F506="HDFC Bank (INR)",F506="HDFC IOCL Credit Card (INR)",F506="HDFC Swiggy Credit Card (INR)",F506="Axis Airtel Credit Card (INR)"),"INR","GBP"))</f>
        <v/>
      </c>
      <c r="F506" s="111" t="n"/>
      <c r="G506" s="111" t="n"/>
      <c r="H506" s="119">
        <f>IF(G506="Yes","",D506)</f>
        <v/>
      </c>
      <c r="I506" s="111" t="n"/>
      <c r="J506" s="111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68">
      <c r="A507" s="113" t="n"/>
      <c r="B507" s="111" t="n"/>
      <c r="C507" s="111" t="n"/>
      <c r="D507" s="117" t="n"/>
      <c r="E507" s="118">
        <f>IF(F507="","",IF(OR(F507="HDFC Bank (INR)",F507="HDFC IOCL Credit Card (INR)",F507="HDFC Swiggy Credit Card (INR)",F507="Axis Airtel Credit Card (INR)"),"INR","GBP"))</f>
        <v/>
      </c>
      <c r="F507" s="111" t="n"/>
      <c r="G507" s="111" t="n"/>
      <c r="H507" s="119">
        <f>IF(G507="Yes","",D507)</f>
        <v/>
      </c>
      <c r="I507" s="111" t="n"/>
      <c r="J507" s="111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68">
      <c r="A508" s="113" t="n"/>
      <c r="B508" s="111" t="n"/>
      <c r="C508" s="111" t="n"/>
      <c r="D508" s="117" t="n"/>
      <c r="E508" s="118">
        <f>IF(F508="","",IF(OR(F508="HDFC Bank (INR)",F508="HDFC IOCL Credit Card (INR)",F508="HDFC Swiggy Credit Card (INR)",F508="Axis Airtel Credit Card (INR)"),"INR","GBP"))</f>
        <v/>
      </c>
      <c r="F508" s="111" t="n"/>
      <c r="G508" s="111" t="n"/>
      <c r="H508" s="119">
        <f>IF(G508="Yes","",D508)</f>
        <v/>
      </c>
      <c r="I508" s="111" t="n"/>
      <c r="J508" s="111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68">
      <c r="A509" s="113" t="n"/>
      <c r="B509" s="111" t="n"/>
      <c r="C509" s="111" t="n"/>
      <c r="D509" s="117" t="n"/>
      <c r="E509" s="118">
        <f>IF(F509="","",IF(OR(F509="HDFC Bank (INR)",F509="HDFC IOCL Credit Card (INR)",F509="HDFC Swiggy Credit Card (INR)",F509="Axis Airtel Credit Card (INR)"),"INR","GBP"))</f>
        <v/>
      </c>
      <c r="F509" s="111" t="n"/>
      <c r="G509" s="111" t="n"/>
      <c r="H509" s="119">
        <f>IF(G509="Yes","",D509)</f>
        <v/>
      </c>
      <c r="I509" s="111" t="n"/>
      <c r="J509" s="111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68">
      <c r="A510" s="113" t="n"/>
      <c r="B510" s="111" t="n"/>
      <c r="C510" s="111" t="n"/>
      <c r="D510" s="117" t="n"/>
      <c r="E510" s="118">
        <f>IF(F510="","",IF(OR(F510="HDFC Bank (INR)",F510="HDFC IOCL Credit Card (INR)",F510="HDFC Swiggy Credit Card (INR)",F510="Axis Airtel Credit Card (INR)"),"INR","GBP"))</f>
        <v/>
      </c>
      <c r="F510" s="111" t="n"/>
      <c r="G510" s="111" t="n"/>
      <c r="H510" s="119">
        <f>IF(G510="Yes","",D510)</f>
        <v/>
      </c>
      <c r="I510" s="111" t="n"/>
      <c r="J510" s="111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68">
      <c r="A511" s="113" t="n"/>
      <c r="B511" s="111" t="n"/>
      <c r="C511" s="111" t="n"/>
      <c r="D511" s="117" t="n"/>
      <c r="E511" s="118">
        <f>IF(F511="","",IF(OR(F511="HDFC Bank (INR)",F511="HDFC IOCL Credit Card (INR)",F511="HDFC Swiggy Credit Card (INR)",F511="Axis Airtel Credit Card (INR)"),"INR","GBP"))</f>
        <v/>
      </c>
      <c r="F511" s="111" t="n"/>
      <c r="G511" s="111" t="n"/>
      <c r="H511" s="119">
        <f>IF(G511="Yes","",D511)</f>
        <v/>
      </c>
      <c r="I511" s="111" t="n"/>
      <c r="J511" s="111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68">
      <c r="A512" s="113" t="n"/>
      <c r="B512" s="111" t="n"/>
      <c r="C512" s="111" t="n"/>
      <c r="D512" s="117" t="n"/>
      <c r="E512" s="118">
        <f>IF(F512="","",IF(OR(F512="HDFC Bank (INR)",F512="HDFC IOCL Credit Card (INR)",F512="HDFC Swiggy Credit Card (INR)",F512="Axis Airtel Credit Card (INR)"),"INR","GBP"))</f>
        <v/>
      </c>
      <c r="F512" s="111" t="n"/>
      <c r="G512" s="111" t="n"/>
      <c r="H512" s="119">
        <f>IF(G512="Yes","",D512)</f>
        <v/>
      </c>
      <c r="I512" s="111" t="n"/>
      <c r="J512" s="111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68">
      <c r="A513" s="113" t="n"/>
      <c r="B513" s="111" t="n"/>
      <c r="C513" s="111" t="n"/>
      <c r="D513" s="117" t="n"/>
      <c r="E513" s="118">
        <f>IF(F513="","",IF(OR(F513="HDFC Bank (INR)",F513="HDFC IOCL Credit Card (INR)",F513="HDFC Swiggy Credit Card (INR)",F513="Axis Airtel Credit Card (INR)"),"INR","GBP"))</f>
        <v/>
      </c>
      <c r="F513" s="111" t="n"/>
      <c r="G513" s="111" t="n"/>
      <c r="H513" s="119">
        <f>IF(G513="Yes","",D513)</f>
        <v/>
      </c>
      <c r="I513" s="111" t="n"/>
      <c r="J513" s="111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68">
      <c r="A514" s="113" t="n"/>
      <c r="B514" s="111" t="n"/>
      <c r="C514" s="111" t="n"/>
      <c r="D514" s="117" t="n"/>
      <c r="E514" s="118">
        <f>IF(F514="","",IF(OR(F514="HDFC Bank (INR)",F514="HDFC IOCL Credit Card (INR)",F514="HDFC Swiggy Credit Card (INR)",F514="Axis Airtel Credit Card (INR)"),"INR","GBP"))</f>
        <v/>
      </c>
      <c r="F514" s="111" t="n"/>
      <c r="G514" s="111" t="n"/>
      <c r="H514" s="119">
        <f>IF(G514="Yes","",D514)</f>
        <v/>
      </c>
      <c r="I514" s="111" t="n"/>
      <c r="J514" s="111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68">
      <c r="A515" s="113" t="n"/>
      <c r="B515" s="111" t="n"/>
      <c r="C515" s="111" t="n"/>
      <c r="D515" s="117" t="n"/>
      <c r="E515" s="118">
        <f>IF(F515="","",IF(OR(F515="HDFC Bank (INR)",F515="HDFC IOCL Credit Card (INR)",F515="HDFC Swiggy Credit Card (INR)",F515="Axis Airtel Credit Card (INR)"),"INR","GBP"))</f>
        <v/>
      </c>
      <c r="F515" s="111" t="n"/>
      <c r="G515" s="111" t="n"/>
      <c r="H515" s="119">
        <f>IF(G515="Yes","",D515)</f>
        <v/>
      </c>
      <c r="I515" s="111" t="n"/>
      <c r="J515" s="111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68">
      <c r="A516" s="113" t="n"/>
      <c r="B516" s="111" t="n"/>
      <c r="C516" s="111" t="n"/>
      <c r="D516" s="117" t="n"/>
      <c r="E516" s="118">
        <f>IF(F516="","",IF(OR(F516="HDFC Bank (INR)",F516="HDFC IOCL Credit Card (INR)",F516="HDFC Swiggy Credit Card (INR)",F516="Axis Airtel Credit Card (INR)"),"INR","GBP"))</f>
        <v/>
      </c>
      <c r="F516" s="111" t="n"/>
      <c r="G516" s="111" t="n"/>
      <c r="H516" s="119">
        <f>IF(G516="Yes","",D516)</f>
        <v/>
      </c>
      <c r="I516" s="111" t="n"/>
      <c r="J516" s="111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68">
      <c r="A517" s="113" t="n"/>
      <c r="B517" s="111" t="n"/>
      <c r="C517" s="111" t="n"/>
      <c r="D517" s="117" t="n"/>
      <c r="E517" s="118">
        <f>IF(F517="","",IF(OR(F517="HDFC Bank (INR)",F517="HDFC IOCL Credit Card (INR)",F517="HDFC Swiggy Credit Card (INR)",F517="Axis Airtel Credit Card (INR)"),"INR","GBP"))</f>
        <v/>
      </c>
      <c r="F517" s="111" t="n"/>
      <c r="G517" s="111" t="n"/>
      <c r="H517" s="119">
        <f>IF(G517="Yes","",D517)</f>
        <v/>
      </c>
      <c r="I517" s="111" t="n"/>
      <c r="J517" s="111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68">
      <c r="A518" s="113" t="n"/>
      <c r="B518" s="111" t="n"/>
      <c r="C518" s="111" t="n"/>
      <c r="D518" s="117" t="n"/>
      <c r="E518" s="118">
        <f>IF(F518="","",IF(OR(F518="HDFC Bank (INR)",F518="HDFC IOCL Credit Card (INR)",F518="HDFC Swiggy Credit Card (INR)",F518="Axis Airtel Credit Card (INR)"),"INR","GBP"))</f>
        <v/>
      </c>
      <c r="F518" s="111" t="n"/>
      <c r="G518" s="111" t="n"/>
      <c r="H518" s="119">
        <f>IF(G518="Yes","",D518)</f>
        <v/>
      </c>
      <c r="I518" s="111" t="n"/>
      <c r="J518" s="111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68">
      <c r="A519" s="113" t="n"/>
      <c r="B519" s="111" t="n"/>
      <c r="C519" s="111" t="n"/>
      <c r="D519" s="117" t="n"/>
      <c r="E519" s="118">
        <f>IF(F519="","",IF(OR(F519="HDFC Bank (INR)",F519="HDFC IOCL Credit Card (INR)",F519="HDFC Swiggy Credit Card (INR)",F519="Axis Airtel Credit Card (INR)"),"INR","GBP"))</f>
        <v/>
      </c>
      <c r="F519" s="111" t="n"/>
      <c r="G519" s="111" t="n"/>
      <c r="H519" s="119">
        <f>IF(G519="Yes","",D519)</f>
        <v/>
      </c>
      <c r="I519" s="111" t="n"/>
      <c r="J519" s="111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68">
      <c r="A520" s="113" t="n"/>
      <c r="B520" s="111" t="n"/>
      <c r="C520" s="111" t="n"/>
      <c r="D520" s="117" t="n"/>
      <c r="E520" s="118">
        <f>IF(F520="","",IF(OR(F520="HDFC Bank (INR)",F520="HDFC IOCL Credit Card (INR)",F520="HDFC Swiggy Credit Card (INR)",F520="Axis Airtel Credit Card (INR)"),"INR","GBP"))</f>
        <v/>
      </c>
      <c r="F520" s="111" t="n"/>
      <c r="G520" s="111" t="n"/>
      <c r="H520" s="119">
        <f>IF(G520="Yes","",D520)</f>
        <v/>
      </c>
      <c r="I520" s="111" t="n"/>
      <c r="J520" s="111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68">
      <c r="A521" s="113" t="n"/>
      <c r="B521" s="111" t="n"/>
      <c r="C521" s="111" t="n"/>
      <c r="D521" s="117" t="n"/>
      <c r="E521" s="118">
        <f>IF(F521="","",IF(OR(F521="HDFC Bank (INR)",F521="HDFC IOCL Credit Card (INR)",F521="HDFC Swiggy Credit Card (INR)",F521="Axis Airtel Credit Card (INR)"),"INR","GBP"))</f>
        <v/>
      </c>
      <c r="F521" s="111" t="n"/>
      <c r="G521" s="111" t="n"/>
      <c r="H521" s="119">
        <f>IF(G521="Yes","",D521)</f>
        <v/>
      </c>
      <c r="I521" s="111" t="n"/>
      <c r="J521" s="111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68">
      <c r="A522" s="113" t="n"/>
      <c r="B522" s="111" t="n"/>
      <c r="C522" s="111" t="n"/>
      <c r="D522" s="117" t="n"/>
      <c r="E522" s="118">
        <f>IF(F522="","",IF(OR(F522="HDFC Bank (INR)",F522="HDFC IOCL Credit Card (INR)",F522="HDFC Swiggy Credit Card (INR)",F522="Axis Airtel Credit Card (INR)"),"INR","GBP"))</f>
        <v/>
      </c>
      <c r="F522" s="111" t="n"/>
      <c r="G522" s="111" t="n"/>
      <c r="H522" s="119">
        <f>IF(G522="Yes","",D522)</f>
        <v/>
      </c>
      <c r="I522" s="111" t="n"/>
      <c r="J522" s="111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68">
      <c r="A523" s="113" t="n"/>
      <c r="B523" s="111" t="n"/>
      <c r="C523" s="111" t="n"/>
      <c r="D523" s="117" t="n"/>
      <c r="E523" s="118">
        <f>IF(F523="","",IF(OR(F523="HDFC Bank (INR)",F523="HDFC IOCL Credit Card (INR)",F523="HDFC Swiggy Credit Card (INR)",F523="Axis Airtel Credit Card (INR)"),"INR","GBP"))</f>
        <v/>
      </c>
      <c r="F523" s="111" t="n"/>
      <c r="G523" s="111" t="n"/>
      <c r="H523" s="119">
        <f>IF(G523="Yes","",D523)</f>
        <v/>
      </c>
      <c r="I523" s="111" t="n"/>
      <c r="J523" s="111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68">
      <c r="A524" s="113" t="n"/>
      <c r="B524" s="111" t="n"/>
      <c r="C524" s="111" t="n"/>
      <c r="D524" s="117" t="n"/>
      <c r="E524" s="118">
        <f>IF(F524="","",IF(OR(F524="HDFC Bank (INR)",F524="HDFC IOCL Credit Card (INR)",F524="HDFC Swiggy Credit Card (INR)",F524="Axis Airtel Credit Card (INR)"),"INR","GBP"))</f>
        <v/>
      </c>
      <c r="F524" s="111" t="n"/>
      <c r="G524" s="111" t="n"/>
      <c r="H524" s="119">
        <f>IF(G524="Yes","",D524)</f>
        <v/>
      </c>
      <c r="I524" s="111" t="n"/>
      <c r="J524" s="111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68">
      <c r="A525" s="113" t="n"/>
      <c r="B525" s="111" t="n"/>
      <c r="C525" s="111" t="n"/>
      <c r="D525" s="117" t="n"/>
      <c r="E525" s="118">
        <f>IF(F525="","",IF(OR(F525="HDFC Bank (INR)",F525="HDFC IOCL Credit Card (INR)",F525="HDFC Swiggy Credit Card (INR)",F525="Axis Airtel Credit Card (INR)"),"INR","GBP"))</f>
        <v/>
      </c>
      <c r="F525" s="111" t="n"/>
      <c r="G525" s="111" t="n"/>
      <c r="H525" s="119">
        <f>IF(G525="Yes","",D525)</f>
        <v/>
      </c>
      <c r="I525" s="111" t="n"/>
      <c r="J525" s="111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68">
      <c r="A526" s="113" t="n"/>
      <c r="B526" s="111" t="n"/>
      <c r="C526" s="111" t="n"/>
      <c r="D526" s="117" t="n"/>
      <c r="E526" s="118">
        <f>IF(F526="","",IF(OR(F526="HDFC Bank (INR)",F526="HDFC IOCL Credit Card (INR)",F526="HDFC Swiggy Credit Card (INR)",F526="Axis Airtel Credit Card (INR)"),"INR","GBP"))</f>
        <v/>
      </c>
      <c r="F526" s="111" t="n"/>
      <c r="G526" s="111" t="n"/>
      <c r="H526" s="119">
        <f>IF(G526="Yes","",D526)</f>
        <v/>
      </c>
      <c r="I526" s="111" t="n"/>
      <c r="J526" s="111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68">
      <c r="A527" s="113" t="n"/>
      <c r="B527" s="111" t="n"/>
      <c r="C527" s="111" t="n"/>
      <c r="D527" s="117" t="n"/>
      <c r="E527" s="118">
        <f>IF(F527="","",IF(OR(F527="HDFC Bank (INR)",F527="HDFC IOCL Credit Card (INR)",F527="HDFC Swiggy Credit Card (INR)",F527="Axis Airtel Credit Card (INR)"),"INR","GBP"))</f>
        <v/>
      </c>
      <c r="F527" s="111" t="n"/>
      <c r="G527" s="111" t="n"/>
      <c r="H527" s="119">
        <f>IF(G527="Yes","",D527)</f>
        <v/>
      </c>
      <c r="I527" s="111" t="n"/>
      <c r="J527" s="111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68">
      <c r="A528" s="113" t="n"/>
      <c r="B528" s="111" t="n"/>
      <c r="C528" s="111" t="n"/>
      <c r="D528" s="117" t="n"/>
      <c r="E528" s="118">
        <f>IF(F528="","",IF(OR(F528="HDFC Bank (INR)",F528="HDFC IOCL Credit Card (INR)",F528="HDFC Swiggy Credit Card (INR)",F528="Axis Airtel Credit Card (INR)"),"INR","GBP"))</f>
        <v/>
      </c>
      <c r="F528" s="111" t="n"/>
      <c r="G528" s="111" t="n"/>
      <c r="H528" s="119">
        <f>IF(G528="Yes","",D528)</f>
        <v/>
      </c>
      <c r="I528" s="111" t="n"/>
      <c r="J528" s="111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68">
      <c r="A529" s="113" t="n"/>
      <c r="B529" s="111" t="n"/>
      <c r="C529" s="111" t="n"/>
      <c r="D529" s="117" t="n"/>
      <c r="E529" s="118">
        <f>IF(F529="","",IF(OR(F529="HDFC Bank (INR)",F529="HDFC IOCL Credit Card (INR)",F529="HDFC Swiggy Credit Card (INR)",F529="Axis Airtel Credit Card (INR)"),"INR","GBP"))</f>
        <v/>
      </c>
      <c r="F529" s="111" t="n"/>
      <c r="G529" s="111" t="n"/>
      <c r="H529" s="119">
        <f>IF(G529="Yes","",D529)</f>
        <v/>
      </c>
      <c r="I529" s="111" t="n"/>
      <c r="J529" s="111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68">
      <c r="A530" s="113" t="n"/>
      <c r="B530" s="111" t="n"/>
      <c r="C530" s="111" t="n"/>
      <c r="D530" s="117" t="n"/>
      <c r="E530" s="118">
        <f>IF(F530="","",IF(OR(F530="HDFC Bank (INR)",F530="HDFC IOCL Credit Card (INR)",F530="HDFC Swiggy Credit Card (INR)",F530="Axis Airtel Credit Card (INR)"),"INR","GBP"))</f>
        <v/>
      </c>
      <c r="F530" s="111" t="n"/>
      <c r="G530" s="111" t="n"/>
      <c r="H530" s="119">
        <f>IF(G530="Yes","",D530)</f>
        <v/>
      </c>
      <c r="I530" s="111" t="n"/>
      <c r="J530" s="111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68">
      <c r="A531" s="113" t="n"/>
      <c r="B531" s="111" t="n"/>
      <c r="C531" s="111" t="n"/>
      <c r="D531" s="117" t="n"/>
      <c r="E531" s="118">
        <f>IF(F531="","",IF(OR(F531="HDFC Bank (INR)",F531="HDFC IOCL Credit Card (INR)",F531="HDFC Swiggy Credit Card (INR)",F531="Axis Airtel Credit Card (INR)"),"INR","GBP"))</f>
        <v/>
      </c>
      <c r="F531" s="111" t="n"/>
      <c r="G531" s="111" t="n"/>
      <c r="H531" s="119">
        <f>IF(G531="Yes","",D531)</f>
        <v/>
      </c>
      <c r="I531" s="111" t="n"/>
      <c r="J531" s="111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68">
      <c r="A532" s="113" t="n"/>
      <c r="B532" s="111" t="n"/>
      <c r="C532" s="111" t="n"/>
      <c r="D532" s="117" t="n"/>
      <c r="E532" s="118">
        <f>IF(F532="","",IF(OR(F532="HDFC Bank (INR)",F532="HDFC IOCL Credit Card (INR)",F532="HDFC Swiggy Credit Card (INR)",F532="Axis Airtel Credit Card (INR)"),"INR","GBP"))</f>
        <v/>
      </c>
      <c r="F532" s="111" t="n"/>
      <c r="G532" s="111" t="n"/>
      <c r="H532" s="119">
        <f>IF(G532="Yes","",D532)</f>
        <v/>
      </c>
      <c r="I532" s="111" t="n"/>
      <c r="J532" s="111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68">
      <c r="A533" s="113" t="n"/>
      <c r="B533" s="111" t="n"/>
      <c r="C533" s="111" t="n"/>
      <c r="D533" s="117" t="n"/>
      <c r="E533" s="118">
        <f>IF(F533="","",IF(OR(F533="HDFC Bank (INR)",F533="HDFC IOCL Credit Card (INR)",F533="HDFC Swiggy Credit Card (INR)",F533="Axis Airtel Credit Card (INR)"),"INR","GBP"))</f>
        <v/>
      </c>
      <c r="F533" s="111" t="n"/>
      <c r="G533" s="111" t="n"/>
      <c r="H533" s="119">
        <f>IF(G533="Yes","",D533)</f>
        <v/>
      </c>
      <c r="I533" s="111" t="n"/>
      <c r="J533" s="111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68">
      <c r="A534" s="113" t="n"/>
      <c r="B534" s="111" t="n"/>
      <c r="C534" s="111" t="n"/>
      <c r="D534" s="117" t="n"/>
      <c r="E534" s="118">
        <f>IF(F534="","",IF(OR(F534="HDFC Bank (INR)",F534="HDFC IOCL Credit Card (INR)",F534="HDFC Swiggy Credit Card (INR)",F534="Axis Airtel Credit Card (INR)"),"INR","GBP"))</f>
        <v/>
      </c>
      <c r="F534" s="111" t="n"/>
      <c r="G534" s="111" t="n"/>
      <c r="H534" s="119">
        <f>IF(G534="Yes","",D534)</f>
        <v/>
      </c>
      <c r="I534" s="111" t="n"/>
      <c r="J534" s="111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68">
      <c r="A535" s="113" t="n"/>
      <c r="B535" s="111" t="n"/>
      <c r="C535" s="111" t="n"/>
      <c r="D535" s="117" t="n"/>
      <c r="E535" s="118">
        <f>IF(F535="","",IF(OR(F535="HDFC Bank (INR)",F535="HDFC IOCL Credit Card (INR)",F535="HDFC Swiggy Credit Card (INR)",F535="Axis Airtel Credit Card (INR)"),"INR","GBP"))</f>
        <v/>
      </c>
      <c r="F535" s="111" t="n"/>
      <c r="G535" s="111" t="n"/>
      <c r="H535" s="119">
        <f>IF(G535="Yes","",D535)</f>
        <v/>
      </c>
      <c r="I535" s="111" t="n"/>
      <c r="J535" s="111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68">
      <c r="A536" s="113" t="n"/>
      <c r="B536" s="111" t="n"/>
      <c r="C536" s="111" t="n"/>
      <c r="D536" s="117" t="n"/>
      <c r="E536" s="118">
        <f>IF(F536="","",IF(OR(F536="HDFC Bank (INR)",F536="HDFC IOCL Credit Card (INR)",F536="HDFC Swiggy Credit Card (INR)",F536="Axis Airtel Credit Card (INR)"),"INR","GBP"))</f>
        <v/>
      </c>
      <c r="F536" s="111" t="n"/>
      <c r="G536" s="111" t="n"/>
      <c r="H536" s="119">
        <f>IF(G536="Yes","",D536)</f>
        <v/>
      </c>
      <c r="I536" s="111" t="n"/>
      <c r="J536" s="111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68">
      <c r="A537" s="113" t="n"/>
      <c r="B537" s="111" t="n"/>
      <c r="C537" s="111" t="n"/>
      <c r="D537" s="117" t="n"/>
      <c r="E537" s="118">
        <f>IF(F537="","",IF(OR(F537="HDFC Bank (INR)",F537="HDFC IOCL Credit Card (INR)",F537="HDFC Swiggy Credit Card (INR)",F537="Axis Airtel Credit Card (INR)"),"INR","GBP"))</f>
        <v/>
      </c>
      <c r="F537" s="111" t="n"/>
      <c r="G537" s="111" t="n"/>
      <c r="H537" s="119">
        <f>IF(G537="Yes","",D537)</f>
        <v/>
      </c>
      <c r="I537" s="111" t="n"/>
      <c r="J537" s="111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68">
      <c r="A538" s="113" t="n"/>
      <c r="B538" s="111" t="n"/>
      <c r="C538" s="111" t="n"/>
      <c r="D538" s="117" t="n"/>
      <c r="E538" s="118">
        <f>IF(F538="","",IF(OR(F538="HDFC Bank (INR)",F538="HDFC IOCL Credit Card (INR)",F538="HDFC Swiggy Credit Card (INR)",F538="Axis Airtel Credit Card (INR)"),"INR","GBP"))</f>
        <v/>
      </c>
      <c r="F538" s="111" t="n"/>
      <c r="G538" s="111" t="n"/>
      <c r="H538" s="119">
        <f>IF(G538="Yes","",D538)</f>
        <v/>
      </c>
      <c r="I538" s="111" t="n"/>
      <c r="J538" s="111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68">
      <c r="A539" s="113" t="n"/>
      <c r="B539" s="111" t="n"/>
      <c r="C539" s="111" t="n"/>
      <c r="D539" s="117" t="n"/>
      <c r="E539" s="118">
        <f>IF(F539="","",IF(OR(F539="HDFC Bank (INR)",F539="HDFC IOCL Credit Card (INR)",F539="HDFC Swiggy Credit Card (INR)",F539="Axis Airtel Credit Card (INR)"),"INR","GBP"))</f>
        <v/>
      </c>
      <c r="F539" s="111" t="n"/>
      <c r="G539" s="111" t="n"/>
      <c r="H539" s="119">
        <f>IF(G539="Yes","",D539)</f>
        <v/>
      </c>
      <c r="I539" s="111" t="n"/>
      <c r="J539" s="111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68">
      <c r="A540" s="113" t="n"/>
      <c r="B540" s="111" t="n"/>
      <c r="C540" s="111" t="n"/>
      <c r="D540" s="117" t="n"/>
      <c r="E540" s="118">
        <f>IF(F540="","",IF(OR(F540="HDFC Bank (INR)",F540="HDFC IOCL Credit Card (INR)",F540="HDFC Swiggy Credit Card (INR)",F540="Axis Airtel Credit Card (INR)"),"INR","GBP"))</f>
        <v/>
      </c>
      <c r="F540" s="111" t="n"/>
      <c r="G540" s="111" t="n"/>
      <c r="H540" s="119">
        <f>IF(G540="Yes","",D540)</f>
        <v/>
      </c>
      <c r="I540" s="111" t="n"/>
      <c r="J540" s="111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68">
      <c r="A541" s="113" t="n"/>
      <c r="B541" s="111" t="n"/>
      <c r="C541" s="111" t="n"/>
      <c r="D541" s="117" t="n"/>
      <c r="E541" s="118">
        <f>IF(F541="","",IF(OR(F541="HDFC Bank (INR)",F541="HDFC IOCL Credit Card (INR)",F541="HDFC Swiggy Credit Card (INR)",F541="Axis Airtel Credit Card (INR)"),"INR","GBP"))</f>
        <v/>
      </c>
      <c r="F541" s="111" t="n"/>
      <c r="G541" s="111" t="n"/>
      <c r="H541" s="119">
        <f>IF(G541="Yes","",D541)</f>
        <v/>
      </c>
      <c r="I541" s="111" t="n"/>
      <c r="J541" s="111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68">
      <c r="A542" s="113" t="n"/>
      <c r="B542" s="111" t="n"/>
      <c r="C542" s="111" t="n"/>
      <c r="D542" s="117" t="n"/>
      <c r="E542" s="118">
        <f>IF(F542="","",IF(OR(F542="HDFC Bank (INR)",F542="HDFC IOCL Credit Card (INR)",F542="HDFC Swiggy Credit Card (INR)",F542="Axis Airtel Credit Card (INR)"),"INR","GBP"))</f>
        <v/>
      </c>
      <c r="F542" s="111" t="n"/>
      <c r="G542" s="111" t="n"/>
      <c r="H542" s="119">
        <f>IF(G542="Yes","",D542)</f>
        <v/>
      </c>
      <c r="I542" s="111" t="n"/>
      <c r="J542" s="111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68">
      <c r="A543" s="113" t="n"/>
      <c r="B543" s="111" t="n"/>
      <c r="C543" s="111" t="n"/>
      <c r="D543" s="117" t="n"/>
      <c r="E543" s="118">
        <f>IF(F543="","",IF(OR(F543="HDFC Bank (INR)",F543="HDFC IOCL Credit Card (INR)",F543="HDFC Swiggy Credit Card (INR)",F543="Axis Airtel Credit Card (INR)"),"INR","GBP"))</f>
        <v/>
      </c>
      <c r="F543" s="111" t="n"/>
      <c r="G543" s="111" t="n"/>
      <c r="H543" s="119">
        <f>IF(G543="Yes","",D543)</f>
        <v/>
      </c>
      <c r="I543" s="111" t="n"/>
      <c r="J543" s="111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68">
      <c r="A544" s="113" t="n"/>
      <c r="B544" s="111" t="n"/>
      <c r="C544" s="111" t="n"/>
      <c r="D544" s="117" t="n"/>
      <c r="E544" s="118">
        <f>IF(F544="","",IF(OR(F544="HDFC Bank (INR)",F544="HDFC IOCL Credit Card (INR)",F544="HDFC Swiggy Credit Card (INR)",F544="Axis Airtel Credit Card (INR)"),"INR","GBP"))</f>
        <v/>
      </c>
      <c r="F544" s="111" t="n"/>
      <c r="G544" s="111" t="n"/>
      <c r="H544" s="119">
        <f>IF(G544="Yes","",D544)</f>
        <v/>
      </c>
      <c r="I544" s="111" t="n"/>
      <c r="J544" s="111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68">
      <c r="A545" s="113" t="n"/>
      <c r="B545" s="111" t="n"/>
      <c r="C545" s="111" t="n"/>
      <c r="D545" s="117" t="n"/>
      <c r="E545" s="118">
        <f>IF(F545="","",IF(OR(F545="HDFC Bank (INR)",F545="HDFC IOCL Credit Card (INR)",F545="HDFC Swiggy Credit Card (INR)",F545="Axis Airtel Credit Card (INR)"),"INR","GBP"))</f>
        <v/>
      </c>
      <c r="F545" s="111" t="n"/>
      <c r="G545" s="111" t="n"/>
      <c r="H545" s="119">
        <f>IF(G545="Yes","",D545)</f>
        <v/>
      </c>
      <c r="I545" s="111" t="n"/>
      <c r="J545" s="111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68">
      <c r="A546" s="113" t="n"/>
      <c r="B546" s="111" t="n"/>
      <c r="C546" s="111" t="n"/>
      <c r="D546" s="117" t="n"/>
      <c r="E546" s="118">
        <f>IF(F546="","",IF(OR(F546="HDFC Bank (INR)",F546="HDFC IOCL Credit Card (INR)",F546="HDFC Swiggy Credit Card (INR)",F546="Axis Airtel Credit Card (INR)"),"INR","GBP"))</f>
        <v/>
      </c>
      <c r="F546" s="111" t="n"/>
      <c r="G546" s="111" t="n"/>
      <c r="H546" s="119">
        <f>IF(G546="Yes","",D546)</f>
        <v/>
      </c>
      <c r="I546" s="111" t="n"/>
      <c r="J546" s="111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68">
      <c r="A547" s="113" t="n"/>
      <c r="B547" s="111" t="n"/>
      <c r="C547" s="111" t="n"/>
      <c r="D547" s="117" t="n"/>
      <c r="E547" s="118">
        <f>IF(F547="","",IF(OR(F547="HDFC Bank (INR)",F547="HDFC IOCL Credit Card (INR)",F547="HDFC Swiggy Credit Card (INR)",F547="Axis Airtel Credit Card (INR)"),"INR","GBP"))</f>
        <v/>
      </c>
      <c r="F547" s="111" t="n"/>
      <c r="G547" s="111" t="n"/>
      <c r="H547" s="119">
        <f>IF(G547="Yes","",D547)</f>
        <v/>
      </c>
      <c r="I547" s="111" t="n"/>
      <c r="J547" s="111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68">
      <c r="A548" s="113" t="n"/>
      <c r="B548" s="111" t="n"/>
      <c r="C548" s="111" t="n"/>
      <c r="D548" s="117" t="n"/>
      <c r="E548" s="118">
        <f>IF(F548="","",IF(OR(F548="HDFC Bank (INR)",F548="HDFC IOCL Credit Card (INR)",F548="HDFC Swiggy Credit Card (INR)",F548="Axis Airtel Credit Card (INR)"),"INR","GBP"))</f>
        <v/>
      </c>
      <c r="F548" s="111" t="n"/>
      <c r="G548" s="111" t="n"/>
      <c r="H548" s="119">
        <f>IF(G548="Yes","",D548)</f>
        <v/>
      </c>
      <c r="I548" s="111" t="n"/>
      <c r="J548" s="111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68">
      <c r="A549" s="113" t="n"/>
      <c r="B549" s="111" t="n"/>
      <c r="C549" s="111" t="n"/>
      <c r="D549" s="117" t="n"/>
      <c r="E549" s="118">
        <f>IF(F549="","",IF(OR(F549="HDFC Bank (INR)",F549="HDFC IOCL Credit Card (INR)",F549="HDFC Swiggy Credit Card (INR)",F549="Axis Airtel Credit Card (INR)"),"INR","GBP"))</f>
        <v/>
      </c>
      <c r="F549" s="111" t="n"/>
      <c r="G549" s="111" t="n"/>
      <c r="H549" s="119">
        <f>IF(G549="Yes","",D549)</f>
        <v/>
      </c>
      <c r="I549" s="111" t="n"/>
      <c r="J549" s="111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68">
      <c r="A550" s="113" t="n"/>
      <c r="B550" s="111" t="n"/>
      <c r="C550" s="111" t="n"/>
      <c r="D550" s="117" t="n"/>
      <c r="E550" s="118">
        <f>IF(F550="","",IF(OR(F550="HDFC Bank (INR)",F550="HDFC IOCL Credit Card (INR)",F550="HDFC Swiggy Credit Card (INR)",F550="Axis Airtel Credit Card (INR)"),"INR","GBP"))</f>
        <v/>
      </c>
      <c r="F550" s="111" t="n"/>
      <c r="G550" s="111" t="n"/>
      <c r="H550" s="119">
        <f>IF(G550="Yes","",D550)</f>
        <v/>
      </c>
      <c r="I550" s="111" t="n"/>
      <c r="J550" s="111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68">
      <c r="A551" s="113" t="n"/>
      <c r="B551" s="111" t="n"/>
      <c r="C551" s="111" t="n"/>
      <c r="D551" s="117" t="n"/>
      <c r="E551" s="118">
        <f>IF(F551="","",IF(OR(F551="HDFC Bank (INR)",F551="HDFC IOCL Credit Card (INR)",F551="HDFC Swiggy Credit Card (INR)",F551="Axis Airtel Credit Card (INR)"),"INR","GBP"))</f>
        <v/>
      </c>
      <c r="F551" s="111" t="n"/>
      <c r="G551" s="111" t="n"/>
      <c r="H551" s="119">
        <f>IF(G551="Yes","",D551)</f>
        <v/>
      </c>
      <c r="I551" s="111" t="n"/>
      <c r="J551" s="111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68">
      <c r="A552" s="113" t="n"/>
      <c r="B552" s="111" t="n"/>
      <c r="C552" s="111" t="n"/>
      <c r="D552" s="117" t="n"/>
      <c r="E552" s="118">
        <f>IF(F552="","",IF(OR(F552="HDFC Bank (INR)",F552="HDFC IOCL Credit Card (INR)",F552="HDFC Swiggy Credit Card (INR)",F552="Axis Airtel Credit Card (INR)"),"INR","GBP"))</f>
        <v/>
      </c>
      <c r="F552" s="111" t="n"/>
      <c r="G552" s="111" t="n"/>
      <c r="H552" s="119">
        <f>IF(G552="Yes","",D552)</f>
        <v/>
      </c>
      <c r="I552" s="111" t="n"/>
      <c r="J552" s="111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68">
      <c r="A553" s="113" t="n"/>
      <c r="B553" s="111" t="n"/>
      <c r="C553" s="111" t="n"/>
      <c r="D553" s="117" t="n"/>
      <c r="E553" s="118">
        <f>IF(F553="","",IF(OR(F553="HDFC Bank (INR)",F553="HDFC IOCL Credit Card (INR)",F553="HDFC Swiggy Credit Card (INR)",F553="Axis Airtel Credit Card (INR)"),"INR","GBP"))</f>
        <v/>
      </c>
      <c r="F553" s="111" t="n"/>
      <c r="G553" s="111" t="n"/>
      <c r="H553" s="119">
        <f>IF(G553="Yes","",D553)</f>
        <v/>
      </c>
      <c r="I553" s="111" t="n"/>
      <c r="J553" s="111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68">
      <c r="A554" s="113" t="n"/>
      <c r="B554" s="111" t="n"/>
      <c r="C554" s="111" t="n"/>
      <c r="D554" s="117" t="n"/>
      <c r="E554" s="118">
        <f>IF(F554="","",IF(OR(F554="HDFC Bank (INR)",F554="HDFC IOCL Credit Card (INR)",F554="HDFC Swiggy Credit Card (INR)",F554="Axis Airtel Credit Card (INR)"),"INR","GBP"))</f>
        <v/>
      </c>
      <c r="F554" s="111" t="n"/>
      <c r="G554" s="111" t="n"/>
      <c r="H554" s="119">
        <f>IF(G554="Yes","",D554)</f>
        <v/>
      </c>
      <c r="I554" s="111" t="n"/>
      <c r="J554" s="111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68">
      <c r="A555" s="113" t="n"/>
      <c r="B555" s="111" t="n"/>
      <c r="C555" s="111" t="n"/>
      <c r="D555" s="117" t="n"/>
      <c r="E555" s="118">
        <f>IF(F555="","",IF(OR(F555="HDFC Bank (INR)",F555="HDFC IOCL Credit Card (INR)",F555="HDFC Swiggy Credit Card (INR)",F555="Axis Airtel Credit Card (INR)"),"INR","GBP"))</f>
        <v/>
      </c>
      <c r="F555" s="111" t="n"/>
      <c r="G555" s="111" t="n"/>
      <c r="H555" s="119">
        <f>IF(G555="Yes","",D555)</f>
        <v/>
      </c>
      <c r="I555" s="111" t="n"/>
      <c r="J555" s="111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68">
      <c r="A556" s="113" t="n"/>
      <c r="B556" s="111" t="n"/>
      <c r="C556" s="111" t="n"/>
      <c r="D556" s="117" t="n"/>
      <c r="E556" s="118">
        <f>IF(F556="","",IF(OR(F556="HDFC Bank (INR)",F556="HDFC IOCL Credit Card (INR)",F556="HDFC Swiggy Credit Card (INR)",F556="Axis Airtel Credit Card (INR)"),"INR","GBP"))</f>
        <v/>
      </c>
      <c r="F556" s="111" t="n"/>
      <c r="G556" s="111" t="n"/>
      <c r="H556" s="119">
        <f>IF(G556="Yes","",D556)</f>
        <v/>
      </c>
      <c r="I556" s="111" t="n"/>
      <c r="J556" s="111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68">
      <c r="A557" s="113" t="n"/>
      <c r="B557" s="111" t="n"/>
      <c r="C557" s="111" t="n"/>
      <c r="D557" s="117" t="n"/>
      <c r="E557" s="118">
        <f>IF(F557="","",IF(OR(F557="HDFC Bank (INR)",F557="HDFC IOCL Credit Card (INR)",F557="HDFC Swiggy Credit Card (INR)",F557="Axis Airtel Credit Card (INR)"),"INR","GBP"))</f>
        <v/>
      </c>
      <c r="F557" s="111" t="n"/>
      <c r="G557" s="111" t="n"/>
      <c r="H557" s="119">
        <f>IF(G557="Yes","",D557)</f>
        <v/>
      </c>
      <c r="I557" s="111" t="n"/>
      <c r="J557" s="111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68">
      <c r="A558" s="113" t="n"/>
      <c r="B558" s="111" t="n"/>
      <c r="C558" s="111" t="n"/>
      <c r="D558" s="117" t="n"/>
      <c r="E558" s="118">
        <f>IF(F558="","",IF(OR(F558="HDFC Bank (INR)",F558="HDFC IOCL Credit Card (INR)",F558="HDFC Swiggy Credit Card (INR)",F558="Axis Airtel Credit Card (INR)"),"INR","GBP"))</f>
        <v/>
      </c>
      <c r="F558" s="111" t="n"/>
      <c r="G558" s="111" t="n"/>
      <c r="H558" s="119">
        <f>IF(G558="Yes","",D558)</f>
        <v/>
      </c>
      <c r="I558" s="111" t="n"/>
      <c r="J558" s="111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68">
      <c r="A559" s="113" t="n"/>
      <c r="B559" s="111" t="n"/>
      <c r="C559" s="111" t="n"/>
      <c r="D559" s="117" t="n"/>
      <c r="E559" s="118">
        <f>IF(F559="","",IF(OR(F559="HDFC Bank (INR)",F559="HDFC IOCL Credit Card (INR)",F559="HDFC Swiggy Credit Card (INR)",F559="Axis Airtel Credit Card (INR)"),"INR","GBP"))</f>
        <v/>
      </c>
      <c r="F559" s="111" t="n"/>
      <c r="G559" s="111" t="n"/>
      <c r="H559" s="119">
        <f>IF(G559="Yes","",D559)</f>
        <v/>
      </c>
      <c r="I559" s="111" t="n"/>
      <c r="J559" s="111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68">
      <c r="A560" s="113" t="n"/>
      <c r="B560" s="111" t="n"/>
      <c r="C560" s="111" t="n"/>
      <c r="D560" s="117" t="n"/>
      <c r="E560" s="118">
        <f>IF(F560="","",IF(OR(F560="HDFC Bank (INR)",F560="HDFC IOCL Credit Card (INR)",F560="HDFC Swiggy Credit Card (INR)",F560="Axis Airtel Credit Card (INR)"),"INR","GBP"))</f>
        <v/>
      </c>
      <c r="F560" s="111" t="n"/>
      <c r="G560" s="111" t="n"/>
      <c r="H560" s="119">
        <f>IF(G560="Yes","",D560)</f>
        <v/>
      </c>
      <c r="I560" s="111" t="n"/>
      <c r="J560" s="111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68">
      <c r="A561" s="113" t="n"/>
      <c r="B561" s="111" t="n"/>
      <c r="C561" s="111" t="n"/>
      <c r="D561" s="117" t="n"/>
      <c r="E561" s="118">
        <f>IF(F561="","",IF(OR(F561="HDFC Bank (INR)",F561="HDFC IOCL Credit Card (INR)",F561="HDFC Swiggy Credit Card (INR)",F561="Axis Airtel Credit Card (INR)"),"INR","GBP"))</f>
        <v/>
      </c>
      <c r="F561" s="111" t="n"/>
      <c r="G561" s="111" t="n"/>
      <c r="H561" s="119">
        <f>IF(G561="Yes","",D561)</f>
        <v/>
      </c>
      <c r="I561" s="111" t="n"/>
      <c r="J561" s="111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68">
      <c r="A562" s="113" t="n"/>
      <c r="B562" s="111" t="n"/>
      <c r="C562" s="111" t="n"/>
      <c r="D562" s="117" t="n"/>
      <c r="E562" s="118">
        <f>IF(F562="","",IF(OR(F562="HDFC Bank (INR)",F562="HDFC IOCL Credit Card (INR)",F562="HDFC Swiggy Credit Card (INR)",F562="Axis Airtel Credit Card (INR)"),"INR","GBP"))</f>
        <v/>
      </c>
      <c r="F562" s="111" t="n"/>
      <c r="G562" s="111" t="n"/>
      <c r="H562" s="119">
        <f>IF(G562="Yes","",D562)</f>
        <v/>
      </c>
      <c r="I562" s="111" t="n"/>
      <c r="J562" s="111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68">
      <c r="A563" s="113" t="n"/>
      <c r="B563" s="111" t="n"/>
      <c r="C563" s="111" t="n"/>
      <c r="D563" s="117" t="n"/>
      <c r="E563" s="118">
        <f>IF(F563="","",IF(OR(F563="HDFC Bank (INR)",F563="HDFC IOCL Credit Card (INR)",F563="HDFC Swiggy Credit Card (INR)",F563="Axis Airtel Credit Card (INR)"),"INR","GBP"))</f>
        <v/>
      </c>
      <c r="F563" s="111" t="n"/>
      <c r="G563" s="111" t="n"/>
      <c r="H563" s="119">
        <f>IF(G563="Yes","",D563)</f>
        <v/>
      </c>
      <c r="I563" s="111" t="n"/>
      <c r="J563" s="111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68">
      <c r="A564" s="113" t="n"/>
      <c r="B564" s="111" t="n"/>
      <c r="C564" s="111" t="n"/>
      <c r="D564" s="117" t="n"/>
      <c r="E564" s="118">
        <f>IF(F564="","",IF(OR(F564="HDFC Bank (INR)",F564="HDFC IOCL Credit Card (INR)",F564="HDFC Swiggy Credit Card (INR)",F564="Axis Airtel Credit Card (INR)"),"INR","GBP"))</f>
        <v/>
      </c>
      <c r="F564" s="111" t="n"/>
      <c r="G564" s="111" t="n"/>
      <c r="H564" s="119">
        <f>IF(G564="Yes","",D564)</f>
        <v/>
      </c>
      <c r="I564" s="111" t="n"/>
      <c r="J564" s="111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68">
      <c r="A565" s="113" t="n"/>
      <c r="B565" s="111" t="n"/>
      <c r="C565" s="111" t="n"/>
      <c r="D565" s="117" t="n"/>
      <c r="E565" s="118">
        <f>IF(F565="","",IF(OR(F565="HDFC Bank (INR)",F565="HDFC IOCL Credit Card (INR)",F565="HDFC Swiggy Credit Card (INR)",F565="Axis Airtel Credit Card (INR)"),"INR","GBP"))</f>
        <v/>
      </c>
      <c r="F565" s="111" t="n"/>
      <c r="G565" s="111" t="n"/>
      <c r="H565" s="119">
        <f>IF(G565="Yes","",D565)</f>
        <v/>
      </c>
      <c r="I565" s="111" t="n"/>
      <c r="J565" s="111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68">
      <c r="A566" s="113" t="n"/>
      <c r="B566" s="111" t="n"/>
      <c r="C566" s="111" t="n"/>
      <c r="D566" s="117" t="n"/>
      <c r="E566" s="118">
        <f>IF(F566="","",IF(OR(F566="HDFC Bank (INR)",F566="HDFC IOCL Credit Card (INR)",F566="HDFC Swiggy Credit Card (INR)",F566="Axis Airtel Credit Card (INR)"),"INR","GBP"))</f>
        <v/>
      </c>
      <c r="F566" s="111" t="n"/>
      <c r="G566" s="111" t="n"/>
      <c r="H566" s="119">
        <f>IF(G566="Yes","",D566)</f>
        <v/>
      </c>
      <c r="I566" s="111" t="n"/>
      <c r="J566" s="111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68">
      <c r="A567" s="113" t="n"/>
      <c r="B567" s="111" t="n"/>
      <c r="C567" s="111" t="n"/>
      <c r="D567" s="117" t="n"/>
      <c r="E567" s="118">
        <f>IF(F567="","",IF(OR(F567="HDFC Bank (INR)",F567="HDFC IOCL Credit Card (INR)",F567="HDFC Swiggy Credit Card (INR)",F567="Axis Airtel Credit Card (INR)"),"INR","GBP"))</f>
        <v/>
      </c>
      <c r="F567" s="111" t="n"/>
      <c r="G567" s="111" t="n"/>
      <c r="H567" s="119">
        <f>IF(G567="Yes","",D567)</f>
        <v/>
      </c>
      <c r="I567" s="111" t="n"/>
      <c r="J567" s="111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68">
      <c r="A568" s="113" t="n"/>
      <c r="B568" s="111" t="n"/>
      <c r="C568" s="111" t="n"/>
      <c r="D568" s="117" t="n"/>
      <c r="E568" s="118">
        <f>IF(F568="","",IF(OR(F568="HDFC Bank (INR)",F568="HDFC IOCL Credit Card (INR)",F568="HDFC Swiggy Credit Card (INR)",F568="Axis Airtel Credit Card (INR)"),"INR","GBP"))</f>
        <v/>
      </c>
      <c r="F568" s="111" t="n"/>
      <c r="G568" s="111" t="n"/>
      <c r="H568" s="119">
        <f>IF(G568="Yes","",D568)</f>
        <v/>
      </c>
      <c r="I568" s="111" t="n"/>
      <c r="J568" s="111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68">
      <c r="A569" s="113" t="n"/>
      <c r="B569" s="111" t="n"/>
      <c r="C569" s="111" t="n"/>
      <c r="D569" s="117" t="n"/>
      <c r="E569" s="118">
        <f>IF(F569="","",IF(OR(F569="HDFC Bank (INR)",F569="HDFC IOCL Credit Card (INR)",F569="HDFC Swiggy Credit Card (INR)",F569="Axis Airtel Credit Card (INR)"),"INR","GBP"))</f>
        <v/>
      </c>
      <c r="F569" s="111" t="n"/>
      <c r="G569" s="111" t="n"/>
      <c r="H569" s="119">
        <f>IF(G569="Yes","",D569)</f>
        <v/>
      </c>
      <c r="I569" s="111" t="n"/>
      <c r="J569" s="111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68">
      <c r="A570" s="113" t="n"/>
      <c r="B570" s="111" t="n"/>
      <c r="C570" s="111" t="n"/>
      <c r="D570" s="117" t="n"/>
      <c r="E570" s="118">
        <f>IF(F570="","",IF(OR(F570="HDFC Bank (INR)",F570="HDFC IOCL Credit Card (INR)",F570="HDFC Swiggy Credit Card (INR)",F570="Axis Airtel Credit Card (INR)"),"INR","GBP"))</f>
        <v/>
      </c>
      <c r="F570" s="111" t="n"/>
      <c r="G570" s="111" t="n"/>
      <c r="H570" s="119">
        <f>IF(G570="Yes","",D570)</f>
        <v/>
      </c>
      <c r="I570" s="111" t="n"/>
      <c r="J570" s="111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68">
      <c r="A571" s="113" t="n"/>
      <c r="B571" s="111" t="n"/>
      <c r="C571" s="111" t="n"/>
      <c r="D571" s="117" t="n"/>
      <c r="E571" s="118">
        <f>IF(F571="","",IF(OR(F571="HDFC Bank (INR)",F571="HDFC IOCL Credit Card (INR)",F571="HDFC Swiggy Credit Card (INR)",F571="Axis Airtel Credit Card (INR)"),"INR","GBP"))</f>
        <v/>
      </c>
      <c r="F571" s="111" t="n"/>
      <c r="G571" s="111" t="n"/>
      <c r="H571" s="119">
        <f>IF(G571="Yes","",D571)</f>
        <v/>
      </c>
      <c r="I571" s="111" t="n"/>
      <c r="J571" s="111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68">
      <c r="A572" s="113" t="n"/>
      <c r="B572" s="111" t="n"/>
      <c r="C572" s="111" t="n"/>
      <c r="D572" s="117" t="n"/>
      <c r="E572" s="118">
        <f>IF(F572="","",IF(OR(F572="HDFC Bank (INR)",F572="HDFC IOCL Credit Card (INR)",F572="HDFC Swiggy Credit Card (INR)",F572="Axis Airtel Credit Card (INR)"),"INR","GBP"))</f>
        <v/>
      </c>
      <c r="F572" s="111" t="n"/>
      <c r="G572" s="111" t="n"/>
      <c r="H572" s="119">
        <f>IF(G572="Yes","",D572)</f>
        <v/>
      </c>
      <c r="I572" s="111" t="n"/>
      <c r="J572" s="111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68">
      <c r="A573" s="113" t="n"/>
      <c r="B573" s="111" t="n"/>
      <c r="C573" s="111" t="n"/>
      <c r="D573" s="117" t="n"/>
      <c r="E573" s="118">
        <f>IF(F573="","",IF(OR(F573="HDFC Bank (INR)",F573="HDFC IOCL Credit Card (INR)",F573="HDFC Swiggy Credit Card (INR)",F573="Axis Airtel Credit Card (INR)"),"INR","GBP"))</f>
        <v/>
      </c>
      <c r="F573" s="111" t="n"/>
      <c r="G573" s="111" t="n"/>
      <c r="H573" s="119">
        <f>IF(G573="Yes","",D573)</f>
        <v/>
      </c>
      <c r="I573" s="111" t="n"/>
      <c r="J573" s="111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68">
      <c r="A574" s="113" t="n"/>
      <c r="B574" s="111" t="n"/>
      <c r="C574" s="111" t="n"/>
      <c r="D574" s="117" t="n"/>
      <c r="E574" s="118">
        <f>IF(F574="","",IF(OR(F574="HDFC Bank (INR)",F574="HDFC IOCL Credit Card (INR)",F574="HDFC Swiggy Credit Card (INR)",F574="Axis Airtel Credit Card (INR)"),"INR","GBP"))</f>
        <v/>
      </c>
      <c r="F574" s="111" t="n"/>
      <c r="G574" s="111" t="n"/>
      <c r="H574" s="119">
        <f>IF(G574="Yes","",D574)</f>
        <v/>
      </c>
      <c r="I574" s="111" t="n"/>
      <c r="J574" s="111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68">
      <c r="A575" s="113" t="n"/>
      <c r="B575" s="111" t="n"/>
      <c r="C575" s="111" t="n"/>
      <c r="D575" s="117" t="n"/>
      <c r="E575" s="118">
        <f>IF(F575="","",IF(OR(F575="HDFC Bank (INR)",F575="HDFC IOCL Credit Card (INR)",F575="HDFC Swiggy Credit Card (INR)",F575="Axis Airtel Credit Card (INR)"),"INR","GBP"))</f>
        <v/>
      </c>
      <c r="F575" s="111" t="n"/>
      <c r="G575" s="111" t="n"/>
      <c r="H575" s="119">
        <f>IF(G575="Yes","",D575)</f>
        <v/>
      </c>
      <c r="I575" s="111" t="n"/>
      <c r="J575" s="111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68">
      <c r="A576" s="113" t="n"/>
      <c r="B576" s="111" t="n"/>
      <c r="C576" s="111" t="n"/>
      <c r="D576" s="117" t="n"/>
      <c r="E576" s="118">
        <f>IF(F576="","",IF(OR(F576="HDFC Bank (INR)",F576="HDFC IOCL Credit Card (INR)",F576="HDFC Swiggy Credit Card (INR)",F576="Axis Airtel Credit Card (INR)"),"INR","GBP"))</f>
        <v/>
      </c>
      <c r="F576" s="111" t="n"/>
      <c r="G576" s="111" t="n"/>
      <c r="H576" s="119">
        <f>IF(G576="Yes","",D576)</f>
        <v/>
      </c>
      <c r="I576" s="111" t="n"/>
      <c r="J576" s="111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68">
      <c r="A577" s="113" t="n"/>
      <c r="B577" s="111" t="n"/>
      <c r="C577" s="111" t="n"/>
      <c r="D577" s="117" t="n"/>
      <c r="E577" s="118">
        <f>IF(F577="","",IF(OR(F577="HDFC Bank (INR)",F577="HDFC IOCL Credit Card (INR)",F577="HDFC Swiggy Credit Card (INR)",F577="Axis Airtel Credit Card (INR)"),"INR","GBP"))</f>
        <v/>
      </c>
      <c r="F577" s="111" t="n"/>
      <c r="G577" s="111" t="n"/>
      <c r="H577" s="119">
        <f>IF(G577="Yes","",D577)</f>
        <v/>
      </c>
      <c r="I577" s="111" t="n"/>
      <c r="J577" s="111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68">
      <c r="A578" s="113" t="n"/>
      <c r="B578" s="111" t="n"/>
      <c r="C578" s="111" t="n"/>
      <c r="D578" s="117" t="n"/>
      <c r="E578" s="118">
        <f>IF(F578="","",IF(OR(F578="HDFC Bank (INR)",F578="HDFC IOCL Credit Card (INR)",F578="HDFC Swiggy Credit Card (INR)",F578="Axis Airtel Credit Card (INR)"),"INR","GBP"))</f>
        <v/>
      </c>
      <c r="F578" s="111" t="n"/>
      <c r="G578" s="111" t="n"/>
      <c r="H578" s="119">
        <f>IF(G578="Yes","",D578)</f>
        <v/>
      </c>
      <c r="I578" s="111" t="n"/>
      <c r="J578" s="111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68">
      <c r="A579" s="113" t="n"/>
      <c r="B579" s="111" t="n"/>
      <c r="C579" s="111" t="n"/>
      <c r="D579" s="117" t="n"/>
      <c r="E579" s="118">
        <f>IF(F579="","",IF(OR(F579="HDFC Bank (INR)",F579="HDFC IOCL Credit Card (INR)",F579="HDFC Swiggy Credit Card (INR)",F579="Axis Airtel Credit Card (INR)"),"INR","GBP"))</f>
        <v/>
      </c>
      <c r="F579" s="111" t="n"/>
      <c r="G579" s="111" t="n"/>
      <c r="H579" s="119">
        <f>IF(G579="Yes","",D579)</f>
        <v/>
      </c>
      <c r="I579" s="111" t="n"/>
      <c r="J579" s="111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68">
      <c r="A580" s="113" t="n"/>
      <c r="B580" s="111" t="n"/>
      <c r="C580" s="111" t="n"/>
      <c r="D580" s="117" t="n"/>
      <c r="E580" s="118">
        <f>IF(F580="","",IF(OR(F580="HDFC Bank (INR)",F580="HDFC IOCL Credit Card (INR)",F580="HDFC Swiggy Credit Card (INR)",F580="Axis Airtel Credit Card (INR)"),"INR","GBP"))</f>
        <v/>
      </c>
      <c r="F580" s="111" t="n"/>
      <c r="G580" s="111" t="n"/>
      <c r="H580" s="119">
        <f>IF(G580="Yes","",D580)</f>
        <v/>
      </c>
      <c r="I580" s="111" t="n"/>
      <c r="J580" s="111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68">
      <c r="A581" s="113" t="n"/>
      <c r="B581" s="111" t="n"/>
      <c r="C581" s="111" t="n"/>
      <c r="D581" s="117" t="n"/>
      <c r="E581" s="118">
        <f>IF(F581="","",IF(OR(F581="HDFC Bank (INR)",F581="HDFC IOCL Credit Card (INR)",F581="HDFC Swiggy Credit Card (INR)",F581="Axis Airtel Credit Card (INR)"),"INR","GBP"))</f>
        <v/>
      </c>
      <c r="F581" s="111" t="n"/>
      <c r="G581" s="111" t="n"/>
      <c r="H581" s="119">
        <f>IF(G581="Yes","",D581)</f>
        <v/>
      </c>
      <c r="I581" s="111" t="n"/>
      <c r="J581" s="111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68">
      <c r="A582" s="113" t="n"/>
      <c r="B582" s="111" t="n"/>
      <c r="C582" s="111" t="n"/>
      <c r="D582" s="117" t="n"/>
      <c r="E582" s="118">
        <f>IF(F582="","",IF(OR(F582="HDFC Bank (INR)",F582="HDFC IOCL Credit Card (INR)",F582="HDFC Swiggy Credit Card (INR)",F582="Axis Airtel Credit Card (INR)"),"INR","GBP"))</f>
        <v/>
      </c>
      <c r="F582" s="111" t="n"/>
      <c r="G582" s="111" t="n"/>
      <c r="H582" s="119">
        <f>IF(G582="Yes","",D582)</f>
        <v/>
      </c>
      <c r="I582" s="111" t="n"/>
      <c r="J582" s="111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68">
      <c r="A583" s="113" t="n"/>
      <c r="B583" s="111" t="n"/>
      <c r="C583" s="111" t="n"/>
      <c r="D583" s="117" t="n"/>
      <c r="E583" s="118">
        <f>IF(F583="","",IF(OR(F583="HDFC Bank (INR)",F583="HDFC IOCL Credit Card (INR)",F583="HDFC Swiggy Credit Card (INR)",F583="Axis Airtel Credit Card (INR)"),"INR","GBP"))</f>
        <v/>
      </c>
      <c r="F583" s="111" t="n"/>
      <c r="G583" s="111" t="n"/>
      <c r="H583" s="119">
        <f>IF(G583="Yes","",D583)</f>
        <v/>
      </c>
      <c r="I583" s="111" t="n"/>
      <c r="J583" s="111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68">
      <c r="A584" s="113" t="n"/>
      <c r="B584" s="111" t="n"/>
      <c r="C584" s="111" t="n"/>
      <c r="D584" s="117" t="n"/>
      <c r="E584" s="118">
        <f>IF(F584="","",IF(OR(F584="HDFC Bank (INR)",F584="HDFC IOCL Credit Card (INR)",F584="HDFC Swiggy Credit Card (INR)",F584="Axis Airtel Credit Card (INR)"),"INR","GBP"))</f>
        <v/>
      </c>
      <c r="F584" s="111" t="n"/>
      <c r="G584" s="111" t="n"/>
      <c r="H584" s="119">
        <f>IF(G584="Yes","",D584)</f>
        <v/>
      </c>
      <c r="I584" s="111" t="n"/>
      <c r="J584" s="111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68">
      <c r="A585" s="113" t="n"/>
      <c r="B585" s="111" t="n"/>
      <c r="C585" s="111" t="n"/>
      <c r="D585" s="117" t="n"/>
      <c r="E585" s="118">
        <f>IF(F585="","",IF(OR(F585="HDFC Bank (INR)",F585="HDFC IOCL Credit Card (INR)",F585="HDFC Swiggy Credit Card (INR)",F585="Axis Airtel Credit Card (INR)"),"INR","GBP"))</f>
        <v/>
      </c>
      <c r="F585" s="111" t="n"/>
      <c r="G585" s="111" t="n"/>
      <c r="H585" s="119">
        <f>IF(G585="Yes","",D585)</f>
        <v/>
      </c>
      <c r="I585" s="111" t="n"/>
      <c r="J585" s="111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68">
      <c r="A586" s="113" t="n"/>
      <c r="B586" s="111" t="n"/>
      <c r="C586" s="111" t="n"/>
      <c r="D586" s="117" t="n"/>
      <c r="E586" s="118">
        <f>IF(F586="","",IF(OR(F586="HDFC Bank (INR)",F586="HDFC IOCL Credit Card (INR)",F586="HDFC Swiggy Credit Card (INR)",F586="Axis Airtel Credit Card (INR)"),"INR","GBP"))</f>
        <v/>
      </c>
      <c r="F586" s="111" t="n"/>
      <c r="G586" s="111" t="n"/>
      <c r="H586" s="119">
        <f>IF(G586="Yes","",D586)</f>
        <v/>
      </c>
      <c r="I586" s="111" t="n"/>
      <c r="J586" s="111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68">
      <c r="A587" s="113" t="n"/>
      <c r="B587" s="111" t="n"/>
      <c r="C587" s="111" t="n"/>
      <c r="D587" s="117" t="n"/>
      <c r="E587" s="118">
        <f>IF(F587="","",IF(OR(F587="HDFC Bank (INR)",F587="HDFC IOCL Credit Card (INR)",F587="HDFC Swiggy Credit Card (INR)",F587="Axis Airtel Credit Card (INR)"),"INR","GBP"))</f>
        <v/>
      </c>
      <c r="F587" s="111" t="n"/>
      <c r="G587" s="111" t="n"/>
      <c r="H587" s="119">
        <f>IF(G587="Yes","",D587)</f>
        <v/>
      </c>
      <c r="I587" s="111" t="n"/>
      <c r="J587" s="111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68">
      <c r="A588" s="113" t="n"/>
      <c r="B588" s="111" t="n"/>
      <c r="C588" s="111" t="n"/>
      <c r="D588" s="117" t="n"/>
      <c r="E588" s="118">
        <f>IF(F588="","",IF(OR(F588="HDFC Bank (INR)",F588="HDFC IOCL Credit Card (INR)",F588="HDFC Swiggy Credit Card (INR)",F588="Axis Airtel Credit Card (INR)"),"INR","GBP"))</f>
        <v/>
      </c>
      <c r="F588" s="111" t="n"/>
      <c r="G588" s="111" t="n"/>
      <c r="H588" s="119">
        <f>IF(G588="Yes","",D588)</f>
        <v/>
      </c>
      <c r="I588" s="111" t="n"/>
      <c r="J588" s="111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68">
      <c r="A589" s="113" t="n"/>
      <c r="B589" s="111" t="n"/>
      <c r="C589" s="111" t="n"/>
      <c r="D589" s="117" t="n"/>
      <c r="E589" s="118">
        <f>IF(F589="","",IF(OR(F589="HDFC Bank (INR)",F589="HDFC IOCL Credit Card (INR)",F589="HDFC Swiggy Credit Card (INR)",F589="Axis Airtel Credit Card (INR)"),"INR","GBP"))</f>
        <v/>
      </c>
      <c r="F589" s="111" t="n"/>
      <c r="G589" s="111" t="n"/>
      <c r="H589" s="119">
        <f>IF(G589="Yes","",D589)</f>
        <v/>
      </c>
      <c r="I589" s="111" t="n"/>
      <c r="J589" s="111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68">
      <c r="A590" s="113" t="n"/>
      <c r="B590" s="111" t="n"/>
      <c r="C590" s="111" t="n"/>
      <c r="D590" s="117" t="n"/>
      <c r="E590" s="118">
        <f>IF(F590="","",IF(OR(F590="HDFC Bank (INR)",F590="HDFC IOCL Credit Card (INR)",F590="HDFC Swiggy Credit Card (INR)",F590="Axis Airtel Credit Card (INR)"),"INR","GBP"))</f>
        <v/>
      </c>
      <c r="F590" s="111" t="n"/>
      <c r="G590" s="111" t="n"/>
      <c r="H590" s="119">
        <f>IF(G590="Yes","",D590)</f>
        <v/>
      </c>
      <c r="I590" s="111" t="n"/>
      <c r="J590" s="111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68">
      <c r="A591" s="113" t="n"/>
      <c r="B591" s="111" t="n"/>
      <c r="C591" s="111" t="n"/>
      <c r="D591" s="117" t="n"/>
      <c r="E591" s="118">
        <f>IF(F591="","",IF(OR(F591="HDFC Bank (INR)",F591="HDFC IOCL Credit Card (INR)",F591="HDFC Swiggy Credit Card (INR)",F591="Axis Airtel Credit Card (INR)"),"INR","GBP"))</f>
        <v/>
      </c>
      <c r="F591" s="111" t="n"/>
      <c r="G591" s="111" t="n"/>
      <c r="H591" s="119">
        <f>IF(G591="Yes","",D591)</f>
        <v/>
      </c>
      <c r="I591" s="111" t="n"/>
      <c r="J591" s="111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68">
      <c r="A592" s="113" t="n"/>
      <c r="B592" s="111" t="n"/>
      <c r="C592" s="111" t="n"/>
      <c r="D592" s="117" t="n"/>
      <c r="E592" s="118">
        <f>IF(F592="","",IF(OR(F592="HDFC Bank (INR)",F592="HDFC IOCL Credit Card (INR)",F592="HDFC Swiggy Credit Card (INR)",F592="Axis Airtel Credit Card (INR)"),"INR","GBP"))</f>
        <v/>
      </c>
      <c r="F592" s="111" t="n"/>
      <c r="G592" s="111" t="n"/>
      <c r="H592" s="119">
        <f>IF(G592="Yes","",D592)</f>
        <v/>
      </c>
      <c r="I592" s="111" t="n"/>
      <c r="J592" s="111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68">
      <c r="A593" s="113" t="n"/>
      <c r="B593" s="111" t="n"/>
      <c r="C593" s="111" t="n"/>
      <c r="D593" s="117" t="n"/>
      <c r="E593" s="118">
        <f>IF(F593="","",IF(OR(F593="HDFC Bank (INR)",F593="HDFC IOCL Credit Card (INR)",F593="HDFC Swiggy Credit Card (INR)",F593="Axis Airtel Credit Card (INR)"),"INR","GBP"))</f>
        <v/>
      </c>
      <c r="F593" s="111" t="n"/>
      <c r="G593" s="111" t="n"/>
      <c r="H593" s="119">
        <f>IF(G593="Yes","",D593)</f>
        <v/>
      </c>
      <c r="I593" s="111" t="n"/>
      <c r="J593" s="111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68">
      <c r="A594" s="113" t="n"/>
      <c r="B594" s="111" t="n"/>
      <c r="C594" s="111" t="n"/>
      <c r="D594" s="117" t="n"/>
      <c r="E594" s="118">
        <f>IF(F594="","",IF(OR(F594="HDFC Bank (INR)",F594="HDFC IOCL Credit Card (INR)",F594="HDFC Swiggy Credit Card (INR)",F594="Axis Airtel Credit Card (INR)"),"INR","GBP"))</f>
        <v/>
      </c>
      <c r="F594" s="111" t="n"/>
      <c r="G594" s="111" t="n"/>
      <c r="H594" s="119">
        <f>IF(G594="Yes","",D594)</f>
        <v/>
      </c>
      <c r="I594" s="111" t="n"/>
      <c r="J594" s="111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68">
      <c r="A595" s="113" t="n"/>
      <c r="B595" s="111" t="n"/>
      <c r="C595" s="111" t="n"/>
      <c r="D595" s="117" t="n"/>
      <c r="E595" s="118">
        <f>IF(F595="","",IF(OR(F595="HDFC Bank (INR)",F595="HDFC IOCL Credit Card (INR)",F595="HDFC Swiggy Credit Card (INR)",F595="Axis Airtel Credit Card (INR)"),"INR","GBP"))</f>
        <v/>
      </c>
      <c r="F595" s="111" t="n"/>
      <c r="G595" s="111" t="n"/>
      <c r="H595" s="119">
        <f>IF(G595="Yes","",D595)</f>
        <v/>
      </c>
      <c r="I595" s="111" t="n"/>
      <c r="J595" s="111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68">
      <c r="A596" s="113" t="n"/>
      <c r="B596" s="111" t="n"/>
      <c r="C596" s="111" t="n"/>
      <c r="D596" s="117" t="n"/>
      <c r="E596" s="118">
        <f>IF(F596="","",IF(OR(F596="HDFC Bank (INR)",F596="HDFC IOCL Credit Card (INR)",F596="HDFC Swiggy Credit Card (INR)",F596="Axis Airtel Credit Card (INR)"),"INR","GBP"))</f>
        <v/>
      </c>
      <c r="F596" s="111" t="n"/>
      <c r="G596" s="111" t="n"/>
      <c r="H596" s="119">
        <f>IF(G596="Yes","",D596)</f>
        <v/>
      </c>
      <c r="I596" s="111" t="n"/>
      <c r="J596" s="111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68">
      <c r="A597" s="113" t="n"/>
      <c r="B597" s="111" t="n"/>
      <c r="C597" s="111" t="n"/>
      <c r="D597" s="117" t="n"/>
      <c r="E597" s="118">
        <f>IF(F597="","",IF(OR(F597="HDFC Bank (INR)",F597="HDFC IOCL Credit Card (INR)",F597="HDFC Swiggy Credit Card (INR)",F597="Axis Airtel Credit Card (INR)"),"INR","GBP"))</f>
        <v/>
      </c>
      <c r="F597" s="111" t="n"/>
      <c r="G597" s="111" t="n"/>
      <c r="H597" s="119">
        <f>IF(G597="Yes","",D597)</f>
        <v/>
      </c>
      <c r="I597" s="111" t="n"/>
      <c r="J597" s="111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68">
      <c r="A598" s="113" t="n"/>
      <c r="B598" s="111" t="n"/>
      <c r="C598" s="111" t="n"/>
      <c r="D598" s="117" t="n"/>
      <c r="E598" s="118">
        <f>IF(F598="","",IF(OR(F598="HDFC Bank (INR)",F598="HDFC IOCL Credit Card (INR)",F598="HDFC Swiggy Credit Card (INR)",F598="Axis Airtel Credit Card (INR)"),"INR","GBP"))</f>
        <v/>
      </c>
      <c r="F598" s="111" t="n"/>
      <c r="G598" s="111" t="n"/>
      <c r="H598" s="119">
        <f>IF(G598="Yes","",D598)</f>
        <v/>
      </c>
      <c r="I598" s="111" t="n"/>
      <c r="J598" s="111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68">
      <c r="A599" s="113" t="n"/>
      <c r="B599" s="111" t="n"/>
      <c r="C599" s="111" t="n"/>
      <c r="D599" s="117" t="n"/>
      <c r="E599" s="118">
        <f>IF(F599="","",IF(OR(F599="HDFC Bank (INR)",F599="HDFC IOCL Credit Card (INR)",F599="HDFC Swiggy Credit Card (INR)",F599="Axis Airtel Credit Card (INR)"),"INR","GBP"))</f>
        <v/>
      </c>
      <c r="F599" s="111" t="n"/>
      <c r="G599" s="111" t="n"/>
      <c r="H599" s="119">
        <f>IF(G599="Yes","",D599)</f>
        <v/>
      </c>
      <c r="I599" s="111" t="n"/>
      <c r="J599" s="111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68">
      <c r="A600" s="113" t="n"/>
      <c r="B600" s="111" t="n"/>
      <c r="C600" s="111" t="n"/>
      <c r="D600" s="117" t="n"/>
      <c r="E600" s="118">
        <f>IF(F600="","",IF(OR(F600="HDFC Bank (INR)",F600="HDFC IOCL Credit Card (INR)",F600="HDFC Swiggy Credit Card (INR)",F600="Axis Airtel Credit Card (INR)"),"INR","GBP"))</f>
        <v/>
      </c>
      <c r="F600" s="111" t="n"/>
      <c r="G600" s="111" t="n"/>
      <c r="H600" s="119">
        <f>IF(G600="Yes","",D600)</f>
        <v/>
      </c>
      <c r="I600" s="111" t="n"/>
      <c r="J600" s="111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68">
      <c r="A601" s="113" t="n"/>
      <c r="B601" s="111" t="n"/>
      <c r="C601" s="111" t="n"/>
      <c r="D601" s="117" t="n"/>
      <c r="E601" s="118">
        <f>IF(F601="","",IF(OR(F601="HDFC Bank (INR)",F601="HDFC IOCL Credit Card (INR)",F601="HDFC Swiggy Credit Card (INR)",F601="Axis Airtel Credit Card (INR)"),"INR","GBP"))</f>
        <v/>
      </c>
      <c r="F601" s="111" t="n"/>
      <c r="G601" s="111" t="n"/>
      <c r="H601" s="119">
        <f>IF(G601="Yes","",D601)</f>
        <v/>
      </c>
      <c r="I601" s="111" t="n"/>
      <c r="J601" s="111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68">
      <c r="A602" s="113" t="n"/>
      <c r="B602" s="111" t="n"/>
      <c r="C602" s="111" t="n"/>
      <c r="D602" s="117" t="n"/>
      <c r="E602" s="118">
        <f>IF(F602="","",IF(OR(F602="HDFC Bank (INR)",F602="HDFC IOCL Credit Card (INR)",F602="HDFC Swiggy Credit Card (INR)",F602="Axis Airtel Credit Card (INR)"),"INR","GBP"))</f>
        <v/>
      </c>
      <c r="F602" s="111" t="n"/>
      <c r="G602" s="111" t="n"/>
      <c r="H602" s="119">
        <f>IF(G602="Yes","",D602)</f>
        <v/>
      </c>
      <c r="I602" s="111" t="n"/>
      <c r="J602" s="111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68">
      <c r="A603" s="113" t="n"/>
      <c r="B603" s="111" t="n"/>
      <c r="C603" s="111" t="n"/>
      <c r="D603" s="117" t="n"/>
      <c r="E603" s="118">
        <f>IF(F603="","",IF(OR(F603="HDFC Bank (INR)",F603="HDFC IOCL Credit Card (INR)",F603="HDFC Swiggy Credit Card (INR)",F603="Axis Airtel Credit Card (INR)"),"INR","GBP"))</f>
        <v/>
      </c>
      <c r="F603" s="111" t="n"/>
      <c r="G603" s="111" t="n"/>
      <c r="H603" s="119">
        <f>IF(G603="Yes","",D603)</f>
        <v/>
      </c>
      <c r="I603" s="111" t="n"/>
      <c r="J603" s="111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68">
      <c r="A604" s="113" t="n"/>
      <c r="B604" s="111" t="n"/>
      <c r="C604" s="111" t="n"/>
      <c r="D604" s="117" t="n"/>
      <c r="E604" s="118">
        <f>IF(F604="","",IF(OR(F604="HDFC Bank (INR)",F604="HDFC IOCL Credit Card (INR)",F604="HDFC Swiggy Credit Card (INR)",F604="Axis Airtel Credit Card (INR)"),"INR","GBP"))</f>
        <v/>
      </c>
      <c r="F604" s="111" t="n"/>
      <c r="G604" s="111" t="n"/>
      <c r="H604" s="119">
        <f>IF(G604="Yes","",D604)</f>
        <v/>
      </c>
      <c r="I604" s="111" t="n"/>
      <c r="J604" s="111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68">
      <c r="A605" s="113" t="n"/>
      <c r="B605" s="111" t="n"/>
      <c r="C605" s="111" t="n"/>
      <c r="D605" s="117" t="n"/>
      <c r="E605" s="118">
        <f>IF(F605="","",IF(OR(F605="HDFC Bank (INR)",F605="HDFC IOCL Credit Card (INR)",F605="HDFC Swiggy Credit Card (INR)",F605="Axis Airtel Credit Card (INR)"),"INR","GBP"))</f>
        <v/>
      </c>
      <c r="F605" s="111" t="n"/>
      <c r="G605" s="111" t="n"/>
      <c r="H605" s="119">
        <f>IF(G605="Yes","",D605)</f>
        <v/>
      </c>
      <c r="I605" s="111" t="n"/>
      <c r="J605" s="111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68">
      <c r="A606" s="113" t="n"/>
      <c r="B606" s="111" t="n"/>
      <c r="C606" s="111" t="n"/>
      <c r="D606" s="117" t="n"/>
      <c r="E606" s="118">
        <f>IF(F606="","",IF(OR(F606="HDFC Bank (INR)",F606="HDFC IOCL Credit Card (INR)",F606="HDFC Swiggy Credit Card (INR)",F606="Axis Airtel Credit Card (INR)"),"INR","GBP"))</f>
        <v/>
      </c>
      <c r="F606" s="111" t="n"/>
      <c r="G606" s="111" t="n"/>
      <c r="H606" s="119">
        <f>IF(G606="Yes","",D606)</f>
        <v/>
      </c>
      <c r="I606" s="111" t="n"/>
      <c r="J606" s="111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68">
      <c r="A607" s="113" t="n"/>
      <c r="B607" s="111" t="n"/>
      <c r="C607" s="111" t="n"/>
      <c r="D607" s="117" t="n"/>
      <c r="E607" s="118">
        <f>IF(F607="","",IF(OR(F607="HDFC Bank (INR)",F607="HDFC IOCL Credit Card (INR)",F607="HDFC Swiggy Credit Card (INR)",F607="Axis Airtel Credit Card (INR)"),"INR","GBP"))</f>
        <v/>
      </c>
      <c r="F607" s="111" t="n"/>
      <c r="G607" s="111" t="n"/>
      <c r="H607" s="119">
        <f>IF(G607="Yes","",D607)</f>
        <v/>
      </c>
      <c r="I607" s="111" t="n"/>
      <c r="J607" s="111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68">
      <c r="A608" s="113" t="n"/>
      <c r="B608" s="111" t="n"/>
      <c r="C608" s="111" t="n"/>
      <c r="D608" s="117" t="n"/>
      <c r="E608" s="118">
        <f>IF(F608="","",IF(OR(F608="HDFC Bank (INR)",F608="HDFC IOCL Credit Card (INR)",F608="HDFC Swiggy Credit Card (INR)",F608="Axis Airtel Credit Card (INR)"),"INR","GBP"))</f>
        <v/>
      </c>
      <c r="F608" s="111" t="n"/>
      <c r="G608" s="111" t="n"/>
      <c r="H608" s="119">
        <f>IF(G608="Yes","",D608)</f>
        <v/>
      </c>
      <c r="I608" s="111" t="n"/>
      <c r="J608" s="111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68">
      <c r="A609" s="113" t="n"/>
      <c r="B609" s="111" t="n"/>
      <c r="C609" s="111" t="n"/>
      <c r="D609" s="117" t="n"/>
      <c r="E609" s="118">
        <f>IF(F609="","",IF(OR(F609="HDFC Bank (INR)",F609="HDFC IOCL Credit Card (INR)",F609="HDFC Swiggy Credit Card (INR)",F609="Axis Airtel Credit Card (INR)"),"INR","GBP"))</f>
        <v/>
      </c>
      <c r="F609" s="111" t="n"/>
      <c r="G609" s="111" t="n"/>
      <c r="H609" s="119">
        <f>IF(G609="Yes","",D609)</f>
        <v/>
      </c>
      <c r="I609" s="111" t="n"/>
      <c r="J609" s="111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68">
      <c r="A610" s="113" t="n"/>
      <c r="B610" s="111" t="n"/>
      <c r="C610" s="111" t="n"/>
      <c r="D610" s="117" t="n"/>
      <c r="E610" s="118">
        <f>IF(F610="","",IF(OR(F610="HDFC Bank (INR)",F610="HDFC IOCL Credit Card (INR)",F610="HDFC Swiggy Credit Card (INR)",F610="Axis Airtel Credit Card (INR)"),"INR","GBP"))</f>
        <v/>
      </c>
      <c r="F610" s="111" t="n"/>
      <c r="G610" s="111" t="n"/>
      <c r="H610" s="119">
        <f>IF(G610="Yes","",D610)</f>
        <v/>
      </c>
      <c r="I610" s="111" t="n"/>
      <c r="J610" s="111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68">
      <c r="A611" s="113" t="n"/>
      <c r="B611" s="111" t="n"/>
      <c r="C611" s="111" t="n"/>
      <c r="D611" s="117" t="n"/>
      <c r="E611" s="118">
        <f>IF(F611="","",IF(OR(F611="HDFC Bank (INR)",F611="HDFC IOCL Credit Card (INR)",F611="HDFC Swiggy Credit Card (INR)",F611="Axis Airtel Credit Card (INR)"),"INR","GBP"))</f>
        <v/>
      </c>
      <c r="F611" s="111" t="n"/>
      <c r="G611" s="111" t="n"/>
      <c r="H611" s="119">
        <f>IF(G611="Yes","",D611)</f>
        <v/>
      </c>
      <c r="I611" s="111" t="n"/>
      <c r="J611" s="111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68">
      <c r="A612" s="113" t="n"/>
      <c r="B612" s="111" t="n"/>
      <c r="C612" s="111" t="n"/>
      <c r="D612" s="117" t="n"/>
      <c r="E612" s="118">
        <f>IF(F612="","",IF(OR(F612="HDFC Bank (INR)",F612="HDFC IOCL Credit Card (INR)",F612="HDFC Swiggy Credit Card (INR)",F612="Axis Airtel Credit Card (INR)"),"INR","GBP"))</f>
        <v/>
      </c>
      <c r="F612" s="111" t="n"/>
      <c r="G612" s="111" t="n"/>
      <c r="H612" s="119">
        <f>IF(G612="Yes","",D612)</f>
        <v/>
      </c>
      <c r="I612" s="111" t="n"/>
      <c r="J612" s="111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68">
      <c r="A613" s="113" t="n"/>
      <c r="B613" s="111" t="n"/>
      <c r="C613" s="111" t="n"/>
      <c r="D613" s="117" t="n"/>
      <c r="E613" s="118">
        <f>IF(F613="","",IF(OR(F613="HDFC Bank (INR)",F613="HDFC IOCL Credit Card (INR)",F613="HDFC Swiggy Credit Card (INR)",F613="Axis Airtel Credit Card (INR)"),"INR","GBP"))</f>
        <v/>
      </c>
      <c r="F613" s="111" t="n"/>
      <c r="G613" s="111" t="n"/>
      <c r="H613" s="119">
        <f>IF(G613="Yes","",D613)</f>
        <v/>
      </c>
      <c r="I613" s="111" t="n"/>
      <c r="J613" s="111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68">
      <c r="A614" s="113" t="n"/>
      <c r="B614" s="111" t="n"/>
      <c r="C614" s="111" t="n"/>
      <c r="D614" s="117" t="n"/>
      <c r="E614" s="118">
        <f>IF(F614="","",IF(OR(F614="HDFC Bank (INR)",F614="HDFC IOCL Credit Card (INR)",F614="HDFC Swiggy Credit Card (INR)",F614="Axis Airtel Credit Card (INR)"),"INR","GBP"))</f>
        <v/>
      </c>
      <c r="F614" s="111" t="n"/>
      <c r="G614" s="111" t="n"/>
      <c r="H614" s="119">
        <f>IF(G614="Yes","",D614)</f>
        <v/>
      </c>
      <c r="I614" s="111" t="n"/>
      <c r="J614" s="111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68">
      <c r="A615" s="113" t="n"/>
      <c r="B615" s="111" t="n"/>
      <c r="C615" s="111" t="n"/>
      <c r="D615" s="117" t="n"/>
      <c r="E615" s="118">
        <f>IF(F615="","",IF(OR(F615="HDFC Bank (INR)",F615="HDFC IOCL Credit Card (INR)",F615="HDFC Swiggy Credit Card (INR)",F615="Axis Airtel Credit Card (INR)"),"INR","GBP"))</f>
        <v/>
      </c>
      <c r="F615" s="111" t="n"/>
      <c r="G615" s="111" t="n"/>
      <c r="H615" s="119">
        <f>IF(G615="Yes","",D615)</f>
        <v/>
      </c>
      <c r="I615" s="111" t="n"/>
      <c r="J615" s="111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68">
      <c r="A616" s="113" t="n"/>
      <c r="B616" s="111" t="n"/>
      <c r="C616" s="111" t="n"/>
      <c r="D616" s="117" t="n"/>
      <c r="E616" s="118">
        <f>IF(F616="","",IF(OR(F616="HDFC Bank (INR)",F616="HDFC IOCL Credit Card (INR)",F616="HDFC Swiggy Credit Card (INR)",F616="Axis Airtel Credit Card (INR)"),"INR","GBP"))</f>
        <v/>
      </c>
      <c r="F616" s="111" t="n"/>
      <c r="G616" s="111" t="n"/>
      <c r="H616" s="119">
        <f>IF(G616="Yes","",D616)</f>
        <v/>
      </c>
      <c r="I616" s="111" t="n"/>
      <c r="J616" s="111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68">
      <c r="A617" s="113" t="n"/>
      <c r="B617" s="111" t="n"/>
      <c r="C617" s="111" t="n"/>
      <c r="D617" s="117" t="n"/>
      <c r="E617" s="118">
        <f>IF(F617="","",IF(OR(F617="HDFC Bank (INR)",F617="HDFC IOCL Credit Card (INR)",F617="HDFC Swiggy Credit Card (INR)",F617="Axis Airtel Credit Card (INR)"),"INR","GBP"))</f>
        <v/>
      </c>
      <c r="F617" s="111" t="n"/>
      <c r="G617" s="111" t="n"/>
      <c r="H617" s="119">
        <f>IF(G617="Yes","",D617)</f>
        <v/>
      </c>
      <c r="I617" s="111" t="n"/>
      <c r="J617" s="111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68">
      <c r="A618" s="113" t="n"/>
      <c r="B618" s="111" t="n"/>
      <c r="C618" s="111" t="n"/>
      <c r="D618" s="117" t="n"/>
      <c r="E618" s="118">
        <f>IF(F618="","",IF(OR(F618="HDFC Bank (INR)",F618="HDFC IOCL Credit Card (INR)",F618="HDFC Swiggy Credit Card (INR)",F618="Axis Airtel Credit Card (INR)"),"INR","GBP"))</f>
        <v/>
      </c>
      <c r="F618" s="111" t="n"/>
      <c r="G618" s="111" t="n"/>
      <c r="H618" s="119">
        <f>IF(G618="Yes","",D618)</f>
        <v/>
      </c>
      <c r="I618" s="111" t="n"/>
      <c r="J618" s="111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68">
      <c r="A619" s="113" t="n"/>
      <c r="B619" s="111" t="n"/>
      <c r="C619" s="111" t="n"/>
      <c r="D619" s="117" t="n"/>
      <c r="E619" s="118">
        <f>IF(F619="","",IF(OR(F619="HDFC Bank (INR)",F619="HDFC IOCL Credit Card (INR)",F619="HDFC Swiggy Credit Card (INR)",F619="Axis Airtel Credit Card (INR)"),"INR","GBP"))</f>
        <v/>
      </c>
      <c r="F619" s="111" t="n"/>
      <c r="G619" s="111" t="n"/>
      <c r="H619" s="119">
        <f>IF(G619="Yes","",D619)</f>
        <v/>
      </c>
      <c r="I619" s="111" t="n"/>
      <c r="J619" s="111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68">
      <c r="A620" s="113" t="n"/>
      <c r="B620" s="111" t="n"/>
      <c r="C620" s="111" t="n"/>
      <c r="D620" s="117" t="n"/>
      <c r="E620" s="118">
        <f>IF(F620="","",IF(OR(F620="HDFC Bank (INR)",F620="HDFC IOCL Credit Card (INR)",F620="HDFC Swiggy Credit Card (INR)",F620="Axis Airtel Credit Card (INR)"),"INR","GBP"))</f>
        <v/>
      </c>
      <c r="F620" s="111" t="n"/>
      <c r="G620" s="111" t="n"/>
      <c r="H620" s="119">
        <f>IF(G620="Yes","",D620)</f>
        <v/>
      </c>
      <c r="I620" s="111" t="n"/>
      <c r="J620" s="111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68">
      <c r="A621" s="113" t="n"/>
      <c r="B621" s="111" t="n"/>
      <c r="C621" s="111" t="n"/>
      <c r="D621" s="117" t="n"/>
      <c r="E621" s="118">
        <f>IF(F621="","",IF(OR(F621="HDFC Bank (INR)",F621="HDFC IOCL Credit Card (INR)",F621="HDFC Swiggy Credit Card (INR)",F621="Axis Airtel Credit Card (INR)"),"INR","GBP"))</f>
        <v/>
      </c>
      <c r="F621" s="111" t="n"/>
      <c r="G621" s="111" t="n"/>
      <c r="H621" s="119">
        <f>IF(G621="Yes","",D621)</f>
        <v/>
      </c>
      <c r="I621" s="111" t="n"/>
      <c r="J621" s="111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68">
      <c r="A622" s="113" t="n"/>
      <c r="B622" s="111" t="n"/>
      <c r="C622" s="111" t="n"/>
      <c r="D622" s="117" t="n"/>
      <c r="E622" s="118">
        <f>IF(F622="","",IF(OR(F622="HDFC Bank (INR)",F622="HDFC IOCL Credit Card (INR)",F622="HDFC Swiggy Credit Card (INR)",F622="Axis Airtel Credit Card (INR)"),"INR","GBP"))</f>
        <v/>
      </c>
      <c r="F622" s="111" t="n"/>
      <c r="G622" s="111" t="n"/>
      <c r="H622" s="119">
        <f>IF(G622="Yes","",D622)</f>
        <v/>
      </c>
      <c r="I622" s="111" t="n"/>
      <c r="J622" s="111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68">
      <c r="A623" s="113" t="n"/>
      <c r="B623" s="111" t="n"/>
      <c r="C623" s="111" t="n"/>
      <c r="D623" s="117" t="n"/>
      <c r="E623" s="118">
        <f>IF(F623="","",IF(OR(F623="HDFC Bank (INR)",F623="HDFC IOCL Credit Card (INR)",F623="HDFC Swiggy Credit Card (INR)",F623="Axis Airtel Credit Card (INR)"),"INR","GBP"))</f>
        <v/>
      </c>
      <c r="F623" s="111" t="n"/>
      <c r="G623" s="111" t="n"/>
      <c r="H623" s="119">
        <f>IF(G623="Yes","",D623)</f>
        <v/>
      </c>
      <c r="I623" s="111" t="n"/>
      <c r="J623" s="111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68">
      <c r="A624" s="113" t="n"/>
      <c r="B624" s="111" t="n"/>
      <c r="C624" s="111" t="n"/>
      <c r="D624" s="117" t="n"/>
      <c r="E624" s="118">
        <f>IF(F624="","",IF(OR(F624="HDFC Bank (INR)",F624="HDFC IOCL Credit Card (INR)",F624="HDFC Swiggy Credit Card (INR)",F624="Axis Airtel Credit Card (INR)"),"INR","GBP"))</f>
        <v/>
      </c>
      <c r="F624" s="111" t="n"/>
      <c r="G624" s="111" t="n"/>
      <c r="H624" s="119">
        <f>IF(G624="Yes","",D624)</f>
        <v/>
      </c>
      <c r="I624" s="111" t="n"/>
      <c r="J624" s="111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68">
      <c r="A625" s="113" t="n"/>
      <c r="B625" s="111" t="n"/>
      <c r="C625" s="111" t="n"/>
      <c r="D625" s="117" t="n"/>
      <c r="E625" s="118">
        <f>IF(F625="","",IF(OR(F625="HDFC Bank (INR)",F625="HDFC IOCL Credit Card (INR)",F625="HDFC Swiggy Credit Card (INR)",F625="Axis Airtel Credit Card (INR)"),"INR","GBP"))</f>
        <v/>
      </c>
      <c r="F625" s="111" t="n"/>
      <c r="G625" s="111" t="n"/>
      <c r="H625" s="119">
        <f>IF(G625="Yes","",D625)</f>
        <v/>
      </c>
      <c r="I625" s="111" t="n"/>
      <c r="J625" s="111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68">
      <c r="A626" s="113" t="n"/>
      <c r="B626" s="111" t="n"/>
      <c r="C626" s="111" t="n"/>
      <c r="D626" s="117" t="n"/>
      <c r="E626" s="118">
        <f>IF(F626="","",IF(OR(F626="HDFC Bank (INR)",F626="HDFC IOCL Credit Card (INR)",F626="HDFC Swiggy Credit Card (INR)",F626="Axis Airtel Credit Card (INR)"),"INR","GBP"))</f>
        <v/>
      </c>
      <c r="F626" s="111" t="n"/>
      <c r="G626" s="111" t="n"/>
      <c r="H626" s="119">
        <f>IF(G626="Yes","",D626)</f>
        <v/>
      </c>
      <c r="I626" s="111" t="n"/>
      <c r="J626" s="111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68">
      <c r="A627" s="113" t="n"/>
      <c r="B627" s="111" t="n"/>
      <c r="C627" s="111" t="n"/>
      <c r="D627" s="117" t="n"/>
      <c r="E627" s="118">
        <f>IF(F627="","",IF(OR(F627="HDFC Bank (INR)",F627="HDFC IOCL Credit Card (INR)",F627="HDFC Swiggy Credit Card (INR)",F627="Axis Airtel Credit Card (INR)"),"INR","GBP"))</f>
        <v/>
      </c>
      <c r="F627" s="111" t="n"/>
      <c r="G627" s="111" t="n"/>
      <c r="H627" s="119">
        <f>IF(G627="Yes","",D627)</f>
        <v/>
      </c>
      <c r="I627" s="111" t="n"/>
      <c r="J627" s="111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68">
      <c r="A628" s="113" t="n"/>
      <c r="B628" s="111" t="n"/>
      <c r="C628" s="111" t="n"/>
      <c r="D628" s="117" t="n"/>
      <c r="E628" s="118">
        <f>IF(F628="","",IF(OR(F628="HDFC Bank (INR)",F628="HDFC IOCL Credit Card (INR)",F628="HDFC Swiggy Credit Card (INR)",F628="Axis Airtel Credit Card (INR)"),"INR","GBP"))</f>
        <v/>
      </c>
      <c r="F628" s="111" t="n"/>
      <c r="G628" s="111" t="n"/>
      <c r="H628" s="119">
        <f>IF(G628="Yes","",D628)</f>
        <v/>
      </c>
      <c r="I628" s="111" t="n"/>
      <c r="J628" s="111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68">
      <c r="A629" s="113" t="n"/>
      <c r="B629" s="111" t="n"/>
      <c r="C629" s="111" t="n"/>
      <c r="D629" s="117" t="n"/>
      <c r="E629" s="118">
        <f>IF(F629="","",IF(OR(F629="HDFC Bank (INR)",F629="HDFC IOCL Credit Card (INR)",F629="HDFC Swiggy Credit Card (INR)",F629="Axis Airtel Credit Card (INR)"),"INR","GBP"))</f>
        <v/>
      </c>
      <c r="F629" s="111" t="n"/>
      <c r="G629" s="111" t="n"/>
      <c r="H629" s="119">
        <f>IF(G629="Yes","",D629)</f>
        <v/>
      </c>
      <c r="I629" s="111" t="n"/>
      <c r="J629" s="111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68">
      <c r="A630" s="113" t="n"/>
      <c r="B630" s="111" t="n"/>
      <c r="C630" s="111" t="n"/>
      <c r="D630" s="117" t="n"/>
      <c r="E630" s="118">
        <f>IF(F630="","",IF(OR(F630="HDFC Bank (INR)",F630="HDFC IOCL Credit Card (INR)",F630="HDFC Swiggy Credit Card (INR)",F630="Axis Airtel Credit Card (INR)"),"INR","GBP"))</f>
        <v/>
      </c>
      <c r="F630" s="111" t="n"/>
      <c r="G630" s="111" t="n"/>
      <c r="H630" s="119">
        <f>IF(G630="Yes","",D630)</f>
        <v/>
      </c>
      <c r="I630" s="111" t="n"/>
      <c r="J630" s="111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68">
      <c r="A631" s="113" t="n"/>
      <c r="B631" s="111" t="n"/>
      <c r="C631" s="111" t="n"/>
      <c r="D631" s="117" t="n"/>
      <c r="E631" s="118">
        <f>IF(F631="","",IF(OR(F631="HDFC Bank (INR)",F631="HDFC IOCL Credit Card (INR)",F631="HDFC Swiggy Credit Card (INR)",F631="Axis Airtel Credit Card (INR)"),"INR","GBP"))</f>
        <v/>
      </c>
      <c r="F631" s="111" t="n"/>
      <c r="G631" s="111" t="n"/>
      <c r="H631" s="119">
        <f>IF(G631="Yes","",D631)</f>
        <v/>
      </c>
      <c r="I631" s="111" t="n"/>
      <c r="J631" s="111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68">
      <c r="A632" s="113" t="n"/>
      <c r="B632" s="111" t="n"/>
      <c r="C632" s="111" t="n"/>
      <c r="D632" s="117" t="n"/>
      <c r="E632" s="118">
        <f>IF(F632="","",IF(OR(F632="HDFC Bank (INR)",F632="HDFC IOCL Credit Card (INR)",F632="HDFC Swiggy Credit Card (INR)",F632="Axis Airtel Credit Card (INR)"),"INR","GBP"))</f>
        <v/>
      </c>
      <c r="F632" s="111" t="n"/>
      <c r="G632" s="111" t="n"/>
      <c r="H632" s="119">
        <f>IF(G632="Yes","",D632)</f>
        <v/>
      </c>
      <c r="I632" s="111" t="n"/>
      <c r="J632" s="111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68">
      <c r="A633" s="113" t="n"/>
      <c r="B633" s="111" t="n"/>
      <c r="C633" s="111" t="n"/>
      <c r="D633" s="117" t="n"/>
      <c r="E633" s="118">
        <f>IF(F633="","",IF(OR(F633="HDFC Bank (INR)",F633="HDFC IOCL Credit Card (INR)",F633="HDFC Swiggy Credit Card (INR)",F633="Axis Airtel Credit Card (INR)"),"INR","GBP"))</f>
        <v/>
      </c>
      <c r="F633" s="111" t="n"/>
      <c r="G633" s="111" t="n"/>
      <c r="H633" s="119">
        <f>IF(G633="Yes","",D633)</f>
        <v/>
      </c>
      <c r="I633" s="111" t="n"/>
      <c r="J633" s="111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68">
      <c r="A634" s="113" t="n"/>
      <c r="B634" s="111" t="n"/>
      <c r="C634" s="111" t="n"/>
      <c r="D634" s="117" t="n"/>
      <c r="E634" s="118">
        <f>IF(F634="","",IF(OR(F634="HDFC Bank (INR)",F634="HDFC IOCL Credit Card (INR)",F634="HDFC Swiggy Credit Card (INR)",F634="Axis Airtel Credit Card (INR)"),"INR","GBP"))</f>
        <v/>
      </c>
      <c r="F634" s="111" t="n"/>
      <c r="G634" s="111" t="n"/>
      <c r="H634" s="119">
        <f>IF(G634="Yes","",D634)</f>
        <v/>
      </c>
      <c r="I634" s="111" t="n"/>
      <c r="J634" s="111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68">
      <c r="A635" s="113" t="n"/>
      <c r="B635" s="111" t="n"/>
      <c r="C635" s="111" t="n"/>
      <c r="D635" s="117" t="n"/>
      <c r="E635" s="118">
        <f>IF(F635="","",IF(OR(F635="HDFC Bank (INR)",F635="HDFC IOCL Credit Card (INR)",F635="HDFC Swiggy Credit Card (INR)",F635="Axis Airtel Credit Card (INR)"),"INR","GBP"))</f>
        <v/>
      </c>
      <c r="F635" s="111" t="n"/>
      <c r="G635" s="111" t="n"/>
      <c r="H635" s="119">
        <f>IF(G635="Yes","",D635)</f>
        <v/>
      </c>
      <c r="I635" s="111" t="n"/>
      <c r="J635" s="111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68">
      <c r="A636" s="113" t="n"/>
      <c r="B636" s="111" t="n"/>
      <c r="C636" s="111" t="n"/>
      <c r="D636" s="117" t="n"/>
      <c r="E636" s="118">
        <f>IF(F636="","",IF(OR(F636="HDFC Bank (INR)",F636="HDFC IOCL Credit Card (INR)",F636="HDFC Swiggy Credit Card (INR)",F636="Axis Airtel Credit Card (INR)"),"INR","GBP"))</f>
        <v/>
      </c>
      <c r="F636" s="111" t="n"/>
      <c r="G636" s="111" t="n"/>
      <c r="H636" s="119">
        <f>IF(G636="Yes","",D636)</f>
        <v/>
      </c>
      <c r="I636" s="111" t="n"/>
      <c r="J636" s="111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68">
      <c r="A637" s="113" t="n"/>
      <c r="B637" s="111" t="n"/>
      <c r="C637" s="111" t="n"/>
      <c r="D637" s="117" t="n"/>
      <c r="E637" s="118">
        <f>IF(F637="","",IF(OR(F637="HDFC Bank (INR)",F637="HDFC IOCL Credit Card (INR)",F637="HDFC Swiggy Credit Card (INR)",F637="Axis Airtel Credit Card (INR)"),"INR","GBP"))</f>
        <v/>
      </c>
      <c r="F637" s="111" t="n"/>
      <c r="G637" s="111" t="n"/>
      <c r="H637" s="119">
        <f>IF(G637="Yes","",D637)</f>
        <v/>
      </c>
      <c r="I637" s="111" t="n"/>
      <c r="J637" s="111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68">
      <c r="A638" s="113" t="n"/>
      <c r="B638" s="111" t="n"/>
      <c r="C638" s="111" t="n"/>
      <c r="D638" s="117" t="n"/>
      <c r="E638" s="118">
        <f>IF(F638="","",IF(OR(F638="HDFC Bank (INR)",F638="HDFC IOCL Credit Card (INR)",F638="HDFC Swiggy Credit Card (INR)",F638="Axis Airtel Credit Card (INR)"),"INR","GBP"))</f>
        <v/>
      </c>
      <c r="F638" s="111" t="n"/>
      <c r="G638" s="111" t="n"/>
      <c r="H638" s="119">
        <f>IF(G638="Yes","",D638)</f>
        <v/>
      </c>
      <c r="I638" s="111" t="n"/>
      <c r="J638" s="111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68">
      <c r="A639" s="113" t="n"/>
      <c r="B639" s="111" t="n"/>
      <c r="C639" s="111" t="n"/>
      <c r="D639" s="117" t="n"/>
      <c r="E639" s="118">
        <f>IF(F639="","",IF(OR(F639="HDFC Bank (INR)",F639="HDFC IOCL Credit Card (INR)",F639="HDFC Swiggy Credit Card (INR)",F639="Axis Airtel Credit Card (INR)"),"INR","GBP"))</f>
        <v/>
      </c>
      <c r="F639" s="111" t="n"/>
      <c r="G639" s="111" t="n"/>
      <c r="H639" s="119">
        <f>IF(G639="Yes","",D639)</f>
        <v/>
      </c>
      <c r="I639" s="111" t="n"/>
      <c r="J639" s="111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68">
      <c r="A640" s="113" t="n"/>
      <c r="B640" s="111" t="n"/>
      <c r="C640" s="111" t="n"/>
      <c r="D640" s="117" t="n"/>
      <c r="E640" s="118">
        <f>IF(F640="","",IF(OR(F640="HDFC Bank (INR)",F640="HDFC IOCL Credit Card (INR)",F640="HDFC Swiggy Credit Card (INR)",F640="Axis Airtel Credit Card (INR)"),"INR","GBP"))</f>
        <v/>
      </c>
      <c r="F640" s="111" t="n"/>
      <c r="G640" s="111" t="n"/>
      <c r="H640" s="119">
        <f>IF(G640="Yes","",D640)</f>
        <v/>
      </c>
      <c r="I640" s="111" t="n"/>
      <c r="J640" s="111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68">
      <c r="A641" s="113" t="n"/>
      <c r="B641" s="111" t="n"/>
      <c r="C641" s="111" t="n"/>
      <c r="D641" s="117" t="n"/>
      <c r="E641" s="118">
        <f>IF(F641="","",IF(OR(F641="HDFC Bank (INR)",F641="HDFC IOCL Credit Card (INR)",F641="HDFC Swiggy Credit Card (INR)",F641="Axis Airtel Credit Card (INR)"),"INR","GBP"))</f>
        <v/>
      </c>
      <c r="F641" s="111" t="n"/>
      <c r="G641" s="111" t="n"/>
      <c r="H641" s="119">
        <f>IF(G641="Yes","",D641)</f>
        <v/>
      </c>
      <c r="I641" s="111" t="n"/>
      <c r="J641" s="111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68">
      <c r="A642" s="113" t="n"/>
      <c r="B642" s="111" t="n"/>
      <c r="C642" s="111" t="n"/>
      <c r="D642" s="117" t="n"/>
      <c r="E642" s="118">
        <f>IF(F642="","",IF(OR(F642="HDFC Bank (INR)",F642="HDFC IOCL Credit Card (INR)",F642="HDFC Swiggy Credit Card (INR)",F642="Axis Airtel Credit Card (INR)"),"INR","GBP"))</f>
        <v/>
      </c>
      <c r="F642" s="111" t="n"/>
      <c r="G642" s="111" t="n"/>
      <c r="H642" s="119">
        <f>IF(G642="Yes","",D642)</f>
        <v/>
      </c>
      <c r="I642" s="111" t="n"/>
      <c r="J642" s="111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68">
      <c r="A643" s="113" t="n"/>
      <c r="B643" s="111" t="n"/>
      <c r="C643" s="111" t="n"/>
      <c r="D643" s="117" t="n"/>
      <c r="E643" s="118">
        <f>IF(F643="","",IF(OR(F643="HDFC Bank (INR)",F643="HDFC IOCL Credit Card (INR)",F643="HDFC Swiggy Credit Card (INR)",F643="Axis Airtel Credit Card (INR)"),"INR","GBP"))</f>
        <v/>
      </c>
      <c r="F643" s="111" t="n"/>
      <c r="G643" s="111" t="n"/>
      <c r="H643" s="119">
        <f>IF(G643="Yes","",D643)</f>
        <v/>
      </c>
      <c r="I643" s="111" t="n"/>
      <c r="J643" s="111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68">
      <c r="A644" s="113" t="n"/>
      <c r="B644" s="111" t="n"/>
      <c r="C644" s="111" t="n"/>
      <c r="D644" s="117" t="n"/>
      <c r="E644" s="118">
        <f>IF(F644="","",IF(OR(F644="HDFC Bank (INR)",F644="HDFC IOCL Credit Card (INR)",F644="HDFC Swiggy Credit Card (INR)",F644="Axis Airtel Credit Card (INR)"),"INR","GBP"))</f>
        <v/>
      </c>
      <c r="F644" s="111" t="n"/>
      <c r="G644" s="111" t="n"/>
      <c r="H644" s="119">
        <f>IF(G644="Yes","",D644)</f>
        <v/>
      </c>
      <c r="I644" s="111" t="n"/>
      <c r="J644" s="111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68">
      <c r="A645" s="113" t="n"/>
      <c r="B645" s="111" t="n"/>
      <c r="C645" s="111" t="n"/>
      <c r="D645" s="117" t="n"/>
      <c r="E645" s="118">
        <f>IF(F645="","",IF(OR(F645="HDFC Bank (INR)",F645="HDFC IOCL Credit Card (INR)",F645="HDFC Swiggy Credit Card (INR)",F645="Axis Airtel Credit Card (INR)"),"INR","GBP"))</f>
        <v/>
      </c>
      <c r="F645" s="111" t="n"/>
      <c r="G645" s="111" t="n"/>
      <c r="H645" s="119">
        <f>IF(G645="Yes","",D645)</f>
        <v/>
      </c>
      <c r="I645" s="111" t="n"/>
      <c r="J645" s="111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68">
      <c r="A646" s="113" t="n"/>
      <c r="B646" s="111" t="n"/>
      <c r="C646" s="111" t="n"/>
      <c r="D646" s="117" t="n"/>
      <c r="E646" s="118">
        <f>IF(F646="","",IF(OR(F646="HDFC Bank (INR)",F646="HDFC IOCL Credit Card (INR)",F646="HDFC Swiggy Credit Card (INR)",F646="Axis Airtel Credit Card (INR)"),"INR","GBP"))</f>
        <v/>
      </c>
      <c r="F646" s="111" t="n"/>
      <c r="G646" s="111" t="n"/>
      <c r="H646" s="119">
        <f>IF(G646="Yes","",D646)</f>
        <v/>
      </c>
      <c r="I646" s="111" t="n"/>
      <c r="J646" s="111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68">
      <c r="A647" s="113" t="n"/>
      <c r="B647" s="111" t="n"/>
      <c r="C647" s="111" t="n"/>
      <c r="D647" s="117" t="n"/>
      <c r="E647" s="118">
        <f>IF(F647="","",IF(OR(F647="HDFC Bank (INR)",F647="HDFC IOCL Credit Card (INR)",F647="HDFC Swiggy Credit Card (INR)",F647="Axis Airtel Credit Card (INR)"),"INR","GBP"))</f>
        <v/>
      </c>
      <c r="F647" s="111" t="n"/>
      <c r="G647" s="111" t="n"/>
      <c r="H647" s="119">
        <f>IF(G647="Yes","",D647)</f>
        <v/>
      </c>
      <c r="I647" s="111" t="n"/>
      <c r="J647" s="111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68">
      <c r="A648" s="113" t="n"/>
      <c r="B648" s="111" t="n"/>
      <c r="C648" s="111" t="n"/>
      <c r="D648" s="117" t="n"/>
      <c r="E648" s="118">
        <f>IF(F648="","",IF(OR(F648="HDFC Bank (INR)",F648="HDFC IOCL Credit Card (INR)",F648="HDFC Swiggy Credit Card (INR)",F648="Axis Airtel Credit Card (INR)"),"INR","GBP"))</f>
        <v/>
      </c>
      <c r="F648" s="111" t="n"/>
      <c r="G648" s="111" t="n"/>
      <c r="H648" s="119">
        <f>IF(G648="Yes","",D648)</f>
        <v/>
      </c>
      <c r="I648" s="111" t="n"/>
      <c r="J648" s="111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68">
      <c r="A649" s="113" t="n"/>
      <c r="B649" s="111" t="n"/>
      <c r="C649" s="111" t="n"/>
      <c r="D649" s="117" t="n"/>
      <c r="E649" s="118">
        <f>IF(F649="","",IF(OR(F649="HDFC Bank (INR)",F649="HDFC IOCL Credit Card (INR)",F649="HDFC Swiggy Credit Card (INR)",F649="Axis Airtel Credit Card (INR)"),"INR","GBP"))</f>
        <v/>
      </c>
      <c r="F649" s="111" t="n"/>
      <c r="G649" s="111" t="n"/>
      <c r="H649" s="119">
        <f>IF(G649="Yes","",D649)</f>
        <v/>
      </c>
      <c r="I649" s="111" t="n"/>
      <c r="J649" s="111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68">
      <c r="A650" s="113" t="n"/>
      <c r="B650" s="111" t="n"/>
      <c r="C650" s="111" t="n"/>
      <c r="D650" s="117" t="n"/>
      <c r="E650" s="118">
        <f>IF(F650="","",IF(OR(F650="HDFC Bank (INR)",F650="HDFC IOCL Credit Card (INR)",F650="HDFC Swiggy Credit Card (INR)",F650="Axis Airtel Credit Card (INR)"),"INR","GBP"))</f>
        <v/>
      </c>
      <c r="F650" s="111" t="n"/>
      <c r="G650" s="111" t="n"/>
      <c r="H650" s="119">
        <f>IF(G650="Yes","",D650)</f>
        <v/>
      </c>
      <c r="I650" s="111" t="n"/>
      <c r="J650" s="111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68">
      <c r="A651" s="113" t="n"/>
      <c r="B651" s="111" t="n"/>
      <c r="C651" s="111" t="n"/>
      <c r="D651" s="117" t="n"/>
      <c r="E651" s="118">
        <f>IF(F651="","",IF(OR(F651="HDFC Bank (INR)",F651="HDFC IOCL Credit Card (INR)",F651="HDFC Swiggy Credit Card (INR)",F651="Axis Airtel Credit Card (INR)"),"INR","GBP"))</f>
        <v/>
      </c>
      <c r="F651" s="111" t="n"/>
      <c r="G651" s="111" t="n"/>
      <c r="H651" s="119">
        <f>IF(G651="Yes","",D651)</f>
        <v/>
      </c>
      <c r="I651" s="111" t="n"/>
      <c r="J651" s="111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68">
      <c r="A652" s="113" t="n"/>
      <c r="B652" s="111" t="n"/>
      <c r="C652" s="111" t="n"/>
      <c r="D652" s="117" t="n"/>
      <c r="E652" s="118">
        <f>IF(F652="","",IF(OR(F652="HDFC Bank (INR)",F652="HDFC IOCL Credit Card (INR)",F652="HDFC Swiggy Credit Card (INR)",F652="Axis Airtel Credit Card (INR)"),"INR","GBP"))</f>
        <v/>
      </c>
      <c r="F652" s="111" t="n"/>
      <c r="G652" s="111" t="n"/>
      <c r="H652" s="119">
        <f>IF(G652="Yes","",D652)</f>
        <v/>
      </c>
      <c r="I652" s="111" t="n"/>
      <c r="J652" s="111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68">
      <c r="A653" s="113" t="n"/>
      <c r="B653" s="111" t="n"/>
      <c r="C653" s="111" t="n"/>
      <c r="D653" s="117" t="n"/>
      <c r="E653" s="118">
        <f>IF(F653="","",IF(OR(F653="HDFC Bank (INR)",F653="HDFC IOCL Credit Card (INR)",F653="HDFC Swiggy Credit Card (INR)",F653="Axis Airtel Credit Card (INR)"),"INR","GBP"))</f>
        <v/>
      </c>
      <c r="F653" s="111" t="n"/>
      <c r="G653" s="111" t="n"/>
      <c r="H653" s="119">
        <f>IF(G653="Yes","",D653)</f>
        <v/>
      </c>
      <c r="I653" s="111" t="n"/>
      <c r="J653" s="111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68">
      <c r="A654" s="113" t="n"/>
      <c r="B654" s="111" t="n"/>
      <c r="C654" s="111" t="n"/>
      <c r="D654" s="117" t="n"/>
      <c r="E654" s="118">
        <f>IF(F654="","",IF(OR(F654="HDFC Bank (INR)",F654="HDFC IOCL Credit Card (INR)",F654="HDFC Swiggy Credit Card (INR)",F654="Axis Airtel Credit Card (INR)"),"INR","GBP"))</f>
        <v/>
      </c>
      <c r="F654" s="111" t="n"/>
      <c r="G654" s="111" t="n"/>
      <c r="H654" s="119">
        <f>IF(G654="Yes","",D654)</f>
        <v/>
      </c>
      <c r="I654" s="111" t="n"/>
      <c r="J654" s="111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68">
      <c r="A655" s="113" t="n"/>
      <c r="B655" s="111" t="n"/>
      <c r="C655" s="111" t="n"/>
      <c r="D655" s="117" t="n"/>
      <c r="E655" s="118">
        <f>IF(F655="","",IF(OR(F655="HDFC Bank (INR)",F655="HDFC IOCL Credit Card (INR)",F655="HDFC Swiggy Credit Card (INR)",F655="Axis Airtel Credit Card (INR)"),"INR","GBP"))</f>
        <v/>
      </c>
      <c r="F655" s="111" t="n"/>
      <c r="G655" s="111" t="n"/>
      <c r="H655" s="119">
        <f>IF(G655="Yes","",D655)</f>
        <v/>
      </c>
      <c r="I655" s="111" t="n"/>
      <c r="J655" s="111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68">
      <c r="A656" s="113" t="n"/>
      <c r="B656" s="111" t="n"/>
      <c r="C656" s="111" t="n"/>
      <c r="D656" s="117" t="n"/>
      <c r="E656" s="118">
        <f>IF(F656="","",IF(OR(F656="HDFC Bank (INR)",F656="HDFC IOCL Credit Card (INR)",F656="HDFC Swiggy Credit Card (INR)",F656="Axis Airtel Credit Card (INR)"),"INR","GBP"))</f>
        <v/>
      </c>
      <c r="F656" s="111" t="n"/>
      <c r="G656" s="111" t="n"/>
      <c r="H656" s="119">
        <f>IF(G656="Yes","",D656)</f>
        <v/>
      </c>
      <c r="I656" s="111" t="n"/>
      <c r="J656" s="111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68">
      <c r="A657" s="113" t="n"/>
      <c r="B657" s="111" t="n"/>
      <c r="C657" s="111" t="n"/>
      <c r="D657" s="117" t="n"/>
      <c r="E657" s="118">
        <f>IF(F657="","",IF(OR(F657="HDFC Bank (INR)",F657="HDFC IOCL Credit Card (INR)",F657="HDFC Swiggy Credit Card (INR)",F657="Axis Airtel Credit Card (INR)"),"INR","GBP"))</f>
        <v/>
      </c>
      <c r="F657" s="111" t="n"/>
      <c r="G657" s="111" t="n"/>
      <c r="H657" s="119">
        <f>IF(G657="Yes","",D657)</f>
        <v/>
      </c>
      <c r="I657" s="111" t="n"/>
      <c r="J657" s="111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68">
      <c r="A658" s="113" t="n"/>
      <c r="B658" s="111" t="n"/>
      <c r="C658" s="111" t="n"/>
      <c r="D658" s="117" t="n"/>
      <c r="E658" s="118">
        <f>IF(F658="","",IF(OR(F658="HDFC Bank (INR)",F658="HDFC IOCL Credit Card (INR)",F658="HDFC Swiggy Credit Card (INR)",F658="Axis Airtel Credit Card (INR)"),"INR","GBP"))</f>
        <v/>
      </c>
      <c r="F658" s="111" t="n"/>
      <c r="G658" s="111" t="n"/>
      <c r="H658" s="119">
        <f>IF(G658="Yes","",D658)</f>
        <v/>
      </c>
      <c r="I658" s="111" t="n"/>
      <c r="J658" s="111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68">
      <c r="A659" s="113" t="n"/>
      <c r="B659" s="111" t="n"/>
      <c r="C659" s="111" t="n"/>
      <c r="D659" s="117" t="n"/>
      <c r="E659" s="118">
        <f>IF(F659="","",IF(OR(F659="HDFC Bank (INR)",F659="HDFC IOCL Credit Card (INR)",F659="HDFC Swiggy Credit Card (INR)",F659="Axis Airtel Credit Card (INR)"),"INR","GBP"))</f>
        <v/>
      </c>
      <c r="F659" s="111" t="n"/>
      <c r="G659" s="111" t="n"/>
      <c r="H659" s="119">
        <f>IF(G659="Yes","",D659)</f>
        <v/>
      </c>
      <c r="I659" s="111" t="n"/>
      <c r="J659" s="111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68">
      <c r="A660" s="113" t="n"/>
      <c r="B660" s="111" t="n"/>
      <c r="C660" s="111" t="n"/>
      <c r="D660" s="117" t="n"/>
      <c r="E660" s="118">
        <f>IF(F660="","",IF(OR(F660="HDFC Bank (INR)",F660="HDFC IOCL Credit Card (INR)",F660="HDFC Swiggy Credit Card (INR)",F660="Axis Airtel Credit Card (INR)"),"INR","GBP"))</f>
        <v/>
      </c>
      <c r="F660" s="111" t="n"/>
      <c r="G660" s="111" t="n"/>
      <c r="H660" s="119">
        <f>IF(G660="Yes","",D660)</f>
        <v/>
      </c>
      <c r="I660" s="111" t="n"/>
      <c r="J660" s="111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68">
      <c r="A661" s="113" t="n"/>
      <c r="B661" s="111" t="n"/>
      <c r="C661" s="111" t="n"/>
      <c r="D661" s="117" t="n"/>
      <c r="E661" s="118">
        <f>IF(F661="","",IF(OR(F661="HDFC Bank (INR)",F661="HDFC IOCL Credit Card (INR)",F661="HDFC Swiggy Credit Card (INR)",F661="Axis Airtel Credit Card (INR)"),"INR","GBP"))</f>
        <v/>
      </c>
      <c r="F661" s="111" t="n"/>
      <c r="G661" s="111" t="n"/>
      <c r="H661" s="119">
        <f>IF(G661="Yes","",D661)</f>
        <v/>
      </c>
      <c r="I661" s="111" t="n"/>
      <c r="J661" s="111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68">
      <c r="A662" s="113" t="n"/>
      <c r="B662" s="111" t="n"/>
      <c r="C662" s="111" t="n"/>
      <c r="D662" s="117" t="n"/>
      <c r="E662" s="118">
        <f>IF(F662="","",IF(OR(F662="HDFC Bank (INR)",F662="HDFC IOCL Credit Card (INR)",F662="HDFC Swiggy Credit Card (INR)",F662="Axis Airtel Credit Card (INR)"),"INR","GBP"))</f>
        <v/>
      </c>
      <c r="F662" s="111" t="n"/>
      <c r="G662" s="111" t="n"/>
      <c r="H662" s="119">
        <f>IF(G662="Yes","",D662)</f>
        <v/>
      </c>
      <c r="I662" s="111" t="n"/>
      <c r="J662" s="111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68">
      <c r="A663" s="113" t="n"/>
      <c r="B663" s="111" t="n"/>
      <c r="C663" s="111" t="n"/>
      <c r="D663" s="117" t="n"/>
      <c r="E663" s="118">
        <f>IF(F663="","",IF(OR(F663="HDFC Bank (INR)",F663="HDFC IOCL Credit Card (INR)",F663="HDFC Swiggy Credit Card (INR)",F663="Axis Airtel Credit Card (INR)"),"INR","GBP"))</f>
        <v/>
      </c>
      <c r="F663" s="111" t="n"/>
      <c r="G663" s="111" t="n"/>
      <c r="H663" s="119">
        <f>IF(G663="Yes","",D663)</f>
        <v/>
      </c>
      <c r="I663" s="111" t="n"/>
      <c r="J663" s="111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68">
      <c r="A664" s="113" t="n"/>
      <c r="B664" s="111" t="n"/>
      <c r="C664" s="111" t="n"/>
      <c r="D664" s="117" t="n"/>
      <c r="E664" s="118">
        <f>IF(F664="","",IF(OR(F664="HDFC Bank (INR)",F664="HDFC IOCL Credit Card (INR)",F664="HDFC Swiggy Credit Card (INR)",F664="Axis Airtel Credit Card (INR)"),"INR","GBP"))</f>
        <v/>
      </c>
      <c r="F664" s="111" t="n"/>
      <c r="G664" s="111" t="n"/>
      <c r="H664" s="119">
        <f>IF(G664="Yes","",D664)</f>
        <v/>
      </c>
      <c r="I664" s="111" t="n"/>
      <c r="J664" s="111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68">
      <c r="A665" s="113" t="n"/>
      <c r="B665" s="111" t="n"/>
      <c r="C665" s="111" t="n"/>
      <c r="D665" s="117" t="n"/>
      <c r="E665" s="118">
        <f>IF(F665="","",IF(OR(F665="HDFC Bank (INR)",F665="HDFC IOCL Credit Card (INR)",F665="HDFC Swiggy Credit Card (INR)",F665="Axis Airtel Credit Card (INR)"),"INR","GBP"))</f>
        <v/>
      </c>
      <c r="F665" s="111" t="n"/>
      <c r="G665" s="111" t="n"/>
      <c r="H665" s="119">
        <f>IF(G665="Yes","",D665)</f>
        <v/>
      </c>
      <c r="I665" s="111" t="n"/>
      <c r="J665" s="111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68">
      <c r="A666" s="113" t="n"/>
      <c r="B666" s="111" t="n"/>
      <c r="C666" s="111" t="n"/>
      <c r="D666" s="117" t="n"/>
      <c r="E666" s="118">
        <f>IF(F666="","",IF(OR(F666="HDFC Bank (INR)",F666="HDFC IOCL Credit Card (INR)",F666="HDFC Swiggy Credit Card (INR)",F666="Axis Airtel Credit Card (INR)"),"INR","GBP"))</f>
        <v/>
      </c>
      <c r="F666" s="111" t="n"/>
      <c r="G666" s="111" t="n"/>
      <c r="H666" s="119">
        <f>IF(G666="Yes","",D666)</f>
        <v/>
      </c>
      <c r="I666" s="111" t="n"/>
      <c r="J666" s="111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68">
      <c r="A667" s="113" t="n"/>
      <c r="B667" s="111" t="n"/>
      <c r="C667" s="111" t="n"/>
      <c r="D667" s="117" t="n"/>
      <c r="E667" s="118">
        <f>IF(F667="","",IF(OR(F667="HDFC Bank (INR)",F667="HDFC IOCL Credit Card (INR)",F667="HDFC Swiggy Credit Card (INR)",F667="Axis Airtel Credit Card (INR)"),"INR","GBP"))</f>
        <v/>
      </c>
      <c r="F667" s="111" t="n"/>
      <c r="G667" s="111" t="n"/>
      <c r="H667" s="119">
        <f>IF(G667="Yes","",D667)</f>
        <v/>
      </c>
      <c r="I667" s="111" t="n"/>
      <c r="J667" s="111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68">
      <c r="A668" s="113" t="n"/>
      <c r="B668" s="111" t="n"/>
      <c r="C668" s="111" t="n"/>
      <c r="D668" s="117" t="n"/>
      <c r="E668" s="118">
        <f>IF(F668="","",IF(OR(F668="HDFC Bank (INR)",F668="HDFC IOCL Credit Card (INR)",F668="HDFC Swiggy Credit Card (INR)",F668="Axis Airtel Credit Card (INR)"),"INR","GBP"))</f>
        <v/>
      </c>
      <c r="F668" s="111" t="n"/>
      <c r="G668" s="111" t="n"/>
      <c r="H668" s="119">
        <f>IF(G668="Yes","",D668)</f>
        <v/>
      </c>
      <c r="I668" s="111" t="n"/>
      <c r="J668" s="111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68">
      <c r="A669" s="113" t="n"/>
      <c r="B669" s="111" t="n"/>
      <c r="C669" s="111" t="n"/>
      <c r="D669" s="117" t="n"/>
      <c r="E669" s="118">
        <f>IF(F669="","",IF(OR(F669="HDFC Bank (INR)",F669="HDFC IOCL Credit Card (INR)",F669="HDFC Swiggy Credit Card (INR)",F669="Axis Airtel Credit Card (INR)"),"INR","GBP"))</f>
        <v/>
      </c>
      <c r="F669" s="111" t="n"/>
      <c r="G669" s="111" t="n"/>
      <c r="H669" s="119">
        <f>IF(G669="Yes","",D669)</f>
        <v/>
      </c>
      <c r="I669" s="111" t="n"/>
      <c r="J669" s="111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68">
      <c r="A670" s="113" t="n"/>
      <c r="B670" s="111" t="n"/>
      <c r="C670" s="111" t="n"/>
      <c r="D670" s="117" t="n"/>
      <c r="E670" s="118">
        <f>IF(F670="","",IF(OR(F670="HDFC Bank (INR)",F670="HDFC IOCL Credit Card (INR)",F670="HDFC Swiggy Credit Card (INR)",F670="Axis Airtel Credit Card (INR)"),"INR","GBP"))</f>
        <v/>
      </c>
      <c r="F670" s="111" t="n"/>
      <c r="G670" s="111" t="n"/>
      <c r="H670" s="119">
        <f>IF(G670="Yes","",D670)</f>
        <v/>
      </c>
      <c r="I670" s="111" t="n"/>
      <c r="J670" s="111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68">
      <c r="A671" s="113" t="n"/>
      <c r="B671" s="111" t="n"/>
      <c r="C671" s="111" t="n"/>
      <c r="D671" s="117" t="n"/>
      <c r="E671" s="118">
        <f>IF(F671="","",IF(OR(F671="HDFC Bank (INR)",F671="HDFC IOCL Credit Card (INR)",F671="HDFC Swiggy Credit Card (INR)",F671="Axis Airtel Credit Card (INR)"),"INR","GBP"))</f>
        <v/>
      </c>
      <c r="F671" s="111" t="n"/>
      <c r="G671" s="111" t="n"/>
      <c r="H671" s="119">
        <f>IF(G671="Yes","",D671)</f>
        <v/>
      </c>
      <c r="I671" s="111" t="n"/>
      <c r="J671" s="111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68">
      <c r="A672" s="113" t="n"/>
      <c r="B672" s="111" t="n"/>
      <c r="C672" s="111" t="n"/>
      <c r="D672" s="117" t="n"/>
      <c r="E672" s="118">
        <f>IF(F672="","",IF(OR(F672="HDFC Bank (INR)",F672="HDFC IOCL Credit Card (INR)",F672="HDFC Swiggy Credit Card (INR)",F672="Axis Airtel Credit Card (INR)"),"INR","GBP"))</f>
        <v/>
      </c>
      <c r="F672" s="111" t="n"/>
      <c r="G672" s="111" t="n"/>
      <c r="H672" s="119">
        <f>IF(G672="Yes","",D672)</f>
        <v/>
      </c>
      <c r="I672" s="111" t="n"/>
      <c r="J672" s="111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68">
      <c r="A673" s="113" t="n"/>
      <c r="B673" s="111" t="n"/>
      <c r="C673" s="111" t="n"/>
      <c r="D673" s="117" t="n"/>
      <c r="E673" s="118">
        <f>IF(F673="","",IF(OR(F673="HDFC Bank (INR)",F673="HDFC IOCL Credit Card (INR)",F673="HDFC Swiggy Credit Card (INR)",F673="Axis Airtel Credit Card (INR)"),"INR","GBP"))</f>
        <v/>
      </c>
      <c r="F673" s="111" t="n"/>
      <c r="G673" s="111" t="n"/>
      <c r="H673" s="119">
        <f>IF(G673="Yes","",D673)</f>
        <v/>
      </c>
      <c r="I673" s="111" t="n"/>
      <c r="J673" s="111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68">
      <c r="A674" s="113" t="n"/>
      <c r="B674" s="111" t="n"/>
      <c r="C674" s="111" t="n"/>
      <c r="D674" s="117" t="n"/>
      <c r="E674" s="118">
        <f>IF(F674="","",IF(OR(F674="HDFC Bank (INR)",F674="HDFC IOCL Credit Card (INR)",F674="HDFC Swiggy Credit Card (INR)",F674="Axis Airtel Credit Card (INR)"),"INR","GBP"))</f>
        <v/>
      </c>
      <c r="F674" s="111" t="n"/>
      <c r="G674" s="111" t="n"/>
      <c r="H674" s="119">
        <f>IF(G674="Yes","",D674)</f>
        <v/>
      </c>
      <c r="I674" s="111" t="n"/>
      <c r="J674" s="111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68">
      <c r="A675" s="113" t="n"/>
      <c r="B675" s="111" t="n"/>
      <c r="C675" s="111" t="n"/>
      <c r="D675" s="117" t="n"/>
      <c r="E675" s="118">
        <f>IF(F675="","",IF(OR(F675="HDFC Bank (INR)",F675="HDFC IOCL Credit Card (INR)",F675="HDFC Swiggy Credit Card (INR)",F675="Axis Airtel Credit Card (INR)"),"INR","GBP"))</f>
        <v/>
      </c>
      <c r="F675" s="111" t="n"/>
      <c r="G675" s="111" t="n"/>
      <c r="H675" s="119">
        <f>IF(G675="Yes","",D675)</f>
        <v/>
      </c>
      <c r="I675" s="111" t="n"/>
      <c r="J675" s="111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68">
      <c r="A676" s="113" t="n"/>
      <c r="B676" s="111" t="n"/>
      <c r="C676" s="111" t="n"/>
      <c r="D676" s="117" t="n"/>
      <c r="E676" s="118">
        <f>IF(F676="","",IF(OR(F676="HDFC Bank (INR)",F676="HDFC IOCL Credit Card (INR)",F676="HDFC Swiggy Credit Card (INR)",F676="Axis Airtel Credit Card (INR)"),"INR","GBP"))</f>
        <v/>
      </c>
      <c r="F676" s="111" t="n"/>
      <c r="G676" s="111" t="n"/>
      <c r="H676" s="119">
        <f>IF(G676="Yes","",D676)</f>
        <v/>
      </c>
      <c r="I676" s="111" t="n"/>
      <c r="J676" s="111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68">
      <c r="A677" s="113" t="n"/>
      <c r="B677" s="111" t="n"/>
      <c r="C677" s="111" t="n"/>
      <c r="D677" s="117" t="n"/>
      <c r="E677" s="118">
        <f>IF(F677="","",IF(OR(F677="HDFC Bank (INR)",F677="HDFC IOCL Credit Card (INR)",F677="HDFC Swiggy Credit Card (INR)",F677="Axis Airtel Credit Card (INR)"),"INR","GBP"))</f>
        <v/>
      </c>
      <c r="F677" s="111" t="n"/>
      <c r="G677" s="111" t="n"/>
      <c r="H677" s="119">
        <f>IF(G677="Yes","",D677)</f>
        <v/>
      </c>
      <c r="I677" s="111" t="n"/>
      <c r="J677" s="111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68">
      <c r="A678" s="113" t="n"/>
      <c r="B678" s="111" t="n"/>
      <c r="C678" s="111" t="n"/>
      <c r="D678" s="117" t="n"/>
      <c r="E678" s="118">
        <f>IF(F678="","",IF(OR(F678="HDFC Bank (INR)",F678="HDFC IOCL Credit Card (INR)",F678="HDFC Swiggy Credit Card (INR)",F678="Axis Airtel Credit Card (INR)"),"INR","GBP"))</f>
        <v/>
      </c>
      <c r="F678" s="111" t="n"/>
      <c r="G678" s="111" t="n"/>
      <c r="H678" s="119">
        <f>IF(G678="Yes","",D678)</f>
        <v/>
      </c>
      <c r="I678" s="111" t="n"/>
      <c r="J678" s="111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68">
      <c r="A679" s="113" t="n"/>
      <c r="B679" s="111" t="n"/>
      <c r="C679" s="111" t="n"/>
      <c r="D679" s="117" t="n"/>
      <c r="E679" s="118">
        <f>IF(F679="","",IF(OR(F679="HDFC Bank (INR)",F679="HDFC IOCL Credit Card (INR)",F679="HDFC Swiggy Credit Card (INR)",F679="Axis Airtel Credit Card (INR)"),"INR","GBP"))</f>
        <v/>
      </c>
      <c r="F679" s="111" t="n"/>
      <c r="G679" s="111" t="n"/>
      <c r="H679" s="119">
        <f>IF(G679="Yes","",D679)</f>
        <v/>
      </c>
      <c r="I679" s="111" t="n"/>
      <c r="J679" s="111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68">
      <c r="A680" s="113" t="n"/>
      <c r="B680" s="111" t="n"/>
      <c r="C680" s="111" t="n"/>
      <c r="D680" s="117" t="n"/>
      <c r="E680" s="118">
        <f>IF(F680="","",IF(OR(F680="HDFC Bank (INR)",F680="HDFC IOCL Credit Card (INR)",F680="HDFC Swiggy Credit Card (INR)",F680="Axis Airtel Credit Card (INR)"),"INR","GBP"))</f>
        <v/>
      </c>
      <c r="F680" s="111" t="n"/>
      <c r="G680" s="111" t="n"/>
      <c r="H680" s="119">
        <f>IF(G680="Yes","",D680)</f>
        <v/>
      </c>
      <c r="I680" s="111" t="n"/>
      <c r="J680" s="111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68">
      <c r="A681" s="113" t="n"/>
      <c r="B681" s="111" t="n"/>
      <c r="C681" s="111" t="n"/>
      <c r="D681" s="117" t="n"/>
      <c r="E681" s="118">
        <f>IF(F681="","",IF(OR(F681="HDFC Bank (INR)",F681="HDFC IOCL Credit Card (INR)",F681="HDFC Swiggy Credit Card (INR)",F681="Axis Airtel Credit Card (INR)"),"INR","GBP"))</f>
        <v/>
      </c>
      <c r="F681" s="111" t="n"/>
      <c r="G681" s="111" t="n"/>
      <c r="H681" s="119">
        <f>IF(G681="Yes","",D681)</f>
        <v/>
      </c>
      <c r="I681" s="111" t="n"/>
      <c r="J681" s="111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68">
      <c r="A682" s="113" t="n"/>
      <c r="B682" s="111" t="n"/>
      <c r="C682" s="111" t="n"/>
      <c r="D682" s="117" t="n"/>
      <c r="E682" s="118">
        <f>IF(F682="","",IF(OR(F682="HDFC Bank (INR)",F682="HDFC IOCL Credit Card (INR)",F682="HDFC Swiggy Credit Card (INR)",F682="Axis Airtel Credit Card (INR)"),"INR","GBP"))</f>
        <v/>
      </c>
      <c r="F682" s="111" t="n"/>
      <c r="G682" s="111" t="n"/>
      <c r="H682" s="119">
        <f>IF(G682="Yes","",D682)</f>
        <v/>
      </c>
      <c r="I682" s="111" t="n"/>
      <c r="J682" s="111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68">
      <c r="A683" s="113" t="n"/>
      <c r="B683" s="111" t="n"/>
      <c r="C683" s="111" t="n"/>
      <c r="D683" s="117" t="n"/>
      <c r="E683" s="118">
        <f>IF(F683="","",IF(OR(F683="HDFC Bank (INR)",F683="HDFC IOCL Credit Card (INR)",F683="HDFC Swiggy Credit Card (INR)",F683="Axis Airtel Credit Card (INR)"),"INR","GBP"))</f>
        <v/>
      </c>
      <c r="F683" s="111" t="n"/>
      <c r="G683" s="111" t="n"/>
      <c r="H683" s="119">
        <f>IF(G683="Yes","",D683)</f>
        <v/>
      </c>
      <c r="I683" s="111" t="n"/>
      <c r="J683" s="111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68">
      <c r="A684" s="113" t="n"/>
      <c r="B684" s="111" t="n"/>
      <c r="C684" s="111" t="n"/>
      <c r="D684" s="117" t="n"/>
      <c r="E684" s="118">
        <f>IF(F684="","",IF(OR(F684="HDFC Bank (INR)",F684="HDFC IOCL Credit Card (INR)",F684="HDFC Swiggy Credit Card (INR)",F684="Axis Airtel Credit Card (INR)"),"INR","GBP"))</f>
        <v/>
      </c>
      <c r="F684" s="111" t="n"/>
      <c r="G684" s="111" t="n"/>
      <c r="H684" s="119">
        <f>IF(G684="Yes","",D684)</f>
        <v/>
      </c>
      <c r="I684" s="111" t="n"/>
      <c r="J684" s="111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68">
      <c r="A685" s="113" t="n"/>
      <c r="B685" s="111" t="n"/>
      <c r="C685" s="111" t="n"/>
      <c r="D685" s="117" t="n"/>
      <c r="E685" s="118">
        <f>IF(F685="","",IF(OR(F685="HDFC Bank (INR)",F685="HDFC IOCL Credit Card (INR)",F685="HDFC Swiggy Credit Card (INR)",F685="Axis Airtel Credit Card (INR)"),"INR","GBP"))</f>
        <v/>
      </c>
      <c r="F685" s="111" t="n"/>
      <c r="G685" s="111" t="n"/>
      <c r="H685" s="119">
        <f>IF(G685="Yes","",D685)</f>
        <v/>
      </c>
      <c r="I685" s="111" t="n"/>
      <c r="J685" s="111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68">
      <c r="A686" s="113" t="n"/>
      <c r="B686" s="111" t="n"/>
      <c r="C686" s="111" t="n"/>
      <c r="D686" s="117" t="n"/>
      <c r="E686" s="118">
        <f>IF(F686="","",IF(OR(F686="HDFC Bank (INR)",F686="HDFC IOCL Credit Card (INR)",F686="HDFC Swiggy Credit Card (INR)",F686="Axis Airtel Credit Card (INR)"),"INR","GBP"))</f>
        <v/>
      </c>
      <c r="F686" s="111" t="n"/>
      <c r="G686" s="111" t="n"/>
      <c r="H686" s="119">
        <f>IF(G686="Yes","",D686)</f>
        <v/>
      </c>
      <c r="I686" s="111" t="n"/>
      <c r="J686" s="111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68">
      <c r="A687" s="113" t="n"/>
      <c r="B687" s="111" t="n"/>
      <c r="C687" s="111" t="n"/>
      <c r="D687" s="117" t="n"/>
      <c r="E687" s="118">
        <f>IF(F687="","",IF(OR(F687="HDFC Bank (INR)",F687="HDFC IOCL Credit Card (INR)",F687="HDFC Swiggy Credit Card (INR)",F687="Axis Airtel Credit Card (INR)"),"INR","GBP"))</f>
        <v/>
      </c>
      <c r="F687" s="111" t="n"/>
      <c r="G687" s="111" t="n"/>
      <c r="H687" s="119">
        <f>IF(G687="Yes","",D687)</f>
        <v/>
      </c>
      <c r="I687" s="111" t="n"/>
      <c r="J687" s="111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68">
      <c r="A688" s="113" t="n"/>
      <c r="B688" s="111" t="n"/>
      <c r="C688" s="111" t="n"/>
      <c r="D688" s="117" t="n"/>
      <c r="E688" s="118">
        <f>IF(F688="","",IF(OR(F688="HDFC Bank (INR)",F688="HDFC IOCL Credit Card (INR)",F688="HDFC Swiggy Credit Card (INR)",F688="Axis Airtel Credit Card (INR)"),"INR","GBP"))</f>
        <v/>
      </c>
      <c r="F688" s="111" t="n"/>
      <c r="G688" s="111" t="n"/>
      <c r="H688" s="119">
        <f>IF(G688="Yes","",D688)</f>
        <v/>
      </c>
      <c r="I688" s="111" t="n"/>
      <c r="J688" s="111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68">
      <c r="A689" s="113" t="n"/>
      <c r="B689" s="111" t="n"/>
      <c r="C689" s="111" t="n"/>
      <c r="D689" s="117" t="n"/>
      <c r="E689" s="118">
        <f>IF(F689="","",IF(OR(F689="HDFC Bank (INR)",F689="HDFC IOCL Credit Card (INR)",F689="HDFC Swiggy Credit Card (INR)",F689="Axis Airtel Credit Card (INR)"),"INR","GBP"))</f>
        <v/>
      </c>
      <c r="F689" s="111" t="n"/>
      <c r="G689" s="111" t="n"/>
      <c r="H689" s="119">
        <f>IF(G689="Yes","",D689)</f>
        <v/>
      </c>
      <c r="I689" s="111" t="n"/>
      <c r="J689" s="111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68">
      <c r="A690" s="113" t="n"/>
      <c r="B690" s="111" t="n"/>
      <c r="C690" s="111" t="n"/>
      <c r="D690" s="117" t="n"/>
      <c r="E690" s="118">
        <f>IF(F690="","",IF(OR(F690="HDFC Bank (INR)",F690="HDFC IOCL Credit Card (INR)",F690="HDFC Swiggy Credit Card (INR)",F690="Axis Airtel Credit Card (INR)"),"INR","GBP"))</f>
        <v/>
      </c>
      <c r="F690" s="111" t="n"/>
      <c r="G690" s="111" t="n"/>
      <c r="H690" s="119">
        <f>IF(G690="Yes","",D690)</f>
        <v/>
      </c>
      <c r="I690" s="111" t="n"/>
      <c r="J690" s="111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68">
      <c r="A691" s="113" t="n"/>
      <c r="B691" s="111" t="n"/>
      <c r="C691" s="111" t="n"/>
      <c r="D691" s="117" t="n"/>
      <c r="E691" s="118">
        <f>IF(F691="","",IF(OR(F691="HDFC Bank (INR)",F691="HDFC IOCL Credit Card (INR)",F691="HDFC Swiggy Credit Card (INR)",F691="Axis Airtel Credit Card (INR)"),"INR","GBP"))</f>
        <v/>
      </c>
      <c r="F691" s="111" t="n"/>
      <c r="G691" s="111" t="n"/>
      <c r="H691" s="119">
        <f>IF(G691="Yes","",D691)</f>
        <v/>
      </c>
      <c r="I691" s="111" t="n"/>
      <c r="J691" s="111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68">
      <c r="A692" s="113" t="n"/>
      <c r="B692" s="111" t="n"/>
      <c r="C692" s="111" t="n"/>
      <c r="D692" s="117" t="n"/>
      <c r="E692" s="118">
        <f>IF(F692="","",IF(OR(F692="HDFC Bank (INR)",F692="HDFC IOCL Credit Card (INR)",F692="HDFC Swiggy Credit Card (INR)",F692="Axis Airtel Credit Card (INR)"),"INR","GBP"))</f>
        <v/>
      </c>
      <c r="F692" s="111" t="n"/>
      <c r="G692" s="111" t="n"/>
      <c r="H692" s="119">
        <f>IF(G692="Yes","",D692)</f>
        <v/>
      </c>
      <c r="I692" s="111" t="n"/>
      <c r="J692" s="111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68">
      <c r="A693" s="113" t="n"/>
      <c r="B693" s="111" t="n"/>
      <c r="C693" s="111" t="n"/>
      <c r="D693" s="117" t="n"/>
      <c r="E693" s="118">
        <f>IF(F693="","",IF(OR(F693="HDFC Bank (INR)",F693="HDFC IOCL Credit Card (INR)",F693="HDFC Swiggy Credit Card (INR)",F693="Axis Airtel Credit Card (INR)"),"INR","GBP"))</f>
        <v/>
      </c>
      <c r="F693" s="111" t="n"/>
      <c r="G693" s="111" t="n"/>
      <c r="H693" s="119">
        <f>IF(G693="Yes","",D693)</f>
        <v/>
      </c>
      <c r="I693" s="111" t="n"/>
      <c r="J693" s="111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68">
      <c r="A694" s="113" t="n"/>
      <c r="B694" s="111" t="n"/>
      <c r="C694" s="111" t="n"/>
      <c r="D694" s="117" t="n"/>
      <c r="E694" s="118">
        <f>IF(F694="","",IF(OR(F694="HDFC Bank (INR)",F694="HDFC IOCL Credit Card (INR)",F694="HDFC Swiggy Credit Card (INR)",F694="Axis Airtel Credit Card (INR)"),"INR","GBP"))</f>
        <v/>
      </c>
      <c r="F694" s="111" t="n"/>
      <c r="G694" s="111" t="n"/>
      <c r="H694" s="119">
        <f>IF(G694="Yes","",D694)</f>
        <v/>
      </c>
      <c r="I694" s="111" t="n"/>
      <c r="J694" s="111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68">
      <c r="A695" s="113" t="n"/>
      <c r="B695" s="111" t="n"/>
      <c r="C695" s="111" t="n"/>
      <c r="D695" s="117" t="n"/>
      <c r="E695" s="118">
        <f>IF(F695="","",IF(OR(F695="HDFC Bank (INR)",F695="HDFC IOCL Credit Card (INR)",F695="HDFC Swiggy Credit Card (INR)",F695="Axis Airtel Credit Card (INR)"),"INR","GBP"))</f>
        <v/>
      </c>
      <c r="F695" s="111" t="n"/>
      <c r="G695" s="111" t="n"/>
      <c r="H695" s="119">
        <f>IF(G695="Yes","",D695)</f>
        <v/>
      </c>
      <c r="I695" s="111" t="n"/>
      <c r="J695" s="111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68">
      <c r="A696" s="113" t="n"/>
      <c r="B696" s="111" t="n"/>
      <c r="C696" s="111" t="n"/>
      <c r="D696" s="117" t="n"/>
      <c r="E696" s="118">
        <f>IF(F696="","",IF(OR(F696="HDFC Bank (INR)",F696="HDFC IOCL Credit Card (INR)",F696="HDFC Swiggy Credit Card (INR)",F696="Axis Airtel Credit Card (INR)"),"INR","GBP"))</f>
        <v/>
      </c>
      <c r="F696" s="111" t="n"/>
      <c r="G696" s="111" t="n"/>
      <c r="H696" s="119">
        <f>IF(G696="Yes","",D696)</f>
        <v/>
      </c>
      <c r="I696" s="111" t="n"/>
      <c r="J696" s="111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68">
      <c r="A697" s="113" t="n"/>
      <c r="B697" s="111" t="n"/>
      <c r="C697" s="111" t="n"/>
      <c r="D697" s="117" t="n"/>
      <c r="E697" s="118">
        <f>IF(F697="","",IF(OR(F697="HDFC Bank (INR)",F697="HDFC IOCL Credit Card (INR)",F697="HDFC Swiggy Credit Card (INR)",F697="Axis Airtel Credit Card (INR)"),"INR","GBP"))</f>
        <v/>
      </c>
      <c r="F697" s="111" t="n"/>
      <c r="G697" s="111" t="n"/>
      <c r="H697" s="119">
        <f>IF(G697="Yes","",D697)</f>
        <v/>
      </c>
      <c r="I697" s="111" t="n"/>
      <c r="J697" s="111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68">
      <c r="A698" s="113" t="n"/>
      <c r="B698" s="111" t="n"/>
      <c r="C698" s="111" t="n"/>
      <c r="D698" s="117" t="n"/>
      <c r="E698" s="118">
        <f>IF(F698="","",IF(OR(F698="HDFC Bank (INR)",F698="HDFC IOCL Credit Card (INR)",F698="HDFC Swiggy Credit Card (INR)",F698="Axis Airtel Credit Card (INR)"),"INR","GBP"))</f>
        <v/>
      </c>
      <c r="F698" s="111" t="n"/>
      <c r="G698" s="111" t="n"/>
      <c r="H698" s="119">
        <f>IF(G698="Yes","",D698)</f>
        <v/>
      </c>
      <c r="I698" s="111" t="n"/>
      <c r="J698" s="111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68">
      <c r="A699" s="113" t="n"/>
      <c r="B699" s="111" t="n"/>
      <c r="C699" s="111" t="n"/>
      <c r="D699" s="117" t="n"/>
      <c r="E699" s="118">
        <f>IF(F699="","",IF(OR(F699="HDFC Bank (INR)",F699="HDFC IOCL Credit Card (INR)",F699="HDFC Swiggy Credit Card (INR)",F699="Axis Airtel Credit Card (INR)"),"INR","GBP"))</f>
        <v/>
      </c>
      <c r="F699" s="111" t="n"/>
      <c r="G699" s="111" t="n"/>
      <c r="H699" s="119">
        <f>IF(G699="Yes","",D699)</f>
        <v/>
      </c>
      <c r="I699" s="111" t="n"/>
      <c r="J699" s="111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68">
      <c r="A700" s="113" t="n"/>
      <c r="B700" s="111" t="n"/>
      <c r="C700" s="111" t="n"/>
      <c r="D700" s="117" t="n"/>
      <c r="E700" s="118">
        <f>IF(F700="","",IF(OR(F700="HDFC Bank (INR)",F700="HDFC IOCL Credit Card (INR)",F700="HDFC Swiggy Credit Card (INR)",F700="Axis Airtel Credit Card (INR)"),"INR","GBP"))</f>
        <v/>
      </c>
      <c r="F700" s="111" t="n"/>
      <c r="G700" s="111" t="n"/>
      <c r="H700" s="119">
        <f>IF(G700="Yes","",D700)</f>
        <v/>
      </c>
      <c r="I700" s="111" t="n"/>
      <c r="J700" s="111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68">
      <c r="A701" s="113" t="n"/>
      <c r="B701" s="111" t="n"/>
      <c r="C701" s="111" t="n"/>
      <c r="D701" s="117" t="n"/>
      <c r="E701" s="118">
        <f>IF(F701="","",IF(OR(F701="HDFC Bank (INR)",F701="HDFC IOCL Credit Card (INR)",F701="HDFC Swiggy Credit Card (INR)",F701="Axis Airtel Credit Card (INR)"),"INR","GBP"))</f>
        <v/>
      </c>
      <c r="F701" s="111" t="n"/>
      <c r="G701" s="111" t="n"/>
      <c r="H701" s="119">
        <f>IF(G701="Yes","",D701)</f>
        <v/>
      </c>
      <c r="I701" s="111" t="n"/>
      <c r="J701" s="111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68">
      <c r="A702" s="113" t="n"/>
      <c r="B702" s="111" t="n"/>
      <c r="C702" s="111" t="n"/>
      <c r="D702" s="117" t="n"/>
      <c r="E702" s="118">
        <f>IF(F702="","",IF(OR(F702="HDFC Bank (INR)",F702="HDFC IOCL Credit Card (INR)",F702="HDFC Swiggy Credit Card (INR)",F702="Axis Airtel Credit Card (INR)"),"INR","GBP"))</f>
        <v/>
      </c>
      <c r="F702" s="111" t="n"/>
      <c r="G702" s="111" t="n"/>
      <c r="H702" s="119">
        <f>IF(G702="Yes","",D702)</f>
        <v/>
      </c>
      <c r="I702" s="111" t="n"/>
      <c r="J702" s="111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68">
      <c r="A703" s="113" t="n"/>
      <c r="B703" s="111" t="n"/>
      <c r="C703" s="111" t="n"/>
      <c r="D703" s="117" t="n"/>
      <c r="E703" s="118">
        <f>IF(F703="","",IF(OR(F703="HDFC Bank (INR)",F703="HDFC IOCL Credit Card (INR)",F703="HDFC Swiggy Credit Card (INR)",F703="Axis Airtel Credit Card (INR)"),"INR","GBP"))</f>
        <v/>
      </c>
      <c r="F703" s="111" t="n"/>
      <c r="G703" s="111" t="n"/>
      <c r="H703" s="119">
        <f>IF(G703="Yes","",D703)</f>
        <v/>
      </c>
      <c r="I703" s="111" t="n"/>
      <c r="J703" s="111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68">
      <c r="A704" s="113" t="n"/>
      <c r="B704" s="111" t="n"/>
      <c r="C704" s="111" t="n"/>
      <c r="D704" s="117" t="n"/>
      <c r="E704" s="118">
        <f>IF(F704="","",IF(OR(F704="HDFC Bank (INR)",F704="HDFC IOCL Credit Card (INR)",F704="HDFC Swiggy Credit Card (INR)",F704="Axis Airtel Credit Card (INR)"),"INR","GBP"))</f>
        <v/>
      </c>
      <c r="F704" s="111" t="n"/>
      <c r="G704" s="111" t="n"/>
      <c r="H704" s="119">
        <f>IF(G704="Yes","",D704)</f>
        <v/>
      </c>
      <c r="I704" s="111" t="n"/>
      <c r="J704" s="111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68">
      <c r="A705" s="113" t="n"/>
      <c r="B705" s="111" t="n"/>
      <c r="C705" s="111" t="n"/>
      <c r="D705" s="117" t="n"/>
      <c r="E705" s="118">
        <f>IF(F705="","",IF(OR(F705="HDFC Bank (INR)",F705="HDFC IOCL Credit Card (INR)",F705="HDFC Swiggy Credit Card (INR)",F705="Axis Airtel Credit Card (INR)"),"INR","GBP"))</f>
        <v/>
      </c>
      <c r="F705" s="111" t="n"/>
      <c r="G705" s="111" t="n"/>
      <c r="H705" s="119">
        <f>IF(G705="Yes","",D705)</f>
        <v/>
      </c>
      <c r="I705" s="111" t="n"/>
      <c r="J705" s="111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68">
      <c r="A706" s="113" t="n"/>
      <c r="B706" s="111" t="n"/>
      <c r="C706" s="111" t="n"/>
      <c r="D706" s="117" t="n"/>
      <c r="E706" s="118">
        <f>IF(F706="","",IF(OR(F706="HDFC Bank (INR)",F706="HDFC IOCL Credit Card (INR)",F706="HDFC Swiggy Credit Card (INR)",F706="Axis Airtel Credit Card (INR)"),"INR","GBP"))</f>
        <v/>
      </c>
      <c r="F706" s="111" t="n"/>
      <c r="G706" s="111" t="n"/>
      <c r="H706" s="119">
        <f>IF(G706="Yes","",D706)</f>
        <v/>
      </c>
      <c r="I706" s="111" t="n"/>
      <c r="J706" s="111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68">
      <c r="A707" s="113" t="n"/>
      <c r="B707" s="111" t="n"/>
      <c r="C707" s="111" t="n"/>
      <c r="D707" s="117" t="n"/>
      <c r="E707" s="118">
        <f>IF(F707="","",IF(OR(F707="HDFC Bank (INR)",F707="HDFC IOCL Credit Card (INR)",F707="HDFC Swiggy Credit Card (INR)",F707="Axis Airtel Credit Card (INR)"),"INR","GBP"))</f>
        <v/>
      </c>
      <c r="F707" s="111" t="n"/>
      <c r="G707" s="111" t="n"/>
      <c r="H707" s="119">
        <f>IF(G707="Yes","",D707)</f>
        <v/>
      </c>
      <c r="I707" s="111" t="n"/>
      <c r="J707" s="111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68">
      <c r="A708" s="113" t="n"/>
      <c r="B708" s="111" t="n"/>
      <c r="C708" s="111" t="n"/>
      <c r="D708" s="117" t="n"/>
      <c r="E708" s="118">
        <f>IF(F708="","",IF(OR(F708="HDFC Bank (INR)",F708="HDFC IOCL Credit Card (INR)",F708="HDFC Swiggy Credit Card (INR)",F708="Axis Airtel Credit Card (INR)"),"INR","GBP"))</f>
        <v/>
      </c>
      <c r="F708" s="111" t="n"/>
      <c r="G708" s="111" t="n"/>
      <c r="H708" s="119">
        <f>IF(G708="Yes","",D708)</f>
        <v/>
      </c>
      <c r="I708" s="111" t="n"/>
      <c r="J708" s="111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68">
      <c r="A709" s="113" t="n"/>
      <c r="B709" s="111" t="n"/>
      <c r="C709" s="111" t="n"/>
      <c r="D709" s="117" t="n"/>
      <c r="E709" s="118">
        <f>IF(F709="","",IF(OR(F709="HDFC Bank (INR)",F709="HDFC IOCL Credit Card (INR)",F709="HDFC Swiggy Credit Card (INR)",F709="Axis Airtel Credit Card (INR)"),"INR","GBP"))</f>
        <v/>
      </c>
      <c r="F709" s="111" t="n"/>
      <c r="G709" s="111" t="n"/>
      <c r="H709" s="119">
        <f>IF(G709="Yes","",D709)</f>
        <v/>
      </c>
      <c r="I709" s="111" t="n"/>
      <c r="J709" s="111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68">
      <c r="A710" s="113" t="n"/>
      <c r="B710" s="111" t="n"/>
      <c r="C710" s="111" t="n"/>
      <c r="D710" s="117" t="n"/>
      <c r="E710" s="118">
        <f>IF(F710="","",IF(OR(F710="HDFC Bank (INR)",F710="HDFC IOCL Credit Card (INR)",F710="HDFC Swiggy Credit Card (INR)",F710="Axis Airtel Credit Card (INR)"),"INR","GBP"))</f>
        <v/>
      </c>
      <c r="F710" s="111" t="n"/>
      <c r="G710" s="111" t="n"/>
      <c r="H710" s="119">
        <f>IF(G710="Yes","",D710)</f>
        <v/>
      </c>
      <c r="I710" s="111" t="n"/>
      <c r="J710" s="111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68">
      <c r="A711" s="113" t="n"/>
      <c r="B711" s="111" t="n"/>
      <c r="C711" s="111" t="n"/>
      <c r="D711" s="117" t="n"/>
      <c r="E711" s="118">
        <f>IF(F711="","",IF(OR(F711="HDFC Bank (INR)",F711="HDFC IOCL Credit Card (INR)",F711="HDFC Swiggy Credit Card (INR)",F711="Axis Airtel Credit Card (INR)"),"INR","GBP"))</f>
        <v/>
      </c>
      <c r="F711" s="111" t="n"/>
      <c r="G711" s="111" t="n"/>
      <c r="H711" s="119">
        <f>IF(G711="Yes","",D711)</f>
        <v/>
      </c>
      <c r="I711" s="111" t="n"/>
      <c r="J711" s="111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68">
      <c r="A712" s="113" t="n"/>
      <c r="B712" s="111" t="n"/>
      <c r="C712" s="111" t="n"/>
      <c r="D712" s="117" t="n"/>
      <c r="E712" s="118">
        <f>IF(F712="","",IF(OR(F712="HDFC Bank (INR)",F712="HDFC IOCL Credit Card (INR)",F712="HDFC Swiggy Credit Card (INR)",F712="Axis Airtel Credit Card (INR)"),"INR","GBP"))</f>
        <v/>
      </c>
      <c r="F712" s="111" t="n"/>
      <c r="G712" s="111" t="n"/>
      <c r="H712" s="119">
        <f>IF(G712="Yes","",D712)</f>
        <v/>
      </c>
      <c r="I712" s="111" t="n"/>
      <c r="J712" s="111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68">
      <c r="A713" s="113" t="n"/>
      <c r="B713" s="111" t="n"/>
      <c r="C713" s="111" t="n"/>
      <c r="D713" s="117" t="n"/>
      <c r="E713" s="118">
        <f>IF(F713="","",IF(OR(F713="HDFC Bank (INR)",F713="HDFC IOCL Credit Card (INR)",F713="HDFC Swiggy Credit Card (INR)",F713="Axis Airtel Credit Card (INR)"),"INR","GBP"))</f>
        <v/>
      </c>
      <c r="F713" s="111" t="n"/>
      <c r="G713" s="111" t="n"/>
      <c r="H713" s="119">
        <f>IF(G713="Yes","",D713)</f>
        <v/>
      </c>
      <c r="I713" s="111" t="n"/>
      <c r="J713" s="111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68">
      <c r="A714" s="113" t="n"/>
      <c r="B714" s="111" t="n"/>
      <c r="C714" s="111" t="n"/>
      <c r="D714" s="117" t="n"/>
      <c r="E714" s="118">
        <f>IF(F714="","",IF(OR(F714="HDFC Bank (INR)",F714="HDFC IOCL Credit Card (INR)",F714="HDFC Swiggy Credit Card (INR)",F714="Axis Airtel Credit Card (INR)"),"INR","GBP"))</f>
        <v/>
      </c>
      <c r="F714" s="111" t="n"/>
      <c r="G714" s="111" t="n"/>
      <c r="H714" s="119">
        <f>IF(G714="Yes","",D714)</f>
        <v/>
      </c>
      <c r="I714" s="111" t="n"/>
      <c r="J714" s="111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68">
      <c r="A715" s="113" t="n"/>
      <c r="B715" s="111" t="n"/>
      <c r="C715" s="111" t="n"/>
      <c r="D715" s="117" t="n"/>
      <c r="E715" s="118">
        <f>IF(F715="","",IF(OR(F715="HDFC Bank (INR)",F715="HDFC IOCL Credit Card (INR)",F715="HDFC Swiggy Credit Card (INR)",F715="Axis Airtel Credit Card (INR)"),"INR","GBP"))</f>
        <v/>
      </c>
      <c r="F715" s="111" t="n"/>
      <c r="G715" s="111" t="n"/>
      <c r="H715" s="119">
        <f>IF(G715="Yes","",D715)</f>
        <v/>
      </c>
      <c r="I715" s="111" t="n"/>
      <c r="J715" s="111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68">
      <c r="A716" s="113" t="n"/>
      <c r="B716" s="111" t="n"/>
      <c r="C716" s="111" t="n"/>
      <c r="D716" s="117" t="n"/>
      <c r="E716" s="118">
        <f>IF(F716="","",IF(OR(F716="HDFC Bank (INR)",F716="HDFC IOCL Credit Card (INR)",F716="HDFC Swiggy Credit Card (INR)",F716="Axis Airtel Credit Card (INR)"),"INR","GBP"))</f>
        <v/>
      </c>
      <c r="F716" s="111" t="n"/>
      <c r="G716" s="111" t="n"/>
      <c r="H716" s="119">
        <f>IF(G716="Yes","",D716)</f>
        <v/>
      </c>
      <c r="I716" s="111" t="n"/>
      <c r="J716" s="111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68">
      <c r="A717" s="113" t="n"/>
      <c r="B717" s="111" t="n"/>
      <c r="C717" s="111" t="n"/>
      <c r="D717" s="117" t="n"/>
      <c r="E717" s="118">
        <f>IF(F717="","",IF(OR(F717="HDFC Bank (INR)",F717="HDFC IOCL Credit Card (INR)",F717="HDFC Swiggy Credit Card (INR)",F717="Axis Airtel Credit Card (INR)"),"INR","GBP"))</f>
        <v/>
      </c>
      <c r="F717" s="111" t="n"/>
      <c r="G717" s="111" t="n"/>
      <c r="H717" s="119">
        <f>IF(G717="Yes","",D717)</f>
        <v/>
      </c>
      <c r="I717" s="111" t="n"/>
      <c r="J717" s="111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68">
      <c r="A718" s="113" t="n"/>
      <c r="B718" s="111" t="n"/>
      <c r="C718" s="111" t="n"/>
      <c r="D718" s="117" t="n"/>
      <c r="E718" s="118">
        <f>IF(F718="","",IF(OR(F718="HDFC Bank (INR)",F718="HDFC IOCL Credit Card (INR)",F718="HDFC Swiggy Credit Card (INR)",F718="Axis Airtel Credit Card (INR)"),"INR","GBP"))</f>
        <v/>
      </c>
      <c r="F718" s="111" t="n"/>
      <c r="G718" s="111" t="n"/>
      <c r="H718" s="119">
        <f>IF(G718="Yes","",D718)</f>
        <v/>
      </c>
      <c r="I718" s="111" t="n"/>
      <c r="J718" s="111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68">
      <c r="A719" s="113" t="n"/>
      <c r="B719" s="111" t="n"/>
      <c r="C719" s="111" t="n"/>
      <c r="D719" s="117" t="n"/>
      <c r="E719" s="118">
        <f>IF(F719="","",IF(OR(F719="HDFC Bank (INR)",F719="HDFC IOCL Credit Card (INR)",F719="HDFC Swiggy Credit Card (INR)",F719="Axis Airtel Credit Card (INR)"),"INR","GBP"))</f>
        <v/>
      </c>
      <c r="F719" s="111" t="n"/>
      <c r="G719" s="111" t="n"/>
      <c r="H719" s="119">
        <f>IF(G719="Yes","",D719)</f>
        <v/>
      </c>
      <c r="I719" s="111" t="n"/>
      <c r="J719" s="111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68">
      <c r="A720" s="113" t="n"/>
      <c r="B720" s="111" t="n"/>
      <c r="C720" s="111" t="n"/>
      <c r="D720" s="117" t="n"/>
      <c r="E720" s="118">
        <f>IF(F720="","",IF(OR(F720="HDFC Bank (INR)",F720="HDFC IOCL Credit Card (INR)",F720="HDFC Swiggy Credit Card (INR)",F720="Axis Airtel Credit Card (INR)"),"INR","GBP"))</f>
        <v/>
      </c>
      <c r="F720" s="111" t="n"/>
      <c r="G720" s="111" t="n"/>
      <c r="H720" s="119">
        <f>IF(G720="Yes","",D720)</f>
        <v/>
      </c>
      <c r="I720" s="111" t="n"/>
      <c r="J720" s="111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68">
      <c r="A721" s="113" t="n"/>
      <c r="B721" s="111" t="n"/>
      <c r="C721" s="111" t="n"/>
      <c r="D721" s="117" t="n"/>
      <c r="E721" s="118">
        <f>IF(F721="","",IF(OR(F721="HDFC Bank (INR)",F721="HDFC IOCL Credit Card (INR)",F721="HDFC Swiggy Credit Card (INR)",F721="Axis Airtel Credit Card (INR)"),"INR","GBP"))</f>
        <v/>
      </c>
      <c r="F721" s="111" t="n"/>
      <c r="G721" s="111" t="n"/>
      <c r="H721" s="119">
        <f>IF(G721="Yes","",D721)</f>
        <v/>
      </c>
      <c r="I721" s="111" t="n"/>
      <c r="J721" s="111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68">
      <c r="A722" s="113" t="n"/>
      <c r="B722" s="111" t="n"/>
      <c r="C722" s="111" t="n"/>
      <c r="D722" s="117" t="n"/>
      <c r="E722" s="118">
        <f>IF(F722="","",IF(OR(F722="HDFC Bank (INR)",F722="HDFC IOCL Credit Card (INR)",F722="HDFC Swiggy Credit Card (INR)",F722="Axis Airtel Credit Card (INR)"),"INR","GBP"))</f>
        <v/>
      </c>
      <c r="F722" s="111" t="n"/>
      <c r="G722" s="111" t="n"/>
      <c r="H722" s="119">
        <f>IF(G722="Yes","",D722)</f>
        <v/>
      </c>
      <c r="I722" s="111" t="n"/>
      <c r="J722" s="111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68">
      <c r="A723" s="113" t="n"/>
      <c r="B723" s="111" t="n"/>
      <c r="C723" s="111" t="n"/>
      <c r="D723" s="117" t="n"/>
      <c r="E723" s="118">
        <f>IF(F723="","",IF(OR(F723="HDFC Bank (INR)",F723="HDFC IOCL Credit Card (INR)",F723="HDFC Swiggy Credit Card (INR)",F723="Axis Airtel Credit Card (INR)"),"INR","GBP"))</f>
        <v/>
      </c>
      <c r="F723" s="111" t="n"/>
      <c r="G723" s="111" t="n"/>
      <c r="H723" s="119">
        <f>IF(G723="Yes","",D723)</f>
        <v/>
      </c>
      <c r="I723" s="111" t="n"/>
      <c r="J723" s="111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68">
      <c r="A724" s="113" t="n"/>
      <c r="B724" s="111" t="n"/>
      <c r="C724" s="111" t="n"/>
      <c r="D724" s="117" t="n"/>
      <c r="E724" s="118">
        <f>IF(F724="","",IF(OR(F724="HDFC Bank (INR)",F724="HDFC IOCL Credit Card (INR)",F724="HDFC Swiggy Credit Card (INR)",F724="Axis Airtel Credit Card (INR)"),"INR","GBP"))</f>
        <v/>
      </c>
      <c r="F724" s="111" t="n"/>
      <c r="G724" s="111" t="n"/>
      <c r="H724" s="119">
        <f>IF(G724="Yes","",D724)</f>
        <v/>
      </c>
      <c r="I724" s="111" t="n"/>
      <c r="J724" s="111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68">
      <c r="A725" s="113" t="n"/>
      <c r="B725" s="111" t="n"/>
      <c r="C725" s="111" t="n"/>
      <c r="D725" s="117" t="n"/>
      <c r="E725" s="118">
        <f>IF(F725="","",IF(OR(F725="HDFC Bank (INR)",F725="HDFC IOCL Credit Card (INR)",F725="HDFC Swiggy Credit Card (INR)",F725="Axis Airtel Credit Card (INR)"),"INR","GBP"))</f>
        <v/>
      </c>
      <c r="F725" s="111" t="n"/>
      <c r="G725" s="111" t="n"/>
      <c r="H725" s="119">
        <f>IF(G725="Yes","",D725)</f>
        <v/>
      </c>
      <c r="I725" s="111" t="n"/>
      <c r="J725" s="111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68">
      <c r="A726" s="113" t="n"/>
      <c r="B726" s="111" t="n"/>
      <c r="C726" s="111" t="n"/>
      <c r="D726" s="117" t="n"/>
      <c r="E726" s="118">
        <f>IF(F726="","",IF(OR(F726="HDFC Bank (INR)",F726="HDFC IOCL Credit Card (INR)",F726="HDFC Swiggy Credit Card (INR)",F726="Axis Airtel Credit Card (INR)"),"INR","GBP"))</f>
        <v/>
      </c>
      <c r="F726" s="111" t="n"/>
      <c r="G726" s="111" t="n"/>
      <c r="H726" s="119">
        <f>IF(G726="Yes","",D726)</f>
        <v/>
      </c>
      <c r="I726" s="111" t="n"/>
      <c r="J726" s="111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68">
      <c r="A727" s="113" t="n"/>
      <c r="B727" s="111" t="n"/>
      <c r="C727" s="111" t="n"/>
      <c r="D727" s="117" t="n"/>
      <c r="E727" s="118">
        <f>IF(F727="","",IF(OR(F727="HDFC Bank (INR)",F727="HDFC IOCL Credit Card (INR)",F727="HDFC Swiggy Credit Card (INR)",F727="Axis Airtel Credit Card (INR)"),"INR","GBP"))</f>
        <v/>
      </c>
      <c r="F727" s="111" t="n"/>
      <c r="G727" s="111" t="n"/>
      <c r="H727" s="119">
        <f>IF(G727="Yes","",D727)</f>
        <v/>
      </c>
      <c r="I727" s="111" t="n"/>
      <c r="J727" s="111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68">
      <c r="A728" s="113" t="n"/>
      <c r="B728" s="111" t="n"/>
      <c r="C728" s="111" t="n"/>
      <c r="D728" s="117" t="n"/>
      <c r="E728" s="118">
        <f>IF(F728="","",IF(OR(F728="HDFC Bank (INR)",F728="HDFC IOCL Credit Card (INR)",F728="HDFC Swiggy Credit Card (INR)",F728="Axis Airtel Credit Card (INR)"),"INR","GBP"))</f>
        <v/>
      </c>
      <c r="F728" s="111" t="n"/>
      <c r="G728" s="111" t="n"/>
      <c r="H728" s="119">
        <f>IF(G728="Yes","",D728)</f>
        <v/>
      </c>
      <c r="I728" s="111" t="n"/>
      <c r="J728" s="111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68">
      <c r="A729" s="113" t="n"/>
      <c r="B729" s="111" t="n"/>
      <c r="C729" s="111" t="n"/>
      <c r="D729" s="117" t="n"/>
      <c r="E729" s="118">
        <f>IF(F729="","",IF(OR(F729="HDFC Bank (INR)",F729="HDFC IOCL Credit Card (INR)",F729="HDFC Swiggy Credit Card (INR)",F729="Axis Airtel Credit Card (INR)"),"INR","GBP"))</f>
        <v/>
      </c>
      <c r="F729" s="111" t="n"/>
      <c r="G729" s="111" t="n"/>
      <c r="H729" s="119">
        <f>IF(G729="Yes","",D729)</f>
        <v/>
      </c>
      <c r="I729" s="111" t="n"/>
      <c r="J729" s="111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68">
      <c r="A730" s="113" t="n"/>
      <c r="B730" s="111" t="n"/>
      <c r="C730" s="111" t="n"/>
      <c r="D730" s="117" t="n"/>
      <c r="E730" s="118">
        <f>IF(F730="","",IF(OR(F730="HDFC Bank (INR)",F730="HDFC IOCL Credit Card (INR)",F730="HDFC Swiggy Credit Card (INR)",F730="Axis Airtel Credit Card (INR)"),"INR","GBP"))</f>
        <v/>
      </c>
      <c r="F730" s="111" t="n"/>
      <c r="G730" s="111" t="n"/>
      <c r="H730" s="119">
        <f>IF(G730="Yes","",D730)</f>
        <v/>
      </c>
      <c r="I730" s="111" t="n"/>
      <c r="J730" s="111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68">
      <c r="A731" s="113" t="n"/>
      <c r="B731" s="111" t="n"/>
      <c r="C731" s="111" t="n"/>
      <c r="D731" s="117" t="n"/>
      <c r="E731" s="118">
        <f>IF(F731="","",IF(OR(F731="HDFC Bank (INR)",F731="HDFC IOCL Credit Card (INR)",F731="HDFC Swiggy Credit Card (INR)",F731="Axis Airtel Credit Card (INR)"),"INR","GBP"))</f>
        <v/>
      </c>
      <c r="F731" s="111" t="n"/>
      <c r="G731" s="111" t="n"/>
      <c r="H731" s="119">
        <f>IF(G731="Yes","",D731)</f>
        <v/>
      </c>
      <c r="I731" s="111" t="n"/>
      <c r="J731" s="111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68">
      <c r="A732" s="113" t="n"/>
      <c r="B732" s="111" t="n"/>
      <c r="C732" s="111" t="n"/>
      <c r="D732" s="117" t="n"/>
      <c r="E732" s="118">
        <f>IF(F732="","",IF(OR(F732="HDFC Bank (INR)",F732="HDFC IOCL Credit Card (INR)",F732="HDFC Swiggy Credit Card (INR)",F732="Axis Airtel Credit Card (INR)"),"INR","GBP"))</f>
        <v/>
      </c>
      <c r="F732" s="111" t="n"/>
      <c r="G732" s="111" t="n"/>
      <c r="H732" s="119">
        <f>IF(G732="Yes","",D732)</f>
        <v/>
      </c>
      <c r="I732" s="111" t="n"/>
      <c r="J732" s="111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68">
      <c r="A733" s="113" t="n"/>
      <c r="B733" s="111" t="n"/>
      <c r="C733" s="111" t="n"/>
      <c r="D733" s="117" t="n"/>
      <c r="E733" s="118">
        <f>IF(F733="","",IF(OR(F733="HDFC Bank (INR)",F733="HDFC IOCL Credit Card (INR)",F733="HDFC Swiggy Credit Card (INR)",F733="Axis Airtel Credit Card (INR)"),"INR","GBP"))</f>
        <v/>
      </c>
      <c r="F733" s="111" t="n"/>
      <c r="G733" s="111" t="n"/>
      <c r="H733" s="119">
        <f>IF(G733="Yes","",D733)</f>
        <v/>
      </c>
      <c r="I733" s="111" t="n"/>
      <c r="J733" s="111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68">
      <c r="A734" s="113" t="n"/>
      <c r="B734" s="111" t="n"/>
      <c r="C734" s="111" t="n"/>
      <c r="D734" s="117" t="n"/>
      <c r="E734" s="118">
        <f>IF(F734="","",IF(OR(F734="HDFC Bank (INR)",F734="HDFC IOCL Credit Card (INR)",F734="HDFC Swiggy Credit Card (INR)",F734="Axis Airtel Credit Card (INR)"),"INR","GBP"))</f>
        <v/>
      </c>
      <c r="F734" s="111" t="n"/>
      <c r="G734" s="111" t="n"/>
      <c r="H734" s="119">
        <f>IF(G734="Yes","",D734)</f>
        <v/>
      </c>
      <c r="I734" s="111" t="n"/>
      <c r="J734" s="111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68">
      <c r="A735" s="113" t="n"/>
      <c r="B735" s="111" t="n"/>
      <c r="C735" s="111" t="n"/>
      <c r="D735" s="117" t="n"/>
      <c r="E735" s="118">
        <f>IF(F735="","",IF(OR(F735="HDFC Bank (INR)",F735="HDFC IOCL Credit Card (INR)",F735="HDFC Swiggy Credit Card (INR)",F735="Axis Airtel Credit Card (INR)"),"INR","GBP"))</f>
        <v/>
      </c>
      <c r="F735" s="111" t="n"/>
      <c r="G735" s="111" t="n"/>
      <c r="H735" s="119">
        <f>IF(G735="Yes","",D735)</f>
        <v/>
      </c>
      <c r="I735" s="111" t="n"/>
      <c r="J735" s="111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68">
      <c r="A736" s="113" t="n"/>
      <c r="B736" s="111" t="n"/>
      <c r="C736" s="111" t="n"/>
      <c r="D736" s="117" t="n"/>
      <c r="E736" s="118">
        <f>IF(F736="","",IF(OR(F736="HDFC Bank (INR)",F736="HDFC IOCL Credit Card (INR)",F736="HDFC Swiggy Credit Card (INR)",F736="Axis Airtel Credit Card (INR)"),"INR","GBP"))</f>
        <v/>
      </c>
      <c r="F736" s="111" t="n"/>
      <c r="G736" s="111" t="n"/>
      <c r="H736" s="119">
        <f>IF(G736="Yes","",D736)</f>
        <v/>
      </c>
      <c r="I736" s="111" t="n"/>
      <c r="J736" s="111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68">
      <c r="A737" s="113" t="n"/>
      <c r="B737" s="111" t="n"/>
      <c r="C737" s="111" t="n"/>
      <c r="D737" s="117" t="n"/>
      <c r="E737" s="118">
        <f>IF(F737="","",IF(OR(F737="HDFC Bank (INR)",F737="HDFC IOCL Credit Card (INR)",F737="HDFC Swiggy Credit Card (INR)",F737="Axis Airtel Credit Card (INR)"),"INR","GBP"))</f>
        <v/>
      </c>
      <c r="F737" s="111" t="n"/>
      <c r="G737" s="111" t="n"/>
      <c r="H737" s="119">
        <f>IF(G737="Yes","",D737)</f>
        <v/>
      </c>
      <c r="I737" s="111" t="n"/>
      <c r="J737" s="111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68">
      <c r="A738" s="113" t="n"/>
      <c r="B738" s="111" t="n"/>
      <c r="C738" s="111" t="n"/>
      <c r="D738" s="117" t="n"/>
      <c r="E738" s="118">
        <f>IF(F738="","",IF(OR(F738="HDFC Bank (INR)",F738="HDFC IOCL Credit Card (INR)",F738="HDFC Swiggy Credit Card (INR)",F738="Axis Airtel Credit Card (INR)"),"INR","GBP"))</f>
        <v/>
      </c>
      <c r="F738" s="111" t="n"/>
      <c r="G738" s="111" t="n"/>
      <c r="H738" s="119">
        <f>IF(G738="Yes","",D738)</f>
        <v/>
      </c>
      <c r="I738" s="111" t="n"/>
      <c r="J738" s="111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68">
      <c r="A739" s="113" t="n"/>
      <c r="B739" s="111" t="n"/>
      <c r="C739" s="111" t="n"/>
      <c r="D739" s="117" t="n"/>
      <c r="E739" s="118">
        <f>IF(F739="","",IF(OR(F739="HDFC Bank (INR)",F739="HDFC IOCL Credit Card (INR)",F739="HDFC Swiggy Credit Card (INR)",F739="Axis Airtel Credit Card (INR)"),"INR","GBP"))</f>
        <v/>
      </c>
      <c r="F739" s="111" t="n"/>
      <c r="G739" s="111" t="n"/>
      <c r="H739" s="119">
        <f>IF(G739="Yes","",D739)</f>
        <v/>
      </c>
      <c r="I739" s="111" t="n"/>
      <c r="J739" s="111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68">
      <c r="A740" s="113" t="n"/>
      <c r="B740" s="111" t="n"/>
      <c r="C740" s="111" t="n"/>
      <c r="D740" s="117" t="n"/>
      <c r="E740" s="118">
        <f>IF(F740="","",IF(OR(F740="HDFC Bank (INR)",F740="HDFC IOCL Credit Card (INR)",F740="HDFC Swiggy Credit Card (INR)",F740="Axis Airtel Credit Card (INR)"),"INR","GBP"))</f>
        <v/>
      </c>
      <c r="F740" s="111" t="n"/>
      <c r="G740" s="111" t="n"/>
      <c r="H740" s="119">
        <f>IF(G740="Yes","",D740)</f>
        <v/>
      </c>
      <c r="I740" s="111" t="n"/>
      <c r="J740" s="111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68">
      <c r="A741" s="113" t="n"/>
      <c r="B741" s="111" t="n"/>
      <c r="C741" s="111" t="n"/>
      <c r="D741" s="117" t="n"/>
      <c r="E741" s="118">
        <f>IF(F741="","",IF(OR(F741="HDFC Bank (INR)",F741="HDFC IOCL Credit Card (INR)",F741="HDFC Swiggy Credit Card (INR)",F741="Axis Airtel Credit Card (INR)"),"INR","GBP"))</f>
        <v/>
      </c>
      <c r="F741" s="111" t="n"/>
      <c r="G741" s="111" t="n"/>
      <c r="H741" s="119">
        <f>IF(G741="Yes","",D741)</f>
        <v/>
      </c>
      <c r="I741" s="111" t="n"/>
      <c r="J741" s="111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68">
      <c r="A742" s="113" t="n"/>
      <c r="B742" s="111" t="n"/>
      <c r="C742" s="111" t="n"/>
      <c r="D742" s="117" t="n"/>
      <c r="E742" s="118">
        <f>IF(F742="","",IF(OR(F742="HDFC Bank (INR)",F742="HDFC IOCL Credit Card (INR)",F742="HDFC Swiggy Credit Card (INR)",F742="Axis Airtel Credit Card (INR)"),"INR","GBP"))</f>
        <v/>
      </c>
      <c r="F742" s="111" t="n"/>
      <c r="G742" s="111" t="n"/>
      <c r="H742" s="119">
        <f>IF(G742="Yes","",D742)</f>
        <v/>
      </c>
      <c r="I742" s="111" t="n"/>
      <c r="J742" s="111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68">
      <c r="A743" s="113" t="n"/>
      <c r="B743" s="111" t="n"/>
      <c r="C743" s="111" t="n"/>
      <c r="D743" s="117" t="n"/>
      <c r="E743" s="118">
        <f>IF(F743="","",IF(OR(F743="HDFC Bank (INR)",F743="HDFC IOCL Credit Card (INR)",F743="HDFC Swiggy Credit Card (INR)",F743="Axis Airtel Credit Card (INR)"),"INR","GBP"))</f>
        <v/>
      </c>
      <c r="F743" s="111" t="n"/>
      <c r="G743" s="111" t="n"/>
      <c r="H743" s="119">
        <f>IF(G743="Yes","",D743)</f>
        <v/>
      </c>
      <c r="I743" s="111" t="n"/>
      <c r="J743" s="111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68">
      <c r="A744" s="113" t="n"/>
      <c r="B744" s="111" t="n"/>
      <c r="C744" s="111" t="n"/>
      <c r="D744" s="117" t="n"/>
      <c r="E744" s="118">
        <f>IF(F744="","",IF(OR(F744="HDFC Bank (INR)",F744="HDFC IOCL Credit Card (INR)",F744="HDFC Swiggy Credit Card (INR)",F744="Axis Airtel Credit Card (INR)"),"INR","GBP"))</f>
        <v/>
      </c>
      <c r="F744" s="111" t="n"/>
      <c r="G744" s="111" t="n"/>
      <c r="H744" s="119">
        <f>IF(G744="Yes","",D744)</f>
        <v/>
      </c>
      <c r="I744" s="111" t="n"/>
      <c r="J744" s="111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68">
      <c r="A745" s="113" t="n"/>
      <c r="B745" s="111" t="n"/>
      <c r="C745" s="111" t="n"/>
      <c r="D745" s="117" t="n"/>
      <c r="E745" s="118">
        <f>IF(F745="","",IF(OR(F745="HDFC Bank (INR)",F745="HDFC IOCL Credit Card (INR)",F745="HDFC Swiggy Credit Card (INR)",F745="Axis Airtel Credit Card (INR)"),"INR","GBP"))</f>
        <v/>
      </c>
      <c r="F745" s="111" t="n"/>
      <c r="G745" s="111" t="n"/>
      <c r="H745" s="119">
        <f>IF(G745="Yes","",D745)</f>
        <v/>
      </c>
      <c r="I745" s="111" t="n"/>
      <c r="J745" s="111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68">
      <c r="A746" s="113" t="n"/>
      <c r="B746" s="111" t="n"/>
      <c r="C746" s="111" t="n"/>
      <c r="D746" s="117" t="n"/>
      <c r="E746" s="118">
        <f>IF(F746="","",IF(OR(F746="HDFC Bank (INR)",F746="HDFC IOCL Credit Card (INR)",F746="HDFC Swiggy Credit Card (INR)",F746="Axis Airtel Credit Card (INR)"),"INR","GBP"))</f>
        <v/>
      </c>
      <c r="F746" s="111" t="n"/>
      <c r="G746" s="111" t="n"/>
      <c r="H746" s="119">
        <f>IF(G746="Yes","",D746)</f>
        <v/>
      </c>
      <c r="I746" s="111" t="n"/>
      <c r="J746" s="111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68">
      <c r="A747" s="113" t="n"/>
      <c r="B747" s="111" t="n"/>
      <c r="C747" s="111" t="n"/>
      <c r="D747" s="117" t="n"/>
      <c r="E747" s="118">
        <f>IF(F747="","",IF(OR(F747="HDFC Bank (INR)",F747="HDFC IOCL Credit Card (INR)",F747="HDFC Swiggy Credit Card (INR)",F747="Axis Airtel Credit Card (INR)"),"INR","GBP"))</f>
        <v/>
      </c>
      <c r="F747" s="111" t="n"/>
      <c r="G747" s="111" t="n"/>
      <c r="H747" s="119">
        <f>IF(G747="Yes","",D747)</f>
        <v/>
      </c>
      <c r="I747" s="111" t="n"/>
      <c r="J747" s="111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68">
      <c r="A748" s="113" t="n"/>
      <c r="B748" s="111" t="n"/>
      <c r="C748" s="111" t="n"/>
      <c r="D748" s="117" t="n"/>
      <c r="E748" s="118">
        <f>IF(F748="","",IF(OR(F748="HDFC Bank (INR)",F748="HDFC IOCL Credit Card (INR)",F748="HDFC Swiggy Credit Card (INR)",F748="Axis Airtel Credit Card (INR)"),"INR","GBP"))</f>
        <v/>
      </c>
      <c r="F748" s="111" t="n"/>
      <c r="G748" s="111" t="n"/>
      <c r="H748" s="119">
        <f>IF(G748="Yes","",D748)</f>
        <v/>
      </c>
      <c r="I748" s="111" t="n"/>
      <c r="J748" s="111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68">
      <c r="A749" s="113" t="n"/>
      <c r="B749" s="111" t="n"/>
      <c r="C749" s="111" t="n"/>
      <c r="D749" s="117" t="n"/>
      <c r="E749" s="118">
        <f>IF(F749="","",IF(OR(F749="HDFC Bank (INR)",F749="HDFC IOCL Credit Card (INR)",F749="HDFC Swiggy Credit Card (INR)",F749="Axis Airtel Credit Card (INR)"),"INR","GBP"))</f>
        <v/>
      </c>
      <c r="F749" s="111" t="n"/>
      <c r="G749" s="111" t="n"/>
      <c r="H749" s="119">
        <f>IF(G749="Yes","",D749)</f>
        <v/>
      </c>
      <c r="I749" s="111" t="n"/>
      <c r="J749" s="111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68">
      <c r="A750" s="113" t="n"/>
      <c r="B750" s="111" t="n"/>
      <c r="C750" s="111" t="n"/>
      <c r="D750" s="117" t="n"/>
      <c r="E750" s="118">
        <f>IF(F750="","",IF(OR(F750="HDFC Bank (INR)",F750="HDFC IOCL Credit Card (INR)",F750="HDFC Swiggy Credit Card (INR)",F750="Axis Airtel Credit Card (INR)"),"INR","GBP"))</f>
        <v/>
      </c>
      <c r="F750" s="111" t="n"/>
      <c r="G750" s="111" t="n"/>
      <c r="H750" s="119">
        <f>IF(G750="Yes","",D750)</f>
        <v/>
      </c>
      <c r="I750" s="111" t="n"/>
      <c r="J750" s="111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68">
      <c r="A751" s="113" t="n"/>
      <c r="B751" s="111" t="n"/>
      <c r="C751" s="111" t="n"/>
      <c r="D751" s="117" t="n"/>
      <c r="E751" s="118">
        <f>IF(F751="","",IF(OR(F751="HDFC Bank (INR)",F751="HDFC IOCL Credit Card (INR)",F751="HDFC Swiggy Credit Card (INR)",F751="Axis Airtel Credit Card (INR)"),"INR","GBP"))</f>
        <v/>
      </c>
      <c r="F751" s="111" t="n"/>
      <c r="G751" s="111" t="n"/>
      <c r="H751" s="119">
        <f>IF(G751="Yes","",D751)</f>
        <v/>
      </c>
      <c r="I751" s="111" t="n"/>
      <c r="J751" s="111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68">
      <c r="A752" s="113" t="n"/>
      <c r="B752" s="111" t="n"/>
      <c r="C752" s="111" t="n"/>
      <c r="D752" s="117" t="n"/>
      <c r="E752" s="118">
        <f>IF(F752="","",IF(OR(F752="HDFC Bank (INR)",F752="HDFC IOCL Credit Card (INR)",F752="HDFC Swiggy Credit Card (INR)",F752="Axis Airtel Credit Card (INR)"),"INR","GBP"))</f>
        <v/>
      </c>
      <c r="F752" s="111" t="n"/>
      <c r="G752" s="111" t="n"/>
      <c r="H752" s="119">
        <f>IF(G752="Yes","",D752)</f>
        <v/>
      </c>
      <c r="I752" s="111" t="n"/>
      <c r="J752" s="111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68">
      <c r="A753" s="113" t="n"/>
      <c r="B753" s="111" t="n"/>
      <c r="C753" s="111" t="n"/>
      <c r="D753" s="117" t="n"/>
      <c r="E753" s="118">
        <f>IF(F753="","",IF(OR(F753="HDFC Bank (INR)",F753="HDFC IOCL Credit Card (INR)",F753="HDFC Swiggy Credit Card (INR)",F753="Axis Airtel Credit Card (INR)"),"INR","GBP"))</f>
        <v/>
      </c>
      <c r="F753" s="111" t="n"/>
      <c r="G753" s="111" t="n"/>
      <c r="H753" s="119">
        <f>IF(G753="Yes","",D753)</f>
        <v/>
      </c>
      <c r="I753" s="111" t="n"/>
      <c r="J753" s="111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68">
      <c r="A754" s="113" t="n"/>
      <c r="B754" s="111" t="n"/>
      <c r="C754" s="111" t="n"/>
      <c r="D754" s="117" t="n"/>
      <c r="E754" s="118">
        <f>IF(F754="","",IF(OR(F754="HDFC Bank (INR)",F754="HDFC IOCL Credit Card (INR)",F754="HDFC Swiggy Credit Card (INR)",F754="Axis Airtel Credit Card (INR)"),"INR","GBP"))</f>
        <v/>
      </c>
      <c r="F754" s="111" t="n"/>
      <c r="G754" s="111" t="n"/>
      <c r="H754" s="119">
        <f>IF(G754="Yes","",D754)</f>
        <v/>
      </c>
      <c r="I754" s="111" t="n"/>
      <c r="J754" s="111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68">
      <c r="A755" s="113" t="n"/>
      <c r="B755" s="111" t="n"/>
      <c r="C755" s="111" t="n"/>
      <c r="D755" s="117" t="n"/>
      <c r="E755" s="118">
        <f>IF(F755="","",IF(OR(F755="HDFC Bank (INR)",F755="HDFC IOCL Credit Card (INR)",F755="HDFC Swiggy Credit Card (INR)",F755="Axis Airtel Credit Card (INR)"),"INR","GBP"))</f>
        <v/>
      </c>
      <c r="F755" s="111" t="n"/>
      <c r="G755" s="111" t="n"/>
      <c r="H755" s="119">
        <f>IF(G755="Yes","",D755)</f>
        <v/>
      </c>
      <c r="I755" s="111" t="n"/>
      <c r="J755" s="111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68">
      <c r="A756" s="113" t="n"/>
      <c r="B756" s="111" t="n"/>
      <c r="C756" s="111" t="n"/>
      <c r="D756" s="117" t="n"/>
      <c r="E756" s="118">
        <f>IF(F756="","",IF(OR(F756="HDFC Bank (INR)",F756="HDFC IOCL Credit Card (INR)",F756="HDFC Swiggy Credit Card (INR)",F756="Axis Airtel Credit Card (INR)"),"INR","GBP"))</f>
        <v/>
      </c>
      <c r="F756" s="111" t="n"/>
      <c r="G756" s="111" t="n"/>
      <c r="H756" s="119">
        <f>IF(G756="Yes","",D756)</f>
        <v/>
      </c>
      <c r="I756" s="111" t="n"/>
      <c r="J756" s="111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68">
      <c r="A757" s="113" t="n"/>
      <c r="B757" s="111" t="n"/>
      <c r="C757" s="111" t="n"/>
      <c r="D757" s="117" t="n"/>
      <c r="E757" s="118">
        <f>IF(F757="","",IF(OR(F757="HDFC Bank (INR)",F757="HDFC IOCL Credit Card (INR)",F757="HDFC Swiggy Credit Card (INR)",F757="Axis Airtel Credit Card (INR)"),"INR","GBP"))</f>
        <v/>
      </c>
      <c r="F757" s="111" t="n"/>
      <c r="G757" s="111" t="n"/>
      <c r="H757" s="119">
        <f>IF(G757="Yes","",D757)</f>
        <v/>
      </c>
      <c r="I757" s="111" t="n"/>
      <c r="J757" s="111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68">
      <c r="A758" s="113" t="n"/>
      <c r="B758" s="111" t="n"/>
      <c r="C758" s="111" t="n"/>
      <c r="D758" s="117" t="n"/>
      <c r="E758" s="118">
        <f>IF(F758="","",IF(OR(F758="HDFC Bank (INR)",F758="HDFC IOCL Credit Card (INR)",F758="HDFC Swiggy Credit Card (INR)",F758="Axis Airtel Credit Card (INR)"),"INR","GBP"))</f>
        <v/>
      </c>
      <c r="F758" s="111" t="n"/>
      <c r="G758" s="111" t="n"/>
      <c r="H758" s="119">
        <f>IF(G758="Yes","",D758)</f>
        <v/>
      </c>
      <c r="I758" s="111" t="n"/>
      <c r="J758" s="111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68">
      <c r="A759" s="113" t="n"/>
      <c r="B759" s="111" t="n"/>
      <c r="C759" s="111" t="n"/>
      <c r="D759" s="117" t="n"/>
      <c r="E759" s="118">
        <f>IF(F759="","",IF(OR(F759="HDFC Bank (INR)",F759="HDFC IOCL Credit Card (INR)",F759="HDFC Swiggy Credit Card (INR)",F759="Axis Airtel Credit Card (INR)"),"INR","GBP"))</f>
        <v/>
      </c>
      <c r="F759" s="111" t="n"/>
      <c r="G759" s="111" t="n"/>
      <c r="H759" s="119">
        <f>IF(G759="Yes","",D759)</f>
        <v/>
      </c>
      <c r="I759" s="111" t="n"/>
      <c r="J759" s="111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68">
      <c r="A760" s="113" t="n"/>
      <c r="B760" s="111" t="n"/>
      <c r="C760" s="111" t="n"/>
      <c r="D760" s="117" t="n"/>
      <c r="E760" s="118">
        <f>IF(F760="","",IF(OR(F760="HDFC Bank (INR)",F760="HDFC IOCL Credit Card (INR)",F760="HDFC Swiggy Credit Card (INR)",F760="Axis Airtel Credit Card (INR)"),"INR","GBP"))</f>
        <v/>
      </c>
      <c r="F760" s="111" t="n"/>
      <c r="G760" s="111" t="n"/>
      <c r="H760" s="119">
        <f>IF(G760="Yes","",D760)</f>
        <v/>
      </c>
      <c r="I760" s="111" t="n"/>
      <c r="J760" s="111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68">
      <c r="A761" s="113" t="n"/>
      <c r="B761" s="111" t="n"/>
      <c r="C761" s="111" t="n"/>
      <c r="D761" s="117" t="n"/>
      <c r="E761" s="118">
        <f>IF(F761="","",IF(OR(F761="HDFC Bank (INR)",F761="HDFC IOCL Credit Card (INR)",F761="HDFC Swiggy Credit Card (INR)",F761="Axis Airtel Credit Card (INR)"),"INR","GBP"))</f>
        <v/>
      </c>
      <c r="F761" s="111" t="n"/>
      <c r="G761" s="111" t="n"/>
      <c r="H761" s="119">
        <f>IF(G761="Yes","",D761)</f>
        <v/>
      </c>
      <c r="I761" s="111" t="n"/>
      <c r="J761" s="111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68">
      <c r="A762" s="113" t="n"/>
      <c r="B762" s="111" t="n"/>
      <c r="C762" s="111" t="n"/>
      <c r="D762" s="117" t="n"/>
      <c r="E762" s="118">
        <f>IF(F762="","",IF(OR(F762="HDFC Bank (INR)",F762="HDFC IOCL Credit Card (INR)",F762="HDFC Swiggy Credit Card (INR)",F762="Axis Airtel Credit Card (INR)"),"INR","GBP"))</f>
        <v/>
      </c>
      <c r="F762" s="111" t="n"/>
      <c r="G762" s="111" t="n"/>
      <c r="H762" s="119">
        <f>IF(G762="Yes","",D762)</f>
        <v/>
      </c>
      <c r="I762" s="111" t="n"/>
      <c r="J762" s="111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68">
      <c r="A763" s="113" t="n"/>
      <c r="B763" s="111" t="n"/>
      <c r="C763" s="111" t="n"/>
      <c r="D763" s="117" t="n"/>
      <c r="E763" s="118">
        <f>IF(F763="","",IF(OR(F763="HDFC Bank (INR)",F763="HDFC IOCL Credit Card (INR)",F763="HDFC Swiggy Credit Card (INR)",F763="Axis Airtel Credit Card (INR)"),"INR","GBP"))</f>
        <v/>
      </c>
      <c r="F763" s="111" t="n"/>
      <c r="G763" s="111" t="n"/>
      <c r="H763" s="119">
        <f>IF(G763="Yes","",D763)</f>
        <v/>
      </c>
      <c r="I763" s="111" t="n"/>
      <c r="J763" s="111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68">
      <c r="A764" s="113" t="n"/>
      <c r="B764" s="111" t="n"/>
      <c r="C764" s="111" t="n"/>
      <c r="D764" s="117" t="n"/>
      <c r="E764" s="118">
        <f>IF(F764="","",IF(OR(F764="HDFC Bank (INR)",F764="HDFC IOCL Credit Card (INR)",F764="HDFC Swiggy Credit Card (INR)",F764="Axis Airtel Credit Card (INR)"),"INR","GBP"))</f>
        <v/>
      </c>
      <c r="F764" s="111" t="n"/>
      <c r="G764" s="111" t="n"/>
      <c r="H764" s="119">
        <f>IF(G764="Yes","",D764)</f>
        <v/>
      </c>
      <c r="I764" s="111" t="n"/>
      <c r="J764" s="111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68">
      <c r="A765" s="113" t="n"/>
      <c r="B765" s="111" t="n"/>
      <c r="C765" s="111" t="n"/>
      <c r="D765" s="117" t="n"/>
      <c r="E765" s="118">
        <f>IF(F765="","",IF(OR(F765="HDFC Bank (INR)",F765="HDFC IOCL Credit Card (INR)",F765="HDFC Swiggy Credit Card (INR)",F765="Axis Airtel Credit Card (INR)"),"INR","GBP"))</f>
        <v/>
      </c>
      <c r="F765" s="111" t="n"/>
      <c r="G765" s="111" t="n"/>
      <c r="H765" s="119">
        <f>IF(G765="Yes","",D765)</f>
        <v/>
      </c>
      <c r="I765" s="111" t="n"/>
      <c r="J765" s="111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68">
      <c r="A766" s="113" t="n"/>
      <c r="B766" s="111" t="n"/>
      <c r="C766" s="111" t="n"/>
      <c r="D766" s="117" t="n"/>
      <c r="E766" s="118">
        <f>IF(F766="","",IF(OR(F766="HDFC Bank (INR)",F766="HDFC IOCL Credit Card (INR)",F766="HDFC Swiggy Credit Card (INR)",F766="Axis Airtel Credit Card (INR)"),"INR","GBP"))</f>
        <v/>
      </c>
      <c r="F766" s="111" t="n"/>
      <c r="G766" s="111" t="n"/>
      <c r="H766" s="119">
        <f>IF(G766="Yes","",D766)</f>
        <v/>
      </c>
      <c r="I766" s="111" t="n"/>
      <c r="J766" s="111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68">
      <c r="A767" s="113" t="n"/>
      <c r="B767" s="111" t="n"/>
      <c r="C767" s="111" t="n"/>
      <c r="D767" s="117" t="n"/>
      <c r="E767" s="118">
        <f>IF(F767="","",IF(OR(F767="HDFC Bank (INR)",F767="HDFC IOCL Credit Card (INR)",F767="HDFC Swiggy Credit Card (INR)",F767="Axis Airtel Credit Card (INR)"),"INR","GBP"))</f>
        <v/>
      </c>
      <c r="F767" s="111" t="n"/>
      <c r="G767" s="111" t="n"/>
      <c r="H767" s="119">
        <f>IF(G767="Yes","",D767)</f>
        <v/>
      </c>
      <c r="I767" s="111" t="n"/>
      <c r="J767" s="111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68">
      <c r="A768" s="113" t="n"/>
      <c r="B768" s="111" t="n"/>
      <c r="C768" s="111" t="n"/>
      <c r="D768" s="117" t="n"/>
      <c r="E768" s="118">
        <f>IF(F768="","",IF(OR(F768="HDFC Bank (INR)",F768="HDFC IOCL Credit Card (INR)",F768="HDFC Swiggy Credit Card (INR)",F768="Axis Airtel Credit Card (INR)"),"INR","GBP"))</f>
        <v/>
      </c>
      <c r="F768" s="111" t="n"/>
      <c r="G768" s="111" t="n"/>
      <c r="H768" s="119">
        <f>IF(G768="Yes","",D768)</f>
        <v/>
      </c>
      <c r="I768" s="111" t="n"/>
      <c r="J768" s="111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68">
      <c r="A769" s="113" t="n"/>
      <c r="B769" s="111" t="n"/>
      <c r="C769" s="111" t="n"/>
      <c r="D769" s="117" t="n"/>
      <c r="E769" s="118">
        <f>IF(F769="","",IF(OR(F769="HDFC Bank (INR)",F769="HDFC IOCL Credit Card (INR)",F769="HDFC Swiggy Credit Card (INR)",F769="Axis Airtel Credit Card (INR)"),"INR","GBP"))</f>
        <v/>
      </c>
      <c r="F769" s="111" t="n"/>
      <c r="G769" s="111" t="n"/>
      <c r="H769" s="119">
        <f>IF(G769="Yes","",D769)</f>
        <v/>
      </c>
      <c r="I769" s="111" t="n"/>
      <c r="J769" s="111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68">
      <c r="A770" s="113" t="n"/>
      <c r="B770" s="111" t="n"/>
      <c r="C770" s="111" t="n"/>
      <c r="D770" s="117" t="n"/>
      <c r="E770" s="118">
        <f>IF(F770="","",IF(OR(F770="HDFC Bank (INR)",F770="HDFC IOCL Credit Card (INR)",F770="HDFC Swiggy Credit Card (INR)",F770="Axis Airtel Credit Card (INR)"),"INR","GBP"))</f>
        <v/>
      </c>
      <c r="F770" s="111" t="n"/>
      <c r="G770" s="111" t="n"/>
      <c r="H770" s="119">
        <f>IF(G770="Yes","",D770)</f>
        <v/>
      </c>
      <c r="I770" s="111" t="n"/>
      <c r="J770" s="111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68">
      <c r="A771" s="113" t="n"/>
      <c r="B771" s="111" t="n"/>
      <c r="C771" s="111" t="n"/>
      <c r="D771" s="117" t="n"/>
      <c r="E771" s="118">
        <f>IF(F771="","",IF(OR(F771="HDFC Bank (INR)",F771="HDFC IOCL Credit Card (INR)",F771="HDFC Swiggy Credit Card (INR)",F771="Axis Airtel Credit Card (INR)"),"INR","GBP"))</f>
        <v/>
      </c>
      <c r="F771" s="111" t="n"/>
      <c r="G771" s="111" t="n"/>
      <c r="H771" s="119">
        <f>IF(G771="Yes","",D771)</f>
        <v/>
      </c>
      <c r="I771" s="111" t="n"/>
      <c r="J771" s="111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68">
      <c r="A772" s="113" t="n"/>
      <c r="B772" s="111" t="n"/>
      <c r="C772" s="111" t="n"/>
      <c r="D772" s="117" t="n"/>
      <c r="E772" s="118">
        <f>IF(F772="","",IF(OR(F772="HDFC Bank (INR)",F772="HDFC IOCL Credit Card (INR)",F772="HDFC Swiggy Credit Card (INR)",F772="Axis Airtel Credit Card (INR)"),"INR","GBP"))</f>
        <v/>
      </c>
      <c r="F772" s="111" t="n"/>
      <c r="G772" s="111" t="n"/>
      <c r="H772" s="119">
        <f>IF(G772="Yes","",D772)</f>
        <v/>
      </c>
      <c r="I772" s="111" t="n"/>
      <c r="J772" s="111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68">
      <c r="A773" s="113" t="n"/>
      <c r="B773" s="111" t="n"/>
      <c r="C773" s="111" t="n"/>
      <c r="D773" s="117" t="n"/>
      <c r="E773" s="118">
        <f>IF(F773="","",IF(OR(F773="HDFC Bank (INR)",F773="HDFC IOCL Credit Card (INR)",F773="HDFC Swiggy Credit Card (INR)",F773="Axis Airtel Credit Card (INR)"),"INR","GBP"))</f>
        <v/>
      </c>
      <c r="F773" s="111" t="n"/>
      <c r="G773" s="111" t="n"/>
      <c r="H773" s="119">
        <f>IF(G773="Yes","",D773)</f>
        <v/>
      </c>
      <c r="I773" s="111" t="n"/>
      <c r="J773" s="111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68">
      <c r="A774" s="113" t="n"/>
      <c r="B774" s="111" t="n"/>
      <c r="C774" s="111" t="n"/>
      <c r="D774" s="117" t="n"/>
      <c r="E774" s="118">
        <f>IF(F774="","",IF(OR(F774="HDFC Bank (INR)",F774="HDFC IOCL Credit Card (INR)",F774="HDFC Swiggy Credit Card (INR)",F774="Axis Airtel Credit Card (INR)"),"INR","GBP"))</f>
        <v/>
      </c>
      <c r="F774" s="111" t="n"/>
      <c r="G774" s="111" t="n"/>
      <c r="H774" s="119">
        <f>IF(G774="Yes","",D774)</f>
        <v/>
      </c>
      <c r="I774" s="111" t="n"/>
      <c r="J774" s="111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68">
      <c r="A775" s="113" t="n"/>
      <c r="B775" s="111" t="n"/>
      <c r="C775" s="111" t="n"/>
      <c r="D775" s="117" t="n"/>
      <c r="E775" s="118">
        <f>IF(F775="","",IF(OR(F775="HDFC Bank (INR)",F775="HDFC IOCL Credit Card (INR)",F775="HDFC Swiggy Credit Card (INR)",F775="Axis Airtel Credit Card (INR)"),"INR","GBP"))</f>
        <v/>
      </c>
      <c r="F775" s="111" t="n"/>
      <c r="G775" s="111" t="n"/>
      <c r="H775" s="119">
        <f>IF(G775="Yes","",D775)</f>
        <v/>
      </c>
      <c r="I775" s="111" t="n"/>
      <c r="J775" s="111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68">
      <c r="A776" s="113" t="n"/>
      <c r="B776" s="111" t="n"/>
      <c r="C776" s="111" t="n"/>
      <c r="D776" s="117" t="n"/>
      <c r="E776" s="118">
        <f>IF(F776="","",IF(OR(F776="HDFC Bank (INR)",F776="HDFC IOCL Credit Card (INR)",F776="HDFC Swiggy Credit Card (INR)",F776="Axis Airtel Credit Card (INR)"),"INR","GBP"))</f>
        <v/>
      </c>
      <c r="F776" s="111" t="n"/>
      <c r="G776" s="111" t="n"/>
      <c r="H776" s="119">
        <f>IF(G776="Yes","",D776)</f>
        <v/>
      </c>
      <c r="I776" s="111" t="n"/>
      <c r="J776" s="111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68">
      <c r="A777" s="113" t="n"/>
      <c r="B777" s="111" t="n"/>
      <c r="C777" s="111" t="n"/>
      <c r="D777" s="117" t="n"/>
      <c r="E777" s="118">
        <f>IF(F777="","",IF(OR(F777="HDFC Bank (INR)",F777="HDFC IOCL Credit Card (INR)",F777="HDFC Swiggy Credit Card (INR)",F777="Axis Airtel Credit Card (INR)"),"INR","GBP"))</f>
        <v/>
      </c>
      <c r="F777" s="111" t="n"/>
      <c r="G777" s="111" t="n"/>
      <c r="H777" s="119">
        <f>IF(G777="Yes","",D777)</f>
        <v/>
      </c>
      <c r="I777" s="111" t="n"/>
      <c r="J777" s="111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68">
      <c r="A778" s="113" t="n"/>
      <c r="B778" s="111" t="n"/>
      <c r="C778" s="111" t="n"/>
      <c r="D778" s="117" t="n"/>
      <c r="E778" s="118">
        <f>IF(F778="","",IF(OR(F778="HDFC Bank (INR)",F778="HDFC IOCL Credit Card (INR)",F778="HDFC Swiggy Credit Card (INR)",F778="Axis Airtel Credit Card (INR)"),"INR","GBP"))</f>
        <v/>
      </c>
      <c r="F778" s="111" t="n"/>
      <c r="G778" s="111" t="n"/>
      <c r="H778" s="119">
        <f>IF(G778="Yes","",D778)</f>
        <v/>
      </c>
      <c r="I778" s="111" t="n"/>
      <c r="J778" s="111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68">
      <c r="A779" s="113" t="n"/>
      <c r="B779" s="111" t="n"/>
      <c r="C779" s="111" t="n"/>
      <c r="D779" s="117" t="n"/>
      <c r="E779" s="118">
        <f>IF(F779="","",IF(OR(F779="HDFC Bank (INR)",F779="HDFC IOCL Credit Card (INR)",F779="HDFC Swiggy Credit Card (INR)",F779="Axis Airtel Credit Card (INR)"),"INR","GBP"))</f>
        <v/>
      </c>
      <c r="F779" s="111" t="n"/>
      <c r="G779" s="111" t="n"/>
      <c r="H779" s="119">
        <f>IF(G779="Yes","",D779)</f>
        <v/>
      </c>
      <c r="I779" s="111" t="n"/>
      <c r="J779" s="111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68">
      <c r="A780" s="113" t="n"/>
      <c r="B780" s="111" t="n"/>
      <c r="C780" s="111" t="n"/>
      <c r="D780" s="117" t="n"/>
      <c r="E780" s="118">
        <f>IF(F780="","",IF(OR(F780="HDFC Bank (INR)",F780="HDFC IOCL Credit Card (INR)",F780="HDFC Swiggy Credit Card (INR)",F780="Axis Airtel Credit Card (INR)"),"INR","GBP"))</f>
        <v/>
      </c>
      <c r="F780" s="111" t="n"/>
      <c r="G780" s="111" t="n"/>
      <c r="H780" s="119">
        <f>IF(G780="Yes","",D780)</f>
        <v/>
      </c>
      <c r="I780" s="111" t="n"/>
      <c r="J780" s="111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68">
      <c r="A781" s="113" t="n"/>
      <c r="B781" s="111" t="n"/>
      <c r="C781" s="111" t="n"/>
      <c r="D781" s="117" t="n"/>
      <c r="E781" s="118">
        <f>IF(F781="","",IF(OR(F781="HDFC Bank (INR)",F781="HDFC IOCL Credit Card (INR)",F781="HDFC Swiggy Credit Card (INR)",F781="Axis Airtel Credit Card (INR)"),"INR","GBP"))</f>
        <v/>
      </c>
      <c r="F781" s="111" t="n"/>
      <c r="G781" s="111" t="n"/>
      <c r="H781" s="119">
        <f>IF(G781="Yes","",D781)</f>
        <v/>
      </c>
      <c r="I781" s="111" t="n"/>
      <c r="J781" s="111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68">
      <c r="A782" s="113" t="n"/>
      <c r="B782" s="111" t="n"/>
      <c r="C782" s="111" t="n"/>
      <c r="D782" s="117" t="n"/>
      <c r="E782" s="118">
        <f>IF(F782="","",IF(OR(F782="HDFC Bank (INR)",F782="HDFC IOCL Credit Card (INR)",F782="HDFC Swiggy Credit Card (INR)",F782="Axis Airtel Credit Card (INR)"),"INR","GBP"))</f>
        <v/>
      </c>
      <c r="F782" s="111" t="n"/>
      <c r="G782" s="111" t="n"/>
      <c r="H782" s="119">
        <f>IF(G782="Yes","",D782)</f>
        <v/>
      </c>
      <c r="I782" s="111" t="n"/>
      <c r="J782" s="111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68">
      <c r="A783" s="113" t="n"/>
      <c r="B783" s="111" t="n"/>
      <c r="C783" s="111" t="n"/>
      <c r="D783" s="117" t="n"/>
      <c r="E783" s="118">
        <f>IF(F783="","",IF(OR(F783="HDFC Bank (INR)",F783="HDFC IOCL Credit Card (INR)",F783="HDFC Swiggy Credit Card (INR)",F783="Axis Airtel Credit Card (INR)"),"INR","GBP"))</f>
        <v/>
      </c>
      <c r="F783" s="111" t="n"/>
      <c r="G783" s="111" t="n"/>
      <c r="H783" s="119">
        <f>IF(G783="Yes","",D783)</f>
        <v/>
      </c>
      <c r="I783" s="111" t="n"/>
      <c r="J783" s="111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68">
      <c r="A784" s="113" t="n"/>
      <c r="B784" s="111" t="n"/>
      <c r="C784" s="111" t="n"/>
      <c r="D784" s="117" t="n"/>
      <c r="E784" s="118">
        <f>IF(F784="","",IF(OR(F784="HDFC Bank (INR)",F784="HDFC IOCL Credit Card (INR)",F784="HDFC Swiggy Credit Card (INR)",F784="Axis Airtel Credit Card (INR)"),"INR","GBP"))</f>
        <v/>
      </c>
      <c r="F784" s="111" t="n"/>
      <c r="G784" s="111" t="n"/>
      <c r="H784" s="119">
        <f>IF(G784="Yes","",D784)</f>
        <v/>
      </c>
      <c r="I784" s="111" t="n"/>
      <c r="J784" s="111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68">
      <c r="A785" s="113" t="n"/>
      <c r="B785" s="111" t="n"/>
      <c r="C785" s="111" t="n"/>
      <c r="D785" s="117" t="n"/>
      <c r="E785" s="118">
        <f>IF(F785="","",IF(OR(F785="HDFC Bank (INR)",F785="HDFC IOCL Credit Card (INR)",F785="HDFC Swiggy Credit Card (INR)",F785="Axis Airtel Credit Card (INR)"),"INR","GBP"))</f>
        <v/>
      </c>
      <c r="F785" s="111" t="n"/>
      <c r="G785" s="111" t="n"/>
      <c r="H785" s="119">
        <f>IF(G785="Yes","",D785)</f>
        <v/>
      </c>
      <c r="I785" s="111" t="n"/>
      <c r="J785" s="111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68">
      <c r="A786" s="113" t="n"/>
      <c r="B786" s="111" t="n"/>
      <c r="C786" s="111" t="n"/>
      <c r="D786" s="117" t="n"/>
      <c r="E786" s="118">
        <f>IF(F786="","",IF(OR(F786="HDFC Bank (INR)",F786="HDFC IOCL Credit Card (INR)",F786="HDFC Swiggy Credit Card (INR)",F786="Axis Airtel Credit Card (INR)"),"INR","GBP"))</f>
        <v/>
      </c>
      <c r="F786" s="111" t="n"/>
      <c r="G786" s="111" t="n"/>
      <c r="H786" s="119">
        <f>IF(G786="Yes","",D786)</f>
        <v/>
      </c>
      <c r="I786" s="111" t="n"/>
      <c r="J786" s="111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68">
      <c r="A787" s="113" t="n"/>
      <c r="B787" s="111" t="n"/>
      <c r="C787" s="111" t="n"/>
      <c r="D787" s="117" t="n"/>
      <c r="E787" s="118">
        <f>IF(F787="","",IF(OR(F787="HDFC Bank (INR)",F787="HDFC IOCL Credit Card (INR)",F787="HDFC Swiggy Credit Card (INR)",F787="Axis Airtel Credit Card (INR)"),"INR","GBP"))</f>
        <v/>
      </c>
      <c r="F787" s="111" t="n"/>
      <c r="G787" s="111" t="n"/>
      <c r="H787" s="119">
        <f>IF(G787="Yes","",D787)</f>
        <v/>
      </c>
      <c r="I787" s="111" t="n"/>
      <c r="J787" s="111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68">
      <c r="A788" s="113" t="n"/>
      <c r="B788" s="111" t="n"/>
      <c r="C788" s="111" t="n"/>
      <c r="D788" s="117" t="n"/>
      <c r="E788" s="118">
        <f>IF(F788="","",IF(OR(F788="HDFC Bank (INR)",F788="HDFC IOCL Credit Card (INR)",F788="HDFC Swiggy Credit Card (INR)",F788="Axis Airtel Credit Card (INR)"),"INR","GBP"))</f>
        <v/>
      </c>
      <c r="F788" s="111" t="n"/>
      <c r="G788" s="111" t="n"/>
      <c r="H788" s="119">
        <f>IF(G788="Yes","",D788)</f>
        <v/>
      </c>
      <c r="I788" s="111" t="n"/>
      <c r="J788" s="111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68">
      <c r="A789" s="113" t="n"/>
      <c r="B789" s="111" t="n"/>
      <c r="C789" s="111" t="n"/>
      <c r="D789" s="117" t="n"/>
      <c r="E789" s="118">
        <f>IF(F789="","",IF(OR(F789="HDFC Bank (INR)",F789="HDFC IOCL Credit Card (INR)",F789="HDFC Swiggy Credit Card (INR)",F789="Axis Airtel Credit Card (INR)"),"INR","GBP"))</f>
        <v/>
      </c>
      <c r="F789" s="111" t="n"/>
      <c r="G789" s="111" t="n"/>
      <c r="H789" s="119">
        <f>IF(G789="Yes","",D789)</f>
        <v/>
      </c>
      <c r="I789" s="111" t="n"/>
      <c r="J789" s="111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68">
      <c r="A790" s="113" t="n"/>
      <c r="B790" s="111" t="n"/>
      <c r="C790" s="111" t="n"/>
      <c r="D790" s="117" t="n"/>
      <c r="E790" s="118">
        <f>IF(F790="","",IF(OR(F790="HDFC Bank (INR)",F790="HDFC IOCL Credit Card (INR)",F790="HDFC Swiggy Credit Card (INR)",F790="Axis Airtel Credit Card (INR)"),"INR","GBP"))</f>
        <v/>
      </c>
      <c r="F790" s="111" t="n"/>
      <c r="G790" s="111" t="n"/>
      <c r="H790" s="119">
        <f>IF(G790="Yes","",D790)</f>
        <v/>
      </c>
      <c r="I790" s="111" t="n"/>
      <c r="J790" s="111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68">
      <c r="A791" s="113" t="n"/>
      <c r="B791" s="111" t="n"/>
      <c r="C791" s="111" t="n"/>
      <c r="D791" s="117" t="n"/>
      <c r="E791" s="118">
        <f>IF(F791="","",IF(OR(F791="HDFC Bank (INR)",F791="HDFC IOCL Credit Card (INR)",F791="HDFC Swiggy Credit Card (INR)",F791="Axis Airtel Credit Card (INR)"),"INR","GBP"))</f>
        <v/>
      </c>
      <c r="F791" s="111" t="n"/>
      <c r="G791" s="111" t="n"/>
      <c r="H791" s="119">
        <f>IF(G791="Yes","",D791)</f>
        <v/>
      </c>
      <c r="I791" s="111" t="n"/>
      <c r="J791" s="111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68">
      <c r="A792" s="113" t="n"/>
      <c r="B792" s="111" t="n"/>
      <c r="C792" s="111" t="n"/>
      <c r="D792" s="117" t="n"/>
      <c r="E792" s="118">
        <f>IF(F792="","",IF(OR(F792="HDFC Bank (INR)",F792="HDFC IOCL Credit Card (INR)",F792="HDFC Swiggy Credit Card (INR)",F792="Axis Airtel Credit Card (INR)"),"INR","GBP"))</f>
        <v/>
      </c>
      <c r="F792" s="111" t="n"/>
      <c r="G792" s="111" t="n"/>
      <c r="H792" s="119">
        <f>IF(G792="Yes","",D792)</f>
        <v/>
      </c>
      <c r="I792" s="111" t="n"/>
      <c r="J792" s="111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68">
      <c r="A793" s="113" t="n"/>
      <c r="B793" s="111" t="n"/>
      <c r="C793" s="111" t="n"/>
      <c r="D793" s="117" t="n"/>
      <c r="E793" s="118">
        <f>IF(F793="","",IF(OR(F793="HDFC Bank (INR)",F793="HDFC IOCL Credit Card (INR)",F793="HDFC Swiggy Credit Card (INR)",F793="Axis Airtel Credit Card (INR)"),"INR","GBP"))</f>
        <v/>
      </c>
      <c r="F793" s="111" t="n"/>
      <c r="G793" s="111" t="n"/>
      <c r="H793" s="119">
        <f>IF(G793="Yes","",D793)</f>
        <v/>
      </c>
      <c r="I793" s="111" t="n"/>
      <c r="J793" s="111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68">
      <c r="A794" s="113" t="n"/>
      <c r="B794" s="111" t="n"/>
      <c r="C794" s="111" t="n"/>
      <c r="D794" s="117" t="n"/>
      <c r="E794" s="118">
        <f>IF(F794="","",IF(OR(F794="HDFC Bank (INR)",F794="HDFC IOCL Credit Card (INR)",F794="HDFC Swiggy Credit Card (INR)",F794="Axis Airtel Credit Card (INR)"),"INR","GBP"))</f>
        <v/>
      </c>
      <c r="F794" s="111" t="n"/>
      <c r="G794" s="111" t="n"/>
      <c r="H794" s="119">
        <f>IF(G794="Yes","",D794)</f>
        <v/>
      </c>
      <c r="I794" s="111" t="n"/>
      <c r="J794" s="111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68">
      <c r="A795" s="113" t="n"/>
      <c r="B795" s="111" t="n"/>
      <c r="C795" s="111" t="n"/>
      <c r="D795" s="117" t="n"/>
      <c r="E795" s="118">
        <f>IF(F795="","",IF(OR(F795="HDFC Bank (INR)",F795="HDFC IOCL Credit Card (INR)",F795="HDFC Swiggy Credit Card (INR)",F795="Axis Airtel Credit Card (INR)"),"INR","GBP"))</f>
        <v/>
      </c>
      <c r="F795" s="111" t="n"/>
      <c r="G795" s="111" t="n"/>
      <c r="H795" s="119">
        <f>IF(G795="Yes","",D795)</f>
        <v/>
      </c>
      <c r="I795" s="111" t="n"/>
      <c r="J795" s="111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68">
      <c r="A796" s="113" t="n"/>
      <c r="B796" s="111" t="n"/>
      <c r="C796" s="111" t="n"/>
      <c r="D796" s="117" t="n"/>
      <c r="E796" s="118">
        <f>IF(F796="","",IF(OR(F796="HDFC Bank (INR)",F796="HDFC IOCL Credit Card (INR)",F796="HDFC Swiggy Credit Card (INR)",F796="Axis Airtel Credit Card (INR)"),"INR","GBP"))</f>
        <v/>
      </c>
      <c r="F796" s="111" t="n"/>
      <c r="G796" s="111" t="n"/>
      <c r="H796" s="119">
        <f>IF(G796="Yes","",D796)</f>
        <v/>
      </c>
      <c r="I796" s="111" t="n"/>
      <c r="J796" s="111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68">
      <c r="A797" s="113" t="n"/>
      <c r="B797" s="111" t="n"/>
      <c r="C797" s="111" t="n"/>
      <c r="D797" s="117" t="n"/>
      <c r="E797" s="118">
        <f>IF(F797="","",IF(OR(F797="HDFC Bank (INR)",F797="HDFC IOCL Credit Card (INR)",F797="HDFC Swiggy Credit Card (INR)",F797="Axis Airtel Credit Card (INR)"),"INR","GBP"))</f>
        <v/>
      </c>
      <c r="F797" s="111" t="n"/>
      <c r="G797" s="111" t="n"/>
      <c r="H797" s="119">
        <f>IF(G797="Yes","",D797)</f>
        <v/>
      </c>
      <c r="I797" s="111" t="n"/>
      <c r="J797" s="111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68">
      <c r="A798" s="113" t="n"/>
      <c r="B798" s="111" t="n"/>
      <c r="C798" s="111" t="n"/>
      <c r="D798" s="117" t="n"/>
      <c r="E798" s="118">
        <f>IF(F798="","",IF(OR(F798="HDFC Bank (INR)",F798="HDFC IOCL Credit Card (INR)",F798="HDFC Swiggy Credit Card (INR)",F798="Axis Airtel Credit Card (INR)"),"INR","GBP"))</f>
        <v/>
      </c>
      <c r="F798" s="111" t="n"/>
      <c r="G798" s="111" t="n"/>
      <c r="H798" s="119">
        <f>IF(G798="Yes","",D798)</f>
        <v/>
      </c>
      <c r="I798" s="111" t="n"/>
      <c r="J798" s="111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68">
      <c r="A799" s="113" t="n"/>
      <c r="B799" s="111" t="n"/>
      <c r="C799" s="111" t="n"/>
      <c r="D799" s="117" t="n"/>
      <c r="E799" s="118">
        <f>IF(F799="","",IF(OR(F799="HDFC Bank (INR)",F799="HDFC IOCL Credit Card (INR)",F799="HDFC Swiggy Credit Card (INR)",F799="Axis Airtel Credit Card (INR)"),"INR","GBP"))</f>
        <v/>
      </c>
      <c r="F799" s="111" t="n"/>
      <c r="G799" s="111" t="n"/>
      <c r="H799" s="119">
        <f>IF(G799="Yes","",D799)</f>
        <v/>
      </c>
      <c r="I799" s="111" t="n"/>
      <c r="J799" s="111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68">
      <c r="A800" s="113" t="n"/>
      <c r="B800" s="111" t="n"/>
      <c r="C800" s="111" t="n"/>
      <c r="D800" s="117" t="n"/>
      <c r="E800" s="118">
        <f>IF(F800="","",IF(OR(F800="HDFC Bank (INR)",F800="HDFC IOCL Credit Card (INR)",F800="HDFC Swiggy Credit Card (INR)",F800="Axis Airtel Credit Card (INR)"),"INR","GBP"))</f>
        <v/>
      </c>
      <c r="F800" s="111" t="n"/>
      <c r="G800" s="111" t="n"/>
      <c r="H800" s="119">
        <f>IF(G800="Yes","",D800)</f>
        <v/>
      </c>
      <c r="I800" s="111" t="n"/>
      <c r="J800" s="111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68">
      <c r="A801" s="113" t="n"/>
      <c r="B801" s="111" t="n"/>
      <c r="C801" s="111" t="n"/>
      <c r="D801" s="117" t="n"/>
      <c r="E801" s="118">
        <f>IF(F801="","",IF(OR(F801="HDFC Bank (INR)",F801="HDFC IOCL Credit Card (INR)",F801="HDFC Swiggy Credit Card (INR)",F801="Axis Airtel Credit Card (INR)"),"INR","GBP"))</f>
        <v/>
      </c>
      <c r="F801" s="111" t="n"/>
      <c r="G801" s="111" t="n"/>
      <c r="H801" s="119">
        <f>IF(G801="Yes","",D801)</f>
        <v/>
      </c>
      <c r="I801" s="111" t="n"/>
      <c r="J801" s="111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68">
      <c r="A802" s="113" t="n"/>
      <c r="B802" s="111" t="n"/>
      <c r="C802" s="111" t="n"/>
      <c r="D802" s="117" t="n"/>
      <c r="E802" s="118">
        <f>IF(F802="","",IF(OR(F802="HDFC Bank (INR)",F802="HDFC IOCL Credit Card (INR)",F802="HDFC Swiggy Credit Card (INR)",F802="Axis Airtel Credit Card (INR)"),"INR","GBP"))</f>
        <v/>
      </c>
      <c r="F802" s="111" t="n"/>
      <c r="G802" s="111" t="n"/>
      <c r="H802" s="119">
        <f>IF(G802="Yes","",D802)</f>
        <v/>
      </c>
      <c r="I802" s="111" t="n"/>
      <c r="J802" s="111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68">
      <c r="A803" s="113" t="n"/>
      <c r="B803" s="111" t="n"/>
      <c r="C803" s="111" t="n"/>
      <c r="D803" s="117" t="n"/>
      <c r="E803" s="118">
        <f>IF(F803="","",IF(OR(F803="HDFC Bank (INR)",F803="HDFC IOCL Credit Card (INR)",F803="HDFC Swiggy Credit Card (INR)",F803="Axis Airtel Credit Card (INR)"),"INR","GBP"))</f>
        <v/>
      </c>
      <c r="F803" s="111" t="n"/>
      <c r="G803" s="111" t="n"/>
      <c r="H803" s="119">
        <f>IF(G803="Yes","",D803)</f>
        <v/>
      </c>
      <c r="I803" s="111" t="n"/>
      <c r="J803" s="111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68">
      <c r="A804" s="113" t="n"/>
      <c r="B804" s="111" t="n"/>
      <c r="C804" s="111" t="n"/>
      <c r="D804" s="117" t="n"/>
      <c r="E804" s="118">
        <f>IF(F804="","",IF(OR(F804="HDFC Bank (INR)",F804="HDFC IOCL Credit Card (INR)",F804="HDFC Swiggy Credit Card (INR)",F804="Axis Airtel Credit Card (INR)"),"INR","GBP"))</f>
        <v/>
      </c>
      <c r="F804" s="111" t="n"/>
      <c r="G804" s="111" t="n"/>
      <c r="H804" s="119">
        <f>IF(G804="Yes","",D804)</f>
        <v/>
      </c>
      <c r="I804" s="111" t="n"/>
      <c r="J804" s="111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68">
      <c r="A805" s="113" t="n"/>
      <c r="B805" s="111" t="n"/>
      <c r="C805" s="111" t="n"/>
      <c r="D805" s="117" t="n"/>
      <c r="E805" s="118">
        <f>IF(F805="","",IF(OR(F805="HDFC Bank (INR)",F805="HDFC IOCL Credit Card (INR)",F805="HDFC Swiggy Credit Card (INR)",F805="Axis Airtel Credit Card (INR)"),"INR","GBP"))</f>
        <v/>
      </c>
      <c r="F805" s="111" t="n"/>
      <c r="G805" s="111" t="n"/>
      <c r="H805" s="119">
        <f>IF(G805="Yes","",D805)</f>
        <v/>
      </c>
      <c r="I805" s="111" t="n"/>
      <c r="J805" s="111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68">
      <c r="A806" s="113" t="n"/>
      <c r="B806" s="111" t="n"/>
      <c r="C806" s="111" t="n"/>
      <c r="D806" s="117" t="n"/>
      <c r="E806" s="118">
        <f>IF(F806="","",IF(OR(F806="HDFC Bank (INR)",F806="HDFC IOCL Credit Card (INR)",F806="HDFC Swiggy Credit Card (INR)",F806="Axis Airtel Credit Card (INR)"),"INR","GBP"))</f>
        <v/>
      </c>
      <c r="F806" s="111" t="n"/>
      <c r="G806" s="111" t="n"/>
      <c r="H806" s="119">
        <f>IF(G806="Yes","",D806)</f>
        <v/>
      </c>
      <c r="I806" s="111" t="n"/>
      <c r="J806" s="111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68">
      <c r="A807" s="113" t="n"/>
      <c r="B807" s="111" t="n"/>
      <c r="C807" s="111" t="n"/>
      <c r="D807" s="117" t="n"/>
      <c r="E807" s="118">
        <f>IF(F807="","",IF(OR(F807="HDFC Bank (INR)",F807="HDFC IOCL Credit Card (INR)",F807="HDFC Swiggy Credit Card (INR)",F807="Axis Airtel Credit Card (INR)"),"INR","GBP"))</f>
        <v/>
      </c>
      <c r="F807" s="111" t="n"/>
      <c r="G807" s="111" t="n"/>
      <c r="H807" s="119">
        <f>IF(G807="Yes","",D807)</f>
        <v/>
      </c>
      <c r="I807" s="111" t="n"/>
      <c r="J807" s="111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68">
      <c r="A808" s="113" t="n"/>
      <c r="B808" s="111" t="n"/>
      <c r="C808" s="111" t="n"/>
      <c r="D808" s="117" t="n"/>
      <c r="E808" s="118">
        <f>IF(F808="","",IF(OR(F808="HDFC Bank (INR)",F808="HDFC IOCL Credit Card (INR)",F808="HDFC Swiggy Credit Card (INR)",F808="Axis Airtel Credit Card (INR)"),"INR","GBP"))</f>
        <v/>
      </c>
      <c r="F808" s="111" t="n"/>
      <c r="G808" s="111" t="n"/>
      <c r="H808" s="119">
        <f>IF(G808="Yes","",D808)</f>
        <v/>
      </c>
      <c r="I808" s="111" t="n"/>
      <c r="J808" s="111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68">
      <c r="A809" s="113" t="n"/>
      <c r="B809" s="111" t="n"/>
      <c r="C809" s="111" t="n"/>
      <c r="D809" s="117" t="n"/>
      <c r="E809" s="118">
        <f>IF(F809="","",IF(OR(F809="HDFC Bank (INR)",F809="HDFC IOCL Credit Card (INR)",F809="HDFC Swiggy Credit Card (INR)",F809="Axis Airtel Credit Card (INR)"),"INR","GBP"))</f>
        <v/>
      </c>
      <c r="F809" s="111" t="n"/>
      <c r="G809" s="111" t="n"/>
      <c r="H809" s="119">
        <f>IF(G809="Yes","",D809)</f>
        <v/>
      </c>
      <c r="I809" s="111" t="n"/>
      <c r="J809" s="111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68">
      <c r="A810" s="113" t="n"/>
      <c r="B810" s="111" t="n"/>
      <c r="C810" s="111" t="n"/>
      <c r="D810" s="117" t="n"/>
      <c r="E810" s="118">
        <f>IF(F810="","",IF(OR(F810="HDFC Bank (INR)",F810="HDFC IOCL Credit Card (INR)",F810="HDFC Swiggy Credit Card (INR)",F810="Axis Airtel Credit Card (INR)"),"INR","GBP"))</f>
        <v/>
      </c>
      <c r="F810" s="111" t="n"/>
      <c r="G810" s="111" t="n"/>
      <c r="H810" s="119">
        <f>IF(G810="Yes","",D810)</f>
        <v/>
      </c>
      <c r="I810" s="111" t="n"/>
      <c r="J810" s="111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68">
      <c r="A811" s="113" t="n"/>
      <c r="B811" s="111" t="n"/>
      <c r="C811" s="111" t="n"/>
      <c r="D811" s="117" t="n"/>
      <c r="E811" s="118">
        <f>IF(F811="","",IF(OR(F811="HDFC Bank (INR)",F811="HDFC IOCL Credit Card (INR)",F811="HDFC Swiggy Credit Card (INR)",F811="Axis Airtel Credit Card (INR)"),"INR","GBP"))</f>
        <v/>
      </c>
      <c r="F811" s="111" t="n"/>
      <c r="G811" s="111" t="n"/>
      <c r="H811" s="119">
        <f>IF(G811="Yes","",D811)</f>
        <v/>
      </c>
      <c r="I811" s="111" t="n"/>
      <c r="J811" s="111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68">
      <c r="A812" s="113" t="n"/>
      <c r="B812" s="111" t="n"/>
      <c r="C812" s="111" t="n"/>
      <c r="D812" s="117" t="n"/>
      <c r="E812" s="118">
        <f>IF(F812="","",IF(OR(F812="HDFC Bank (INR)",F812="HDFC IOCL Credit Card (INR)",F812="HDFC Swiggy Credit Card (INR)",F812="Axis Airtel Credit Card (INR)"),"INR","GBP"))</f>
        <v/>
      </c>
      <c r="F812" s="111" t="n"/>
      <c r="G812" s="111" t="n"/>
      <c r="H812" s="119">
        <f>IF(G812="Yes","",D812)</f>
        <v/>
      </c>
      <c r="I812" s="111" t="n"/>
      <c r="J812" s="111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68">
      <c r="A813" s="113" t="n"/>
      <c r="B813" s="111" t="n"/>
      <c r="C813" s="111" t="n"/>
      <c r="D813" s="117" t="n"/>
      <c r="E813" s="118">
        <f>IF(F813="","",IF(OR(F813="HDFC Bank (INR)",F813="HDFC IOCL Credit Card (INR)",F813="HDFC Swiggy Credit Card (INR)",F813="Axis Airtel Credit Card (INR)"),"INR","GBP"))</f>
        <v/>
      </c>
      <c r="F813" s="111" t="n"/>
      <c r="G813" s="111" t="n"/>
      <c r="H813" s="119">
        <f>IF(G813="Yes","",D813)</f>
        <v/>
      </c>
      <c r="I813" s="111" t="n"/>
      <c r="J813" s="111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68">
      <c r="A814" s="113" t="n"/>
      <c r="B814" s="111" t="n"/>
      <c r="C814" s="111" t="n"/>
      <c r="D814" s="117" t="n"/>
      <c r="E814" s="118">
        <f>IF(F814="","",IF(OR(F814="HDFC Bank (INR)",F814="HDFC IOCL Credit Card (INR)",F814="HDFC Swiggy Credit Card (INR)",F814="Axis Airtel Credit Card (INR)"),"INR","GBP"))</f>
        <v/>
      </c>
      <c r="F814" s="111" t="n"/>
      <c r="G814" s="111" t="n"/>
      <c r="H814" s="119">
        <f>IF(G814="Yes","",D814)</f>
        <v/>
      </c>
      <c r="I814" s="111" t="n"/>
      <c r="J814" s="111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68">
      <c r="A815" s="113" t="n"/>
      <c r="B815" s="111" t="n"/>
      <c r="C815" s="111" t="n"/>
      <c r="D815" s="117" t="n"/>
      <c r="E815" s="118">
        <f>IF(F815="","",IF(OR(F815="HDFC Bank (INR)",F815="HDFC IOCL Credit Card (INR)",F815="HDFC Swiggy Credit Card (INR)",F815="Axis Airtel Credit Card (INR)"),"INR","GBP"))</f>
        <v/>
      </c>
      <c r="F815" s="111" t="n"/>
      <c r="G815" s="111" t="n"/>
      <c r="H815" s="119">
        <f>IF(G815="Yes","",D815)</f>
        <v/>
      </c>
      <c r="I815" s="111" t="n"/>
      <c r="J815" s="111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68">
      <c r="A816" s="113" t="n"/>
      <c r="B816" s="111" t="n"/>
      <c r="C816" s="111" t="n"/>
      <c r="D816" s="117" t="n"/>
      <c r="E816" s="118">
        <f>IF(F816="","",IF(OR(F816="HDFC Bank (INR)",F816="HDFC IOCL Credit Card (INR)",F816="HDFC Swiggy Credit Card (INR)",F816="Axis Airtel Credit Card (INR)"),"INR","GBP"))</f>
        <v/>
      </c>
      <c r="F816" s="111" t="n"/>
      <c r="G816" s="111" t="n"/>
      <c r="H816" s="119">
        <f>IF(G816="Yes","",D816)</f>
        <v/>
      </c>
      <c r="I816" s="111" t="n"/>
      <c r="J816" s="111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68">
      <c r="A817" s="113" t="n"/>
      <c r="B817" s="111" t="n"/>
      <c r="C817" s="111" t="n"/>
      <c r="D817" s="117" t="n"/>
      <c r="E817" s="118">
        <f>IF(F817="","",IF(OR(F817="HDFC Bank (INR)",F817="HDFC IOCL Credit Card (INR)",F817="HDFC Swiggy Credit Card (INR)",F817="Axis Airtel Credit Card (INR)"),"INR","GBP"))</f>
        <v/>
      </c>
      <c r="F817" s="111" t="n"/>
      <c r="G817" s="111" t="n"/>
      <c r="H817" s="119">
        <f>IF(G817="Yes","",D817)</f>
        <v/>
      </c>
      <c r="I817" s="111" t="n"/>
      <c r="J817" s="111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68">
      <c r="A818" s="113" t="n"/>
      <c r="B818" s="111" t="n"/>
      <c r="C818" s="111" t="n"/>
      <c r="D818" s="117" t="n"/>
      <c r="E818" s="118">
        <f>IF(F818="","",IF(OR(F818="HDFC Bank (INR)",F818="HDFC IOCL Credit Card (INR)",F818="HDFC Swiggy Credit Card (INR)",F818="Axis Airtel Credit Card (INR)"),"INR","GBP"))</f>
        <v/>
      </c>
      <c r="F818" s="111" t="n"/>
      <c r="G818" s="111" t="n"/>
      <c r="H818" s="119">
        <f>IF(G818="Yes","",D818)</f>
        <v/>
      </c>
      <c r="I818" s="111" t="n"/>
      <c r="J818" s="111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68">
      <c r="A819" s="113" t="n"/>
      <c r="B819" s="111" t="n"/>
      <c r="C819" s="111" t="n"/>
      <c r="D819" s="117" t="n"/>
      <c r="E819" s="118">
        <f>IF(F819="","",IF(OR(F819="HDFC Bank (INR)",F819="HDFC IOCL Credit Card (INR)",F819="HDFC Swiggy Credit Card (INR)",F819="Axis Airtel Credit Card (INR)"),"INR","GBP"))</f>
        <v/>
      </c>
      <c r="F819" s="111" t="n"/>
      <c r="G819" s="111" t="n"/>
      <c r="H819" s="119">
        <f>IF(G819="Yes","",D819)</f>
        <v/>
      </c>
      <c r="I819" s="111" t="n"/>
      <c r="J819" s="111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68">
      <c r="A820" s="113" t="n"/>
      <c r="B820" s="111" t="n"/>
      <c r="C820" s="111" t="n"/>
      <c r="D820" s="117" t="n"/>
      <c r="E820" s="118">
        <f>IF(F820="","",IF(OR(F820="HDFC Bank (INR)",F820="HDFC IOCL Credit Card (INR)",F820="HDFC Swiggy Credit Card (INR)",F820="Axis Airtel Credit Card (INR)"),"INR","GBP"))</f>
        <v/>
      </c>
      <c r="F820" s="111" t="n"/>
      <c r="G820" s="111" t="n"/>
      <c r="H820" s="119">
        <f>IF(G820="Yes","",D820)</f>
        <v/>
      </c>
      <c r="I820" s="111" t="n"/>
      <c r="J820" s="111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68">
      <c r="A821" s="113" t="n"/>
      <c r="B821" s="111" t="n"/>
      <c r="C821" s="111" t="n"/>
      <c r="D821" s="117" t="n"/>
      <c r="E821" s="118">
        <f>IF(F821="","",IF(OR(F821="HDFC Bank (INR)",F821="HDFC IOCL Credit Card (INR)",F821="HDFC Swiggy Credit Card (INR)",F821="Axis Airtel Credit Card (INR)"),"INR","GBP"))</f>
        <v/>
      </c>
      <c r="F821" s="111" t="n"/>
      <c r="G821" s="111" t="n"/>
      <c r="H821" s="119">
        <f>IF(G821="Yes","",D821)</f>
        <v/>
      </c>
      <c r="I821" s="111" t="n"/>
      <c r="J821" s="111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68">
      <c r="A822" s="113" t="n"/>
      <c r="B822" s="111" t="n"/>
      <c r="C822" s="111" t="n"/>
      <c r="D822" s="117" t="n"/>
      <c r="E822" s="118">
        <f>IF(F822="","",IF(OR(F822="HDFC Bank (INR)",F822="HDFC IOCL Credit Card (INR)",F822="HDFC Swiggy Credit Card (INR)",F822="Axis Airtel Credit Card (INR)"),"INR","GBP"))</f>
        <v/>
      </c>
      <c r="F822" s="111" t="n"/>
      <c r="G822" s="111" t="n"/>
      <c r="H822" s="119">
        <f>IF(G822="Yes","",D822)</f>
        <v/>
      </c>
      <c r="I822" s="111" t="n"/>
      <c r="J822" s="111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68">
      <c r="A823" s="113" t="n"/>
      <c r="B823" s="111" t="n"/>
      <c r="C823" s="111" t="n"/>
      <c r="D823" s="117" t="n"/>
      <c r="E823" s="118">
        <f>IF(F823="","",IF(OR(F823="HDFC Bank (INR)",F823="HDFC IOCL Credit Card (INR)",F823="HDFC Swiggy Credit Card (INR)",F823="Axis Airtel Credit Card (INR)"),"INR","GBP"))</f>
        <v/>
      </c>
      <c r="F823" s="111" t="n"/>
      <c r="G823" s="111" t="n"/>
      <c r="H823" s="119">
        <f>IF(G823="Yes","",D823)</f>
        <v/>
      </c>
      <c r="I823" s="111" t="n"/>
      <c r="J823" s="111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68">
      <c r="A824" s="113" t="n"/>
      <c r="B824" s="111" t="n"/>
      <c r="C824" s="111" t="n"/>
      <c r="D824" s="117" t="n"/>
      <c r="E824" s="118">
        <f>IF(F824="","",IF(OR(F824="HDFC Bank (INR)",F824="HDFC IOCL Credit Card (INR)",F824="HDFC Swiggy Credit Card (INR)",F824="Axis Airtel Credit Card (INR)"),"INR","GBP"))</f>
        <v/>
      </c>
      <c r="F824" s="111" t="n"/>
      <c r="G824" s="111" t="n"/>
      <c r="H824" s="119">
        <f>IF(G824="Yes","",D824)</f>
        <v/>
      </c>
      <c r="I824" s="111" t="n"/>
      <c r="J824" s="111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68">
      <c r="A825" s="113" t="n"/>
      <c r="B825" s="111" t="n"/>
      <c r="C825" s="111" t="n"/>
      <c r="D825" s="117" t="n"/>
      <c r="E825" s="118">
        <f>IF(F825="","",IF(OR(F825="HDFC Bank (INR)",F825="HDFC IOCL Credit Card (INR)",F825="HDFC Swiggy Credit Card (INR)",F825="Axis Airtel Credit Card (INR)"),"INR","GBP"))</f>
        <v/>
      </c>
      <c r="F825" s="111" t="n"/>
      <c r="G825" s="111" t="n"/>
      <c r="H825" s="119">
        <f>IF(G825="Yes","",D825)</f>
        <v/>
      </c>
      <c r="I825" s="111" t="n"/>
      <c r="J825" s="111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68">
      <c r="A826" s="113" t="n"/>
      <c r="B826" s="111" t="n"/>
      <c r="C826" s="111" t="n"/>
      <c r="D826" s="117" t="n"/>
      <c r="E826" s="118">
        <f>IF(F826="","",IF(OR(F826="HDFC Bank (INR)",F826="HDFC IOCL Credit Card (INR)",F826="HDFC Swiggy Credit Card (INR)",F826="Axis Airtel Credit Card (INR)"),"INR","GBP"))</f>
        <v/>
      </c>
      <c r="F826" s="111" t="n"/>
      <c r="G826" s="111" t="n"/>
      <c r="H826" s="119">
        <f>IF(G826="Yes","",D826)</f>
        <v/>
      </c>
      <c r="I826" s="111" t="n"/>
      <c r="J826" s="111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68">
      <c r="A827" s="113" t="n"/>
      <c r="B827" s="111" t="n"/>
      <c r="C827" s="111" t="n"/>
      <c r="D827" s="117" t="n"/>
      <c r="E827" s="118">
        <f>IF(F827="","",IF(OR(F827="HDFC Bank (INR)",F827="HDFC IOCL Credit Card (INR)",F827="HDFC Swiggy Credit Card (INR)",F827="Axis Airtel Credit Card (INR)"),"INR","GBP"))</f>
        <v/>
      </c>
      <c r="F827" s="111" t="n"/>
      <c r="G827" s="111" t="n"/>
      <c r="H827" s="119">
        <f>IF(G827="Yes","",D827)</f>
        <v/>
      </c>
      <c r="I827" s="111" t="n"/>
      <c r="J827" s="111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68">
      <c r="A828" s="113" t="n"/>
      <c r="B828" s="111" t="n"/>
      <c r="C828" s="111" t="n"/>
      <c r="D828" s="117" t="n"/>
      <c r="E828" s="118">
        <f>IF(F828="","",IF(OR(F828="HDFC Bank (INR)",F828="HDFC IOCL Credit Card (INR)",F828="HDFC Swiggy Credit Card (INR)",F828="Axis Airtel Credit Card (INR)"),"INR","GBP"))</f>
        <v/>
      </c>
      <c r="F828" s="111" t="n"/>
      <c r="G828" s="111" t="n"/>
      <c r="H828" s="119">
        <f>IF(G828="Yes","",D828)</f>
        <v/>
      </c>
      <c r="I828" s="111" t="n"/>
      <c r="J828" s="111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68">
      <c r="A829" s="113" t="n"/>
      <c r="B829" s="111" t="n"/>
      <c r="C829" s="111" t="n"/>
      <c r="D829" s="117" t="n"/>
      <c r="E829" s="118">
        <f>IF(F829="","",IF(OR(F829="HDFC Bank (INR)",F829="HDFC IOCL Credit Card (INR)",F829="HDFC Swiggy Credit Card (INR)",F829="Axis Airtel Credit Card (INR)"),"INR","GBP"))</f>
        <v/>
      </c>
      <c r="F829" s="111" t="n"/>
      <c r="G829" s="111" t="n"/>
      <c r="H829" s="119">
        <f>IF(G829="Yes","",D829)</f>
        <v/>
      </c>
      <c r="I829" s="111" t="n"/>
      <c r="J829" s="111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68">
      <c r="A830" s="113" t="n"/>
      <c r="B830" s="111" t="n"/>
      <c r="C830" s="111" t="n"/>
      <c r="D830" s="117" t="n"/>
      <c r="E830" s="118">
        <f>IF(F830="","",IF(OR(F830="HDFC Bank (INR)",F830="HDFC IOCL Credit Card (INR)",F830="HDFC Swiggy Credit Card (INR)",F830="Axis Airtel Credit Card (INR)"),"INR","GBP"))</f>
        <v/>
      </c>
      <c r="F830" s="111" t="n"/>
      <c r="G830" s="111" t="n"/>
      <c r="H830" s="119">
        <f>IF(G830="Yes","",D830)</f>
        <v/>
      </c>
      <c r="I830" s="111" t="n"/>
      <c r="J830" s="111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68">
      <c r="A831" s="113" t="n"/>
      <c r="B831" s="111" t="n"/>
      <c r="C831" s="111" t="n"/>
      <c r="D831" s="117" t="n"/>
      <c r="E831" s="118">
        <f>IF(F831="","",IF(OR(F831="HDFC Bank (INR)",F831="HDFC IOCL Credit Card (INR)",F831="HDFC Swiggy Credit Card (INR)",F831="Axis Airtel Credit Card (INR)"),"INR","GBP"))</f>
        <v/>
      </c>
      <c r="F831" s="111" t="n"/>
      <c r="G831" s="111" t="n"/>
      <c r="H831" s="119">
        <f>IF(G831="Yes","",D831)</f>
        <v/>
      </c>
      <c r="I831" s="111" t="n"/>
      <c r="J831" s="111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68">
      <c r="A832" s="113" t="n"/>
      <c r="B832" s="111" t="n"/>
      <c r="C832" s="111" t="n"/>
      <c r="D832" s="117" t="n"/>
      <c r="E832" s="118">
        <f>IF(F832="","",IF(OR(F832="HDFC Bank (INR)",F832="HDFC IOCL Credit Card (INR)",F832="HDFC Swiggy Credit Card (INR)",F832="Axis Airtel Credit Card (INR)"),"INR","GBP"))</f>
        <v/>
      </c>
      <c r="F832" s="111" t="n"/>
      <c r="G832" s="111" t="n"/>
      <c r="H832" s="119">
        <f>IF(G832="Yes","",D832)</f>
        <v/>
      </c>
      <c r="I832" s="111" t="n"/>
      <c r="J832" s="111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68">
      <c r="A833" s="113" t="n"/>
      <c r="B833" s="111" t="n"/>
      <c r="C833" s="111" t="n"/>
      <c r="D833" s="117" t="n"/>
      <c r="E833" s="118">
        <f>IF(F833="","",IF(OR(F833="HDFC Bank (INR)",F833="HDFC IOCL Credit Card (INR)",F833="HDFC Swiggy Credit Card (INR)",F833="Axis Airtel Credit Card (INR)"),"INR","GBP"))</f>
        <v/>
      </c>
      <c r="F833" s="111" t="n"/>
      <c r="G833" s="111" t="n"/>
      <c r="H833" s="119">
        <f>IF(G833="Yes","",D833)</f>
        <v/>
      </c>
      <c r="I833" s="111" t="n"/>
      <c r="J833" s="111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68">
      <c r="A834" s="113" t="n"/>
      <c r="B834" s="111" t="n"/>
      <c r="C834" s="111" t="n"/>
      <c r="D834" s="117" t="n"/>
      <c r="E834" s="118">
        <f>IF(F834="","",IF(OR(F834="HDFC Bank (INR)",F834="HDFC IOCL Credit Card (INR)",F834="HDFC Swiggy Credit Card (INR)",F834="Axis Airtel Credit Card (INR)"),"INR","GBP"))</f>
        <v/>
      </c>
      <c r="F834" s="111" t="n"/>
      <c r="G834" s="111" t="n"/>
      <c r="H834" s="119">
        <f>IF(G834="Yes","",D834)</f>
        <v/>
      </c>
      <c r="I834" s="111" t="n"/>
      <c r="J834" s="111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68">
      <c r="A835" s="113" t="n"/>
      <c r="B835" s="111" t="n"/>
      <c r="C835" s="111" t="n"/>
      <c r="D835" s="117" t="n"/>
      <c r="E835" s="118">
        <f>IF(F835="","",IF(OR(F835="HDFC Bank (INR)",F835="HDFC IOCL Credit Card (INR)",F835="HDFC Swiggy Credit Card (INR)",F835="Axis Airtel Credit Card (INR)"),"INR","GBP"))</f>
        <v/>
      </c>
      <c r="F835" s="111" t="n"/>
      <c r="G835" s="111" t="n"/>
      <c r="H835" s="119">
        <f>IF(G835="Yes","",D835)</f>
        <v/>
      </c>
      <c r="I835" s="111" t="n"/>
      <c r="J835" s="111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68">
      <c r="A836" s="113" t="n"/>
      <c r="B836" s="111" t="n"/>
      <c r="C836" s="111" t="n"/>
      <c r="D836" s="117" t="n"/>
      <c r="E836" s="118">
        <f>IF(F836="","",IF(OR(F836="HDFC Bank (INR)",F836="HDFC IOCL Credit Card (INR)",F836="HDFC Swiggy Credit Card (INR)",F836="Axis Airtel Credit Card (INR)"),"INR","GBP"))</f>
        <v/>
      </c>
      <c r="F836" s="111" t="n"/>
      <c r="G836" s="111" t="n"/>
      <c r="H836" s="119">
        <f>IF(G836="Yes","",D836)</f>
        <v/>
      </c>
      <c r="I836" s="111" t="n"/>
      <c r="J836" s="111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68">
      <c r="A837" s="113" t="n"/>
      <c r="B837" s="111" t="n"/>
      <c r="C837" s="111" t="n"/>
      <c r="D837" s="117" t="n"/>
      <c r="E837" s="118">
        <f>IF(F837="","",IF(OR(F837="HDFC Bank (INR)",F837="HDFC IOCL Credit Card (INR)",F837="HDFC Swiggy Credit Card (INR)",F837="Axis Airtel Credit Card (INR)"),"INR","GBP"))</f>
        <v/>
      </c>
      <c r="F837" s="111" t="n"/>
      <c r="G837" s="111" t="n"/>
      <c r="H837" s="119">
        <f>IF(G837="Yes","",D837)</f>
        <v/>
      </c>
      <c r="I837" s="111" t="n"/>
      <c r="J837" s="111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68">
      <c r="A838" s="113" t="n"/>
      <c r="B838" s="111" t="n"/>
      <c r="C838" s="111" t="n"/>
      <c r="D838" s="117" t="n"/>
      <c r="E838" s="118">
        <f>IF(F838="","",IF(OR(F838="HDFC Bank (INR)",F838="HDFC IOCL Credit Card (INR)",F838="HDFC Swiggy Credit Card (INR)",F838="Axis Airtel Credit Card (INR)"),"INR","GBP"))</f>
        <v/>
      </c>
      <c r="F838" s="111" t="n"/>
      <c r="G838" s="111" t="n"/>
      <c r="H838" s="119">
        <f>IF(G838="Yes","",D838)</f>
        <v/>
      </c>
      <c r="I838" s="111" t="n"/>
      <c r="J838" s="111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68">
      <c r="A839" s="113" t="n"/>
      <c r="B839" s="111" t="n"/>
      <c r="C839" s="111" t="n"/>
      <c r="D839" s="117" t="n"/>
      <c r="E839" s="118">
        <f>IF(F839="","",IF(OR(F839="HDFC Bank (INR)",F839="HDFC IOCL Credit Card (INR)",F839="HDFC Swiggy Credit Card (INR)",F839="Axis Airtel Credit Card (INR)"),"INR","GBP"))</f>
        <v/>
      </c>
      <c r="F839" s="111" t="n"/>
      <c r="G839" s="111" t="n"/>
      <c r="H839" s="119">
        <f>IF(G839="Yes","",D839)</f>
        <v/>
      </c>
      <c r="I839" s="111" t="n"/>
      <c r="J839" s="111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68">
      <c r="A840" s="113" t="n"/>
      <c r="B840" s="111" t="n"/>
      <c r="C840" s="111" t="n"/>
      <c r="D840" s="117" t="n"/>
      <c r="E840" s="118">
        <f>IF(F840="","",IF(OR(F840="HDFC Bank (INR)",F840="HDFC IOCL Credit Card (INR)",F840="HDFC Swiggy Credit Card (INR)",F840="Axis Airtel Credit Card (INR)"),"INR","GBP"))</f>
        <v/>
      </c>
      <c r="F840" s="111" t="n"/>
      <c r="G840" s="111" t="n"/>
      <c r="H840" s="119">
        <f>IF(G840="Yes","",D840)</f>
        <v/>
      </c>
      <c r="I840" s="111" t="n"/>
      <c r="J840" s="111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68">
      <c r="A841" s="113" t="n"/>
      <c r="B841" s="111" t="n"/>
      <c r="C841" s="111" t="n"/>
      <c r="D841" s="117" t="n"/>
      <c r="E841" s="118">
        <f>IF(F841="","",IF(OR(F841="HDFC Bank (INR)",F841="HDFC IOCL Credit Card (INR)",F841="HDFC Swiggy Credit Card (INR)",F841="Axis Airtel Credit Card (INR)"),"INR","GBP"))</f>
        <v/>
      </c>
      <c r="F841" s="111" t="n"/>
      <c r="G841" s="111" t="n"/>
      <c r="H841" s="119">
        <f>IF(G841="Yes","",D841)</f>
        <v/>
      </c>
      <c r="I841" s="111" t="n"/>
      <c r="J841" s="111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68">
      <c r="A842" s="113" t="n"/>
      <c r="B842" s="111" t="n"/>
      <c r="C842" s="111" t="n"/>
      <c r="D842" s="117" t="n"/>
      <c r="E842" s="118">
        <f>IF(F842="","",IF(OR(F842="HDFC Bank (INR)",F842="HDFC IOCL Credit Card (INR)",F842="HDFC Swiggy Credit Card (INR)",F842="Axis Airtel Credit Card (INR)"),"INR","GBP"))</f>
        <v/>
      </c>
      <c r="F842" s="111" t="n"/>
      <c r="G842" s="111" t="n"/>
      <c r="H842" s="119">
        <f>IF(G842="Yes","",D842)</f>
        <v/>
      </c>
      <c r="I842" s="111" t="n"/>
      <c r="J842" s="111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68">
      <c r="A843" s="113" t="n"/>
      <c r="B843" s="111" t="n"/>
      <c r="C843" s="111" t="n"/>
      <c r="D843" s="117" t="n"/>
      <c r="E843" s="118">
        <f>IF(F843="","",IF(OR(F843="HDFC Bank (INR)",F843="HDFC IOCL Credit Card (INR)",F843="HDFC Swiggy Credit Card (INR)",F843="Axis Airtel Credit Card (INR)"),"INR","GBP"))</f>
        <v/>
      </c>
      <c r="F843" s="111" t="n"/>
      <c r="G843" s="111" t="n"/>
      <c r="H843" s="119">
        <f>IF(G843="Yes","",D843)</f>
        <v/>
      </c>
      <c r="I843" s="111" t="n"/>
      <c r="J843" s="111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68">
      <c r="A844" s="113" t="n"/>
      <c r="B844" s="111" t="n"/>
      <c r="C844" s="111" t="n"/>
      <c r="D844" s="117" t="n"/>
      <c r="E844" s="118">
        <f>IF(F844="","",IF(OR(F844="HDFC Bank (INR)",F844="HDFC IOCL Credit Card (INR)",F844="HDFC Swiggy Credit Card (INR)",F844="Axis Airtel Credit Card (INR)"),"INR","GBP"))</f>
        <v/>
      </c>
      <c r="F844" s="111" t="n"/>
      <c r="G844" s="111" t="n"/>
      <c r="H844" s="119">
        <f>IF(G844="Yes","",D844)</f>
        <v/>
      </c>
      <c r="I844" s="111" t="n"/>
      <c r="J844" s="111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68">
      <c r="A845" s="113" t="n"/>
      <c r="B845" s="111" t="n"/>
      <c r="C845" s="111" t="n"/>
      <c r="D845" s="117" t="n"/>
      <c r="E845" s="118">
        <f>IF(F845="","",IF(OR(F845="HDFC Bank (INR)",F845="HDFC IOCL Credit Card (INR)",F845="HDFC Swiggy Credit Card (INR)",F845="Axis Airtel Credit Card (INR)"),"INR","GBP"))</f>
        <v/>
      </c>
      <c r="F845" s="111" t="n"/>
      <c r="G845" s="111" t="n"/>
      <c r="H845" s="119">
        <f>IF(G845="Yes","",D845)</f>
        <v/>
      </c>
      <c r="I845" s="111" t="n"/>
      <c r="J845" s="111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68">
      <c r="A846" s="113" t="n"/>
      <c r="B846" s="111" t="n"/>
      <c r="C846" s="111" t="n"/>
      <c r="D846" s="117" t="n"/>
      <c r="E846" s="118">
        <f>IF(F846="","",IF(OR(F846="HDFC Bank (INR)",F846="HDFC IOCL Credit Card (INR)",F846="HDFC Swiggy Credit Card (INR)",F846="Axis Airtel Credit Card (INR)"),"INR","GBP"))</f>
        <v/>
      </c>
      <c r="F846" s="111" t="n"/>
      <c r="G846" s="111" t="n"/>
      <c r="H846" s="119">
        <f>IF(G846="Yes","",D846)</f>
        <v/>
      </c>
      <c r="I846" s="111" t="n"/>
      <c r="J846" s="111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68">
      <c r="A847" s="113" t="n"/>
      <c r="B847" s="111" t="n"/>
      <c r="C847" s="111" t="n"/>
      <c r="D847" s="117" t="n"/>
      <c r="E847" s="118">
        <f>IF(F847="","",IF(OR(F847="HDFC Bank (INR)",F847="HDFC IOCL Credit Card (INR)",F847="HDFC Swiggy Credit Card (INR)",F847="Axis Airtel Credit Card (INR)"),"INR","GBP"))</f>
        <v/>
      </c>
      <c r="F847" s="111" t="n"/>
      <c r="G847" s="111" t="n"/>
      <c r="H847" s="119">
        <f>IF(G847="Yes","",D847)</f>
        <v/>
      </c>
      <c r="I847" s="111" t="n"/>
      <c r="J847" s="111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68">
      <c r="A848" s="113" t="n"/>
      <c r="B848" s="111" t="n"/>
      <c r="C848" s="111" t="n"/>
      <c r="D848" s="117" t="n"/>
      <c r="E848" s="118">
        <f>IF(F848="","",IF(OR(F848="HDFC Bank (INR)",F848="HDFC IOCL Credit Card (INR)",F848="HDFC Swiggy Credit Card (INR)",F848="Axis Airtel Credit Card (INR)"),"INR","GBP"))</f>
        <v/>
      </c>
      <c r="F848" s="111" t="n"/>
      <c r="G848" s="111" t="n"/>
      <c r="H848" s="119">
        <f>IF(G848="Yes","",D848)</f>
        <v/>
      </c>
      <c r="I848" s="111" t="n"/>
      <c r="J848" s="111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68">
      <c r="A849" s="113" t="n"/>
      <c r="B849" s="111" t="n"/>
      <c r="C849" s="111" t="n"/>
      <c r="D849" s="117" t="n"/>
      <c r="E849" s="118">
        <f>IF(F849="","",IF(OR(F849="HDFC Bank (INR)",F849="HDFC IOCL Credit Card (INR)",F849="HDFC Swiggy Credit Card (INR)",F849="Axis Airtel Credit Card (INR)"),"INR","GBP"))</f>
        <v/>
      </c>
      <c r="F849" s="111" t="n"/>
      <c r="G849" s="111" t="n"/>
      <c r="H849" s="119">
        <f>IF(G849="Yes","",D849)</f>
        <v/>
      </c>
      <c r="I849" s="111" t="n"/>
      <c r="J849" s="111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68">
      <c r="A850" s="113" t="n"/>
      <c r="B850" s="111" t="n"/>
      <c r="C850" s="111" t="n"/>
      <c r="D850" s="117" t="n"/>
      <c r="E850" s="118">
        <f>IF(F850="","",IF(OR(F850="HDFC Bank (INR)",F850="HDFC IOCL Credit Card (INR)",F850="HDFC Swiggy Credit Card (INR)",F850="Axis Airtel Credit Card (INR)"),"INR","GBP"))</f>
        <v/>
      </c>
      <c r="F850" s="111" t="n"/>
      <c r="G850" s="111" t="n"/>
      <c r="H850" s="119">
        <f>IF(G850="Yes","",D850)</f>
        <v/>
      </c>
      <c r="I850" s="111" t="n"/>
      <c r="J850" s="111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68">
      <c r="A851" s="113" t="n"/>
      <c r="B851" s="111" t="n"/>
      <c r="C851" s="111" t="n"/>
      <c r="D851" s="117" t="n"/>
      <c r="E851" s="118">
        <f>IF(F851="","",IF(OR(F851="HDFC Bank (INR)",F851="HDFC IOCL Credit Card (INR)",F851="HDFC Swiggy Credit Card (INR)",F851="Axis Airtel Credit Card (INR)"),"INR","GBP"))</f>
        <v/>
      </c>
      <c r="F851" s="111" t="n"/>
      <c r="G851" s="111" t="n"/>
      <c r="H851" s="119">
        <f>IF(G851="Yes","",D851)</f>
        <v/>
      </c>
      <c r="I851" s="111" t="n"/>
      <c r="J851" s="111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68">
      <c r="A852" s="113" t="n"/>
      <c r="B852" s="111" t="n"/>
      <c r="C852" s="111" t="n"/>
      <c r="D852" s="117" t="n"/>
      <c r="E852" s="118">
        <f>IF(F852="","",IF(OR(F852="HDFC Bank (INR)",F852="HDFC IOCL Credit Card (INR)",F852="HDFC Swiggy Credit Card (INR)",F852="Axis Airtel Credit Card (INR)"),"INR","GBP"))</f>
        <v/>
      </c>
      <c r="F852" s="111" t="n"/>
      <c r="G852" s="111" t="n"/>
      <c r="H852" s="119">
        <f>IF(G852="Yes","",D852)</f>
        <v/>
      </c>
      <c r="I852" s="111" t="n"/>
      <c r="J852" s="111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68">
      <c r="A853" s="113" t="n"/>
      <c r="B853" s="111" t="n"/>
      <c r="C853" s="111" t="n"/>
      <c r="D853" s="117" t="n"/>
      <c r="E853" s="118">
        <f>IF(F853="","",IF(OR(F853="HDFC Bank (INR)",F853="HDFC IOCL Credit Card (INR)",F853="HDFC Swiggy Credit Card (INR)",F853="Axis Airtel Credit Card (INR)"),"INR","GBP"))</f>
        <v/>
      </c>
      <c r="F853" s="111" t="n"/>
      <c r="G853" s="111" t="n"/>
      <c r="H853" s="119">
        <f>IF(G853="Yes","",D853)</f>
        <v/>
      </c>
      <c r="I853" s="111" t="n"/>
      <c r="J853" s="111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68">
      <c r="A854" s="113" t="n"/>
      <c r="B854" s="111" t="n"/>
      <c r="C854" s="111" t="n"/>
      <c r="D854" s="117" t="n"/>
      <c r="E854" s="118">
        <f>IF(F854="","",IF(OR(F854="HDFC Bank (INR)",F854="HDFC IOCL Credit Card (INR)",F854="HDFC Swiggy Credit Card (INR)",F854="Axis Airtel Credit Card (INR)"),"INR","GBP"))</f>
        <v/>
      </c>
      <c r="F854" s="111" t="n"/>
      <c r="G854" s="111" t="n"/>
      <c r="H854" s="119">
        <f>IF(G854="Yes","",D854)</f>
        <v/>
      </c>
      <c r="I854" s="111" t="n"/>
      <c r="J854" s="111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68">
      <c r="A855" s="113" t="n"/>
      <c r="B855" s="111" t="n"/>
      <c r="C855" s="111" t="n"/>
      <c r="D855" s="117" t="n"/>
      <c r="E855" s="118">
        <f>IF(F855="","",IF(OR(F855="HDFC Bank (INR)",F855="HDFC IOCL Credit Card (INR)",F855="HDFC Swiggy Credit Card (INR)",F855="Axis Airtel Credit Card (INR)"),"INR","GBP"))</f>
        <v/>
      </c>
      <c r="F855" s="111" t="n"/>
      <c r="G855" s="111" t="n"/>
      <c r="H855" s="119">
        <f>IF(G855="Yes","",D855)</f>
        <v/>
      </c>
      <c r="I855" s="111" t="n"/>
      <c r="J855" s="111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68">
      <c r="A856" s="113" t="n"/>
      <c r="B856" s="111" t="n"/>
      <c r="C856" s="111" t="n"/>
      <c r="D856" s="117" t="n"/>
      <c r="E856" s="118">
        <f>IF(F856="","",IF(OR(F856="HDFC Bank (INR)",F856="HDFC IOCL Credit Card (INR)",F856="HDFC Swiggy Credit Card (INR)",F856="Axis Airtel Credit Card (INR)"),"INR","GBP"))</f>
        <v/>
      </c>
      <c r="F856" s="111" t="n"/>
      <c r="G856" s="111" t="n"/>
      <c r="H856" s="119">
        <f>IF(G856="Yes","",D856)</f>
        <v/>
      </c>
      <c r="I856" s="111" t="n"/>
      <c r="J856" s="111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68">
      <c r="A857" s="113" t="n"/>
      <c r="B857" s="111" t="n"/>
      <c r="C857" s="111" t="n"/>
      <c r="D857" s="117" t="n"/>
      <c r="E857" s="118">
        <f>IF(F857="","",IF(OR(F857="HDFC Bank (INR)",F857="HDFC IOCL Credit Card (INR)",F857="HDFC Swiggy Credit Card (INR)",F857="Axis Airtel Credit Card (INR)"),"INR","GBP"))</f>
        <v/>
      </c>
      <c r="F857" s="111" t="n"/>
      <c r="G857" s="111" t="n"/>
      <c r="H857" s="119">
        <f>IF(G857="Yes","",D857)</f>
        <v/>
      </c>
      <c r="I857" s="111" t="n"/>
      <c r="J857" s="111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68">
      <c r="A858" s="113" t="n"/>
      <c r="B858" s="111" t="n"/>
      <c r="C858" s="111" t="n"/>
      <c r="D858" s="117" t="n"/>
      <c r="E858" s="118">
        <f>IF(F858="","",IF(OR(F858="HDFC Bank (INR)",F858="HDFC IOCL Credit Card (INR)",F858="HDFC Swiggy Credit Card (INR)",F858="Axis Airtel Credit Card (INR)"),"INR","GBP"))</f>
        <v/>
      </c>
      <c r="F858" s="111" t="n"/>
      <c r="G858" s="111" t="n"/>
      <c r="H858" s="119">
        <f>IF(G858="Yes","",D858)</f>
        <v/>
      </c>
      <c r="I858" s="111" t="n"/>
      <c r="J858" s="111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68">
      <c r="A859" s="113" t="n"/>
      <c r="B859" s="111" t="n"/>
      <c r="C859" s="111" t="n"/>
      <c r="D859" s="117" t="n"/>
      <c r="E859" s="118">
        <f>IF(F859="","",IF(OR(F859="HDFC Bank (INR)",F859="HDFC IOCL Credit Card (INR)",F859="HDFC Swiggy Credit Card (INR)",F859="Axis Airtel Credit Card (INR)"),"INR","GBP"))</f>
        <v/>
      </c>
      <c r="F859" s="111" t="n"/>
      <c r="G859" s="111" t="n"/>
      <c r="H859" s="119">
        <f>IF(G859="Yes","",D859)</f>
        <v/>
      </c>
      <c r="I859" s="111" t="n"/>
      <c r="J859" s="111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68">
      <c r="A860" s="113" t="n"/>
      <c r="B860" s="111" t="n"/>
      <c r="C860" s="111" t="n"/>
      <c r="D860" s="117" t="n"/>
      <c r="E860" s="118">
        <f>IF(F860="","",IF(OR(F860="HDFC Bank (INR)",F860="HDFC IOCL Credit Card (INR)",F860="HDFC Swiggy Credit Card (INR)",F860="Axis Airtel Credit Card (INR)"),"INR","GBP"))</f>
        <v/>
      </c>
      <c r="F860" s="111" t="n"/>
      <c r="G860" s="111" t="n"/>
      <c r="H860" s="119">
        <f>IF(G860="Yes","",D860)</f>
        <v/>
      </c>
      <c r="I860" s="111" t="n"/>
      <c r="J860" s="111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68">
      <c r="A861" s="113" t="n"/>
      <c r="B861" s="111" t="n"/>
      <c r="C861" s="111" t="n"/>
      <c r="D861" s="117" t="n"/>
      <c r="E861" s="118">
        <f>IF(F861="","",IF(OR(F861="HDFC Bank (INR)",F861="HDFC IOCL Credit Card (INR)",F861="HDFC Swiggy Credit Card (INR)",F861="Axis Airtel Credit Card (INR)"),"INR","GBP"))</f>
        <v/>
      </c>
      <c r="F861" s="111" t="n"/>
      <c r="G861" s="111" t="n"/>
      <c r="H861" s="119">
        <f>IF(G861="Yes","",D861)</f>
        <v/>
      </c>
      <c r="I861" s="111" t="n"/>
      <c r="J861" s="111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68">
      <c r="A862" s="113" t="n"/>
      <c r="B862" s="111" t="n"/>
      <c r="C862" s="111" t="n"/>
      <c r="D862" s="117" t="n"/>
      <c r="E862" s="118">
        <f>IF(F862="","",IF(OR(F862="HDFC Bank (INR)",F862="HDFC IOCL Credit Card (INR)",F862="HDFC Swiggy Credit Card (INR)",F862="Axis Airtel Credit Card (INR)"),"INR","GBP"))</f>
        <v/>
      </c>
      <c r="F862" s="111" t="n"/>
      <c r="G862" s="111" t="n"/>
      <c r="H862" s="119">
        <f>IF(G862="Yes","",D862)</f>
        <v/>
      </c>
      <c r="I862" s="111" t="n"/>
      <c r="J862" s="111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68">
      <c r="A863" s="113" t="n"/>
      <c r="B863" s="111" t="n"/>
      <c r="C863" s="111" t="n"/>
      <c r="D863" s="117" t="n"/>
      <c r="E863" s="118">
        <f>IF(F863="","",IF(OR(F863="HDFC Bank (INR)",F863="HDFC IOCL Credit Card (INR)",F863="HDFC Swiggy Credit Card (INR)",F863="Axis Airtel Credit Card (INR)"),"INR","GBP"))</f>
        <v/>
      </c>
      <c r="F863" s="111" t="n"/>
      <c r="G863" s="111" t="n"/>
      <c r="H863" s="119">
        <f>IF(G863="Yes","",D863)</f>
        <v/>
      </c>
      <c r="I863" s="111" t="n"/>
      <c r="J863" s="111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68">
      <c r="A864" s="113" t="n"/>
      <c r="B864" s="111" t="n"/>
      <c r="C864" s="111" t="n"/>
      <c r="D864" s="117" t="n"/>
      <c r="E864" s="118">
        <f>IF(F864="","",IF(OR(F864="HDFC Bank (INR)",F864="HDFC IOCL Credit Card (INR)",F864="HDFC Swiggy Credit Card (INR)",F864="Axis Airtel Credit Card (INR)"),"INR","GBP"))</f>
        <v/>
      </c>
      <c r="F864" s="111" t="n"/>
      <c r="G864" s="111" t="n"/>
      <c r="H864" s="119">
        <f>IF(G864="Yes","",D864)</f>
        <v/>
      </c>
      <c r="I864" s="111" t="n"/>
      <c r="J864" s="111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68">
      <c r="A865" s="113" t="n"/>
      <c r="B865" s="111" t="n"/>
      <c r="C865" s="111" t="n"/>
      <c r="D865" s="117" t="n"/>
      <c r="E865" s="118">
        <f>IF(F865="","",IF(OR(F865="HDFC Bank (INR)",F865="HDFC IOCL Credit Card (INR)",F865="HDFC Swiggy Credit Card (INR)",F865="Axis Airtel Credit Card (INR)"),"INR","GBP"))</f>
        <v/>
      </c>
      <c r="F865" s="111" t="n"/>
      <c r="G865" s="111" t="n"/>
      <c r="H865" s="119">
        <f>IF(G865="Yes","",D865)</f>
        <v/>
      </c>
      <c r="I865" s="111" t="n"/>
      <c r="J865" s="111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68">
      <c r="A866" s="113" t="n"/>
      <c r="B866" s="111" t="n"/>
      <c r="C866" s="111" t="n"/>
      <c r="D866" s="117" t="n"/>
      <c r="E866" s="118">
        <f>IF(F866="","",IF(OR(F866="HDFC Bank (INR)",F866="HDFC IOCL Credit Card (INR)",F866="HDFC Swiggy Credit Card (INR)",F866="Axis Airtel Credit Card (INR)"),"INR","GBP"))</f>
        <v/>
      </c>
      <c r="F866" s="111" t="n"/>
      <c r="G866" s="111" t="n"/>
      <c r="H866" s="119">
        <f>IF(G866="Yes","",D866)</f>
        <v/>
      </c>
      <c r="I866" s="111" t="n"/>
      <c r="J866" s="111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68">
      <c r="A867" s="113" t="n"/>
      <c r="B867" s="111" t="n"/>
      <c r="C867" s="111" t="n"/>
      <c r="D867" s="117" t="n"/>
      <c r="E867" s="118">
        <f>IF(F867="","",IF(OR(F867="HDFC Bank (INR)",F867="HDFC IOCL Credit Card (INR)",F867="HDFC Swiggy Credit Card (INR)",F867="Axis Airtel Credit Card (INR)"),"INR","GBP"))</f>
        <v/>
      </c>
      <c r="F867" s="111" t="n"/>
      <c r="G867" s="111" t="n"/>
      <c r="H867" s="119">
        <f>IF(G867="Yes","",D867)</f>
        <v/>
      </c>
      <c r="I867" s="111" t="n"/>
      <c r="J867" s="111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68">
      <c r="A868" s="113" t="n"/>
      <c r="B868" s="111" t="n"/>
      <c r="C868" s="111" t="n"/>
      <c r="D868" s="117" t="n"/>
      <c r="E868" s="118">
        <f>IF(F868="","",IF(OR(F868="HDFC Bank (INR)",F868="HDFC IOCL Credit Card (INR)",F868="HDFC Swiggy Credit Card (INR)",F868="Axis Airtel Credit Card (INR)"),"INR","GBP"))</f>
        <v/>
      </c>
      <c r="F868" s="111" t="n"/>
      <c r="G868" s="111" t="n"/>
      <c r="H868" s="119">
        <f>IF(G868="Yes","",D868)</f>
        <v/>
      </c>
      <c r="I868" s="111" t="n"/>
      <c r="J868" s="111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68">
      <c r="A869" s="113" t="n"/>
      <c r="B869" s="111" t="n"/>
      <c r="C869" s="111" t="n"/>
      <c r="D869" s="117" t="n"/>
      <c r="E869" s="118">
        <f>IF(F869="","",IF(OR(F869="HDFC Bank (INR)",F869="HDFC IOCL Credit Card (INR)",F869="HDFC Swiggy Credit Card (INR)",F869="Axis Airtel Credit Card (INR)"),"INR","GBP"))</f>
        <v/>
      </c>
      <c r="F869" s="111" t="n"/>
      <c r="G869" s="111" t="n"/>
      <c r="H869" s="119">
        <f>IF(G869="Yes","",D869)</f>
        <v/>
      </c>
      <c r="I869" s="111" t="n"/>
      <c r="J869" s="111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68">
      <c r="A870" s="113" t="n"/>
      <c r="B870" s="111" t="n"/>
      <c r="C870" s="111" t="n"/>
      <c r="D870" s="117" t="n"/>
      <c r="E870" s="118">
        <f>IF(F870="","",IF(OR(F870="HDFC Bank (INR)",F870="HDFC IOCL Credit Card (INR)",F870="HDFC Swiggy Credit Card (INR)",F870="Axis Airtel Credit Card (INR)"),"INR","GBP"))</f>
        <v/>
      </c>
      <c r="F870" s="111" t="n"/>
      <c r="G870" s="111" t="n"/>
      <c r="H870" s="119">
        <f>IF(G870="Yes","",D870)</f>
        <v/>
      </c>
      <c r="I870" s="111" t="n"/>
      <c r="J870" s="111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68">
      <c r="A871" s="113" t="n"/>
      <c r="B871" s="111" t="n"/>
      <c r="C871" s="111" t="n"/>
      <c r="D871" s="117" t="n"/>
      <c r="E871" s="118">
        <f>IF(F871="","",IF(OR(F871="HDFC Bank (INR)",F871="HDFC IOCL Credit Card (INR)",F871="HDFC Swiggy Credit Card (INR)",F871="Axis Airtel Credit Card (INR)"),"INR","GBP"))</f>
        <v/>
      </c>
      <c r="F871" s="111" t="n"/>
      <c r="G871" s="111" t="n"/>
      <c r="H871" s="119">
        <f>IF(G871="Yes","",D871)</f>
        <v/>
      </c>
      <c r="I871" s="111" t="n"/>
      <c r="J871" s="111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68">
      <c r="A872" s="113" t="n"/>
      <c r="B872" s="111" t="n"/>
      <c r="C872" s="111" t="n"/>
      <c r="D872" s="117" t="n"/>
      <c r="E872" s="118">
        <f>IF(F872="","",IF(OR(F872="HDFC Bank (INR)",F872="HDFC IOCL Credit Card (INR)",F872="HDFC Swiggy Credit Card (INR)",F872="Axis Airtel Credit Card (INR)"),"INR","GBP"))</f>
        <v/>
      </c>
      <c r="F872" s="111" t="n"/>
      <c r="G872" s="111" t="n"/>
      <c r="H872" s="119">
        <f>IF(G872="Yes","",D872)</f>
        <v/>
      </c>
      <c r="I872" s="111" t="n"/>
      <c r="J872" s="111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68">
      <c r="A873" s="113" t="n"/>
      <c r="B873" s="111" t="n"/>
      <c r="C873" s="111" t="n"/>
      <c r="D873" s="117" t="n"/>
      <c r="E873" s="118">
        <f>IF(F873="","",IF(OR(F873="HDFC Bank (INR)",F873="HDFC IOCL Credit Card (INR)",F873="HDFC Swiggy Credit Card (INR)",F873="Axis Airtel Credit Card (INR)"),"INR","GBP"))</f>
        <v/>
      </c>
      <c r="F873" s="111" t="n"/>
      <c r="G873" s="111" t="n"/>
      <c r="H873" s="119">
        <f>IF(G873="Yes","",D873)</f>
        <v/>
      </c>
      <c r="I873" s="111" t="n"/>
      <c r="J873" s="111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68">
      <c r="A874" s="113" t="n"/>
      <c r="B874" s="111" t="n"/>
      <c r="C874" s="111" t="n"/>
      <c r="D874" s="117" t="n"/>
      <c r="E874" s="118">
        <f>IF(F874="","",IF(OR(F874="HDFC Bank (INR)",F874="HDFC IOCL Credit Card (INR)",F874="HDFC Swiggy Credit Card (INR)",F874="Axis Airtel Credit Card (INR)"),"INR","GBP"))</f>
        <v/>
      </c>
      <c r="F874" s="111" t="n"/>
      <c r="G874" s="111" t="n"/>
      <c r="H874" s="119">
        <f>IF(G874="Yes","",D874)</f>
        <v/>
      </c>
      <c r="I874" s="111" t="n"/>
      <c r="J874" s="111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68">
      <c r="A875" s="113" t="n"/>
      <c r="B875" s="111" t="n"/>
      <c r="C875" s="111" t="n"/>
      <c r="D875" s="117" t="n"/>
      <c r="E875" s="118">
        <f>IF(F875="","",IF(OR(F875="HDFC Bank (INR)",F875="HDFC IOCL Credit Card (INR)",F875="HDFC Swiggy Credit Card (INR)",F875="Axis Airtel Credit Card (INR)"),"INR","GBP"))</f>
        <v/>
      </c>
      <c r="F875" s="111" t="n"/>
      <c r="G875" s="111" t="n"/>
      <c r="H875" s="119">
        <f>IF(G875="Yes","",D875)</f>
        <v/>
      </c>
      <c r="I875" s="111" t="n"/>
      <c r="J875" s="111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68">
      <c r="A876" s="113" t="n"/>
      <c r="B876" s="111" t="n"/>
      <c r="C876" s="111" t="n"/>
      <c r="D876" s="117" t="n"/>
      <c r="E876" s="118">
        <f>IF(F876="","",IF(OR(F876="HDFC Bank (INR)",F876="HDFC IOCL Credit Card (INR)",F876="HDFC Swiggy Credit Card (INR)",F876="Axis Airtel Credit Card (INR)"),"INR","GBP"))</f>
        <v/>
      </c>
      <c r="F876" s="111" t="n"/>
      <c r="G876" s="111" t="n"/>
      <c r="H876" s="119">
        <f>IF(G876="Yes","",D876)</f>
        <v/>
      </c>
      <c r="I876" s="111" t="n"/>
      <c r="J876" s="111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68">
      <c r="A877" s="113" t="n"/>
      <c r="B877" s="111" t="n"/>
      <c r="C877" s="111" t="n"/>
      <c r="D877" s="117" t="n"/>
      <c r="E877" s="118">
        <f>IF(F877="","",IF(OR(F877="HDFC Bank (INR)",F877="HDFC IOCL Credit Card (INR)",F877="HDFC Swiggy Credit Card (INR)",F877="Axis Airtel Credit Card (INR)"),"INR","GBP"))</f>
        <v/>
      </c>
      <c r="F877" s="111" t="n"/>
      <c r="G877" s="111" t="n"/>
      <c r="H877" s="119">
        <f>IF(G877="Yes","",D877)</f>
        <v/>
      </c>
      <c r="I877" s="111" t="n"/>
      <c r="J877" s="111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68">
      <c r="A878" s="113" t="n"/>
      <c r="B878" s="111" t="n"/>
      <c r="C878" s="111" t="n"/>
      <c r="D878" s="117" t="n"/>
      <c r="E878" s="118">
        <f>IF(F878="","",IF(OR(F878="HDFC Bank (INR)",F878="HDFC IOCL Credit Card (INR)",F878="HDFC Swiggy Credit Card (INR)",F878="Axis Airtel Credit Card (INR)"),"INR","GBP"))</f>
        <v/>
      </c>
      <c r="F878" s="111" t="n"/>
      <c r="G878" s="111" t="n"/>
      <c r="H878" s="119">
        <f>IF(G878="Yes","",D878)</f>
        <v/>
      </c>
      <c r="I878" s="111" t="n"/>
      <c r="J878" s="111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68">
      <c r="A879" s="113" t="n"/>
      <c r="B879" s="111" t="n"/>
      <c r="C879" s="111" t="n"/>
      <c r="D879" s="117" t="n"/>
      <c r="E879" s="118">
        <f>IF(F879="","",IF(OR(F879="HDFC Bank (INR)",F879="HDFC IOCL Credit Card (INR)",F879="HDFC Swiggy Credit Card (INR)",F879="Axis Airtel Credit Card (INR)"),"INR","GBP"))</f>
        <v/>
      </c>
      <c r="F879" s="111" t="n"/>
      <c r="G879" s="111" t="n"/>
      <c r="H879" s="119">
        <f>IF(G879="Yes","",D879)</f>
        <v/>
      </c>
      <c r="I879" s="111" t="n"/>
      <c r="J879" s="111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68">
      <c r="A880" s="113" t="n"/>
      <c r="B880" s="111" t="n"/>
      <c r="C880" s="111" t="n"/>
      <c r="D880" s="117" t="n"/>
      <c r="E880" s="118">
        <f>IF(F880="","",IF(OR(F880="HDFC Bank (INR)",F880="HDFC IOCL Credit Card (INR)",F880="HDFC Swiggy Credit Card (INR)",F880="Axis Airtel Credit Card (INR)"),"INR","GBP"))</f>
        <v/>
      </c>
      <c r="F880" s="111" t="n"/>
      <c r="G880" s="111" t="n"/>
      <c r="H880" s="119">
        <f>IF(G880="Yes","",D880)</f>
        <v/>
      </c>
      <c r="I880" s="111" t="n"/>
      <c r="J880" s="111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68">
      <c r="A881" s="113" t="n"/>
      <c r="B881" s="111" t="n"/>
      <c r="C881" s="111" t="n"/>
      <c r="D881" s="117" t="n"/>
      <c r="E881" s="118">
        <f>IF(F881="","",IF(OR(F881="HDFC Bank (INR)",F881="HDFC IOCL Credit Card (INR)",F881="HDFC Swiggy Credit Card (INR)",F881="Axis Airtel Credit Card (INR)"),"INR","GBP"))</f>
        <v/>
      </c>
      <c r="F881" s="111" t="n"/>
      <c r="G881" s="111" t="n"/>
      <c r="H881" s="119">
        <f>IF(G881="Yes","",D881)</f>
        <v/>
      </c>
      <c r="I881" s="111" t="n"/>
      <c r="J881" s="111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68">
      <c r="A882" s="113" t="n"/>
      <c r="B882" s="111" t="n"/>
      <c r="C882" s="111" t="n"/>
      <c r="D882" s="117" t="n"/>
      <c r="E882" s="118">
        <f>IF(F882="","",IF(OR(F882="HDFC Bank (INR)",F882="HDFC IOCL Credit Card (INR)",F882="HDFC Swiggy Credit Card (INR)",F882="Axis Airtel Credit Card (INR)"),"INR","GBP"))</f>
        <v/>
      </c>
      <c r="F882" s="111" t="n"/>
      <c r="G882" s="111" t="n"/>
      <c r="H882" s="119">
        <f>IF(G882="Yes","",D882)</f>
        <v/>
      </c>
      <c r="I882" s="111" t="n"/>
      <c r="J882" s="111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68">
      <c r="A883" s="113" t="n"/>
      <c r="B883" s="111" t="n"/>
      <c r="C883" s="111" t="n"/>
      <c r="D883" s="117" t="n"/>
      <c r="E883" s="118">
        <f>IF(F883="","",IF(OR(F883="HDFC Bank (INR)",F883="HDFC IOCL Credit Card (INR)",F883="HDFC Swiggy Credit Card (INR)",F883="Axis Airtel Credit Card (INR)"),"INR","GBP"))</f>
        <v/>
      </c>
      <c r="F883" s="111" t="n"/>
      <c r="G883" s="111" t="n"/>
      <c r="H883" s="119">
        <f>IF(G883="Yes","",D883)</f>
        <v/>
      </c>
      <c r="I883" s="111" t="n"/>
      <c r="J883" s="111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68">
      <c r="A884" s="113" t="n"/>
      <c r="B884" s="111" t="n"/>
      <c r="C884" s="111" t="n"/>
      <c r="D884" s="117" t="n"/>
      <c r="E884" s="118">
        <f>IF(F884="","",IF(OR(F884="HDFC Bank (INR)",F884="HDFC IOCL Credit Card (INR)",F884="HDFC Swiggy Credit Card (INR)",F884="Axis Airtel Credit Card (INR)"),"INR","GBP"))</f>
        <v/>
      </c>
      <c r="F884" s="111" t="n"/>
      <c r="G884" s="111" t="n"/>
      <c r="H884" s="119">
        <f>IF(G884="Yes","",D884)</f>
        <v/>
      </c>
      <c r="I884" s="111" t="n"/>
      <c r="J884" s="111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68">
      <c r="A885" s="113" t="n"/>
      <c r="B885" s="111" t="n"/>
      <c r="C885" s="111" t="n"/>
      <c r="D885" s="117" t="n"/>
      <c r="E885" s="118">
        <f>IF(F885="","",IF(OR(F885="HDFC Bank (INR)",F885="HDFC IOCL Credit Card (INR)",F885="HDFC Swiggy Credit Card (INR)",F885="Axis Airtel Credit Card (INR)"),"INR","GBP"))</f>
        <v/>
      </c>
      <c r="F885" s="111" t="n"/>
      <c r="G885" s="111" t="n"/>
      <c r="H885" s="119">
        <f>IF(G885="Yes","",D885)</f>
        <v/>
      </c>
      <c r="I885" s="111" t="n"/>
      <c r="J885" s="111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68">
      <c r="A886" s="113" t="n"/>
      <c r="B886" s="111" t="n"/>
      <c r="C886" s="111" t="n"/>
      <c r="D886" s="117" t="n"/>
      <c r="E886" s="118">
        <f>IF(F886="","",IF(OR(F886="HDFC Bank (INR)",F886="HDFC IOCL Credit Card (INR)",F886="HDFC Swiggy Credit Card (INR)",F886="Axis Airtel Credit Card (INR)"),"INR","GBP"))</f>
        <v/>
      </c>
      <c r="F886" s="111" t="n"/>
      <c r="G886" s="111" t="n"/>
      <c r="H886" s="119">
        <f>IF(G886="Yes","",D886)</f>
        <v/>
      </c>
      <c r="I886" s="111" t="n"/>
      <c r="J886" s="111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68">
      <c r="A887" s="113" t="n"/>
      <c r="B887" s="111" t="n"/>
      <c r="C887" s="111" t="n"/>
      <c r="D887" s="117" t="n"/>
      <c r="E887" s="118">
        <f>IF(F887="","",IF(OR(F887="HDFC Bank (INR)",F887="HDFC IOCL Credit Card (INR)",F887="HDFC Swiggy Credit Card (INR)",F887="Axis Airtel Credit Card (INR)"),"INR","GBP"))</f>
        <v/>
      </c>
      <c r="F887" s="111" t="n"/>
      <c r="G887" s="111" t="n"/>
      <c r="H887" s="119">
        <f>IF(G887="Yes","",D887)</f>
        <v/>
      </c>
      <c r="I887" s="111" t="n"/>
      <c r="J887" s="111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68">
      <c r="A888" s="113" t="n"/>
      <c r="B888" s="111" t="n"/>
      <c r="C888" s="111" t="n"/>
      <c r="D888" s="117" t="n"/>
      <c r="E888" s="118">
        <f>IF(F888="","",IF(OR(F888="HDFC Bank (INR)",F888="HDFC IOCL Credit Card (INR)",F888="HDFC Swiggy Credit Card (INR)",F888="Axis Airtel Credit Card (INR)"),"INR","GBP"))</f>
        <v/>
      </c>
      <c r="F888" s="111" t="n"/>
      <c r="G888" s="111" t="n"/>
      <c r="H888" s="119">
        <f>IF(G888="Yes","",D888)</f>
        <v/>
      </c>
      <c r="I888" s="111" t="n"/>
      <c r="J888" s="111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68">
      <c r="A889" s="113" t="n"/>
      <c r="B889" s="111" t="n"/>
      <c r="C889" s="111" t="n"/>
      <c r="D889" s="117" t="n"/>
      <c r="E889" s="118">
        <f>IF(F889="","",IF(OR(F889="HDFC Bank (INR)",F889="HDFC IOCL Credit Card (INR)",F889="HDFC Swiggy Credit Card (INR)",F889="Axis Airtel Credit Card (INR)"),"INR","GBP"))</f>
        <v/>
      </c>
      <c r="F889" s="111" t="n"/>
      <c r="G889" s="111" t="n"/>
      <c r="H889" s="119">
        <f>IF(G889="Yes","",D889)</f>
        <v/>
      </c>
      <c r="I889" s="111" t="n"/>
      <c r="J889" s="111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68">
      <c r="A890" s="113" t="n"/>
      <c r="B890" s="111" t="n"/>
      <c r="C890" s="111" t="n"/>
      <c r="D890" s="117" t="n"/>
      <c r="E890" s="118">
        <f>IF(F890="","",IF(OR(F890="HDFC Bank (INR)",F890="HDFC IOCL Credit Card (INR)",F890="HDFC Swiggy Credit Card (INR)",F890="Axis Airtel Credit Card (INR)"),"INR","GBP"))</f>
        <v/>
      </c>
      <c r="F890" s="111" t="n"/>
      <c r="G890" s="111" t="n"/>
      <c r="H890" s="119">
        <f>IF(G890="Yes","",D890)</f>
        <v/>
      </c>
      <c r="I890" s="111" t="n"/>
      <c r="J890" s="111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68">
      <c r="A891" s="113" t="n"/>
      <c r="B891" s="111" t="n"/>
      <c r="C891" s="111" t="n"/>
      <c r="D891" s="117" t="n"/>
      <c r="E891" s="118">
        <f>IF(F891="","",IF(OR(F891="HDFC Bank (INR)",F891="HDFC IOCL Credit Card (INR)",F891="HDFC Swiggy Credit Card (INR)",F891="Axis Airtel Credit Card (INR)"),"INR","GBP"))</f>
        <v/>
      </c>
      <c r="F891" s="111" t="n"/>
      <c r="G891" s="111" t="n"/>
      <c r="H891" s="119">
        <f>IF(G891="Yes","",D891)</f>
        <v/>
      </c>
      <c r="I891" s="111" t="n"/>
      <c r="J891" s="111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68">
      <c r="A892" s="113" t="n"/>
      <c r="B892" s="111" t="n"/>
      <c r="C892" s="111" t="n"/>
      <c r="D892" s="117" t="n"/>
      <c r="E892" s="118">
        <f>IF(F892="","",IF(OR(F892="HDFC Bank (INR)",F892="HDFC IOCL Credit Card (INR)",F892="HDFC Swiggy Credit Card (INR)",F892="Axis Airtel Credit Card (INR)"),"INR","GBP"))</f>
        <v/>
      </c>
      <c r="F892" s="111" t="n"/>
      <c r="G892" s="111" t="n"/>
      <c r="H892" s="119">
        <f>IF(G892="Yes","",D892)</f>
        <v/>
      </c>
      <c r="I892" s="111" t="n"/>
      <c r="J892" s="111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68">
      <c r="A893" s="113" t="n"/>
      <c r="B893" s="111" t="n"/>
      <c r="C893" s="111" t="n"/>
      <c r="D893" s="117" t="n"/>
      <c r="E893" s="118">
        <f>IF(F893="","",IF(OR(F893="HDFC Bank (INR)",F893="HDFC IOCL Credit Card (INR)",F893="HDFC Swiggy Credit Card (INR)",F893="Axis Airtel Credit Card (INR)"),"INR","GBP"))</f>
        <v/>
      </c>
      <c r="F893" s="111" t="n"/>
      <c r="G893" s="111" t="n"/>
      <c r="H893" s="119">
        <f>IF(G893="Yes","",D893)</f>
        <v/>
      </c>
      <c r="I893" s="111" t="n"/>
      <c r="J893" s="111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68">
      <c r="A894" s="113" t="n"/>
      <c r="B894" s="111" t="n"/>
      <c r="C894" s="111" t="n"/>
      <c r="D894" s="117" t="n"/>
      <c r="E894" s="118">
        <f>IF(F894="","",IF(OR(F894="HDFC Bank (INR)",F894="HDFC IOCL Credit Card (INR)",F894="HDFC Swiggy Credit Card (INR)",F894="Axis Airtel Credit Card (INR)"),"INR","GBP"))</f>
        <v/>
      </c>
      <c r="F894" s="111" t="n"/>
      <c r="G894" s="111" t="n"/>
      <c r="H894" s="119">
        <f>IF(G894="Yes","",D894)</f>
        <v/>
      </c>
      <c r="I894" s="111" t="n"/>
      <c r="J894" s="111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68">
      <c r="A895" s="113" t="n"/>
      <c r="B895" s="111" t="n"/>
      <c r="C895" s="111" t="n"/>
      <c r="D895" s="117" t="n"/>
      <c r="E895" s="118">
        <f>IF(F895="","",IF(OR(F895="HDFC Bank (INR)",F895="HDFC IOCL Credit Card (INR)",F895="HDFC Swiggy Credit Card (INR)",F895="Axis Airtel Credit Card (INR)"),"INR","GBP"))</f>
        <v/>
      </c>
      <c r="F895" s="111" t="n"/>
      <c r="G895" s="111" t="n"/>
      <c r="H895" s="119">
        <f>IF(G895="Yes","",D895)</f>
        <v/>
      </c>
      <c r="I895" s="111" t="n"/>
      <c r="J895" s="111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68">
      <c r="A896" s="113" t="n"/>
      <c r="B896" s="111" t="n"/>
      <c r="C896" s="111" t="n"/>
      <c r="D896" s="117" t="n"/>
      <c r="E896" s="118">
        <f>IF(F896="","",IF(OR(F896="HDFC Bank (INR)",F896="HDFC IOCL Credit Card (INR)",F896="HDFC Swiggy Credit Card (INR)",F896="Axis Airtel Credit Card (INR)"),"INR","GBP"))</f>
        <v/>
      </c>
      <c r="F896" s="111" t="n"/>
      <c r="G896" s="111" t="n"/>
      <c r="H896" s="119">
        <f>IF(G896="Yes","",D896)</f>
        <v/>
      </c>
      <c r="I896" s="111" t="n"/>
      <c r="J896" s="111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68">
      <c r="A897" s="113" t="n"/>
      <c r="B897" s="111" t="n"/>
      <c r="C897" s="111" t="n"/>
      <c r="D897" s="117" t="n"/>
      <c r="E897" s="118">
        <f>IF(F897="","",IF(OR(F897="HDFC Bank (INR)",F897="HDFC IOCL Credit Card (INR)",F897="HDFC Swiggy Credit Card (INR)",F897="Axis Airtel Credit Card (INR)"),"INR","GBP"))</f>
        <v/>
      </c>
      <c r="F897" s="111" t="n"/>
      <c r="G897" s="111" t="n"/>
      <c r="H897" s="119">
        <f>IF(G897="Yes","",D897)</f>
        <v/>
      </c>
      <c r="I897" s="111" t="n"/>
      <c r="J897" s="111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68">
      <c r="A898" s="113" t="n"/>
      <c r="B898" s="111" t="n"/>
      <c r="C898" s="111" t="n"/>
      <c r="D898" s="117" t="n"/>
      <c r="E898" s="118">
        <f>IF(F898="","",IF(OR(F898="HDFC Bank (INR)",F898="HDFC IOCL Credit Card (INR)",F898="HDFC Swiggy Credit Card (INR)",F898="Axis Airtel Credit Card (INR)"),"INR","GBP"))</f>
        <v/>
      </c>
      <c r="F898" s="111" t="n"/>
      <c r="G898" s="111" t="n"/>
      <c r="H898" s="119">
        <f>IF(G898="Yes","",D898)</f>
        <v/>
      </c>
      <c r="I898" s="111" t="n"/>
      <c r="J898" s="111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68">
      <c r="A899" s="113" t="n"/>
      <c r="B899" s="111" t="n"/>
      <c r="C899" s="111" t="n"/>
      <c r="D899" s="117" t="n"/>
      <c r="E899" s="118">
        <f>IF(F899="","",IF(OR(F899="HDFC Bank (INR)",F899="HDFC IOCL Credit Card (INR)",F899="HDFC Swiggy Credit Card (INR)",F899="Axis Airtel Credit Card (INR)"),"INR","GBP"))</f>
        <v/>
      </c>
      <c r="F899" s="111" t="n"/>
      <c r="G899" s="111" t="n"/>
      <c r="H899" s="119">
        <f>IF(G899="Yes","",D899)</f>
        <v/>
      </c>
      <c r="I899" s="111" t="n"/>
      <c r="J899" s="111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68">
      <c r="A900" s="113" t="n"/>
      <c r="B900" s="111" t="n"/>
      <c r="C900" s="111" t="n"/>
      <c r="D900" s="117" t="n"/>
      <c r="E900" s="118">
        <f>IF(F900="","",IF(OR(F900="HDFC Bank (INR)",F900="HDFC IOCL Credit Card (INR)",F900="HDFC Swiggy Credit Card (INR)",F900="Axis Airtel Credit Card (INR)"),"INR","GBP"))</f>
        <v/>
      </c>
      <c r="F900" s="111" t="n"/>
      <c r="G900" s="111" t="n"/>
      <c r="H900" s="119">
        <f>IF(G900="Yes","",D900)</f>
        <v/>
      </c>
      <c r="I900" s="111" t="n"/>
      <c r="J900" s="111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68">
      <c r="A901" s="113" t="n"/>
      <c r="B901" s="111" t="n"/>
      <c r="C901" s="111" t="n"/>
      <c r="D901" s="117" t="n"/>
      <c r="E901" s="118">
        <f>IF(F901="","",IF(OR(F901="HDFC Bank (INR)",F901="HDFC IOCL Credit Card (INR)",F901="HDFC Swiggy Credit Card (INR)",F901="Axis Airtel Credit Card (INR)"),"INR","GBP"))</f>
        <v/>
      </c>
      <c r="F901" s="111" t="n"/>
      <c r="G901" s="111" t="n"/>
      <c r="H901" s="119">
        <f>IF(G901="Yes","",D901)</f>
        <v/>
      </c>
      <c r="I901" s="111" t="n"/>
      <c r="J901" s="111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68">
      <c r="A902" s="113" t="n"/>
      <c r="B902" s="111" t="n"/>
      <c r="C902" s="111" t="n"/>
      <c r="D902" s="117" t="n"/>
      <c r="E902" s="118">
        <f>IF(F902="","",IF(OR(F902="HDFC Bank (INR)",F902="HDFC IOCL Credit Card (INR)",F902="HDFC Swiggy Credit Card (INR)",F902="Axis Airtel Credit Card (INR)"),"INR","GBP"))</f>
        <v/>
      </c>
      <c r="F902" s="111" t="n"/>
      <c r="G902" s="111" t="n"/>
      <c r="H902" s="119">
        <f>IF(G902="Yes","",D902)</f>
        <v/>
      </c>
      <c r="I902" s="111" t="n"/>
      <c r="J902" s="111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68">
      <c r="A903" s="113" t="n"/>
      <c r="B903" s="111" t="n"/>
      <c r="C903" s="111" t="n"/>
      <c r="D903" s="117" t="n"/>
      <c r="E903" s="118">
        <f>IF(F903="","",IF(OR(F903="HDFC Bank (INR)",F903="HDFC IOCL Credit Card (INR)",F903="HDFC Swiggy Credit Card (INR)",F903="Axis Airtel Credit Card (INR)"),"INR","GBP"))</f>
        <v/>
      </c>
      <c r="F903" s="111" t="n"/>
      <c r="G903" s="111" t="n"/>
      <c r="H903" s="119">
        <f>IF(G903="Yes","",D903)</f>
        <v/>
      </c>
      <c r="I903" s="111" t="n"/>
      <c r="J903" s="111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68">
      <c r="A904" s="113" t="n"/>
      <c r="B904" s="111" t="n"/>
      <c r="C904" s="111" t="n"/>
      <c r="D904" s="117" t="n"/>
      <c r="E904" s="118">
        <f>IF(F904="","",IF(OR(F904="HDFC Bank (INR)",F904="HDFC IOCL Credit Card (INR)",F904="HDFC Swiggy Credit Card (INR)",F904="Axis Airtel Credit Card (INR)"),"INR","GBP"))</f>
        <v/>
      </c>
      <c r="F904" s="111" t="n"/>
      <c r="G904" s="111" t="n"/>
      <c r="H904" s="119">
        <f>IF(G904="Yes","",D904)</f>
        <v/>
      </c>
      <c r="I904" s="111" t="n"/>
      <c r="J904" s="111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68">
      <c r="A905" s="113" t="n"/>
      <c r="B905" s="111" t="n"/>
      <c r="C905" s="111" t="n"/>
      <c r="D905" s="117" t="n"/>
      <c r="E905" s="118">
        <f>IF(F905="","",IF(OR(F905="HDFC Bank (INR)",F905="HDFC IOCL Credit Card (INR)",F905="HDFC Swiggy Credit Card (INR)",F905="Axis Airtel Credit Card (INR)"),"INR","GBP"))</f>
        <v/>
      </c>
      <c r="F905" s="111" t="n"/>
      <c r="G905" s="111" t="n"/>
      <c r="H905" s="119">
        <f>IF(G905="Yes","",D905)</f>
        <v/>
      </c>
      <c r="I905" s="111" t="n"/>
      <c r="J905" s="111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68">
      <c r="A906" s="113" t="n"/>
      <c r="B906" s="111" t="n"/>
      <c r="C906" s="111" t="n"/>
      <c r="D906" s="117" t="n"/>
      <c r="E906" s="118">
        <f>IF(F906="","",IF(OR(F906="HDFC Bank (INR)",F906="HDFC IOCL Credit Card (INR)",F906="HDFC Swiggy Credit Card (INR)",F906="Axis Airtel Credit Card (INR)"),"INR","GBP"))</f>
        <v/>
      </c>
      <c r="F906" s="111" t="n"/>
      <c r="G906" s="111" t="n"/>
      <c r="H906" s="119">
        <f>IF(G906="Yes","",D906)</f>
        <v/>
      </c>
      <c r="I906" s="111" t="n"/>
      <c r="J906" s="111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68">
      <c r="A907" s="113" t="n"/>
      <c r="B907" s="111" t="n"/>
      <c r="C907" s="111" t="n"/>
      <c r="D907" s="117" t="n"/>
      <c r="E907" s="118">
        <f>IF(F907="","",IF(OR(F907="HDFC Bank (INR)",F907="HDFC IOCL Credit Card (INR)",F907="HDFC Swiggy Credit Card (INR)",F907="Axis Airtel Credit Card (INR)"),"INR","GBP"))</f>
        <v/>
      </c>
      <c r="F907" s="111" t="n"/>
      <c r="G907" s="111" t="n"/>
      <c r="H907" s="119">
        <f>IF(G907="Yes","",D907)</f>
        <v/>
      </c>
      <c r="I907" s="111" t="n"/>
      <c r="J907" s="111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68">
      <c r="A908" s="113" t="n"/>
      <c r="B908" s="111" t="n"/>
      <c r="C908" s="111" t="n"/>
      <c r="D908" s="117" t="n"/>
      <c r="E908" s="118">
        <f>IF(F908="","",IF(OR(F908="HDFC Bank (INR)",F908="HDFC IOCL Credit Card (INR)",F908="HDFC Swiggy Credit Card (INR)",F908="Axis Airtel Credit Card (INR)"),"INR","GBP"))</f>
        <v/>
      </c>
      <c r="F908" s="111" t="n"/>
      <c r="G908" s="111" t="n"/>
      <c r="H908" s="119">
        <f>IF(G908="Yes","",D908)</f>
        <v/>
      </c>
      <c r="I908" s="111" t="n"/>
      <c r="J908" s="111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68">
      <c r="A909" s="113" t="n"/>
      <c r="B909" s="111" t="n"/>
      <c r="C909" s="111" t="n"/>
      <c r="D909" s="117" t="n"/>
      <c r="E909" s="118">
        <f>IF(F909="","",IF(OR(F909="HDFC Bank (INR)",F909="HDFC IOCL Credit Card (INR)",F909="HDFC Swiggy Credit Card (INR)",F909="Axis Airtel Credit Card (INR)"),"INR","GBP"))</f>
        <v/>
      </c>
      <c r="F909" s="111" t="n"/>
      <c r="G909" s="111" t="n"/>
      <c r="H909" s="119">
        <f>IF(G909="Yes","",D909)</f>
        <v/>
      </c>
      <c r="I909" s="111" t="n"/>
      <c r="J909" s="111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68">
      <c r="A910" s="113" t="n"/>
      <c r="B910" s="111" t="n"/>
      <c r="C910" s="111" t="n"/>
      <c r="D910" s="117" t="n"/>
      <c r="E910" s="118">
        <f>IF(F910="","",IF(OR(F910="HDFC Bank (INR)",F910="HDFC IOCL Credit Card (INR)",F910="HDFC Swiggy Credit Card (INR)",F910="Axis Airtel Credit Card (INR)"),"INR","GBP"))</f>
        <v/>
      </c>
      <c r="F910" s="111" t="n"/>
      <c r="G910" s="111" t="n"/>
      <c r="H910" s="119">
        <f>IF(G910="Yes","",D910)</f>
        <v/>
      </c>
      <c r="I910" s="111" t="n"/>
      <c r="J910" s="111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68">
      <c r="A911" s="113" t="n"/>
      <c r="B911" s="111" t="n"/>
      <c r="C911" s="111" t="n"/>
      <c r="D911" s="117" t="n"/>
      <c r="E911" s="118">
        <f>IF(F911="","",IF(OR(F911="HDFC Bank (INR)",F911="HDFC IOCL Credit Card (INR)",F911="HDFC Swiggy Credit Card (INR)",F911="Axis Airtel Credit Card (INR)"),"INR","GBP"))</f>
        <v/>
      </c>
      <c r="F911" s="111" t="n"/>
      <c r="G911" s="111" t="n"/>
      <c r="H911" s="119">
        <f>IF(G911="Yes","",D911)</f>
        <v/>
      </c>
      <c r="I911" s="111" t="n"/>
      <c r="J911" s="111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68">
      <c r="A912" s="113" t="n"/>
      <c r="B912" s="111" t="n"/>
      <c r="C912" s="111" t="n"/>
      <c r="D912" s="117" t="n"/>
      <c r="E912" s="118">
        <f>IF(F912="","",IF(OR(F912="HDFC Bank (INR)",F912="HDFC IOCL Credit Card (INR)",F912="HDFC Swiggy Credit Card (INR)",F912="Axis Airtel Credit Card (INR)"),"INR","GBP"))</f>
        <v/>
      </c>
      <c r="F912" s="111" t="n"/>
      <c r="G912" s="111" t="n"/>
      <c r="H912" s="119">
        <f>IF(G912="Yes","",D912)</f>
        <v/>
      </c>
      <c r="I912" s="111" t="n"/>
      <c r="J912" s="111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68">
      <c r="A913" s="113" t="n"/>
      <c r="B913" s="111" t="n"/>
      <c r="C913" s="111" t="n"/>
      <c r="D913" s="117" t="n"/>
      <c r="E913" s="118">
        <f>IF(F913="","",IF(OR(F913="HDFC Bank (INR)",F913="HDFC IOCL Credit Card (INR)",F913="HDFC Swiggy Credit Card (INR)",F913="Axis Airtel Credit Card (INR)"),"INR","GBP"))</f>
        <v/>
      </c>
      <c r="F913" s="111" t="n"/>
      <c r="G913" s="111" t="n"/>
      <c r="H913" s="119">
        <f>IF(G913="Yes","",D913)</f>
        <v/>
      </c>
      <c r="I913" s="111" t="n"/>
      <c r="J913" s="111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68">
      <c r="A914" s="113" t="n"/>
      <c r="B914" s="111" t="n"/>
      <c r="C914" s="111" t="n"/>
      <c r="D914" s="117" t="n"/>
      <c r="E914" s="118">
        <f>IF(F914="","",IF(OR(F914="HDFC Bank (INR)",F914="HDFC IOCL Credit Card (INR)",F914="HDFC Swiggy Credit Card (INR)",F914="Axis Airtel Credit Card (INR)"),"INR","GBP"))</f>
        <v/>
      </c>
      <c r="F914" s="111" t="n"/>
      <c r="G914" s="111" t="n"/>
      <c r="H914" s="119">
        <f>IF(G914="Yes","",D914)</f>
        <v/>
      </c>
      <c r="I914" s="111" t="n"/>
      <c r="J914" s="111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68">
      <c r="A915" s="113" t="n"/>
      <c r="B915" s="111" t="n"/>
      <c r="C915" s="111" t="n"/>
      <c r="D915" s="117" t="n"/>
      <c r="E915" s="118">
        <f>IF(F915="","",IF(OR(F915="HDFC Bank (INR)",F915="HDFC IOCL Credit Card (INR)",F915="HDFC Swiggy Credit Card (INR)",F915="Axis Airtel Credit Card (INR)"),"INR","GBP"))</f>
        <v/>
      </c>
      <c r="F915" s="111" t="n"/>
      <c r="G915" s="111" t="n"/>
      <c r="H915" s="119">
        <f>IF(G915="Yes","",D915)</f>
        <v/>
      </c>
      <c r="I915" s="111" t="n"/>
      <c r="J915" s="111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68">
      <c r="A916" s="113" t="n"/>
      <c r="B916" s="111" t="n"/>
      <c r="C916" s="111" t="n"/>
      <c r="D916" s="117" t="n"/>
      <c r="E916" s="118">
        <f>IF(F916="","",IF(OR(F916="HDFC Bank (INR)",F916="HDFC IOCL Credit Card (INR)",F916="HDFC Swiggy Credit Card (INR)",F916="Axis Airtel Credit Card (INR)"),"INR","GBP"))</f>
        <v/>
      </c>
      <c r="F916" s="111" t="n"/>
      <c r="G916" s="111" t="n"/>
      <c r="H916" s="119">
        <f>IF(G916="Yes","",D916)</f>
        <v/>
      </c>
      <c r="I916" s="111" t="n"/>
      <c r="J916" s="111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68">
      <c r="A917" s="113" t="n"/>
      <c r="B917" s="111" t="n"/>
      <c r="C917" s="111" t="n"/>
      <c r="D917" s="117" t="n"/>
      <c r="E917" s="118">
        <f>IF(F917="","",IF(OR(F917="HDFC Bank (INR)",F917="HDFC IOCL Credit Card (INR)",F917="HDFC Swiggy Credit Card (INR)",F917="Axis Airtel Credit Card (INR)"),"INR","GBP"))</f>
        <v/>
      </c>
      <c r="F917" s="111" t="n"/>
      <c r="G917" s="111" t="n"/>
      <c r="H917" s="119">
        <f>IF(G917="Yes","",D917)</f>
        <v/>
      </c>
      <c r="I917" s="111" t="n"/>
      <c r="J917" s="111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68">
      <c r="A918" s="113" t="n"/>
      <c r="B918" s="111" t="n"/>
      <c r="C918" s="111" t="n"/>
      <c r="D918" s="117" t="n"/>
      <c r="E918" s="118">
        <f>IF(F918="","",IF(OR(F918="HDFC Bank (INR)",F918="HDFC IOCL Credit Card (INR)",F918="HDFC Swiggy Credit Card (INR)",F918="Axis Airtel Credit Card (INR)"),"INR","GBP"))</f>
        <v/>
      </c>
      <c r="F918" s="111" t="n"/>
      <c r="G918" s="111" t="n"/>
      <c r="H918" s="119">
        <f>IF(G918="Yes","",D918)</f>
        <v/>
      </c>
      <c r="I918" s="111" t="n"/>
      <c r="J918" s="111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68">
      <c r="A919" s="113" t="n"/>
      <c r="B919" s="111" t="n"/>
      <c r="C919" s="111" t="n"/>
      <c r="D919" s="117" t="n"/>
      <c r="E919" s="118">
        <f>IF(F919="","",IF(OR(F919="HDFC Bank (INR)",F919="HDFC IOCL Credit Card (INR)",F919="HDFC Swiggy Credit Card (INR)",F919="Axis Airtel Credit Card (INR)"),"INR","GBP"))</f>
        <v/>
      </c>
      <c r="F919" s="111" t="n"/>
      <c r="G919" s="111" t="n"/>
      <c r="H919" s="119">
        <f>IF(G919="Yes","",D919)</f>
        <v/>
      </c>
      <c r="I919" s="111" t="n"/>
      <c r="J919" s="111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68">
      <c r="A920" s="113" t="n"/>
      <c r="B920" s="111" t="n"/>
      <c r="C920" s="111" t="n"/>
      <c r="D920" s="117" t="n"/>
      <c r="E920" s="118">
        <f>IF(F920="","",IF(OR(F920="HDFC Bank (INR)",F920="HDFC IOCL Credit Card (INR)",F920="HDFC Swiggy Credit Card (INR)",F920="Axis Airtel Credit Card (INR)"),"INR","GBP"))</f>
        <v/>
      </c>
      <c r="F920" s="111" t="n"/>
      <c r="G920" s="111" t="n"/>
      <c r="H920" s="119">
        <f>IF(G920="Yes","",D920)</f>
        <v/>
      </c>
      <c r="I920" s="111" t="n"/>
      <c r="J920" s="111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68">
      <c r="A921" s="113" t="n"/>
      <c r="B921" s="111" t="n"/>
      <c r="C921" s="111" t="n"/>
      <c r="D921" s="117" t="n"/>
      <c r="E921" s="118">
        <f>IF(F921="","",IF(OR(F921="HDFC Bank (INR)",F921="HDFC IOCL Credit Card (INR)",F921="HDFC Swiggy Credit Card (INR)",F921="Axis Airtel Credit Card (INR)"),"INR","GBP"))</f>
        <v/>
      </c>
      <c r="F921" s="111" t="n"/>
      <c r="G921" s="111" t="n"/>
      <c r="H921" s="119">
        <f>IF(G921="Yes","",D921)</f>
        <v/>
      </c>
      <c r="I921" s="111" t="n"/>
      <c r="J921" s="111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68">
      <c r="A922" s="113" t="n"/>
      <c r="B922" s="111" t="n"/>
      <c r="C922" s="111" t="n"/>
      <c r="D922" s="117" t="n"/>
      <c r="E922" s="118">
        <f>IF(F922="","",IF(OR(F922="HDFC Bank (INR)",F922="HDFC IOCL Credit Card (INR)",F922="HDFC Swiggy Credit Card (INR)",F922="Axis Airtel Credit Card (INR)"),"INR","GBP"))</f>
        <v/>
      </c>
      <c r="F922" s="111" t="n"/>
      <c r="G922" s="111" t="n"/>
      <c r="H922" s="119">
        <f>IF(G922="Yes","",D922)</f>
        <v/>
      </c>
      <c r="I922" s="111" t="n"/>
      <c r="J922" s="111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68">
      <c r="A923" s="113" t="n"/>
      <c r="B923" s="111" t="n"/>
      <c r="C923" s="111" t="n"/>
      <c r="D923" s="117" t="n"/>
      <c r="E923" s="118">
        <f>IF(F923="","",IF(OR(F923="HDFC Bank (INR)",F923="HDFC IOCL Credit Card (INR)",F923="HDFC Swiggy Credit Card (INR)",F923="Axis Airtel Credit Card (INR)"),"INR","GBP"))</f>
        <v/>
      </c>
      <c r="F923" s="111" t="n"/>
      <c r="G923" s="111" t="n"/>
      <c r="H923" s="119">
        <f>IF(G923="Yes","",D923)</f>
        <v/>
      </c>
      <c r="I923" s="111" t="n"/>
      <c r="J923" s="111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68">
      <c r="A924" s="113" t="n"/>
      <c r="B924" s="111" t="n"/>
      <c r="C924" s="111" t="n"/>
      <c r="D924" s="117" t="n"/>
      <c r="E924" s="118">
        <f>IF(F924="","",IF(OR(F924="HDFC Bank (INR)",F924="HDFC IOCL Credit Card (INR)",F924="HDFC Swiggy Credit Card (INR)",F924="Axis Airtel Credit Card (INR)"),"INR","GBP"))</f>
        <v/>
      </c>
      <c r="F924" s="111" t="n"/>
      <c r="G924" s="111" t="n"/>
      <c r="H924" s="119">
        <f>IF(G924="Yes","",D924)</f>
        <v/>
      </c>
      <c r="I924" s="111" t="n"/>
      <c r="J924" s="111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68">
      <c r="A925" s="113" t="n"/>
      <c r="B925" s="111" t="n"/>
      <c r="C925" s="111" t="n"/>
      <c r="D925" s="117" t="n"/>
      <c r="E925" s="118">
        <f>IF(F925="","",IF(OR(F925="HDFC Bank (INR)",F925="HDFC IOCL Credit Card (INR)",F925="HDFC Swiggy Credit Card (INR)",F925="Axis Airtel Credit Card (INR)"),"INR","GBP"))</f>
        <v/>
      </c>
      <c r="F925" s="111" t="n"/>
      <c r="G925" s="111" t="n"/>
      <c r="H925" s="119">
        <f>IF(G925="Yes","",D925)</f>
        <v/>
      </c>
      <c r="I925" s="111" t="n"/>
      <c r="J925" s="111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68">
      <c r="A926" s="113" t="n"/>
      <c r="B926" s="111" t="n"/>
      <c r="C926" s="111" t="n"/>
      <c r="D926" s="117" t="n"/>
      <c r="E926" s="118">
        <f>IF(F926="","",IF(OR(F926="HDFC Bank (INR)",F926="HDFC IOCL Credit Card (INR)",F926="HDFC Swiggy Credit Card (INR)",F926="Axis Airtel Credit Card (INR)"),"INR","GBP"))</f>
        <v/>
      </c>
      <c r="F926" s="111" t="n"/>
      <c r="G926" s="111" t="n"/>
      <c r="H926" s="119">
        <f>IF(G926="Yes","",D926)</f>
        <v/>
      </c>
      <c r="I926" s="111" t="n"/>
      <c r="J926" s="111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68">
      <c r="A927" s="113" t="n"/>
      <c r="B927" s="111" t="n"/>
      <c r="C927" s="111" t="n"/>
      <c r="D927" s="117" t="n"/>
      <c r="E927" s="118">
        <f>IF(F927="","",IF(OR(F927="HDFC Bank (INR)",F927="HDFC IOCL Credit Card (INR)",F927="HDFC Swiggy Credit Card (INR)",F927="Axis Airtel Credit Card (INR)"),"INR","GBP"))</f>
        <v/>
      </c>
      <c r="F927" s="111" t="n"/>
      <c r="G927" s="111" t="n"/>
      <c r="H927" s="119">
        <f>IF(G927="Yes","",D927)</f>
        <v/>
      </c>
      <c r="I927" s="111" t="n"/>
      <c r="J927" s="111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68">
      <c r="A928" s="113" t="n"/>
      <c r="B928" s="111" t="n"/>
      <c r="C928" s="111" t="n"/>
      <c r="D928" s="117" t="n"/>
      <c r="E928" s="118">
        <f>IF(F928="","",IF(OR(F928="HDFC Bank (INR)",F928="HDFC IOCL Credit Card (INR)",F928="HDFC Swiggy Credit Card (INR)",F928="Axis Airtel Credit Card (INR)"),"INR","GBP"))</f>
        <v/>
      </c>
      <c r="F928" s="111" t="n"/>
      <c r="G928" s="111" t="n"/>
      <c r="H928" s="119">
        <f>IF(G928="Yes","",D928)</f>
        <v/>
      </c>
      <c r="I928" s="111" t="n"/>
      <c r="J928" s="111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68">
      <c r="A929" s="113" t="n"/>
      <c r="B929" s="111" t="n"/>
      <c r="C929" s="111" t="n"/>
      <c r="D929" s="117" t="n"/>
      <c r="E929" s="118">
        <f>IF(F929="","",IF(OR(F929="HDFC Bank (INR)",F929="HDFC IOCL Credit Card (INR)",F929="HDFC Swiggy Credit Card (INR)",F929="Axis Airtel Credit Card (INR)"),"INR","GBP"))</f>
        <v/>
      </c>
      <c r="F929" s="111" t="n"/>
      <c r="G929" s="111" t="n"/>
      <c r="H929" s="119">
        <f>IF(G929="Yes","",D929)</f>
        <v/>
      </c>
      <c r="I929" s="111" t="n"/>
      <c r="J929" s="111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68">
      <c r="A930" s="113" t="n"/>
      <c r="B930" s="111" t="n"/>
      <c r="C930" s="111" t="n"/>
      <c r="D930" s="117" t="n"/>
      <c r="E930" s="118">
        <f>IF(F930="","",IF(OR(F930="HDFC Bank (INR)",F930="HDFC IOCL Credit Card (INR)",F930="HDFC Swiggy Credit Card (INR)",F930="Axis Airtel Credit Card (INR)"),"INR","GBP"))</f>
        <v/>
      </c>
      <c r="F930" s="111" t="n"/>
      <c r="G930" s="111" t="n"/>
      <c r="H930" s="119">
        <f>IF(G930="Yes","",D930)</f>
        <v/>
      </c>
      <c r="I930" s="111" t="n"/>
      <c r="J930" s="111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68">
      <c r="A931" s="113" t="n"/>
      <c r="B931" s="111" t="n"/>
      <c r="C931" s="111" t="n"/>
      <c r="D931" s="117" t="n"/>
      <c r="E931" s="118">
        <f>IF(F931="","",IF(OR(F931="HDFC Bank (INR)",F931="HDFC IOCL Credit Card (INR)",F931="HDFC Swiggy Credit Card (INR)",F931="Axis Airtel Credit Card (INR)"),"INR","GBP"))</f>
        <v/>
      </c>
      <c r="F931" s="111" t="n"/>
      <c r="G931" s="111" t="n"/>
      <c r="H931" s="119">
        <f>IF(G931="Yes","",D931)</f>
        <v/>
      </c>
      <c r="I931" s="111" t="n"/>
      <c r="J931" s="111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68">
      <c r="A932" s="113" t="n"/>
      <c r="B932" s="111" t="n"/>
      <c r="C932" s="111" t="n"/>
      <c r="D932" s="117" t="n"/>
      <c r="E932" s="118">
        <f>IF(F932="","",IF(OR(F932="HDFC Bank (INR)",F932="HDFC IOCL Credit Card (INR)",F932="HDFC Swiggy Credit Card (INR)",F932="Axis Airtel Credit Card (INR)"),"INR","GBP"))</f>
        <v/>
      </c>
      <c r="F932" s="111" t="n"/>
      <c r="G932" s="111" t="n"/>
      <c r="H932" s="119">
        <f>IF(G932="Yes","",D932)</f>
        <v/>
      </c>
      <c r="I932" s="111" t="n"/>
      <c r="J932" s="111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68">
      <c r="A933" s="113" t="n"/>
      <c r="B933" s="111" t="n"/>
      <c r="C933" s="111" t="n"/>
      <c r="D933" s="117" t="n"/>
      <c r="E933" s="118">
        <f>IF(F933="","",IF(OR(F933="HDFC Bank (INR)",F933="HDFC IOCL Credit Card (INR)",F933="HDFC Swiggy Credit Card (INR)",F933="Axis Airtel Credit Card (INR)"),"INR","GBP"))</f>
        <v/>
      </c>
      <c r="F933" s="111" t="n"/>
      <c r="G933" s="111" t="n"/>
      <c r="H933" s="119">
        <f>IF(G933="Yes","",D933)</f>
        <v/>
      </c>
      <c r="I933" s="111" t="n"/>
      <c r="J933" s="111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68">
      <c r="A934" s="113" t="n"/>
      <c r="B934" s="111" t="n"/>
      <c r="C934" s="111" t="n"/>
      <c r="D934" s="117" t="n"/>
      <c r="E934" s="118">
        <f>IF(F934="","",IF(OR(F934="HDFC Bank (INR)",F934="HDFC IOCL Credit Card (INR)",F934="HDFC Swiggy Credit Card (INR)",F934="Axis Airtel Credit Card (INR)"),"INR","GBP"))</f>
        <v/>
      </c>
      <c r="F934" s="111" t="n"/>
      <c r="G934" s="111" t="n"/>
      <c r="H934" s="119">
        <f>IF(G934="Yes","",D934)</f>
        <v/>
      </c>
      <c r="I934" s="111" t="n"/>
      <c r="J934" s="111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68">
      <c r="A935" s="113" t="n"/>
      <c r="B935" s="111" t="n"/>
      <c r="C935" s="111" t="n"/>
      <c r="D935" s="117" t="n"/>
      <c r="E935" s="118">
        <f>IF(F935="","",IF(OR(F935="HDFC Bank (INR)",F935="HDFC IOCL Credit Card (INR)",F935="HDFC Swiggy Credit Card (INR)",F935="Axis Airtel Credit Card (INR)"),"INR","GBP"))</f>
        <v/>
      </c>
      <c r="F935" s="111" t="n"/>
      <c r="G935" s="111" t="n"/>
      <c r="H935" s="119">
        <f>IF(G935="Yes","",D935)</f>
        <v/>
      </c>
      <c r="I935" s="111" t="n"/>
      <c r="J935" s="111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68">
      <c r="A936" s="113" t="n"/>
      <c r="B936" s="111" t="n"/>
      <c r="C936" s="111" t="n"/>
      <c r="D936" s="117" t="n"/>
      <c r="E936" s="118">
        <f>IF(F936="","",IF(OR(F936="HDFC Bank (INR)",F936="HDFC IOCL Credit Card (INR)",F936="HDFC Swiggy Credit Card (INR)",F936="Axis Airtel Credit Card (INR)"),"INR","GBP"))</f>
        <v/>
      </c>
      <c r="F936" s="111" t="n"/>
      <c r="G936" s="111" t="n"/>
      <c r="H936" s="119">
        <f>IF(G936="Yes","",D936)</f>
        <v/>
      </c>
      <c r="I936" s="111" t="n"/>
      <c r="J936" s="111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68">
      <c r="A937" s="113" t="n"/>
      <c r="B937" s="111" t="n"/>
      <c r="C937" s="111" t="n"/>
      <c r="D937" s="117" t="n"/>
      <c r="E937" s="118">
        <f>IF(F937="","",IF(OR(F937="HDFC Bank (INR)",F937="HDFC IOCL Credit Card (INR)",F937="HDFC Swiggy Credit Card (INR)",F937="Axis Airtel Credit Card (INR)"),"INR","GBP"))</f>
        <v/>
      </c>
      <c r="F937" s="111" t="n"/>
      <c r="G937" s="111" t="n"/>
      <c r="H937" s="119">
        <f>IF(G937="Yes","",D937)</f>
        <v/>
      </c>
      <c r="I937" s="111" t="n"/>
      <c r="J937" s="111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68">
      <c r="A938" s="113" t="n"/>
      <c r="B938" s="111" t="n"/>
      <c r="C938" s="111" t="n"/>
      <c r="D938" s="117" t="n"/>
      <c r="E938" s="118">
        <f>IF(F938="","",IF(OR(F938="HDFC Bank (INR)",F938="HDFC IOCL Credit Card (INR)",F938="HDFC Swiggy Credit Card (INR)",F938="Axis Airtel Credit Card (INR)"),"INR","GBP"))</f>
        <v/>
      </c>
      <c r="F938" s="111" t="n"/>
      <c r="G938" s="111" t="n"/>
      <c r="H938" s="119">
        <f>IF(G938="Yes","",D938)</f>
        <v/>
      </c>
      <c r="I938" s="111" t="n"/>
      <c r="J938" s="111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68">
      <c r="A939" s="113" t="n"/>
      <c r="B939" s="111" t="n"/>
      <c r="C939" s="111" t="n"/>
      <c r="D939" s="117" t="n"/>
      <c r="E939" s="118">
        <f>IF(F939="","",IF(OR(F939="HDFC Bank (INR)",F939="HDFC IOCL Credit Card (INR)",F939="HDFC Swiggy Credit Card (INR)",F939="Axis Airtel Credit Card (INR)"),"INR","GBP"))</f>
        <v/>
      </c>
      <c r="F939" s="111" t="n"/>
      <c r="G939" s="111" t="n"/>
      <c r="H939" s="119">
        <f>IF(G939="Yes","",D939)</f>
        <v/>
      </c>
      <c r="I939" s="111" t="n"/>
      <c r="J939" s="111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68">
      <c r="A940" s="113" t="n"/>
      <c r="B940" s="111" t="n"/>
      <c r="C940" s="111" t="n"/>
      <c r="D940" s="117" t="n"/>
      <c r="E940" s="118">
        <f>IF(F940="","",IF(OR(F940="HDFC Bank (INR)",F940="HDFC IOCL Credit Card (INR)",F940="HDFC Swiggy Credit Card (INR)",F940="Axis Airtel Credit Card (INR)"),"INR","GBP"))</f>
        <v/>
      </c>
      <c r="F940" s="111" t="n"/>
      <c r="G940" s="111" t="n"/>
      <c r="H940" s="119">
        <f>IF(G940="Yes","",D940)</f>
        <v/>
      </c>
      <c r="I940" s="111" t="n"/>
      <c r="J940" s="111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68">
      <c r="A941" s="113" t="n"/>
      <c r="B941" s="111" t="n"/>
      <c r="C941" s="111" t="n"/>
      <c r="D941" s="117" t="n"/>
      <c r="E941" s="118">
        <f>IF(F941="","",IF(OR(F941="HDFC Bank (INR)",F941="HDFC IOCL Credit Card (INR)",F941="HDFC Swiggy Credit Card (INR)",F941="Axis Airtel Credit Card (INR)"),"INR","GBP"))</f>
        <v/>
      </c>
      <c r="F941" s="111" t="n"/>
      <c r="G941" s="111" t="n"/>
      <c r="H941" s="119">
        <f>IF(G941="Yes","",D941)</f>
        <v/>
      </c>
      <c r="I941" s="111" t="n"/>
      <c r="J941" s="111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68">
      <c r="A942" s="113" t="n"/>
      <c r="B942" s="111" t="n"/>
      <c r="C942" s="111" t="n"/>
      <c r="D942" s="117" t="n"/>
      <c r="E942" s="118">
        <f>IF(F942="","",IF(OR(F942="HDFC Bank (INR)",F942="HDFC IOCL Credit Card (INR)",F942="HDFC Swiggy Credit Card (INR)",F942="Axis Airtel Credit Card (INR)"),"INR","GBP"))</f>
        <v/>
      </c>
      <c r="F942" s="111" t="n"/>
      <c r="G942" s="111" t="n"/>
      <c r="H942" s="119">
        <f>IF(G942="Yes","",D942)</f>
        <v/>
      </c>
      <c r="I942" s="111" t="n"/>
      <c r="J942" s="111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68">
      <c r="A943" s="113" t="n"/>
      <c r="B943" s="111" t="n"/>
      <c r="C943" s="111" t="n"/>
      <c r="D943" s="117" t="n"/>
      <c r="E943" s="118">
        <f>IF(F943="","",IF(OR(F943="HDFC Bank (INR)",F943="HDFC IOCL Credit Card (INR)",F943="HDFC Swiggy Credit Card (INR)",F943="Axis Airtel Credit Card (INR)"),"INR","GBP"))</f>
        <v/>
      </c>
      <c r="F943" s="111" t="n"/>
      <c r="G943" s="111" t="n"/>
      <c r="H943" s="119">
        <f>IF(G943="Yes","",D943)</f>
        <v/>
      </c>
      <c r="I943" s="111" t="n"/>
      <c r="J943" s="111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68">
      <c r="A944" s="113" t="n"/>
      <c r="B944" s="111" t="n"/>
      <c r="C944" s="111" t="n"/>
      <c r="D944" s="117" t="n"/>
      <c r="E944" s="118">
        <f>IF(F944="","",IF(OR(F944="HDFC Bank (INR)",F944="HDFC IOCL Credit Card (INR)",F944="HDFC Swiggy Credit Card (INR)",F944="Axis Airtel Credit Card (INR)"),"INR","GBP"))</f>
        <v/>
      </c>
      <c r="F944" s="111" t="n"/>
      <c r="G944" s="111" t="n"/>
      <c r="H944" s="119">
        <f>IF(G944="Yes","",D944)</f>
        <v/>
      </c>
      <c r="I944" s="111" t="n"/>
      <c r="J944" s="111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68">
      <c r="A945" s="113" t="n"/>
      <c r="B945" s="111" t="n"/>
      <c r="C945" s="111" t="n"/>
      <c r="D945" s="117" t="n"/>
      <c r="E945" s="118">
        <f>IF(F945="","",IF(OR(F945="HDFC Bank (INR)",F945="HDFC IOCL Credit Card (INR)",F945="HDFC Swiggy Credit Card (INR)",F945="Axis Airtel Credit Card (INR)"),"INR","GBP"))</f>
        <v/>
      </c>
      <c r="F945" s="111" t="n"/>
      <c r="G945" s="111" t="n"/>
      <c r="H945" s="119">
        <f>IF(G945="Yes","",D945)</f>
        <v/>
      </c>
      <c r="I945" s="111" t="n"/>
      <c r="J945" s="111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68">
      <c r="A946" s="113" t="n"/>
      <c r="B946" s="111" t="n"/>
      <c r="C946" s="111" t="n"/>
      <c r="D946" s="117" t="n"/>
      <c r="E946" s="118">
        <f>IF(F946="","",IF(OR(F946="HDFC Bank (INR)",F946="HDFC IOCL Credit Card (INR)",F946="HDFC Swiggy Credit Card (INR)",F946="Axis Airtel Credit Card (INR)"),"INR","GBP"))</f>
        <v/>
      </c>
      <c r="F946" s="111" t="n"/>
      <c r="G946" s="111" t="n"/>
      <c r="H946" s="119">
        <f>IF(G946="Yes","",D946)</f>
        <v/>
      </c>
      <c r="I946" s="111" t="n"/>
      <c r="J946" s="111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68">
      <c r="A947" s="113" t="n"/>
      <c r="B947" s="111" t="n"/>
      <c r="C947" s="111" t="n"/>
      <c r="D947" s="117" t="n"/>
      <c r="E947" s="118">
        <f>IF(F947="","",IF(OR(F947="HDFC Bank (INR)",F947="HDFC IOCL Credit Card (INR)",F947="HDFC Swiggy Credit Card (INR)",F947="Axis Airtel Credit Card (INR)"),"INR","GBP"))</f>
        <v/>
      </c>
      <c r="F947" s="111" t="n"/>
      <c r="G947" s="111" t="n"/>
      <c r="H947" s="119">
        <f>IF(G947="Yes","",D947)</f>
        <v/>
      </c>
      <c r="I947" s="111" t="n"/>
      <c r="J947" s="111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68">
      <c r="A948" s="113" t="n"/>
      <c r="B948" s="111" t="n"/>
      <c r="C948" s="111" t="n"/>
      <c r="D948" s="117" t="n"/>
      <c r="E948" s="118">
        <f>IF(F948="","",IF(OR(F948="HDFC Bank (INR)",F948="HDFC IOCL Credit Card (INR)",F948="HDFC Swiggy Credit Card (INR)",F948="Axis Airtel Credit Card (INR)"),"INR","GBP"))</f>
        <v/>
      </c>
      <c r="F948" s="111" t="n"/>
      <c r="G948" s="111" t="n"/>
      <c r="H948" s="119">
        <f>IF(G948="Yes","",D948)</f>
        <v/>
      </c>
      <c r="I948" s="111" t="n"/>
      <c r="J948" s="111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68">
      <c r="A949" s="113" t="n"/>
      <c r="B949" s="111" t="n"/>
      <c r="C949" s="111" t="n"/>
      <c r="D949" s="117" t="n"/>
      <c r="E949" s="118">
        <f>IF(F949="","",IF(OR(F949="HDFC Bank (INR)",F949="HDFC IOCL Credit Card (INR)",F949="HDFC Swiggy Credit Card (INR)",F949="Axis Airtel Credit Card (INR)"),"INR","GBP"))</f>
        <v/>
      </c>
      <c r="F949" s="111" t="n"/>
      <c r="G949" s="111" t="n"/>
      <c r="H949" s="119">
        <f>IF(G949="Yes","",D949)</f>
        <v/>
      </c>
      <c r="I949" s="111" t="n"/>
      <c r="J949" s="111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68">
      <c r="A950" s="113" t="n"/>
      <c r="B950" s="111" t="n"/>
      <c r="C950" s="111" t="n"/>
      <c r="D950" s="117" t="n"/>
      <c r="E950" s="118">
        <f>IF(F950="","",IF(OR(F950="HDFC Bank (INR)",F950="HDFC IOCL Credit Card (INR)",F950="HDFC Swiggy Credit Card (INR)",F950="Axis Airtel Credit Card (INR)"),"INR","GBP"))</f>
        <v/>
      </c>
      <c r="F950" s="111" t="n"/>
      <c r="G950" s="111" t="n"/>
      <c r="H950" s="119">
        <f>IF(G950="Yes","",D950)</f>
        <v/>
      </c>
      <c r="I950" s="111" t="n"/>
      <c r="J950" s="111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68">
      <c r="A951" s="113" t="n"/>
      <c r="B951" s="111" t="n"/>
      <c r="C951" s="111" t="n"/>
      <c r="D951" s="117" t="n"/>
      <c r="E951" s="118">
        <f>IF(F951="","",IF(OR(F951="HDFC Bank (INR)",F951="HDFC IOCL Credit Card (INR)",F951="HDFC Swiggy Credit Card (INR)",F951="Axis Airtel Credit Card (INR)"),"INR","GBP"))</f>
        <v/>
      </c>
      <c r="F951" s="111" t="n"/>
      <c r="G951" s="111" t="n"/>
      <c r="H951" s="119">
        <f>IF(G951="Yes","",D951)</f>
        <v/>
      </c>
      <c r="I951" s="111" t="n"/>
      <c r="J951" s="111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68">
      <c r="A952" s="113" t="n"/>
      <c r="B952" s="111" t="n"/>
      <c r="C952" s="111" t="n"/>
      <c r="D952" s="117" t="n"/>
      <c r="E952" s="118">
        <f>IF(F952="","",IF(OR(F952="HDFC Bank (INR)",F952="HDFC IOCL Credit Card (INR)",F952="HDFC Swiggy Credit Card (INR)",F952="Axis Airtel Credit Card (INR)"),"INR","GBP"))</f>
        <v/>
      </c>
      <c r="F952" s="111" t="n"/>
      <c r="G952" s="111" t="n"/>
      <c r="H952" s="119">
        <f>IF(G952="Yes","",D952)</f>
        <v/>
      </c>
      <c r="I952" s="111" t="n"/>
      <c r="J952" s="111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68">
      <c r="A953" s="113" t="n"/>
      <c r="B953" s="111" t="n"/>
      <c r="C953" s="111" t="n"/>
      <c r="D953" s="117" t="n"/>
      <c r="E953" s="118">
        <f>IF(F953="","",IF(OR(F953="HDFC Bank (INR)",F953="HDFC IOCL Credit Card (INR)",F953="HDFC Swiggy Credit Card (INR)",F953="Axis Airtel Credit Card (INR)"),"INR","GBP"))</f>
        <v/>
      </c>
      <c r="F953" s="111" t="n"/>
      <c r="G953" s="111" t="n"/>
      <c r="H953" s="119">
        <f>IF(G953="Yes","",D953)</f>
        <v/>
      </c>
      <c r="I953" s="111" t="n"/>
      <c r="J953" s="111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68">
      <c r="A954" s="113" t="n"/>
      <c r="B954" s="111" t="n"/>
      <c r="C954" s="111" t="n"/>
      <c r="D954" s="117" t="n"/>
      <c r="E954" s="118">
        <f>IF(F954="","",IF(OR(F954="HDFC Bank (INR)",F954="HDFC IOCL Credit Card (INR)",F954="HDFC Swiggy Credit Card (INR)",F954="Axis Airtel Credit Card (INR)"),"INR","GBP"))</f>
        <v/>
      </c>
      <c r="F954" s="111" t="n"/>
      <c r="G954" s="111" t="n"/>
      <c r="H954" s="119">
        <f>IF(G954="Yes","",D954)</f>
        <v/>
      </c>
      <c r="I954" s="111" t="n"/>
      <c r="J954" s="111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68">
      <c r="A955" s="113" t="n"/>
      <c r="B955" s="111" t="n"/>
      <c r="C955" s="111" t="n"/>
      <c r="D955" s="117" t="n"/>
      <c r="E955" s="118">
        <f>IF(F955="","",IF(OR(F955="HDFC Bank (INR)",F955="HDFC IOCL Credit Card (INR)",F955="HDFC Swiggy Credit Card (INR)",F955="Axis Airtel Credit Card (INR)"),"INR","GBP"))</f>
        <v/>
      </c>
      <c r="F955" s="111" t="n"/>
      <c r="G955" s="111" t="n"/>
      <c r="H955" s="119">
        <f>IF(G955="Yes","",D955)</f>
        <v/>
      </c>
      <c r="I955" s="111" t="n"/>
      <c r="J955" s="111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68">
      <c r="A956" s="113" t="n"/>
      <c r="B956" s="111" t="n"/>
      <c r="C956" s="111" t="n"/>
      <c r="D956" s="117" t="n"/>
      <c r="E956" s="118">
        <f>IF(F956="","",IF(OR(F956="HDFC Bank (INR)",F956="HDFC IOCL Credit Card (INR)",F956="HDFC Swiggy Credit Card (INR)",F956="Axis Airtel Credit Card (INR)"),"INR","GBP"))</f>
        <v/>
      </c>
      <c r="F956" s="111" t="n"/>
      <c r="G956" s="111" t="n"/>
      <c r="H956" s="119">
        <f>IF(G956="Yes","",D956)</f>
        <v/>
      </c>
      <c r="I956" s="111" t="n"/>
      <c r="J956" s="111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68">
      <c r="A957" s="113" t="n"/>
      <c r="B957" s="111" t="n"/>
      <c r="C957" s="111" t="n"/>
      <c r="D957" s="117" t="n"/>
      <c r="E957" s="118">
        <f>IF(F957="","",IF(OR(F957="HDFC Bank (INR)",F957="HDFC IOCL Credit Card (INR)",F957="HDFC Swiggy Credit Card (INR)",F957="Axis Airtel Credit Card (INR)"),"INR","GBP"))</f>
        <v/>
      </c>
      <c r="F957" s="111" t="n"/>
      <c r="G957" s="111" t="n"/>
      <c r="H957" s="119">
        <f>IF(G957="Yes","",D957)</f>
        <v/>
      </c>
      <c r="I957" s="111" t="n"/>
      <c r="J957" s="111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68">
      <c r="A958" s="113" t="n"/>
      <c r="B958" s="111" t="n"/>
      <c r="C958" s="111" t="n"/>
      <c r="D958" s="117" t="n"/>
      <c r="E958" s="118">
        <f>IF(F958="","",IF(OR(F958="HDFC Bank (INR)",F958="HDFC IOCL Credit Card (INR)",F958="HDFC Swiggy Credit Card (INR)",F958="Axis Airtel Credit Card (INR)"),"INR","GBP"))</f>
        <v/>
      </c>
      <c r="F958" s="111" t="n"/>
      <c r="G958" s="111" t="n"/>
      <c r="H958" s="119">
        <f>IF(G958="Yes","",D958)</f>
        <v/>
      </c>
      <c r="I958" s="111" t="n"/>
      <c r="J958" s="111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68">
      <c r="A959" s="113" t="n"/>
      <c r="B959" s="111" t="n"/>
      <c r="C959" s="111" t="n"/>
      <c r="D959" s="117" t="n"/>
      <c r="E959" s="118">
        <f>IF(F959="","",IF(OR(F959="HDFC Bank (INR)",F959="HDFC IOCL Credit Card (INR)",F959="HDFC Swiggy Credit Card (INR)",F959="Axis Airtel Credit Card (INR)"),"INR","GBP"))</f>
        <v/>
      </c>
      <c r="F959" s="111" t="n"/>
      <c r="G959" s="111" t="n"/>
      <c r="H959" s="119">
        <f>IF(G959="Yes","",D959)</f>
        <v/>
      </c>
      <c r="I959" s="111" t="n"/>
      <c r="J959" s="111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68">
      <c r="A960" s="113" t="n"/>
      <c r="B960" s="111" t="n"/>
      <c r="C960" s="111" t="n"/>
      <c r="D960" s="117" t="n"/>
      <c r="E960" s="118">
        <f>IF(F960="","",IF(OR(F960="HDFC Bank (INR)",F960="HDFC IOCL Credit Card (INR)",F960="HDFC Swiggy Credit Card (INR)",F960="Axis Airtel Credit Card (INR)"),"INR","GBP"))</f>
        <v/>
      </c>
      <c r="F960" s="111" t="n"/>
      <c r="G960" s="111" t="n"/>
      <c r="H960" s="119">
        <f>IF(G960="Yes","",D960)</f>
        <v/>
      </c>
      <c r="I960" s="111" t="n"/>
      <c r="J960" s="111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68">
      <c r="A961" s="113" t="n"/>
      <c r="B961" s="111" t="n"/>
      <c r="C961" s="111" t="n"/>
      <c r="D961" s="117" t="n"/>
      <c r="E961" s="118">
        <f>IF(F961="","",IF(OR(F961="HDFC Bank (INR)",F961="HDFC IOCL Credit Card (INR)",F961="HDFC Swiggy Credit Card (INR)",F961="Axis Airtel Credit Card (INR)"),"INR","GBP"))</f>
        <v/>
      </c>
      <c r="F961" s="111" t="n"/>
      <c r="G961" s="111" t="n"/>
      <c r="H961" s="119">
        <f>IF(G961="Yes","",D961)</f>
        <v/>
      </c>
      <c r="I961" s="111" t="n"/>
      <c r="J961" s="111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68">
      <c r="A962" s="113" t="n"/>
      <c r="B962" s="111" t="n"/>
      <c r="C962" s="111" t="n"/>
      <c r="D962" s="117" t="n"/>
      <c r="E962" s="118">
        <f>IF(F962="","",IF(OR(F962="HDFC Bank (INR)",F962="HDFC IOCL Credit Card (INR)",F962="HDFC Swiggy Credit Card (INR)",F962="Axis Airtel Credit Card (INR)"),"INR","GBP"))</f>
        <v/>
      </c>
      <c r="F962" s="111" t="n"/>
      <c r="G962" s="111" t="n"/>
      <c r="H962" s="119">
        <f>IF(G962="Yes","",D962)</f>
        <v/>
      </c>
      <c r="I962" s="111" t="n"/>
      <c r="J962" s="111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68">
      <c r="A963" s="113" t="n"/>
      <c r="B963" s="111" t="n"/>
      <c r="C963" s="111" t="n"/>
      <c r="D963" s="117" t="n"/>
      <c r="E963" s="118">
        <f>IF(F963="","",IF(OR(F963="HDFC Bank (INR)",F963="HDFC IOCL Credit Card (INR)",F963="HDFC Swiggy Credit Card (INR)",F963="Axis Airtel Credit Card (INR)"),"INR","GBP"))</f>
        <v/>
      </c>
      <c r="F963" s="111" t="n"/>
      <c r="G963" s="111" t="n"/>
      <c r="H963" s="119">
        <f>IF(G963="Yes","",D963)</f>
        <v/>
      </c>
      <c r="I963" s="111" t="n"/>
      <c r="J963" s="111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68">
      <c r="A964" s="113" t="n"/>
      <c r="B964" s="111" t="n"/>
      <c r="C964" s="111" t="n"/>
      <c r="D964" s="117" t="n"/>
      <c r="E964" s="118">
        <f>IF(F964="","",IF(OR(F964="HDFC Bank (INR)",F964="HDFC IOCL Credit Card (INR)",F964="HDFC Swiggy Credit Card (INR)",F964="Axis Airtel Credit Card (INR)"),"INR","GBP"))</f>
        <v/>
      </c>
      <c r="F964" s="111" t="n"/>
      <c r="G964" s="111" t="n"/>
      <c r="H964" s="119">
        <f>IF(G964="Yes","",D964)</f>
        <v/>
      </c>
      <c r="I964" s="111" t="n"/>
      <c r="J964" s="111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68">
      <c r="A965" s="113" t="n"/>
      <c r="B965" s="111" t="n"/>
      <c r="C965" s="111" t="n"/>
      <c r="D965" s="117" t="n"/>
      <c r="E965" s="118">
        <f>IF(F965="","",IF(OR(F965="HDFC Bank (INR)",F965="HDFC IOCL Credit Card (INR)",F965="HDFC Swiggy Credit Card (INR)",F965="Axis Airtel Credit Card (INR)"),"INR","GBP"))</f>
        <v/>
      </c>
      <c r="F965" s="111" t="n"/>
      <c r="G965" s="111" t="n"/>
      <c r="H965" s="119">
        <f>IF(G965="Yes","",D965)</f>
        <v/>
      </c>
      <c r="I965" s="111" t="n"/>
      <c r="J965" s="111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68">
      <c r="A966" s="113" t="n"/>
      <c r="B966" s="111" t="n"/>
      <c r="C966" s="111" t="n"/>
      <c r="D966" s="117" t="n"/>
      <c r="E966" s="118">
        <f>IF(F966="","",IF(OR(F966="HDFC Bank (INR)",F966="HDFC IOCL Credit Card (INR)",F966="HDFC Swiggy Credit Card (INR)",F966="Axis Airtel Credit Card (INR)"),"INR","GBP"))</f>
        <v/>
      </c>
      <c r="F966" s="111" t="n"/>
      <c r="G966" s="111" t="n"/>
      <c r="H966" s="119">
        <f>IF(G966="Yes","",D966)</f>
        <v/>
      </c>
      <c r="I966" s="111" t="n"/>
      <c r="J966" s="111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68">
      <c r="A967" s="113" t="n"/>
      <c r="B967" s="111" t="n"/>
      <c r="C967" s="111" t="n"/>
      <c r="D967" s="117" t="n"/>
      <c r="E967" s="118">
        <f>IF(F967="","",IF(OR(F967="HDFC Bank (INR)",F967="HDFC IOCL Credit Card (INR)",F967="HDFC Swiggy Credit Card (INR)",F967="Axis Airtel Credit Card (INR)"),"INR","GBP"))</f>
        <v/>
      </c>
      <c r="F967" s="111" t="n"/>
      <c r="G967" s="111" t="n"/>
      <c r="H967" s="119">
        <f>IF(G967="Yes","",D967)</f>
        <v/>
      </c>
      <c r="I967" s="111" t="n"/>
      <c r="J967" s="111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68">
      <c r="A968" s="113" t="n"/>
      <c r="B968" s="111" t="n"/>
      <c r="C968" s="111" t="n"/>
      <c r="D968" s="117" t="n"/>
      <c r="E968" s="118">
        <f>IF(F968="","",IF(OR(F968="HDFC Bank (INR)",F968="HDFC IOCL Credit Card (INR)",F968="HDFC Swiggy Credit Card (INR)",F968="Axis Airtel Credit Card (INR)"),"INR","GBP"))</f>
        <v/>
      </c>
      <c r="F968" s="111" t="n"/>
      <c r="G968" s="111" t="n"/>
      <c r="H968" s="119">
        <f>IF(G968="Yes","",D968)</f>
        <v/>
      </c>
      <c r="I968" s="111" t="n"/>
      <c r="J968" s="111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68">
      <c r="A969" s="113" t="n"/>
      <c r="B969" s="111" t="n"/>
      <c r="C969" s="111" t="n"/>
      <c r="D969" s="117" t="n"/>
      <c r="E969" s="118">
        <f>IF(F969="","",IF(OR(F969="HDFC Bank (INR)",F969="HDFC IOCL Credit Card (INR)",F969="HDFC Swiggy Credit Card (INR)",F969="Axis Airtel Credit Card (INR)"),"INR","GBP"))</f>
        <v/>
      </c>
      <c r="F969" s="111" t="n"/>
      <c r="G969" s="111" t="n"/>
      <c r="H969" s="119">
        <f>IF(G969="Yes","",D969)</f>
        <v/>
      </c>
      <c r="I969" s="111" t="n"/>
      <c r="J969" s="111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68">
      <c r="A970" s="113" t="n"/>
      <c r="B970" s="111" t="n"/>
      <c r="C970" s="111" t="n"/>
      <c r="D970" s="117" t="n"/>
      <c r="E970" s="118">
        <f>IF(F970="","",IF(OR(F970="HDFC Bank (INR)",F970="HDFC IOCL Credit Card (INR)",F970="HDFC Swiggy Credit Card (INR)",F970="Axis Airtel Credit Card (INR)"),"INR","GBP"))</f>
        <v/>
      </c>
      <c r="F970" s="111" t="n"/>
      <c r="G970" s="111" t="n"/>
      <c r="H970" s="119">
        <f>IF(G970="Yes","",D970)</f>
        <v/>
      </c>
      <c r="I970" s="111" t="n"/>
      <c r="J970" s="111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68">
      <c r="A971" s="113" t="n"/>
      <c r="B971" s="111" t="n"/>
      <c r="C971" s="111" t="n"/>
      <c r="D971" s="117" t="n"/>
      <c r="E971" s="118">
        <f>IF(F971="","",IF(OR(F971="HDFC Bank (INR)",F971="HDFC IOCL Credit Card (INR)",F971="HDFC Swiggy Credit Card (INR)",F971="Axis Airtel Credit Card (INR)"),"INR","GBP"))</f>
        <v/>
      </c>
      <c r="F971" s="111" t="n"/>
      <c r="G971" s="111" t="n"/>
      <c r="H971" s="119">
        <f>IF(G971="Yes","",D971)</f>
        <v/>
      </c>
      <c r="I971" s="111" t="n"/>
      <c r="J971" s="111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68">
      <c r="A972" s="113" t="n"/>
      <c r="B972" s="111" t="n"/>
      <c r="C972" s="111" t="n"/>
      <c r="D972" s="117" t="n"/>
      <c r="E972" s="118">
        <f>IF(F972="","",IF(OR(F972="HDFC Bank (INR)",F972="HDFC IOCL Credit Card (INR)",F972="HDFC Swiggy Credit Card (INR)",F972="Axis Airtel Credit Card (INR)"),"INR","GBP"))</f>
        <v/>
      </c>
      <c r="F972" s="111" t="n"/>
      <c r="G972" s="111" t="n"/>
      <c r="H972" s="119">
        <f>IF(G972="Yes","",D972)</f>
        <v/>
      </c>
      <c r="I972" s="111" t="n"/>
      <c r="J972" s="111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68">
      <c r="A973" s="113" t="n"/>
      <c r="B973" s="111" t="n"/>
      <c r="C973" s="111" t="n"/>
      <c r="D973" s="117" t="n"/>
      <c r="E973" s="118">
        <f>IF(F973="","",IF(OR(F973="HDFC Bank (INR)",F973="HDFC IOCL Credit Card (INR)",F973="HDFC Swiggy Credit Card (INR)",F973="Axis Airtel Credit Card (INR)"),"INR","GBP"))</f>
        <v/>
      </c>
      <c r="F973" s="111" t="n"/>
      <c r="G973" s="111" t="n"/>
      <c r="H973" s="119">
        <f>IF(G973="Yes","",D973)</f>
        <v/>
      </c>
      <c r="I973" s="111" t="n"/>
      <c r="J973" s="111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68">
      <c r="A974" s="113" t="n"/>
      <c r="B974" s="111" t="n"/>
      <c r="C974" s="111" t="n"/>
      <c r="D974" s="117" t="n"/>
      <c r="E974" s="118">
        <f>IF(F974="","",IF(OR(F974="HDFC Bank (INR)",F974="HDFC IOCL Credit Card (INR)",F974="HDFC Swiggy Credit Card (INR)",F974="Axis Airtel Credit Card (INR)"),"INR","GBP"))</f>
        <v/>
      </c>
      <c r="F974" s="111" t="n"/>
      <c r="G974" s="111" t="n"/>
      <c r="H974" s="119">
        <f>IF(G974="Yes","",D974)</f>
        <v/>
      </c>
      <c r="I974" s="111" t="n"/>
      <c r="J974" s="111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68">
      <c r="A975" s="113" t="n"/>
      <c r="B975" s="111" t="n"/>
      <c r="C975" s="111" t="n"/>
      <c r="D975" s="117" t="n"/>
      <c r="E975" s="118">
        <f>IF(F975="","",IF(OR(F975="HDFC Bank (INR)",F975="HDFC IOCL Credit Card (INR)",F975="HDFC Swiggy Credit Card (INR)",F975="Axis Airtel Credit Card (INR)"),"INR","GBP"))</f>
        <v/>
      </c>
      <c r="F975" s="111" t="n"/>
      <c r="G975" s="111" t="n"/>
      <c r="H975" s="119">
        <f>IF(G975="Yes","",D975)</f>
        <v/>
      </c>
      <c r="I975" s="111" t="n"/>
      <c r="J975" s="111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68">
      <c r="A976" s="113" t="n"/>
      <c r="B976" s="111" t="n"/>
      <c r="C976" s="111" t="n"/>
      <c r="D976" s="117" t="n"/>
      <c r="E976" s="118">
        <f>IF(F976="","",IF(OR(F976="HDFC Bank (INR)",F976="HDFC IOCL Credit Card (INR)",F976="HDFC Swiggy Credit Card (INR)",F976="Axis Airtel Credit Card (INR)"),"INR","GBP"))</f>
        <v/>
      </c>
      <c r="F976" s="111" t="n"/>
      <c r="G976" s="111" t="n"/>
      <c r="H976" s="119">
        <f>IF(G976="Yes","",D976)</f>
        <v/>
      </c>
      <c r="I976" s="111" t="n"/>
      <c r="J976" s="111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68">
      <c r="A977" s="113" t="n"/>
      <c r="B977" s="111" t="n"/>
      <c r="C977" s="111" t="n"/>
      <c r="D977" s="117" t="n"/>
      <c r="E977" s="118">
        <f>IF(F977="","",IF(OR(F977="HDFC Bank (INR)",F977="HDFC IOCL Credit Card (INR)",F977="HDFC Swiggy Credit Card (INR)",F977="Axis Airtel Credit Card (INR)"),"INR","GBP"))</f>
        <v/>
      </c>
      <c r="F977" s="111" t="n"/>
      <c r="G977" s="111" t="n"/>
      <c r="H977" s="119">
        <f>IF(G977="Yes","",D977)</f>
        <v/>
      </c>
      <c r="I977" s="111" t="n"/>
      <c r="J977" s="111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68">
      <c r="A978" s="113" t="n"/>
      <c r="B978" s="111" t="n"/>
      <c r="C978" s="111" t="n"/>
      <c r="D978" s="117" t="n"/>
      <c r="E978" s="118">
        <f>IF(F978="","",IF(OR(F978="HDFC Bank (INR)",F978="HDFC IOCL Credit Card (INR)",F978="HDFC Swiggy Credit Card (INR)",F978="Axis Airtel Credit Card (INR)"),"INR","GBP"))</f>
        <v/>
      </c>
      <c r="F978" s="111" t="n"/>
      <c r="G978" s="111" t="n"/>
      <c r="H978" s="119">
        <f>IF(G978="Yes","",D978)</f>
        <v/>
      </c>
      <c r="I978" s="111" t="n"/>
      <c r="J978" s="111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68">
      <c r="A979" s="113" t="n"/>
      <c r="B979" s="111" t="n"/>
      <c r="C979" s="111" t="n"/>
      <c r="D979" s="117" t="n"/>
      <c r="E979" s="118">
        <f>IF(F979="","",IF(OR(F979="HDFC Bank (INR)",F979="HDFC IOCL Credit Card (INR)",F979="HDFC Swiggy Credit Card (INR)",F979="Axis Airtel Credit Card (INR)"),"INR","GBP"))</f>
        <v/>
      </c>
      <c r="F979" s="111" t="n"/>
      <c r="G979" s="111" t="n"/>
      <c r="H979" s="119">
        <f>IF(G979="Yes","",D979)</f>
        <v/>
      </c>
      <c r="I979" s="111" t="n"/>
      <c r="J979" s="111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68">
      <c r="A980" s="113" t="n"/>
      <c r="B980" s="111" t="n"/>
      <c r="C980" s="111" t="n"/>
      <c r="D980" s="117" t="n"/>
      <c r="E980" s="118">
        <f>IF(F980="","",IF(OR(F980="HDFC Bank (INR)",F980="HDFC IOCL Credit Card (INR)",F980="HDFC Swiggy Credit Card (INR)",F980="Axis Airtel Credit Card (INR)"),"INR","GBP"))</f>
        <v/>
      </c>
      <c r="F980" s="111" t="n"/>
      <c r="G980" s="111" t="n"/>
      <c r="H980" s="119">
        <f>IF(G980="Yes","",D980)</f>
        <v/>
      </c>
      <c r="I980" s="111" t="n"/>
      <c r="J980" s="111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68">
      <c r="A981" s="113" t="n"/>
      <c r="B981" s="111" t="n"/>
      <c r="C981" s="111" t="n"/>
      <c r="D981" s="117" t="n"/>
      <c r="E981" s="118">
        <f>IF(F981="","",IF(OR(F981="HDFC Bank (INR)",F981="HDFC IOCL Credit Card (INR)",F981="HDFC Swiggy Credit Card (INR)",F981="Axis Airtel Credit Card (INR)"),"INR","GBP"))</f>
        <v/>
      </c>
      <c r="F981" s="111" t="n"/>
      <c r="G981" s="111" t="n"/>
      <c r="H981" s="119">
        <f>IF(G981="Yes","",D981)</f>
        <v/>
      </c>
      <c r="I981" s="111" t="n"/>
      <c r="J981" s="111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68">
      <c r="A982" s="113" t="n"/>
      <c r="B982" s="111" t="n"/>
      <c r="C982" s="111" t="n"/>
      <c r="D982" s="117" t="n"/>
      <c r="E982" s="118">
        <f>IF(F982="","",IF(OR(F982="HDFC Bank (INR)",F982="HDFC IOCL Credit Card (INR)",F982="HDFC Swiggy Credit Card (INR)",F982="Axis Airtel Credit Card (INR)"),"INR","GBP"))</f>
        <v/>
      </c>
      <c r="F982" s="111" t="n"/>
      <c r="G982" s="111" t="n"/>
      <c r="H982" s="119">
        <f>IF(G982="Yes","",D982)</f>
        <v/>
      </c>
      <c r="I982" s="111" t="n"/>
      <c r="J982" s="111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68">
      <c r="A983" s="113" t="n"/>
      <c r="B983" s="111" t="n"/>
      <c r="C983" s="111" t="n"/>
      <c r="D983" s="117" t="n"/>
      <c r="E983" s="118">
        <f>IF(F983="","",IF(OR(F983="HDFC Bank (INR)",F983="HDFC IOCL Credit Card (INR)",F983="HDFC Swiggy Credit Card (INR)",F983="Axis Airtel Credit Card (INR)"),"INR","GBP"))</f>
        <v/>
      </c>
      <c r="F983" s="111" t="n"/>
      <c r="G983" s="111" t="n"/>
      <c r="H983" s="119">
        <f>IF(G983="Yes","",D983)</f>
        <v/>
      </c>
      <c r="I983" s="111" t="n"/>
      <c r="J983" s="111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68">
      <c r="A984" s="113" t="n"/>
      <c r="B984" s="111" t="n"/>
      <c r="C984" s="111" t="n"/>
      <c r="D984" s="117" t="n"/>
      <c r="E984" s="118">
        <f>IF(F984="","",IF(OR(F984="HDFC Bank (INR)",F984="HDFC IOCL Credit Card (INR)",F984="HDFC Swiggy Credit Card (INR)",F984="Axis Airtel Credit Card (INR)"),"INR","GBP"))</f>
        <v/>
      </c>
      <c r="F984" s="111" t="n"/>
      <c r="G984" s="111" t="n"/>
      <c r="H984" s="119">
        <f>IF(G984="Yes","",D984)</f>
        <v/>
      </c>
      <c r="I984" s="111" t="n"/>
      <c r="J984" s="111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68">
      <c r="A985" s="113" t="n"/>
      <c r="B985" s="111" t="n"/>
      <c r="C985" s="111" t="n"/>
      <c r="D985" s="117" t="n"/>
      <c r="E985" s="118">
        <f>IF(F985="","",IF(OR(F985="HDFC Bank (INR)",F985="HDFC IOCL Credit Card (INR)",F985="HDFC Swiggy Credit Card (INR)",F985="Axis Airtel Credit Card (INR)"),"INR","GBP"))</f>
        <v/>
      </c>
      <c r="F985" s="111" t="n"/>
      <c r="G985" s="111" t="n"/>
      <c r="H985" s="119">
        <f>IF(G985="Yes","",D985)</f>
        <v/>
      </c>
      <c r="I985" s="111" t="n"/>
      <c r="J985" s="111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68">
      <c r="A986" s="113" t="n"/>
      <c r="B986" s="111" t="n"/>
      <c r="C986" s="111" t="n"/>
      <c r="D986" s="117" t="n"/>
      <c r="E986" s="118">
        <f>IF(F986="","",IF(OR(F986="HDFC Bank (INR)",F986="HDFC IOCL Credit Card (INR)",F986="HDFC Swiggy Credit Card (INR)",F986="Axis Airtel Credit Card (INR)"),"INR","GBP"))</f>
        <v/>
      </c>
      <c r="F986" s="111" t="n"/>
      <c r="G986" s="111" t="n"/>
      <c r="H986" s="119">
        <f>IF(G986="Yes","",D986)</f>
        <v/>
      </c>
      <c r="I986" s="111" t="n"/>
      <c r="J986" s="111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68">
      <c r="A987" s="113" t="n"/>
      <c r="B987" s="111" t="n"/>
      <c r="C987" s="111" t="n"/>
      <c r="D987" s="117" t="n"/>
      <c r="E987" s="118">
        <f>IF(F987="","",IF(OR(F987="HDFC Bank (INR)",F987="HDFC IOCL Credit Card (INR)",F987="HDFC Swiggy Credit Card (INR)",F987="Axis Airtel Credit Card (INR)"),"INR","GBP"))</f>
        <v/>
      </c>
      <c r="F987" s="111" t="n"/>
      <c r="G987" s="111" t="n"/>
      <c r="H987" s="119">
        <f>IF(G987="Yes","",D987)</f>
        <v/>
      </c>
      <c r="I987" s="111" t="n"/>
      <c r="J987" s="111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68">
      <c r="A988" s="113" t="n"/>
      <c r="B988" s="111" t="n"/>
      <c r="C988" s="111" t="n"/>
      <c r="D988" s="117" t="n"/>
      <c r="E988" s="118">
        <f>IF(F988="","",IF(OR(F988="HDFC Bank (INR)",F988="HDFC IOCL Credit Card (INR)",F988="HDFC Swiggy Credit Card (INR)",F988="Axis Airtel Credit Card (INR)"),"INR","GBP"))</f>
        <v/>
      </c>
      <c r="F988" s="111" t="n"/>
      <c r="G988" s="111" t="n"/>
      <c r="H988" s="119">
        <f>IF(G988="Yes","",D988)</f>
        <v/>
      </c>
      <c r="I988" s="111" t="n"/>
      <c r="J988" s="111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68">
      <c r="A989" s="113" t="n"/>
      <c r="B989" s="111" t="n"/>
      <c r="C989" s="111" t="n"/>
      <c r="D989" s="117" t="n"/>
      <c r="E989" s="118">
        <f>IF(F989="","",IF(OR(F989="HDFC Bank (INR)",F989="HDFC IOCL Credit Card (INR)",F989="HDFC Swiggy Credit Card (INR)",F989="Axis Airtel Credit Card (INR)"),"INR","GBP"))</f>
        <v/>
      </c>
      <c r="F989" s="111" t="n"/>
      <c r="G989" s="111" t="n"/>
      <c r="H989" s="119">
        <f>IF(G989="Yes","",D989)</f>
        <v/>
      </c>
      <c r="I989" s="111" t="n"/>
      <c r="J989" s="111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68">
      <c r="A990" s="113" t="n"/>
      <c r="B990" s="111" t="n"/>
      <c r="C990" s="111" t="n"/>
      <c r="D990" s="117" t="n"/>
      <c r="E990" s="118">
        <f>IF(F990="","",IF(OR(F990="HDFC Bank (INR)",F990="HDFC IOCL Credit Card (INR)",F990="HDFC Swiggy Credit Card (INR)",F990="Axis Airtel Credit Card (INR)"),"INR","GBP"))</f>
        <v/>
      </c>
      <c r="F990" s="111" t="n"/>
      <c r="G990" s="111" t="n"/>
      <c r="H990" s="119">
        <f>IF(G990="Yes","",D990)</f>
        <v/>
      </c>
      <c r="I990" s="111" t="n"/>
      <c r="J990" s="111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68">
      <c r="A991" s="113" t="n"/>
      <c r="B991" s="111" t="n"/>
      <c r="C991" s="111" t="n"/>
      <c r="D991" s="117" t="n"/>
      <c r="E991" s="118">
        <f>IF(F991="","",IF(OR(F991="HDFC Bank (INR)",F991="HDFC IOCL Credit Card (INR)",F991="HDFC Swiggy Credit Card (INR)",F991="Axis Airtel Credit Card (INR)"),"INR","GBP"))</f>
        <v/>
      </c>
      <c r="F991" s="111" t="n"/>
      <c r="G991" s="111" t="n"/>
      <c r="H991" s="119">
        <f>IF(G991="Yes","",D991)</f>
        <v/>
      </c>
      <c r="I991" s="111" t="n"/>
      <c r="J991" s="111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68">
      <c r="A992" s="113" t="n"/>
      <c r="B992" s="111" t="n"/>
      <c r="C992" s="111" t="n"/>
      <c r="D992" s="117" t="n"/>
      <c r="E992" s="118">
        <f>IF(F992="","",IF(OR(F992="HDFC Bank (INR)",F992="HDFC IOCL Credit Card (INR)",F992="HDFC Swiggy Credit Card (INR)",F992="Axis Airtel Credit Card (INR)"),"INR","GBP"))</f>
        <v/>
      </c>
      <c r="F992" s="111" t="n"/>
      <c r="G992" s="111" t="n"/>
      <c r="H992" s="119">
        <f>IF(G992="Yes","",D992)</f>
        <v/>
      </c>
      <c r="I992" s="111" t="n"/>
      <c r="J992" s="111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68">
      <c r="A993" s="113" t="n"/>
      <c r="B993" s="111" t="n"/>
      <c r="C993" s="111" t="n"/>
      <c r="D993" s="117" t="n"/>
      <c r="E993" s="118">
        <f>IF(F993="","",IF(OR(F993="HDFC Bank (INR)",F993="HDFC IOCL Credit Card (INR)",F993="HDFC Swiggy Credit Card (INR)",F993="Axis Airtel Credit Card (INR)"),"INR","GBP"))</f>
        <v/>
      </c>
      <c r="F993" s="111" t="n"/>
      <c r="G993" s="111" t="n"/>
      <c r="H993" s="119">
        <f>IF(G993="Yes","",D993)</f>
        <v/>
      </c>
      <c r="I993" s="111" t="n"/>
      <c r="J993" s="111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68">
      <c r="A994" s="113" t="n"/>
      <c r="B994" s="111" t="n"/>
      <c r="C994" s="111" t="n"/>
      <c r="D994" s="117" t="n"/>
      <c r="E994" s="118">
        <f>IF(F994="","",IF(OR(F994="HDFC Bank (INR)",F994="HDFC IOCL Credit Card (INR)",F994="HDFC Swiggy Credit Card (INR)",F994="Axis Airtel Credit Card (INR)"),"INR","GBP"))</f>
        <v/>
      </c>
      <c r="F994" s="111" t="n"/>
      <c r="G994" s="111" t="n"/>
      <c r="H994" s="119">
        <f>IF(G994="Yes","",D994)</f>
        <v/>
      </c>
      <c r="I994" s="111" t="n"/>
      <c r="J994" s="111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68">
      <c r="A995" s="113" t="n"/>
      <c r="B995" s="111" t="n"/>
      <c r="C995" s="111" t="n"/>
      <c r="D995" s="117" t="n"/>
      <c r="E995" s="118">
        <f>IF(F995="","",IF(OR(F995="HDFC Bank (INR)",F995="HDFC IOCL Credit Card (INR)",F995="HDFC Swiggy Credit Card (INR)",F995="Axis Airtel Credit Card (INR)"),"INR","GBP"))</f>
        <v/>
      </c>
      <c r="F995" s="111" t="n"/>
      <c r="G995" s="111" t="n"/>
      <c r="H995" s="119">
        <f>IF(G995="Yes","",D995)</f>
        <v/>
      </c>
      <c r="I995" s="111" t="n"/>
      <c r="J995" s="111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68">
      <c r="A996" s="113" t="n"/>
      <c r="B996" s="111" t="n"/>
      <c r="C996" s="111" t="n"/>
      <c r="D996" s="117" t="n"/>
      <c r="E996" s="118">
        <f>IF(F996="","",IF(OR(F996="HDFC Bank (INR)",F996="HDFC IOCL Credit Card (INR)",F996="HDFC Swiggy Credit Card (INR)",F996="Axis Airtel Credit Card (INR)"),"INR","GBP"))</f>
        <v/>
      </c>
      <c r="F996" s="111" t="n"/>
      <c r="G996" s="111" t="n"/>
      <c r="H996" s="119">
        <f>IF(G996="Yes","",D996)</f>
        <v/>
      </c>
      <c r="I996" s="111" t="n"/>
      <c r="J996" s="111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68">
      <c r="A997" s="113" t="n"/>
      <c r="B997" s="111" t="n"/>
      <c r="C997" s="111" t="n"/>
      <c r="D997" s="117" t="n"/>
      <c r="E997" s="118">
        <f>IF(F997="","",IF(OR(F997="HDFC Bank (INR)",F997="HDFC IOCL Credit Card (INR)",F997="HDFC Swiggy Credit Card (INR)",F997="Axis Airtel Credit Card (INR)"),"INR","GBP"))</f>
        <v/>
      </c>
      <c r="F997" s="111" t="n"/>
      <c r="G997" s="111" t="n"/>
      <c r="H997" s="119">
        <f>IF(G997="Yes","",D997)</f>
        <v/>
      </c>
      <c r="I997" s="111" t="n"/>
      <c r="J997" s="111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68">
      <c r="A998" s="113" t="n"/>
      <c r="B998" s="111" t="n"/>
      <c r="C998" s="111" t="n"/>
      <c r="D998" s="117" t="n"/>
      <c r="E998" s="118">
        <f>IF(F998="","",IF(OR(F998="HDFC Bank (INR)",F998="HDFC IOCL Credit Card (INR)",F998="HDFC Swiggy Credit Card (INR)",F998="Axis Airtel Credit Card (INR)"),"INR","GBP"))</f>
        <v/>
      </c>
      <c r="F998" s="111" t="n"/>
      <c r="G998" s="111" t="n"/>
      <c r="H998" s="119">
        <f>IF(G998="Yes","",D998)</f>
        <v/>
      </c>
      <c r="I998" s="111" t="n"/>
      <c r="J998" s="111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68">
      <c r="A999" s="113" t="n"/>
      <c r="B999" s="111" t="n"/>
      <c r="C999" s="111" t="n"/>
      <c r="D999" s="117" t="n"/>
      <c r="E999" s="118">
        <f>IF(F999="","",IF(OR(F999="HDFC Bank (INR)",F999="HDFC IOCL Credit Card (INR)",F999="HDFC Swiggy Credit Card (INR)",F999="Axis Airtel Credit Card (INR)"),"INR","GBP"))</f>
        <v/>
      </c>
      <c r="F999" s="111" t="n"/>
      <c r="G999" s="111" t="n"/>
      <c r="H999" s="119">
        <f>IF(G999="Yes","",D999)</f>
        <v/>
      </c>
      <c r="I999" s="111" t="n"/>
      <c r="J999" s="111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6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2">
    <mergeCell ref="A1:J1"/>
    <mergeCell ref="J3:J9"/>
  </mergeCells>
  <dataValidations count="3">
    <dataValidation sqref="F3:F999" showDropDown="0" showInputMessage="0" showErrorMessage="0" allowBlank="1" type="list">
      <formula1>"Lloyds Bank (GBP),HSBC Bank (GBP),Barclays Bank (GBP),Halifax Bank (GBP),Klarna Pay (GBP),Capitol One Credit Card (GBP),HSBC Rewards Credit Card (GBP),Barclays Rewards Credit Card (GBP),Klarna Pay Later (GBP),Splitwise (GBP),Oyster Travel Card (GBP),HDFC "&amp;"Swiggy Credit Card (INR),HDFC IOCL Credit Card (INR),HDFC Bank (INR),Axis Airtel Credit Card (INR)"</formula1>
    </dataValidation>
    <dataValidation sqref="C3:C999" showDropDown="0" showInputMessage="0" showErrorMessage="0" allowBlank="1" type="list">
      <formula1>"Rent,Transport,Travel,Shopping,Electronics,Subscriptions,Bills,Entertainment,Food and Drinks,Groceries,Others,Gifts,Donations,Investments"</formula1>
    </dataValidation>
    <dataValidation sqref="G3:G999 I3:I999" showDropDown="0" showInputMessage="0" showErrorMessage="0" allowBlank="1" type="list">
      <formula1>"Yes,No"</formula1>
    </dataValidation>
  </dataValidation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tabColor rgb="FF00800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168" min="1" max="1"/>
    <col width="25" customWidth="1" style="168" min="2" max="2"/>
    <col width="14" customWidth="1" style="168" min="3" max="3"/>
    <col width="10" customWidth="1" style="168" min="4" max="4"/>
    <col width="35" customWidth="1" style="168" min="5" max="5"/>
    <col width="16" customWidth="1" style="168" min="6" max="7"/>
  </cols>
  <sheetData>
    <row r="1">
      <c r="A1" s="101" t="inlineStr">
        <is>
          <t>INCOME TRACKER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23" t="inlineStr">
        <is>
          <t>Date of Credit</t>
        </is>
      </c>
      <c r="B2" s="123" t="inlineStr">
        <is>
          <t>Company</t>
        </is>
      </c>
      <c r="C2" s="123" t="inlineStr">
        <is>
          <t>Amount</t>
        </is>
      </c>
      <c r="D2" s="123" t="inlineStr">
        <is>
          <t>Currency</t>
        </is>
      </c>
      <c r="E2" s="123" t="inlineStr">
        <is>
          <t>Bank Account Credited</t>
        </is>
      </c>
      <c r="F2" s="123" t="inlineStr">
        <is>
          <t>Pay Cycle Start</t>
        </is>
      </c>
      <c r="G2" s="123" t="inlineStr">
        <is>
          <t>Pay Cycle End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13" t="n">
        <v>46122</v>
      </c>
      <c r="B3" s="111" t="inlineStr">
        <is>
          <t>Kolumba Carnaby</t>
        </is>
      </c>
      <c r="C3" s="117" t="n">
        <v>2277.44</v>
      </c>
      <c r="D3" s="118">
        <f>IF(E3="","",IF(E3="HDFC Bank (INR)","INR","GBP"))</f>
        <v/>
      </c>
      <c r="E3" s="111" t="inlineStr">
        <is>
          <t>Barclays Bank (GBP)</t>
        </is>
      </c>
      <c r="F3" s="113" t="n">
        <v>46089</v>
      </c>
      <c r="G3" s="113" t="n">
        <v>46116</v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13" t="n">
        <v>46129</v>
      </c>
      <c r="B4" s="111" t="inlineStr">
        <is>
          <t>Family and Friends</t>
        </is>
      </c>
      <c r="C4" s="117" t="n">
        <v>25012</v>
      </c>
      <c r="D4" s="118">
        <f>IF(E4="","",IF(E4="HDFC Bank (INR)","INR","GBP"))</f>
        <v/>
      </c>
      <c r="E4" s="111" t="inlineStr">
        <is>
          <t>HDFC Bank (INR)</t>
        </is>
      </c>
      <c r="F4" s="113" t="n">
        <v>46129</v>
      </c>
      <c r="G4" s="113" t="n">
        <v>46129</v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13" t="n">
        <v>46143</v>
      </c>
      <c r="B5" s="111" t="inlineStr">
        <is>
          <t>Gaia Pulses LTD</t>
        </is>
      </c>
      <c r="C5" s="117" t="n">
        <v>370</v>
      </c>
      <c r="D5" s="118">
        <f>IF(E5="","",IF(E5="HDFC Bank (INR)","INR","GBP"))</f>
        <v/>
      </c>
      <c r="E5" s="111" t="inlineStr">
        <is>
          <t>HSBC Bank (GBP)</t>
        </is>
      </c>
      <c r="F5" s="113" t="n">
        <v>46051</v>
      </c>
      <c r="G5" s="113" t="n">
        <v>46081</v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13" t="n">
        <v>46150</v>
      </c>
      <c r="B6" s="111" t="inlineStr">
        <is>
          <t>Kolumba Carnaby</t>
        </is>
      </c>
      <c r="C6" s="117" t="n">
        <v>1447.53</v>
      </c>
      <c r="D6" s="118">
        <f>IF(E6="","",IF(E6="HDFC Bank (INR)","INR","GBP"))</f>
        <v/>
      </c>
      <c r="E6" s="111" t="inlineStr">
        <is>
          <t>Barclays Bank (GBP)</t>
        </is>
      </c>
      <c r="F6" s="113" t="n">
        <v>46118</v>
      </c>
      <c r="G6" s="113" t="n">
        <v>46145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113" t="n"/>
      <c r="B7" s="111" t="n"/>
      <c r="C7" s="117" t="n"/>
      <c r="D7" s="118">
        <f>IF(E7="","",IF(E7="HDFC Bank (INR)","INR","GBP"))</f>
        <v/>
      </c>
      <c r="E7" s="111" t="n"/>
      <c r="F7" s="113" t="n"/>
      <c r="G7" s="11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13" t="n"/>
      <c r="B8" s="111" t="n"/>
      <c r="C8" s="117" t="n"/>
      <c r="D8" s="118">
        <f>IF(E8="","",IF(E8="HDFC Bank (INR)","INR","GBP"))</f>
        <v/>
      </c>
      <c r="E8" s="111" t="n"/>
      <c r="F8" s="113" t="n"/>
      <c r="G8" s="113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13" t="n"/>
      <c r="B9" s="111" t="n"/>
      <c r="C9" s="117" t="n"/>
      <c r="D9" s="118">
        <f>IF(E9="","",IF(E9="HDFC Bank (INR)","INR","GBP"))</f>
        <v/>
      </c>
      <c r="E9" s="111" t="n"/>
      <c r="F9" s="113" t="n"/>
      <c r="G9" s="113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113" t="n"/>
      <c r="B10" s="111" t="n"/>
      <c r="C10" s="117" t="n"/>
      <c r="D10" s="118">
        <f>IF(E10="","",IF(E10="HDFC Bank (INR)","INR","GBP"))</f>
        <v/>
      </c>
      <c r="E10" s="111" t="n"/>
      <c r="F10" s="113" t="n"/>
      <c r="G10" s="113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113" t="n"/>
      <c r="B11" s="111" t="n"/>
      <c r="C11" s="117" t="n"/>
      <c r="D11" s="118">
        <f>IF(E11="","",IF(E11="HDFC Bank (INR)","INR","GBP"))</f>
        <v/>
      </c>
      <c r="E11" s="111" t="n"/>
      <c r="F11" s="113" t="n"/>
      <c r="G11" s="113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13" t="n"/>
      <c r="B12" s="111" t="n"/>
      <c r="C12" s="117" t="n"/>
      <c r="D12" s="118">
        <f>IF(E12="","",IF(E12="HDFC Bank (INR)","INR","GBP"))</f>
        <v/>
      </c>
      <c r="E12" s="111" t="n"/>
      <c r="F12" s="113" t="n"/>
      <c r="G12" s="113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113" t="n"/>
      <c r="B13" s="111" t="n"/>
      <c r="C13" s="117" t="n"/>
      <c r="D13" s="118">
        <f>IF(E13="","",IF(E13="HDFC Bank (INR)","INR","GBP"))</f>
        <v/>
      </c>
      <c r="E13" s="111" t="n"/>
      <c r="F13" s="113" t="n"/>
      <c r="G13" s="113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113" t="n"/>
      <c r="B14" s="111" t="n"/>
      <c r="C14" s="117" t="n"/>
      <c r="D14" s="118">
        <f>IF(E14="","",IF(E14="HDFC Bank (INR)","INR","GBP"))</f>
        <v/>
      </c>
      <c r="E14" s="111" t="n"/>
      <c r="F14" s="113" t="n"/>
      <c r="G14" s="113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113" t="n"/>
      <c r="B15" s="111" t="n"/>
      <c r="C15" s="117" t="n"/>
      <c r="D15" s="118">
        <f>IF(E15="","",IF(E15="HDFC Bank (INR)","INR","GBP"))</f>
        <v/>
      </c>
      <c r="E15" s="111" t="n"/>
      <c r="F15" s="113" t="n"/>
      <c r="G15" s="11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113" t="n"/>
      <c r="B16" s="111" t="n"/>
      <c r="C16" s="117" t="n"/>
      <c r="D16" s="118">
        <f>IF(E16="","",IF(E16="HDFC Bank (INR)","INR","GBP"))</f>
        <v/>
      </c>
      <c r="E16" s="111" t="n"/>
      <c r="F16" s="113" t="n"/>
      <c r="G16" s="11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113" t="n"/>
      <c r="B17" s="111" t="n"/>
      <c r="C17" s="117" t="n"/>
      <c r="D17" s="118">
        <f>IF(E17="","",IF(E17="HDFC Bank (INR)","INR","GBP"))</f>
        <v/>
      </c>
      <c r="E17" s="111" t="n"/>
      <c r="F17" s="113" t="n"/>
      <c r="G17" s="113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113" t="n"/>
      <c r="B18" s="111" t="n"/>
      <c r="C18" s="117" t="n"/>
      <c r="D18" s="118">
        <f>IF(E18="","",IF(E18="HDFC Bank (INR)","INR","GBP"))</f>
        <v/>
      </c>
      <c r="E18" s="111" t="n"/>
      <c r="F18" s="113" t="n"/>
      <c r="G18" s="113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113" t="n"/>
      <c r="B19" s="111" t="n"/>
      <c r="C19" s="117" t="n"/>
      <c r="D19" s="118">
        <f>IF(E19="","",IF(E19="HDFC Bank (INR)","INR","GBP"))</f>
        <v/>
      </c>
      <c r="E19" s="111" t="n"/>
      <c r="F19" s="113" t="n"/>
      <c r="G19" s="113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113" t="n"/>
      <c r="B20" s="111" t="n"/>
      <c r="C20" s="117" t="n"/>
      <c r="D20" s="118">
        <f>IF(E20="","",IF(E20="HDFC Bank (INR)","INR","GBP"))</f>
        <v/>
      </c>
      <c r="E20" s="111" t="n"/>
      <c r="F20" s="113" t="n"/>
      <c r="G20" s="11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68">
      <c r="A21" s="113" t="n"/>
      <c r="B21" s="111" t="n"/>
      <c r="C21" s="117" t="n"/>
      <c r="D21" s="118">
        <f>IF(E21="","",IF(E21="HDFC Bank (INR)","INR","GBP"))</f>
        <v/>
      </c>
      <c r="E21" s="111" t="n"/>
      <c r="F21" s="113" t="n"/>
      <c r="G21" s="113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68">
      <c r="A22" s="113" t="n"/>
      <c r="B22" s="111" t="n"/>
      <c r="C22" s="117" t="n"/>
      <c r="D22" s="118">
        <f>IF(E22="","",IF(E22="HDFC Bank (INR)","INR","GBP"))</f>
        <v/>
      </c>
      <c r="E22" s="111" t="n"/>
      <c r="F22" s="113" t="n"/>
      <c r="G22" s="11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68">
      <c r="A23" s="113" t="n"/>
      <c r="B23" s="111" t="n"/>
      <c r="C23" s="117" t="n"/>
      <c r="D23" s="118">
        <f>IF(E23="","",IF(E23="HDFC Bank (INR)","INR","GBP"))</f>
        <v/>
      </c>
      <c r="E23" s="111" t="n"/>
      <c r="F23" s="113" t="n"/>
      <c r="G23" s="113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68">
      <c r="A24" s="113" t="n"/>
      <c r="B24" s="111" t="n"/>
      <c r="C24" s="117" t="n"/>
      <c r="D24" s="118">
        <f>IF(E24="","",IF(E24="HDFC Bank (INR)","INR","GBP"))</f>
        <v/>
      </c>
      <c r="E24" s="111" t="n"/>
      <c r="F24" s="113" t="n"/>
      <c r="G24" s="113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68">
      <c r="A25" s="113" t="n"/>
      <c r="B25" s="111" t="n"/>
      <c r="C25" s="117" t="n"/>
      <c r="D25" s="118">
        <f>IF(E25="","",IF(E25="HDFC Bank (INR)","INR","GBP"))</f>
        <v/>
      </c>
      <c r="E25" s="111" t="n"/>
      <c r="F25" s="113" t="n"/>
      <c r="G25" s="113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68">
      <c r="A26" s="113" t="n"/>
      <c r="B26" s="111" t="n"/>
      <c r="C26" s="117" t="n"/>
      <c r="D26" s="118">
        <f>IF(E26="","",IF(E26="HDFC Bank (INR)","INR","GBP"))</f>
        <v/>
      </c>
      <c r="E26" s="111" t="n"/>
      <c r="F26" s="113" t="n"/>
      <c r="G26" s="113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68">
      <c r="A27" s="113" t="n"/>
      <c r="B27" s="111" t="n"/>
      <c r="C27" s="117" t="n"/>
      <c r="D27" s="118">
        <f>IF(E27="","",IF(E27="HDFC Bank (INR)","INR","GBP"))</f>
        <v/>
      </c>
      <c r="E27" s="111" t="n"/>
      <c r="F27" s="113" t="n"/>
      <c r="G27" s="113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68">
      <c r="A28" s="113" t="n"/>
      <c r="B28" s="111" t="n"/>
      <c r="C28" s="117" t="n"/>
      <c r="D28" s="118">
        <f>IF(E28="","",IF(E28="HDFC Bank (INR)","INR","GBP"))</f>
        <v/>
      </c>
      <c r="E28" s="111" t="n"/>
      <c r="F28" s="113" t="n"/>
      <c r="G28" s="113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68">
      <c r="A29" s="113" t="n"/>
      <c r="B29" s="111" t="n"/>
      <c r="C29" s="117" t="n"/>
      <c r="D29" s="118">
        <f>IF(E29="","",IF(E29="HDFC Bank (INR)","INR","GBP"))</f>
        <v/>
      </c>
      <c r="E29" s="111" t="n"/>
      <c r="F29" s="113" t="n"/>
      <c r="G29" s="113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68">
      <c r="A30" s="113" t="n"/>
      <c r="B30" s="111" t="n"/>
      <c r="C30" s="117" t="n"/>
      <c r="D30" s="118">
        <f>IF(E30="","",IF(E30="HDFC Bank (INR)","INR","GBP"))</f>
        <v/>
      </c>
      <c r="E30" s="111" t="n"/>
      <c r="F30" s="113" t="n"/>
      <c r="G30" s="113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68">
      <c r="A31" s="113" t="n"/>
      <c r="B31" s="111" t="n"/>
      <c r="C31" s="117" t="n"/>
      <c r="D31" s="118">
        <f>IF(E31="","",IF(E31="HDFC Bank (INR)","INR","GBP"))</f>
        <v/>
      </c>
      <c r="E31" s="111" t="n"/>
      <c r="F31" s="113" t="n"/>
      <c r="G31" s="113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68">
      <c r="A32" s="113" t="n"/>
      <c r="B32" s="111" t="n"/>
      <c r="C32" s="117" t="n"/>
      <c r="D32" s="118">
        <f>IF(E32="","",IF(E32="HDFC Bank (INR)","INR","GBP"))</f>
        <v/>
      </c>
      <c r="E32" s="111" t="n"/>
      <c r="F32" s="113" t="n"/>
      <c r="G32" s="113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68">
      <c r="A33" s="113" t="n"/>
      <c r="B33" s="111" t="n"/>
      <c r="C33" s="117" t="n"/>
      <c r="D33" s="118">
        <f>IF(E33="","",IF(E33="HDFC Bank (INR)","INR","GBP"))</f>
        <v/>
      </c>
      <c r="E33" s="111" t="n"/>
      <c r="F33" s="113" t="n"/>
      <c r="G33" s="113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68">
      <c r="A34" s="113" t="n"/>
      <c r="B34" s="111" t="n"/>
      <c r="C34" s="117" t="n"/>
      <c r="D34" s="118">
        <f>IF(E34="","",IF(E34="HDFC Bank (INR)","INR","GBP"))</f>
        <v/>
      </c>
      <c r="E34" s="111" t="n"/>
      <c r="F34" s="113" t="n"/>
      <c r="G34" s="113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68">
      <c r="A35" s="113" t="n"/>
      <c r="B35" s="111" t="n"/>
      <c r="C35" s="117" t="n"/>
      <c r="D35" s="118">
        <f>IF(E35="","",IF(E35="HDFC Bank (INR)","INR","GBP"))</f>
        <v/>
      </c>
      <c r="E35" s="111" t="n"/>
      <c r="F35" s="113" t="n"/>
      <c r="G35" s="113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68">
      <c r="A36" s="113" t="n"/>
      <c r="B36" s="111" t="n"/>
      <c r="C36" s="117" t="n"/>
      <c r="D36" s="118">
        <f>IF(E36="","",IF(E36="HDFC Bank (INR)","INR","GBP"))</f>
        <v/>
      </c>
      <c r="E36" s="111" t="n"/>
      <c r="F36" s="113" t="n"/>
      <c r="G36" s="11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68">
      <c r="A37" s="113" t="n"/>
      <c r="B37" s="111" t="n"/>
      <c r="C37" s="117" t="n"/>
      <c r="D37" s="118">
        <f>IF(E37="","",IF(E37="HDFC Bank (INR)","INR","GBP"))</f>
        <v/>
      </c>
      <c r="E37" s="111" t="n"/>
      <c r="F37" s="113" t="n"/>
      <c r="G37" s="113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68">
      <c r="A38" s="113" t="n"/>
      <c r="B38" s="111" t="n"/>
      <c r="C38" s="117" t="n"/>
      <c r="D38" s="118">
        <f>IF(E38="","",IF(E38="HDFC Bank (INR)","INR","GBP"))</f>
        <v/>
      </c>
      <c r="E38" s="111" t="n"/>
      <c r="F38" s="113" t="n"/>
      <c r="G38" s="113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68">
      <c r="A39" s="113" t="n"/>
      <c r="B39" s="111" t="n"/>
      <c r="C39" s="117" t="n"/>
      <c r="D39" s="118">
        <f>IF(E39="","",IF(E39="HDFC Bank (INR)","INR","GBP"))</f>
        <v/>
      </c>
      <c r="E39" s="111" t="n"/>
      <c r="F39" s="113" t="n"/>
      <c r="G39" s="113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68">
      <c r="A40" s="113" t="n"/>
      <c r="B40" s="111" t="n"/>
      <c r="C40" s="117" t="n"/>
      <c r="D40" s="118">
        <f>IF(E40="","",IF(E40="HDFC Bank (INR)","INR","GBP"))</f>
        <v/>
      </c>
      <c r="E40" s="111" t="n"/>
      <c r="F40" s="113" t="n"/>
      <c r="G40" s="113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68">
      <c r="A41" s="113" t="n"/>
      <c r="B41" s="111" t="n"/>
      <c r="C41" s="117" t="n"/>
      <c r="D41" s="118">
        <f>IF(E41="","",IF(E41="HDFC Bank (INR)","INR","GBP"))</f>
        <v/>
      </c>
      <c r="E41" s="111" t="n"/>
      <c r="F41" s="113" t="n"/>
      <c r="G41" s="113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68">
      <c r="A42" s="113" t="n"/>
      <c r="B42" s="111" t="n"/>
      <c r="C42" s="117" t="n"/>
      <c r="D42" s="118">
        <f>IF(E42="","",IF(E42="HDFC Bank (INR)","INR","GBP"))</f>
        <v/>
      </c>
      <c r="E42" s="111" t="n"/>
      <c r="F42" s="113" t="n"/>
      <c r="G42" s="113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68">
      <c r="A43" s="113" t="n"/>
      <c r="B43" s="111" t="n"/>
      <c r="C43" s="117" t="n"/>
      <c r="D43" s="118">
        <f>IF(E43="","",IF(E43="HDFC Bank (INR)","INR","GBP"))</f>
        <v/>
      </c>
      <c r="E43" s="111" t="n"/>
      <c r="F43" s="113" t="n"/>
      <c r="G43" s="113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68">
      <c r="A44" s="113" t="n"/>
      <c r="B44" s="111" t="n"/>
      <c r="C44" s="117" t="n"/>
      <c r="D44" s="118">
        <f>IF(E44="","",IF(E44="HDFC Bank (INR)","INR","GBP"))</f>
        <v/>
      </c>
      <c r="E44" s="111" t="n"/>
      <c r="F44" s="113" t="n"/>
      <c r="G44" s="113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68">
      <c r="A45" s="113" t="n"/>
      <c r="B45" s="111" t="n"/>
      <c r="C45" s="117" t="n"/>
      <c r="D45" s="118">
        <f>IF(E45="","",IF(E45="HDFC Bank (INR)","INR","GBP"))</f>
        <v/>
      </c>
      <c r="E45" s="111" t="n"/>
      <c r="F45" s="113" t="n"/>
      <c r="G45" s="113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68">
      <c r="A46" s="113" t="n"/>
      <c r="B46" s="111" t="n"/>
      <c r="C46" s="117" t="n"/>
      <c r="D46" s="118">
        <f>IF(E46="","",IF(E46="HDFC Bank (INR)","INR","GBP"))</f>
        <v/>
      </c>
      <c r="E46" s="111" t="n"/>
      <c r="F46" s="113" t="n"/>
      <c r="G46" s="113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68">
      <c r="A47" s="113" t="n"/>
      <c r="B47" s="111" t="n"/>
      <c r="C47" s="117" t="n"/>
      <c r="D47" s="118">
        <f>IF(E47="","",IF(E47="HDFC Bank (INR)","INR","GBP"))</f>
        <v/>
      </c>
      <c r="E47" s="111" t="n"/>
      <c r="F47" s="113" t="n"/>
      <c r="G47" s="113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68">
      <c r="A48" s="113" t="n"/>
      <c r="B48" s="111" t="n"/>
      <c r="C48" s="117" t="n"/>
      <c r="D48" s="118">
        <f>IF(E48="","",IF(E48="HDFC Bank (INR)","INR","GBP"))</f>
        <v/>
      </c>
      <c r="E48" s="111" t="n"/>
      <c r="F48" s="113" t="n"/>
      <c r="G48" s="113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68">
      <c r="A49" s="113" t="n"/>
      <c r="B49" s="111" t="n"/>
      <c r="C49" s="117" t="n"/>
      <c r="D49" s="118">
        <f>IF(E49="","",IF(E49="HDFC Bank (INR)","INR","GBP"))</f>
        <v/>
      </c>
      <c r="E49" s="111" t="n"/>
      <c r="F49" s="113" t="n"/>
      <c r="G49" s="113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68">
      <c r="A50" s="113" t="n"/>
      <c r="B50" s="111" t="n"/>
      <c r="C50" s="117" t="n"/>
      <c r="D50" s="118">
        <f>IF(E50="","",IF(E50="HDFC Bank (INR)","INR","GBP"))</f>
        <v/>
      </c>
      <c r="E50" s="111" t="n"/>
      <c r="F50" s="113" t="n"/>
      <c r="G50" s="113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68">
      <c r="A51" s="113" t="n"/>
      <c r="B51" s="111" t="n"/>
      <c r="C51" s="117" t="n"/>
      <c r="D51" s="118">
        <f>IF(E51="","",IF(E51="HDFC Bank (INR)","INR","GBP"))</f>
        <v/>
      </c>
      <c r="E51" s="111" t="n"/>
      <c r="F51" s="113" t="n"/>
      <c r="G51" s="113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68">
      <c r="A52" s="113" t="n"/>
      <c r="B52" s="111" t="n"/>
      <c r="C52" s="117" t="n"/>
      <c r="D52" s="118">
        <f>IF(E52="","",IF(E52="HDFC Bank (INR)","INR","GBP"))</f>
        <v/>
      </c>
      <c r="E52" s="111" t="n"/>
      <c r="F52" s="113" t="n"/>
      <c r="G52" s="113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68">
      <c r="A53" s="113" t="n"/>
      <c r="B53" s="111" t="n"/>
      <c r="C53" s="117" t="n"/>
      <c r="D53" s="118">
        <f>IF(E53="","",IF(E53="HDFC Bank (INR)","INR","GBP"))</f>
        <v/>
      </c>
      <c r="E53" s="111" t="n"/>
      <c r="F53" s="113" t="n"/>
      <c r="G53" s="113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68">
      <c r="A54" s="113" t="n"/>
      <c r="B54" s="111" t="n"/>
      <c r="C54" s="117" t="n"/>
      <c r="D54" s="118">
        <f>IF(E54="","",IF(E54="HDFC Bank (INR)","INR","GBP"))</f>
        <v/>
      </c>
      <c r="E54" s="111" t="n"/>
      <c r="F54" s="113" t="n"/>
      <c r="G54" s="113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68">
      <c r="A55" s="113" t="n"/>
      <c r="B55" s="111" t="n"/>
      <c r="C55" s="117" t="n"/>
      <c r="D55" s="118">
        <f>IF(E55="","",IF(E55="HDFC Bank (INR)","INR","GBP"))</f>
        <v/>
      </c>
      <c r="E55" s="111" t="n"/>
      <c r="F55" s="113" t="n"/>
      <c r="G55" s="113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68">
      <c r="A56" s="113" t="n"/>
      <c r="B56" s="111" t="n"/>
      <c r="C56" s="117" t="n"/>
      <c r="D56" s="118">
        <f>IF(E56="","",IF(E56="HDFC Bank (INR)","INR","GBP"))</f>
        <v/>
      </c>
      <c r="E56" s="111" t="n"/>
      <c r="F56" s="113" t="n"/>
      <c r="G56" s="113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68">
      <c r="A57" s="113" t="n"/>
      <c r="B57" s="111" t="n"/>
      <c r="C57" s="117" t="n"/>
      <c r="D57" s="118">
        <f>IF(E57="","",IF(E57="HDFC Bank (INR)","INR","GBP"))</f>
        <v/>
      </c>
      <c r="E57" s="111" t="n"/>
      <c r="F57" s="113" t="n"/>
      <c r="G57" s="113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68">
      <c r="A58" s="113" t="n"/>
      <c r="B58" s="111" t="n"/>
      <c r="C58" s="117" t="n"/>
      <c r="D58" s="118">
        <f>IF(E58="","",IF(E58="HDFC Bank (INR)","INR","GBP"))</f>
        <v/>
      </c>
      <c r="E58" s="111" t="n"/>
      <c r="F58" s="113" t="n"/>
      <c r="G58" s="113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68">
      <c r="A59" s="113" t="n"/>
      <c r="B59" s="111" t="n"/>
      <c r="C59" s="117" t="n"/>
      <c r="D59" s="118">
        <f>IF(E59="","",IF(E59="HDFC Bank (INR)","INR","GBP"))</f>
        <v/>
      </c>
      <c r="E59" s="111" t="n"/>
      <c r="F59" s="113" t="n"/>
      <c r="G59" s="113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68">
      <c r="A60" s="113" t="n"/>
      <c r="B60" s="111" t="n"/>
      <c r="C60" s="117" t="n"/>
      <c r="D60" s="118">
        <f>IF(E60="","",IF(E60="HDFC Bank (INR)","INR","GBP"))</f>
        <v/>
      </c>
      <c r="E60" s="111" t="n"/>
      <c r="F60" s="113" t="n"/>
      <c r="G60" s="113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68">
      <c r="A61" s="113" t="n"/>
      <c r="B61" s="111" t="n"/>
      <c r="C61" s="117" t="n"/>
      <c r="D61" s="118">
        <f>IF(E61="","",IF(E61="HDFC Bank (INR)","INR","GBP"))</f>
        <v/>
      </c>
      <c r="E61" s="111" t="n"/>
      <c r="F61" s="113" t="n"/>
      <c r="G61" s="113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68">
      <c r="A62" s="113" t="n"/>
      <c r="B62" s="111" t="n"/>
      <c r="C62" s="117" t="n"/>
      <c r="D62" s="118">
        <f>IF(E62="","",IF(E62="HDFC Bank (INR)","INR","GBP"))</f>
        <v/>
      </c>
      <c r="E62" s="111" t="n"/>
      <c r="F62" s="113" t="n"/>
      <c r="G62" s="113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68">
      <c r="A63" s="113" t="n"/>
      <c r="B63" s="111" t="n"/>
      <c r="C63" s="117" t="n"/>
      <c r="D63" s="118">
        <f>IF(E63="","",IF(E63="HDFC Bank (INR)","INR","GBP"))</f>
        <v/>
      </c>
      <c r="E63" s="111" t="n"/>
      <c r="F63" s="113" t="n"/>
      <c r="G63" s="113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68">
      <c r="A64" s="113" t="n"/>
      <c r="B64" s="111" t="n"/>
      <c r="C64" s="117" t="n"/>
      <c r="D64" s="118">
        <f>IF(E64="","",IF(E64="HDFC Bank (INR)","INR","GBP"))</f>
        <v/>
      </c>
      <c r="E64" s="111" t="n"/>
      <c r="F64" s="113" t="n"/>
      <c r="G64" s="113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68">
      <c r="A65" s="113" t="n"/>
      <c r="B65" s="111" t="n"/>
      <c r="C65" s="117" t="n"/>
      <c r="D65" s="118">
        <f>IF(E65="","",IF(E65="HDFC Bank (INR)","INR","GBP"))</f>
        <v/>
      </c>
      <c r="E65" s="111" t="n"/>
      <c r="F65" s="113" t="n"/>
      <c r="G65" s="113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68">
      <c r="A66" s="113" t="n"/>
      <c r="B66" s="111" t="n"/>
      <c r="C66" s="117" t="n"/>
      <c r="D66" s="118">
        <f>IF(E66="","",IF(E66="HDFC Bank (INR)","INR","GBP"))</f>
        <v/>
      </c>
      <c r="E66" s="111" t="n"/>
      <c r="F66" s="113" t="n"/>
      <c r="G66" s="113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68">
      <c r="A67" s="113" t="n"/>
      <c r="B67" s="111" t="n"/>
      <c r="C67" s="117" t="n"/>
      <c r="D67" s="118">
        <f>IF(E67="","",IF(E67="HDFC Bank (INR)","INR","GBP"))</f>
        <v/>
      </c>
      <c r="E67" s="111" t="n"/>
      <c r="F67" s="113" t="n"/>
      <c r="G67" s="113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68">
      <c r="A68" s="113" t="n"/>
      <c r="B68" s="111" t="n"/>
      <c r="C68" s="117" t="n"/>
      <c r="D68" s="118">
        <f>IF(E68="","",IF(E68="HDFC Bank (INR)","INR","GBP"))</f>
        <v/>
      </c>
      <c r="E68" s="111" t="n"/>
      <c r="F68" s="113" t="n"/>
      <c r="G68" s="113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68">
      <c r="A69" s="113" t="n"/>
      <c r="B69" s="111" t="n"/>
      <c r="C69" s="117" t="n"/>
      <c r="D69" s="118">
        <f>IF(E69="","",IF(E69="HDFC Bank (INR)","INR","GBP"))</f>
        <v/>
      </c>
      <c r="E69" s="111" t="n"/>
      <c r="F69" s="113" t="n"/>
      <c r="G69" s="113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68">
      <c r="A70" s="113" t="n"/>
      <c r="B70" s="111" t="n"/>
      <c r="C70" s="117" t="n"/>
      <c r="D70" s="118">
        <f>IF(E70="","",IF(E70="HDFC Bank (INR)","INR","GBP"))</f>
        <v/>
      </c>
      <c r="E70" s="111" t="n"/>
      <c r="F70" s="113" t="n"/>
      <c r="G70" s="113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68">
      <c r="A71" s="113" t="n"/>
      <c r="B71" s="111" t="n"/>
      <c r="C71" s="117" t="n"/>
      <c r="D71" s="118">
        <f>IF(E71="","",IF(E71="HDFC Bank (INR)","INR","GBP"))</f>
        <v/>
      </c>
      <c r="E71" s="111" t="n"/>
      <c r="F71" s="113" t="n"/>
      <c r="G71" s="113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68">
      <c r="A72" s="113" t="n"/>
      <c r="B72" s="111" t="n"/>
      <c r="C72" s="117" t="n"/>
      <c r="D72" s="118">
        <f>IF(E72="","",IF(E72="HDFC Bank (INR)","INR","GBP"))</f>
        <v/>
      </c>
      <c r="E72" s="111" t="n"/>
      <c r="F72" s="113" t="n"/>
      <c r="G72" s="113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68">
      <c r="A73" s="113" t="n"/>
      <c r="B73" s="111" t="n"/>
      <c r="C73" s="117" t="n"/>
      <c r="D73" s="118">
        <f>IF(E73="","",IF(E73="HDFC Bank (INR)","INR","GBP"))</f>
        <v/>
      </c>
      <c r="E73" s="111" t="n"/>
      <c r="F73" s="113" t="n"/>
      <c r="G73" s="113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68">
      <c r="A74" s="113" t="n"/>
      <c r="B74" s="111" t="n"/>
      <c r="C74" s="117" t="n"/>
      <c r="D74" s="118">
        <f>IF(E74="","",IF(E74="HDFC Bank (INR)","INR","GBP"))</f>
        <v/>
      </c>
      <c r="E74" s="111" t="n"/>
      <c r="F74" s="113" t="n"/>
      <c r="G74" s="113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68">
      <c r="A75" s="113" t="n"/>
      <c r="B75" s="111" t="n"/>
      <c r="C75" s="117" t="n"/>
      <c r="D75" s="118">
        <f>IF(E75="","",IF(E75="HDFC Bank (INR)","INR","GBP"))</f>
        <v/>
      </c>
      <c r="E75" s="111" t="n"/>
      <c r="F75" s="113" t="n"/>
      <c r="G75" s="113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68">
      <c r="A76" s="113" t="n"/>
      <c r="B76" s="111" t="n"/>
      <c r="C76" s="117" t="n"/>
      <c r="D76" s="118">
        <f>IF(E76="","",IF(E76="HDFC Bank (INR)","INR","GBP"))</f>
        <v/>
      </c>
      <c r="E76" s="111" t="n"/>
      <c r="F76" s="113" t="n"/>
      <c r="G76" s="113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68">
      <c r="A77" s="113" t="n"/>
      <c r="B77" s="111" t="n"/>
      <c r="C77" s="117" t="n"/>
      <c r="D77" s="118">
        <f>IF(E77="","",IF(E77="HDFC Bank (INR)","INR","GBP"))</f>
        <v/>
      </c>
      <c r="E77" s="111" t="n"/>
      <c r="F77" s="113" t="n"/>
      <c r="G77" s="113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68">
      <c r="A78" s="113" t="n"/>
      <c r="B78" s="111" t="n"/>
      <c r="C78" s="117" t="n"/>
      <c r="D78" s="118">
        <f>IF(E78="","",IF(E78="HDFC Bank (INR)","INR","GBP"))</f>
        <v/>
      </c>
      <c r="E78" s="111" t="n"/>
      <c r="F78" s="113" t="n"/>
      <c r="G78" s="113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68">
      <c r="A79" s="113" t="n"/>
      <c r="B79" s="111" t="n"/>
      <c r="C79" s="117" t="n"/>
      <c r="D79" s="118">
        <f>IF(E79="","",IF(E79="HDFC Bank (INR)","INR","GBP"))</f>
        <v/>
      </c>
      <c r="E79" s="111" t="n"/>
      <c r="F79" s="113" t="n"/>
      <c r="G79" s="113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68">
      <c r="A80" s="113" t="n"/>
      <c r="B80" s="111" t="n"/>
      <c r="C80" s="117" t="n"/>
      <c r="D80" s="118">
        <f>IF(E80="","",IF(E80="HDFC Bank (INR)","INR","GBP"))</f>
        <v/>
      </c>
      <c r="E80" s="111" t="n"/>
      <c r="F80" s="113" t="n"/>
      <c r="G80" s="113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68">
      <c r="A81" s="113" t="n"/>
      <c r="B81" s="111" t="n"/>
      <c r="C81" s="117" t="n"/>
      <c r="D81" s="118">
        <f>IF(E81="","",IF(E81="HDFC Bank (INR)","INR","GBP"))</f>
        <v/>
      </c>
      <c r="E81" s="111" t="n"/>
      <c r="F81" s="113" t="n"/>
      <c r="G81" s="113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68">
      <c r="A82" s="113" t="n"/>
      <c r="B82" s="111" t="n"/>
      <c r="C82" s="117" t="n"/>
      <c r="D82" s="118">
        <f>IF(E82="","",IF(E82="HDFC Bank (INR)","INR","GBP"))</f>
        <v/>
      </c>
      <c r="E82" s="111" t="n"/>
      <c r="F82" s="113" t="n"/>
      <c r="G82" s="113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68">
      <c r="A83" s="113" t="n"/>
      <c r="B83" s="111" t="n"/>
      <c r="C83" s="117" t="n"/>
      <c r="D83" s="118">
        <f>IF(E83="","",IF(E83="HDFC Bank (INR)","INR","GBP"))</f>
        <v/>
      </c>
      <c r="E83" s="111" t="n"/>
      <c r="F83" s="113" t="n"/>
      <c r="G83" s="113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68">
      <c r="A84" s="113" t="n"/>
      <c r="B84" s="111" t="n"/>
      <c r="C84" s="117" t="n"/>
      <c r="D84" s="118">
        <f>IF(E84="","",IF(E84="HDFC Bank (INR)","INR","GBP"))</f>
        <v/>
      </c>
      <c r="E84" s="111" t="n"/>
      <c r="F84" s="113" t="n"/>
      <c r="G84" s="113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68">
      <c r="A85" s="113" t="n"/>
      <c r="B85" s="111" t="n"/>
      <c r="C85" s="117" t="n"/>
      <c r="D85" s="118">
        <f>IF(E85="","",IF(E85="HDFC Bank (INR)","INR","GBP"))</f>
        <v/>
      </c>
      <c r="E85" s="111" t="n"/>
      <c r="F85" s="113" t="n"/>
      <c r="G85" s="113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68">
      <c r="A86" s="113" t="n"/>
      <c r="B86" s="111" t="n"/>
      <c r="C86" s="117" t="n"/>
      <c r="D86" s="118">
        <f>IF(E86="","",IF(E86="HDFC Bank (INR)","INR","GBP"))</f>
        <v/>
      </c>
      <c r="E86" s="111" t="n"/>
      <c r="F86" s="113" t="n"/>
      <c r="G86" s="113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68">
      <c r="A87" s="113" t="n"/>
      <c r="B87" s="111" t="n"/>
      <c r="C87" s="117" t="n"/>
      <c r="D87" s="118">
        <f>IF(E87="","",IF(E87="HDFC Bank (INR)","INR","GBP"))</f>
        <v/>
      </c>
      <c r="E87" s="111" t="n"/>
      <c r="F87" s="113" t="n"/>
      <c r="G87" s="113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68">
      <c r="A88" s="113" t="n"/>
      <c r="B88" s="111" t="n"/>
      <c r="C88" s="117" t="n"/>
      <c r="D88" s="118">
        <f>IF(E88="","",IF(E88="HDFC Bank (INR)","INR","GBP"))</f>
        <v/>
      </c>
      <c r="E88" s="111" t="n"/>
      <c r="F88" s="113" t="n"/>
      <c r="G88" s="113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68">
      <c r="A89" s="113" t="n"/>
      <c r="B89" s="111" t="n"/>
      <c r="C89" s="117" t="n"/>
      <c r="D89" s="118">
        <f>IF(E89="","",IF(E89="HDFC Bank (INR)","INR","GBP"))</f>
        <v/>
      </c>
      <c r="E89" s="111" t="n"/>
      <c r="F89" s="113" t="n"/>
      <c r="G89" s="113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68">
      <c r="A90" s="113" t="n"/>
      <c r="B90" s="111" t="n"/>
      <c r="C90" s="117" t="n"/>
      <c r="D90" s="118">
        <f>IF(E90="","",IF(E90="HDFC Bank (INR)","INR","GBP"))</f>
        <v/>
      </c>
      <c r="E90" s="111" t="n"/>
      <c r="F90" s="113" t="n"/>
      <c r="G90" s="113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68">
      <c r="A91" s="113" t="n"/>
      <c r="B91" s="111" t="n"/>
      <c r="C91" s="117" t="n"/>
      <c r="D91" s="118">
        <f>IF(E91="","",IF(E91="HDFC Bank (INR)","INR","GBP"))</f>
        <v/>
      </c>
      <c r="E91" s="111" t="n"/>
      <c r="F91" s="113" t="n"/>
      <c r="G91" s="113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68">
      <c r="A92" s="113" t="n"/>
      <c r="B92" s="111" t="n"/>
      <c r="C92" s="117" t="n"/>
      <c r="D92" s="118">
        <f>IF(E92="","",IF(E92="HDFC Bank (INR)","INR","GBP"))</f>
        <v/>
      </c>
      <c r="E92" s="111" t="n"/>
      <c r="F92" s="113" t="n"/>
      <c r="G92" s="113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68">
      <c r="A93" s="113" t="n"/>
      <c r="B93" s="111" t="n"/>
      <c r="C93" s="117" t="n"/>
      <c r="D93" s="118">
        <f>IF(E93="","",IF(E93="HDFC Bank (INR)","INR","GBP"))</f>
        <v/>
      </c>
      <c r="E93" s="111" t="n"/>
      <c r="F93" s="113" t="n"/>
      <c r="G93" s="113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68">
      <c r="A94" s="113" t="n"/>
      <c r="B94" s="111" t="n"/>
      <c r="C94" s="117" t="n"/>
      <c r="D94" s="118">
        <f>IF(E94="","",IF(E94="HDFC Bank (INR)","INR","GBP"))</f>
        <v/>
      </c>
      <c r="E94" s="111" t="n"/>
      <c r="F94" s="113" t="n"/>
      <c r="G94" s="113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68">
      <c r="A95" s="113" t="n"/>
      <c r="B95" s="111" t="n"/>
      <c r="C95" s="117" t="n"/>
      <c r="D95" s="118">
        <f>IF(E95="","",IF(E95="HDFC Bank (INR)","INR","GBP"))</f>
        <v/>
      </c>
      <c r="E95" s="111" t="n"/>
      <c r="F95" s="113" t="n"/>
      <c r="G95" s="113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68">
      <c r="A96" s="113" t="n"/>
      <c r="B96" s="111" t="n"/>
      <c r="C96" s="117" t="n"/>
      <c r="D96" s="118">
        <f>IF(E96="","",IF(E96="HDFC Bank (INR)","INR","GBP"))</f>
        <v/>
      </c>
      <c r="E96" s="111" t="n"/>
      <c r="F96" s="113" t="n"/>
      <c r="G96" s="113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68">
      <c r="A97" s="113" t="n"/>
      <c r="B97" s="111" t="n"/>
      <c r="C97" s="117" t="n"/>
      <c r="D97" s="118">
        <f>IF(E97="","",IF(E97="HDFC Bank (INR)","INR","GBP"))</f>
        <v/>
      </c>
      <c r="E97" s="111" t="n"/>
      <c r="F97" s="113" t="n"/>
      <c r="G97" s="113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68">
      <c r="A98" s="113" t="n"/>
      <c r="B98" s="111" t="n"/>
      <c r="C98" s="117" t="n"/>
      <c r="D98" s="118">
        <f>IF(E98="","",IF(E98="HDFC Bank (INR)","INR","GBP"))</f>
        <v/>
      </c>
      <c r="E98" s="111" t="n"/>
      <c r="F98" s="113" t="n"/>
      <c r="G98" s="113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68">
      <c r="A99" s="113" t="n"/>
      <c r="B99" s="111" t="n"/>
      <c r="C99" s="117" t="n"/>
      <c r="D99" s="118">
        <f>IF(E99="","",IF(E99="HDFC Bank (INR)","INR","GBP"))</f>
        <v/>
      </c>
      <c r="E99" s="111" t="n"/>
      <c r="F99" s="113" t="n"/>
      <c r="G99" s="113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68">
      <c r="A100" s="113" t="n"/>
      <c r="B100" s="111" t="n"/>
      <c r="C100" s="117" t="n"/>
      <c r="D100" s="118">
        <f>IF(E100="","",IF(E100="HDFC Bank (INR)","INR","GBP"))</f>
        <v/>
      </c>
      <c r="E100" s="111" t="n"/>
      <c r="F100" s="113" t="n"/>
      <c r="G100" s="113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68">
      <c r="A101" s="113" t="n"/>
      <c r="B101" s="111" t="n"/>
      <c r="C101" s="117" t="n"/>
      <c r="D101" s="118">
        <f>IF(E101="","",IF(E101="HDFC Bank (INR)","INR","GBP"))</f>
        <v/>
      </c>
      <c r="E101" s="111" t="n"/>
      <c r="F101" s="113" t="n"/>
      <c r="G101" s="113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68">
      <c r="A102" s="113" t="n"/>
      <c r="B102" s="111" t="n"/>
      <c r="C102" s="117" t="n"/>
      <c r="D102" s="118">
        <f>IF(E102="","",IF(E102="HDFC Bank (INR)","INR","GBP"))</f>
        <v/>
      </c>
      <c r="E102" s="111" t="n"/>
      <c r="F102" s="113" t="n"/>
      <c r="G102" s="113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68">
      <c r="A103" s="113" t="n"/>
      <c r="B103" s="111" t="n"/>
      <c r="C103" s="117" t="n"/>
      <c r="D103" s="118">
        <f>IF(E103="","",IF(E103="HDFC Bank (INR)","INR","GBP"))</f>
        <v/>
      </c>
      <c r="E103" s="111" t="n"/>
      <c r="F103" s="113" t="n"/>
      <c r="G103" s="113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68">
      <c r="A104" s="113" t="n"/>
      <c r="B104" s="111" t="n"/>
      <c r="C104" s="117" t="n"/>
      <c r="D104" s="118">
        <f>IF(E104="","",IF(E104="HDFC Bank (INR)","INR","GBP"))</f>
        <v/>
      </c>
      <c r="E104" s="111" t="n"/>
      <c r="F104" s="113" t="n"/>
      <c r="G104" s="113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68">
      <c r="A105" s="113" t="n"/>
      <c r="B105" s="111" t="n"/>
      <c r="C105" s="117" t="n"/>
      <c r="D105" s="118">
        <f>IF(E105="","",IF(E105="HDFC Bank (INR)","INR","GBP"))</f>
        <v/>
      </c>
      <c r="E105" s="111" t="n"/>
      <c r="F105" s="113" t="n"/>
      <c r="G105" s="113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68">
      <c r="A106" s="113" t="n"/>
      <c r="B106" s="111" t="n"/>
      <c r="C106" s="117" t="n"/>
      <c r="D106" s="118">
        <f>IF(E106="","",IF(E106="HDFC Bank (INR)","INR","GBP"))</f>
        <v/>
      </c>
      <c r="E106" s="111" t="n"/>
      <c r="F106" s="113" t="n"/>
      <c r="G106" s="113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68">
      <c r="A107" s="113" t="n"/>
      <c r="B107" s="111" t="n"/>
      <c r="C107" s="117" t="n"/>
      <c r="D107" s="118">
        <f>IF(E107="","",IF(E107="HDFC Bank (INR)","INR","GBP"))</f>
        <v/>
      </c>
      <c r="E107" s="111" t="n"/>
      <c r="F107" s="113" t="n"/>
      <c r="G107" s="113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68">
      <c r="A108" s="113" t="n"/>
      <c r="B108" s="111" t="n"/>
      <c r="C108" s="117" t="n"/>
      <c r="D108" s="118">
        <f>IF(E108="","",IF(E108="HDFC Bank (INR)","INR","GBP"))</f>
        <v/>
      </c>
      <c r="E108" s="111" t="n"/>
      <c r="F108" s="113" t="n"/>
      <c r="G108" s="113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68">
      <c r="A109" s="113" t="n"/>
      <c r="B109" s="111" t="n"/>
      <c r="C109" s="117" t="n"/>
      <c r="D109" s="118">
        <f>IF(E109="","",IF(E109="HDFC Bank (INR)","INR","GBP"))</f>
        <v/>
      </c>
      <c r="E109" s="111" t="n"/>
      <c r="F109" s="113" t="n"/>
      <c r="G109" s="113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68">
      <c r="A110" s="113" t="n"/>
      <c r="B110" s="111" t="n"/>
      <c r="C110" s="117" t="n"/>
      <c r="D110" s="118">
        <f>IF(E110="","",IF(E110="HDFC Bank (INR)","INR","GBP"))</f>
        <v/>
      </c>
      <c r="E110" s="111" t="n"/>
      <c r="F110" s="113" t="n"/>
      <c r="G110" s="113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68">
      <c r="A111" s="113" t="n"/>
      <c r="B111" s="111" t="n"/>
      <c r="C111" s="117" t="n"/>
      <c r="D111" s="118">
        <f>IF(E111="","",IF(E111="HDFC Bank (INR)","INR","GBP"))</f>
        <v/>
      </c>
      <c r="E111" s="111" t="n"/>
      <c r="F111" s="113" t="n"/>
      <c r="G111" s="113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68">
      <c r="A112" s="113" t="n"/>
      <c r="B112" s="111" t="n"/>
      <c r="C112" s="117" t="n"/>
      <c r="D112" s="118">
        <f>IF(E112="","",IF(E112="HDFC Bank (INR)","INR","GBP"))</f>
        <v/>
      </c>
      <c r="E112" s="111" t="n"/>
      <c r="F112" s="113" t="n"/>
      <c r="G112" s="113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68">
      <c r="A113" s="113" t="n"/>
      <c r="B113" s="111" t="n"/>
      <c r="C113" s="117" t="n"/>
      <c r="D113" s="118">
        <f>IF(E113="","",IF(E113="HDFC Bank (INR)","INR","GBP"))</f>
        <v/>
      </c>
      <c r="E113" s="111" t="n"/>
      <c r="F113" s="113" t="n"/>
      <c r="G113" s="113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68">
      <c r="A114" s="113" t="n"/>
      <c r="B114" s="111" t="n"/>
      <c r="C114" s="117" t="n"/>
      <c r="D114" s="118">
        <f>IF(E114="","",IF(E114="HDFC Bank (INR)","INR","GBP"))</f>
        <v/>
      </c>
      <c r="E114" s="111" t="n"/>
      <c r="F114" s="113" t="n"/>
      <c r="G114" s="113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68">
      <c r="A115" s="113" t="n"/>
      <c r="B115" s="111" t="n"/>
      <c r="C115" s="117" t="n"/>
      <c r="D115" s="118">
        <f>IF(E115="","",IF(E115="HDFC Bank (INR)","INR","GBP"))</f>
        <v/>
      </c>
      <c r="E115" s="111" t="n"/>
      <c r="F115" s="113" t="n"/>
      <c r="G115" s="113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68">
      <c r="A116" s="113" t="n"/>
      <c r="B116" s="111" t="n"/>
      <c r="C116" s="117" t="n"/>
      <c r="D116" s="118">
        <f>IF(E116="","",IF(E116="HDFC Bank (INR)","INR","GBP"))</f>
        <v/>
      </c>
      <c r="E116" s="111" t="n"/>
      <c r="F116" s="113" t="n"/>
      <c r="G116" s="113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68">
      <c r="A117" s="113" t="n"/>
      <c r="B117" s="111" t="n"/>
      <c r="C117" s="117" t="n"/>
      <c r="D117" s="118">
        <f>IF(E117="","",IF(E117="HDFC Bank (INR)","INR","GBP"))</f>
        <v/>
      </c>
      <c r="E117" s="111" t="n"/>
      <c r="F117" s="113" t="n"/>
      <c r="G117" s="113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68">
      <c r="A118" s="113" t="n"/>
      <c r="B118" s="111" t="n"/>
      <c r="C118" s="117" t="n"/>
      <c r="D118" s="118">
        <f>IF(E118="","",IF(E118="HDFC Bank (INR)","INR","GBP"))</f>
        <v/>
      </c>
      <c r="E118" s="111" t="n"/>
      <c r="F118" s="113" t="n"/>
      <c r="G118" s="113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68">
      <c r="A119" s="113" t="n"/>
      <c r="B119" s="111" t="n"/>
      <c r="C119" s="117" t="n"/>
      <c r="D119" s="118">
        <f>IF(E119="","",IF(E119="HDFC Bank (INR)","INR","GBP"))</f>
        <v/>
      </c>
      <c r="E119" s="111" t="n"/>
      <c r="F119" s="113" t="n"/>
      <c r="G119" s="113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68">
      <c r="A120" s="113" t="n"/>
      <c r="B120" s="111" t="n"/>
      <c r="C120" s="117" t="n"/>
      <c r="D120" s="118">
        <f>IF(E120="","",IF(E120="HDFC Bank (INR)","INR","GBP"))</f>
        <v/>
      </c>
      <c r="E120" s="111" t="n"/>
      <c r="F120" s="113" t="n"/>
      <c r="G120" s="113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68">
      <c r="A121" s="113" t="n"/>
      <c r="B121" s="111" t="n"/>
      <c r="C121" s="117" t="n"/>
      <c r="D121" s="118">
        <f>IF(E121="","",IF(E121="HDFC Bank (INR)","INR","GBP"))</f>
        <v/>
      </c>
      <c r="E121" s="111" t="n"/>
      <c r="F121" s="113" t="n"/>
      <c r="G121" s="113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68">
      <c r="A122" s="113" t="n"/>
      <c r="B122" s="111" t="n"/>
      <c r="C122" s="117" t="n"/>
      <c r="D122" s="118">
        <f>IF(E122="","",IF(E122="HDFC Bank (INR)","INR","GBP"))</f>
        <v/>
      </c>
      <c r="E122" s="111" t="n"/>
      <c r="F122" s="113" t="n"/>
      <c r="G122" s="113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68">
      <c r="A123" s="113" t="n"/>
      <c r="B123" s="111" t="n"/>
      <c r="C123" s="117" t="n"/>
      <c r="D123" s="118">
        <f>IF(E123="","",IF(E123="HDFC Bank (INR)","INR","GBP"))</f>
        <v/>
      </c>
      <c r="E123" s="111" t="n"/>
      <c r="F123" s="113" t="n"/>
      <c r="G123" s="113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68">
      <c r="A124" s="113" t="n"/>
      <c r="B124" s="111" t="n"/>
      <c r="C124" s="117" t="n"/>
      <c r="D124" s="118">
        <f>IF(E124="","",IF(E124="HDFC Bank (INR)","INR","GBP"))</f>
        <v/>
      </c>
      <c r="E124" s="111" t="n"/>
      <c r="F124" s="113" t="n"/>
      <c r="G124" s="113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68">
      <c r="A125" s="113" t="n"/>
      <c r="B125" s="111" t="n"/>
      <c r="C125" s="117" t="n"/>
      <c r="D125" s="118">
        <f>IF(E125="","",IF(E125="HDFC Bank (INR)","INR","GBP"))</f>
        <v/>
      </c>
      <c r="E125" s="111" t="n"/>
      <c r="F125" s="113" t="n"/>
      <c r="G125" s="113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68">
      <c r="A126" s="113" t="n"/>
      <c r="B126" s="111" t="n"/>
      <c r="C126" s="117" t="n"/>
      <c r="D126" s="118">
        <f>IF(E126="","",IF(E126="HDFC Bank (INR)","INR","GBP"))</f>
        <v/>
      </c>
      <c r="E126" s="111" t="n"/>
      <c r="F126" s="113" t="n"/>
      <c r="G126" s="113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68">
      <c r="A127" s="113" t="n"/>
      <c r="B127" s="111" t="n"/>
      <c r="C127" s="117" t="n"/>
      <c r="D127" s="118">
        <f>IF(E127="","",IF(E127="HDFC Bank (INR)","INR","GBP"))</f>
        <v/>
      </c>
      <c r="E127" s="111" t="n"/>
      <c r="F127" s="113" t="n"/>
      <c r="G127" s="113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68">
      <c r="A128" s="113" t="n"/>
      <c r="B128" s="111" t="n"/>
      <c r="C128" s="117" t="n"/>
      <c r="D128" s="118">
        <f>IF(E128="","",IF(E128="HDFC Bank (INR)","INR","GBP"))</f>
        <v/>
      </c>
      <c r="E128" s="111" t="n"/>
      <c r="F128" s="113" t="n"/>
      <c r="G128" s="113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68">
      <c r="A129" s="113" t="n"/>
      <c r="B129" s="111" t="n"/>
      <c r="C129" s="117" t="n"/>
      <c r="D129" s="118">
        <f>IF(E129="","",IF(E129="HDFC Bank (INR)","INR","GBP"))</f>
        <v/>
      </c>
      <c r="E129" s="111" t="n"/>
      <c r="F129" s="113" t="n"/>
      <c r="G129" s="113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68">
      <c r="A130" s="113" t="n"/>
      <c r="B130" s="111" t="n"/>
      <c r="C130" s="117" t="n"/>
      <c r="D130" s="118">
        <f>IF(E130="","",IF(E130="HDFC Bank (INR)","INR","GBP"))</f>
        <v/>
      </c>
      <c r="E130" s="111" t="n"/>
      <c r="F130" s="113" t="n"/>
      <c r="G130" s="113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68">
      <c r="A131" s="113" t="n"/>
      <c r="B131" s="111" t="n"/>
      <c r="C131" s="117" t="n"/>
      <c r="D131" s="118">
        <f>IF(E131="","",IF(E131="HDFC Bank (INR)","INR","GBP"))</f>
        <v/>
      </c>
      <c r="E131" s="111" t="n"/>
      <c r="F131" s="113" t="n"/>
      <c r="G131" s="113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68">
      <c r="A132" s="113" t="n"/>
      <c r="B132" s="111" t="n"/>
      <c r="C132" s="117" t="n"/>
      <c r="D132" s="118">
        <f>IF(E132="","",IF(E132="HDFC Bank (INR)","INR","GBP"))</f>
        <v/>
      </c>
      <c r="E132" s="111" t="n"/>
      <c r="F132" s="113" t="n"/>
      <c r="G132" s="113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68">
      <c r="A133" s="113" t="n"/>
      <c r="B133" s="111" t="n"/>
      <c r="C133" s="117" t="n"/>
      <c r="D133" s="118">
        <f>IF(E133="","",IF(E133="HDFC Bank (INR)","INR","GBP"))</f>
        <v/>
      </c>
      <c r="E133" s="111" t="n"/>
      <c r="F133" s="113" t="n"/>
      <c r="G133" s="113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68">
      <c r="A134" s="113" t="n"/>
      <c r="B134" s="111" t="n"/>
      <c r="C134" s="117" t="n"/>
      <c r="D134" s="118">
        <f>IF(E134="","",IF(E134="HDFC Bank (INR)","INR","GBP"))</f>
        <v/>
      </c>
      <c r="E134" s="111" t="n"/>
      <c r="F134" s="113" t="n"/>
      <c r="G134" s="113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68">
      <c r="A135" s="113" t="n"/>
      <c r="B135" s="111" t="n"/>
      <c r="C135" s="117" t="n"/>
      <c r="D135" s="118">
        <f>IF(E135="","",IF(E135="HDFC Bank (INR)","INR","GBP"))</f>
        <v/>
      </c>
      <c r="E135" s="111" t="n"/>
      <c r="F135" s="113" t="n"/>
      <c r="G135" s="113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68">
      <c r="A136" s="113" t="n"/>
      <c r="B136" s="111" t="n"/>
      <c r="C136" s="117" t="n"/>
      <c r="D136" s="118">
        <f>IF(E136="","",IF(E136="HDFC Bank (INR)","INR","GBP"))</f>
        <v/>
      </c>
      <c r="E136" s="111" t="n"/>
      <c r="F136" s="113" t="n"/>
      <c r="G136" s="113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68">
      <c r="A137" s="113" t="n"/>
      <c r="B137" s="111" t="n"/>
      <c r="C137" s="117" t="n"/>
      <c r="D137" s="118">
        <f>IF(E137="","",IF(E137="HDFC Bank (INR)","INR","GBP"))</f>
        <v/>
      </c>
      <c r="E137" s="111" t="n"/>
      <c r="F137" s="113" t="n"/>
      <c r="G137" s="113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68">
      <c r="A138" s="113" t="n"/>
      <c r="B138" s="111" t="n"/>
      <c r="C138" s="117" t="n"/>
      <c r="D138" s="118">
        <f>IF(E138="","",IF(E138="HDFC Bank (INR)","INR","GBP"))</f>
        <v/>
      </c>
      <c r="E138" s="111" t="n"/>
      <c r="F138" s="113" t="n"/>
      <c r="G138" s="113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68">
      <c r="A139" s="113" t="n"/>
      <c r="B139" s="111" t="n"/>
      <c r="C139" s="117" t="n"/>
      <c r="D139" s="118">
        <f>IF(E139="","",IF(E139="HDFC Bank (INR)","INR","GBP"))</f>
        <v/>
      </c>
      <c r="E139" s="111" t="n"/>
      <c r="F139" s="113" t="n"/>
      <c r="G139" s="113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68">
      <c r="A140" s="113" t="n"/>
      <c r="B140" s="111" t="n"/>
      <c r="C140" s="117" t="n"/>
      <c r="D140" s="118">
        <f>IF(E140="","",IF(E140="HDFC Bank (INR)","INR","GBP"))</f>
        <v/>
      </c>
      <c r="E140" s="111" t="n"/>
      <c r="F140" s="113" t="n"/>
      <c r="G140" s="113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68">
      <c r="A141" s="113" t="n"/>
      <c r="B141" s="111" t="n"/>
      <c r="C141" s="117" t="n"/>
      <c r="D141" s="118">
        <f>IF(E141="","",IF(E141="HDFC Bank (INR)","INR","GBP"))</f>
        <v/>
      </c>
      <c r="E141" s="111" t="n"/>
      <c r="F141" s="113" t="n"/>
      <c r="G141" s="113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68">
      <c r="A142" s="113" t="n"/>
      <c r="B142" s="111" t="n"/>
      <c r="C142" s="117" t="n"/>
      <c r="D142" s="118">
        <f>IF(E142="","",IF(E142="HDFC Bank (INR)","INR","GBP"))</f>
        <v/>
      </c>
      <c r="E142" s="111" t="n"/>
      <c r="F142" s="113" t="n"/>
      <c r="G142" s="113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68">
      <c r="A143" s="113" t="n"/>
      <c r="B143" s="111" t="n"/>
      <c r="C143" s="117" t="n"/>
      <c r="D143" s="118">
        <f>IF(E143="","",IF(E143="HDFC Bank (INR)","INR","GBP"))</f>
        <v/>
      </c>
      <c r="E143" s="111" t="n"/>
      <c r="F143" s="113" t="n"/>
      <c r="G143" s="113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68">
      <c r="A144" s="113" t="n"/>
      <c r="B144" s="111" t="n"/>
      <c r="C144" s="117" t="n"/>
      <c r="D144" s="118">
        <f>IF(E144="","",IF(E144="HDFC Bank (INR)","INR","GBP"))</f>
        <v/>
      </c>
      <c r="E144" s="111" t="n"/>
      <c r="F144" s="113" t="n"/>
      <c r="G144" s="113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68">
      <c r="A145" s="113" t="n"/>
      <c r="B145" s="111" t="n"/>
      <c r="C145" s="117" t="n"/>
      <c r="D145" s="118">
        <f>IF(E145="","",IF(E145="HDFC Bank (INR)","INR","GBP"))</f>
        <v/>
      </c>
      <c r="E145" s="111" t="n"/>
      <c r="F145" s="113" t="n"/>
      <c r="G145" s="113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68">
      <c r="A146" s="113" t="n"/>
      <c r="B146" s="111" t="n"/>
      <c r="C146" s="117" t="n"/>
      <c r="D146" s="118">
        <f>IF(E146="","",IF(E146="HDFC Bank (INR)","INR","GBP"))</f>
        <v/>
      </c>
      <c r="E146" s="111" t="n"/>
      <c r="F146" s="113" t="n"/>
      <c r="G146" s="113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68">
      <c r="A147" s="113" t="n"/>
      <c r="B147" s="111" t="n"/>
      <c r="C147" s="117" t="n"/>
      <c r="D147" s="118">
        <f>IF(E147="","",IF(E147="HDFC Bank (INR)","INR","GBP"))</f>
        <v/>
      </c>
      <c r="E147" s="111" t="n"/>
      <c r="F147" s="113" t="n"/>
      <c r="G147" s="113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68">
      <c r="A148" s="113" t="n"/>
      <c r="B148" s="111" t="n"/>
      <c r="C148" s="117" t="n"/>
      <c r="D148" s="118">
        <f>IF(E148="","",IF(E148="HDFC Bank (INR)","INR","GBP"))</f>
        <v/>
      </c>
      <c r="E148" s="111" t="n"/>
      <c r="F148" s="113" t="n"/>
      <c r="G148" s="113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68">
      <c r="A149" s="113" t="n"/>
      <c r="B149" s="111" t="n"/>
      <c r="C149" s="117" t="n"/>
      <c r="D149" s="118">
        <f>IF(E149="","",IF(E149="HDFC Bank (INR)","INR","GBP"))</f>
        <v/>
      </c>
      <c r="E149" s="111" t="n"/>
      <c r="F149" s="113" t="n"/>
      <c r="G149" s="113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68">
      <c r="A150" s="113" t="n"/>
      <c r="B150" s="111" t="n"/>
      <c r="C150" s="117" t="n"/>
      <c r="D150" s="118">
        <f>IF(E150="","",IF(E150="HDFC Bank (INR)","INR","GBP"))</f>
        <v/>
      </c>
      <c r="E150" s="111" t="n"/>
      <c r="F150" s="113" t="n"/>
      <c r="G150" s="113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68">
      <c r="A151" s="113" t="n"/>
      <c r="B151" s="111" t="n"/>
      <c r="C151" s="117" t="n"/>
      <c r="D151" s="118">
        <f>IF(E151="","",IF(E151="HDFC Bank (INR)","INR","GBP"))</f>
        <v/>
      </c>
      <c r="E151" s="111" t="n"/>
      <c r="F151" s="113" t="n"/>
      <c r="G151" s="113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68">
      <c r="A152" s="113" t="n"/>
      <c r="B152" s="111" t="n"/>
      <c r="C152" s="117" t="n"/>
      <c r="D152" s="118">
        <f>IF(E152="","",IF(E152="HDFC Bank (INR)","INR","GBP"))</f>
        <v/>
      </c>
      <c r="E152" s="111" t="n"/>
      <c r="F152" s="113" t="n"/>
      <c r="G152" s="113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68">
      <c r="A153" s="113" t="n"/>
      <c r="B153" s="111" t="n"/>
      <c r="C153" s="117" t="n"/>
      <c r="D153" s="118">
        <f>IF(E153="","",IF(E153="HDFC Bank (INR)","INR","GBP"))</f>
        <v/>
      </c>
      <c r="E153" s="111" t="n"/>
      <c r="F153" s="113" t="n"/>
      <c r="G153" s="113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68">
      <c r="A154" s="113" t="n"/>
      <c r="B154" s="111" t="n"/>
      <c r="C154" s="117" t="n"/>
      <c r="D154" s="118">
        <f>IF(E154="","",IF(E154="HDFC Bank (INR)","INR","GBP"))</f>
        <v/>
      </c>
      <c r="E154" s="111" t="n"/>
      <c r="F154" s="113" t="n"/>
      <c r="G154" s="113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68">
      <c r="A155" s="113" t="n"/>
      <c r="B155" s="111" t="n"/>
      <c r="C155" s="117" t="n"/>
      <c r="D155" s="118">
        <f>IF(E155="","",IF(E155="HDFC Bank (INR)","INR","GBP"))</f>
        <v/>
      </c>
      <c r="E155" s="111" t="n"/>
      <c r="F155" s="113" t="n"/>
      <c r="G155" s="113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68">
      <c r="A156" s="113" t="n"/>
      <c r="B156" s="111" t="n"/>
      <c r="C156" s="117" t="n"/>
      <c r="D156" s="118">
        <f>IF(E156="","",IF(E156="HDFC Bank (INR)","INR","GBP"))</f>
        <v/>
      </c>
      <c r="E156" s="111" t="n"/>
      <c r="F156" s="113" t="n"/>
      <c r="G156" s="113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68">
      <c r="A157" s="113" t="n"/>
      <c r="B157" s="111" t="n"/>
      <c r="C157" s="117" t="n"/>
      <c r="D157" s="118">
        <f>IF(E157="","",IF(E157="HDFC Bank (INR)","INR","GBP"))</f>
        <v/>
      </c>
      <c r="E157" s="111" t="n"/>
      <c r="F157" s="113" t="n"/>
      <c r="G157" s="113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68">
      <c r="A158" s="113" t="n"/>
      <c r="B158" s="111" t="n"/>
      <c r="C158" s="117" t="n"/>
      <c r="D158" s="118">
        <f>IF(E158="","",IF(E158="HDFC Bank (INR)","INR","GBP"))</f>
        <v/>
      </c>
      <c r="E158" s="111" t="n"/>
      <c r="F158" s="113" t="n"/>
      <c r="G158" s="113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68">
      <c r="A159" s="113" t="n"/>
      <c r="B159" s="111" t="n"/>
      <c r="C159" s="117" t="n"/>
      <c r="D159" s="118">
        <f>IF(E159="","",IF(E159="HDFC Bank (INR)","INR","GBP"))</f>
        <v/>
      </c>
      <c r="E159" s="111" t="n"/>
      <c r="F159" s="113" t="n"/>
      <c r="G159" s="113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68">
      <c r="A160" s="113" t="n"/>
      <c r="B160" s="111" t="n"/>
      <c r="C160" s="117" t="n"/>
      <c r="D160" s="118">
        <f>IF(E160="","",IF(E160="HDFC Bank (INR)","INR","GBP"))</f>
        <v/>
      </c>
      <c r="E160" s="111" t="n"/>
      <c r="F160" s="113" t="n"/>
      <c r="G160" s="113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68">
      <c r="A161" s="113" t="n"/>
      <c r="B161" s="111" t="n"/>
      <c r="C161" s="117" t="n"/>
      <c r="D161" s="118">
        <f>IF(E161="","",IF(E161="HDFC Bank (INR)","INR","GBP"))</f>
        <v/>
      </c>
      <c r="E161" s="111" t="n"/>
      <c r="F161" s="113" t="n"/>
      <c r="G161" s="113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68">
      <c r="A162" s="113" t="n"/>
      <c r="B162" s="111" t="n"/>
      <c r="C162" s="117" t="n"/>
      <c r="D162" s="118">
        <f>IF(E162="","",IF(E162="HDFC Bank (INR)","INR","GBP"))</f>
        <v/>
      </c>
      <c r="E162" s="111" t="n"/>
      <c r="F162" s="113" t="n"/>
      <c r="G162" s="113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68">
      <c r="A163" s="113" t="n"/>
      <c r="B163" s="111" t="n"/>
      <c r="C163" s="117" t="n"/>
      <c r="D163" s="118">
        <f>IF(E163="","",IF(E163="HDFC Bank (INR)","INR","GBP"))</f>
        <v/>
      </c>
      <c r="E163" s="111" t="n"/>
      <c r="F163" s="113" t="n"/>
      <c r="G163" s="113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68">
      <c r="A164" s="113" t="n"/>
      <c r="B164" s="111" t="n"/>
      <c r="C164" s="117" t="n"/>
      <c r="D164" s="118">
        <f>IF(E164="","",IF(E164="HDFC Bank (INR)","INR","GBP"))</f>
        <v/>
      </c>
      <c r="E164" s="111" t="n"/>
      <c r="F164" s="113" t="n"/>
      <c r="G164" s="113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68">
      <c r="A165" s="113" t="n"/>
      <c r="B165" s="111" t="n"/>
      <c r="C165" s="117" t="n"/>
      <c r="D165" s="118">
        <f>IF(E165="","",IF(E165="HDFC Bank (INR)","INR","GBP"))</f>
        <v/>
      </c>
      <c r="E165" s="111" t="n"/>
      <c r="F165" s="113" t="n"/>
      <c r="G165" s="113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68">
      <c r="A166" s="113" t="n"/>
      <c r="B166" s="111" t="n"/>
      <c r="C166" s="117" t="n"/>
      <c r="D166" s="118">
        <f>IF(E166="","",IF(E166="HDFC Bank (INR)","INR","GBP"))</f>
        <v/>
      </c>
      <c r="E166" s="111" t="n"/>
      <c r="F166" s="113" t="n"/>
      <c r="G166" s="113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68">
      <c r="A167" s="113" t="n"/>
      <c r="B167" s="111" t="n"/>
      <c r="C167" s="117" t="n"/>
      <c r="D167" s="118">
        <f>IF(E167="","",IF(E167="HDFC Bank (INR)","INR","GBP"))</f>
        <v/>
      </c>
      <c r="E167" s="111" t="n"/>
      <c r="F167" s="113" t="n"/>
      <c r="G167" s="113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68">
      <c r="A168" s="113" t="n"/>
      <c r="B168" s="111" t="n"/>
      <c r="C168" s="117" t="n"/>
      <c r="D168" s="118">
        <f>IF(E168="","",IF(E168="HDFC Bank (INR)","INR","GBP"))</f>
        <v/>
      </c>
      <c r="E168" s="111" t="n"/>
      <c r="F168" s="113" t="n"/>
      <c r="G168" s="113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68">
      <c r="A169" s="113" t="n"/>
      <c r="B169" s="111" t="n"/>
      <c r="C169" s="117" t="n"/>
      <c r="D169" s="118">
        <f>IF(E169="","",IF(E169="HDFC Bank (INR)","INR","GBP"))</f>
        <v/>
      </c>
      <c r="E169" s="111" t="n"/>
      <c r="F169" s="113" t="n"/>
      <c r="G169" s="113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68">
      <c r="A170" s="113" t="n"/>
      <c r="B170" s="111" t="n"/>
      <c r="C170" s="117" t="n"/>
      <c r="D170" s="118">
        <f>IF(E170="","",IF(E170="HDFC Bank (INR)","INR","GBP"))</f>
        <v/>
      </c>
      <c r="E170" s="111" t="n"/>
      <c r="F170" s="113" t="n"/>
      <c r="G170" s="113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68">
      <c r="A171" s="113" t="n"/>
      <c r="B171" s="111" t="n"/>
      <c r="C171" s="117" t="n"/>
      <c r="D171" s="118">
        <f>IF(E171="","",IF(E171="HDFC Bank (INR)","INR","GBP"))</f>
        <v/>
      </c>
      <c r="E171" s="111" t="n"/>
      <c r="F171" s="113" t="n"/>
      <c r="G171" s="113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68">
      <c r="A172" s="113" t="n"/>
      <c r="B172" s="111" t="n"/>
      <c r="C172" s="117" t="n"/>
      <c r="D172" s="118">
        <f>IF(E172="","",IF(E172="HDFC Bank (INR)","INR","GBP"))</f>
        <v/>
      </c>
      <c r="E172" s="111" t="n"/>
      <c r="F172" s="113" t="n"/>
      <c r="G172" s="113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68">
      <c r="A173" s="113" t="n"/>
      <c r="B173" s="111" t="n"/>
      <c r="C173" s="117" t="n"/>
      <c r="D173" s="118">
        <f>IF(E173="","",IF(E173="HDFC Bank (INR)","INR","GBP"))</f>
        <v/>
      </c>
      <c r="E173" s="111" t="n"/>
      <c r="F173" s="113" t="n"/>
      <c r="G173" s="113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68">
      <c r="A174" s="113" t="n"/>
      <c r="B174" s="111" t="n"/>
      <c r="C174" s="117" t="n"/>
      <c r="D174" s="118">
        <f>IF(E174="","",IF(E174="HDFC Bank (INR)","INR","GBP"))</f>
        <v/>
      </c>
      <c r="E174" s="111" t="n"/>
      <c r="F174" s="113" t="n"/>
      <c r="G174" s="113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68">
      <c r="A175" s="113" t="n"/>
      <c r="B175" s="111" t="n"/>
      <c r="C175" s="117" t="n"/>
      <c r="D175" s="118">
        <f>IF(E175="","",IF(E175="HDFC Bank (INR)","INR","GBP"))</f>
        <v/>
      </c>
      <c r="E175" s="111" t="n"/>
      <c r="F175" s="113" t="n"/>
      <c r="G175" s="113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68">
      <c r="A176" s="113" t="n"/>
      <c r="B176" s="111" t="n"/>
      <c r="C176" s="117" t="n"/>
      <c r="D176" s="118">
        <f>IF(E176="","",IF(E176="HDFC Bank (INR)","INR","GBP"))</f>
        <v/>
      </c>
      <c r="E176" s="111" t="n"/>
      <c r="F176" s="113" t="n"/>
      <c r="G176" s="113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68">
      <c r="A177" s="113" t="n"/>
      <c r="B177" s="111" t="n"/>
      <c r="C177" s="117" t="n"/>
      <c r="D177" s="118">
        <f>IF(E177="","",IF(E177="HDFC Bank (INR)","INR","GBP"))</f>
        <v/>
      </c>
      <c r="E177" s="111" t="n"/>
      <c r="F177" s="113" t="n"/>
      <c r="G177" s="113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68">
      <c r="A178" s="113" t="n"/>
      <c r="B178" s="111" t="n"/>
      <c r="C178" s="117" t="n"/>
      <c r="D178" s="118">
        <f>IF(E178="","",IF(E178="HDFC Bank (INR)","INR","GBP"))</f>
        <v/>
      </c>
      <c r="E178" s="111" t="n"/>
      <c r="F178" s="113" t="n"/>
      <c r="G178" s="113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68">
      <c r="A179" s="113" t="n"/>
      <c r="B179" s="111" t="n"/>
      <c r="C179" s="117" t="n"/>
      <c r="D179" s="118">
        <f>IF(E179="","",IF(E179="HDFC Bank (INR)","INR","GBP"))</f>
        <v/>
      </c>
      <c r="E179" s="111" t="n"/>
      <c r="F179" s="113" t="n"/>
      <c r="G179" s="113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68">
      <c r="A180" s="113" t="n"/>
      <c r="B180" s="111" t="n"/>
      <c r="C180" s="117" t="n"/>
      <c r="D180" s="118">
        <f>IF(E180="","",IF(E180="HDFC Bank (INR)","INR","GBP"))</f>
        <v/>
      </c>
      <c r="E180" s="111" t="n"/>
      <c r="F180" s="113" t="n"/>
      <c r="G180" s="113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68">
      <c r="A181" s="113" t="n"/>
      <c r="B181" s="111" t="n"/>
      <c r="C181" s="117" t="n"/>
      <c r="D181" s="118">
        <f>IF(E181="","",IF(E181="HDFC Bank (INR)","INR","GBP"))</f>
        <v/>
      </c>
      <c r="E181" s="111" t="n"/>
      <c r="F181" s="113" t="n"/>
      <c r="G181" s="113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68">
      <c r="A182" s="113" t="n"/>
      <c r="B182" s="111" t="n"/>
      <c r="C182" s="117" t="n"/>
      <c r="D182" s="118">
        <f>IF(E182="","",IF(E182="HDFC Bank (INR)","INR","GBP"))</f>
        <v/>
      </c>
      <c r="E182" s="111" t="n"/>
      <c r="F182" s="113" t="n"/>
      <c r="G182" s="113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68">
      <c r="A183" s="113" t="n"/>
      <c r="B183" s="111" t="n"/>
      <c r="C183" s="117" t="n"/>
      <c r="D183" s="118">
        <f>IF(E183="","",IF(E183="HDFC Bank (INR)","INR","GBP"))</f>
        <v/>
      </c>
      <c r="E183" s="111" t="n"/>
      <c r="F183" s="113" t="n"/>
      <c r="G183" s="113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68">
      <c r="A184" s="113" t="n"/>
      <c r="B184" s="111" t="n"/>
      <c r="C184" s="117" t="n"/>
      <c r="D184" s="118">
        <f>IF(E184="","",IF(E184="HDFC Bank (INR)","INR","GBP"))</f>
        <v/>
      </c>
      <c r="E184" s="111" t="n"/>
      <c r="F184" s="113" t="n"/>
      <c r="G184" s="113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68">
      <c r="A185" s="113" t="n"/>
      <c r="B185" s="111" t="n"/>
      <c r="C185" s="117" t="n"/>
      <c r="D185" s="118">
        <f>IF(E185="","",IF(E185="HDFC Bank (INR)","INR","GBP"))</f>
        <v/>
      </c>
      <c r="E185" s="111" t="n"/>
      <c r="F185" s="113" t="n"/>
      <c r="G185" s="113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68">
      <c r="A186" s="113" t="n"/>
      <c r="B186" s="111" t="n"/>
      <c r="C186" s="117" t="n"/>
      <c r="D186" s="118">
        <f>IF(E186="","",IF(E186="HDFC Bank (INR)","INR","GBP"))</f>
        <v/>
      </c>
      <c r="E186" s="111" t="n"/>
      <c r="F186" s="113" t="n"/>
      <c r="G186" s="113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68">
      <c r="A187" s="113" t="n"/>
      <c r="B187" s="111" t="n"/>
      <c r="C187" s="117" t="n"/>
      <c r="D187" s="118">
        <f>IF(E187="","",IF(E187="HDFC Bank (INR)","INR","GBP"))</f>
        <v/>
      </c>
      <c r="E187" s="111" t="n"/>
      <c r="F187" s="113" t="n"/>
      <c r="G187" s="113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68">
      <c r="A188" s="113" t="n"/>
      <c r="B188" s="111" t="n"/>
      <c r="C188" s="117" t="n"/>
      <c r="D188" s="118">
        <f>IF(E188="","",IF(E188="HDFC Bank (INR)","INR","GBP"))</f>
        <v/>
      </c>
      <c r="E188" s="111" t="n"/>
      <c r="F188" s="113" t="n"/>
      <c r="G188" s="113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68">
      <c r="A189" s="113" t="n"/>
      <c r="B189" s="111" t="n"/>
      <c r="C189" s="117" t="n"/>
      <c r="D189" s="118">
        <f>IF(E189="","",IF(E189="HDFC Bank (INR)","INR","GBP"))</f>
        <v/>
      </c>
      <c r="E189" s="111" t="n"/>
      <c r="F189" s="113" t="n"/>
      <c r="G189" s="113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68">
      <c r="A190" s="113" t="n"/>
      <c r="B190" s="111" t="n"/>
      <c r="C190" s="117" t="n"/>
      <c r="D190" s="118">
        <f>IF(E190="","",IF(E190="HDFC Bank (INR)","INR","GBP"))</f>
        <v/>
      </c>
      <c r="E190" s="111" t="n"/>
      <c r="F190" s="113" t="n"/>
      <c r="G190" s="113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68">
      <c r="A191" s="113" t="n"/>
      <c r="B191" s="111" t="n"/>
      <c r="C191" s="117" t="n"/>
      <c r="D191" s="118">
        <f>IF(E191="","",IF(E191="HDFC Bank (INR)","INR","GBP"))</f>
        <v/>
      </c>
      <c r="E191" s="111" t="n"/>
      <c r="F191" s="113" t="n"/>
      <c r="G191" s="113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68">
      <c r="A192" s="113" t="n"/>
      <c r="B192" s="111" t="n"/>
      <c r="C192" s="117" t="n"/>
      <c r="D192" s="118">
        <f>IF(E192="","",IF(E192="HDFC Bank (INR)","INR","GBP"))</f>
        <v/>
      </c>
      <c r="E192" s="111" t="n"/>
      <c r="F192" s="113" t="n"/>
      <c r="G192" s="113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68">
      <c r="A193" s="113" t="n"/>
      <c r="B193" s="111" t="n"/>
      <c r="C193" s="117" t="n"/>
      <c r="D193" s="118">
        <f>IF(E193="","",IF(E193="HDFC Bank (INR)","INR","GBP"))</f>
        <v/>
      </c>
      <c r="E193" s="111" t="n"/>
      <c r="F193" s="113" t="n"/>
      <c r="G193" s="113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68">
      <c r="A194" s="113" t="n"/>
      <c r="B194" s="111" t="n"/>
      <c r="C194" s="117" t="n"/>
      <c r="D194" s="118">
        <f>IF(E194="","",IF(E194="HDFC Bank (INR)","INR","GBP"))</f>
        <v/>
      </c>
      <c r="E194" s="111" t="n"/>
      <c r="F194" s="113" t="n"/>
      <c r="G194" s="113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68">
      <c r="A195" s="113" t="n"/>
      <c r="B195" s="111" t="n"/>
      <c r="C195" s="117" t="n"/>
      <c r="D195" s="118">
        <f>IF(E195="","",IF(E195="HDFC Bank (INR)","INR","GBP"))</f>
        <v/>
      </c>
      <c r="E195" s="111" t="n"/>
      <c r="F195" s="113" t="n"/>
      <c r="G195" s="113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68">
      <c r="A196" s="113" t="n"/>
      <c r="B196" s="111" t="n"/>
      <c r="C196" s="117" t="n"/>
      <c r="D196" s="118">
        <f>IF(E196="","",IF(E196="HDFC Bank (INR)","INR","GBP"))</f>
        <v/>
      </c>
      <c r="E196" s="111" t="n"/>
      <c r="F196" s="113" t="n"/>
      <c r="G196" s="113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68">
      <c r="A197" s="113" t="n"/>
      <c r="B197" s="111" t="n"/>
      <c r="C197" s="117" t="n"/>
      <c r="D197" s="118">
        <f>IF(E197="","",IF(E197="HDFC Bank (INR)","INR","GBP"))</f>
        <v/>
      </c>
      <c r="E197" s="111" t="n"/>
      <c r="F197" s="113" t="n"/>
      <c r="G197" s="113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68">
      <c r="A198" s="113" t="n"/>
      <c r="B198" s="111" t="n"/>
      <c r="C198" s="117" t="n"/>
      <c r="D198" s="118">
        <f>IF(E198="","",IF(E198="HDFC Bank (INR)","INR","GBP"))</f>
        <v/>
      </c>
      <c r="E198" s="111" t="n"/>
      <c r="F198" s="113" t="n"/>
      <c r="G198" s="113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68">
      <c r="A199" s="113" t="n"/>
      <c r="B199" s="111" t="n"/>
      <c r="C199" s="117" t="n"/>
      <c r="D199" s="118">
        <f>IF(E199="","",IF(E199="HDFC Bank (INR)","INR","GBP"))</f>
        <v/>
      </c>
      <c r="E199" s="111" t="n"/>
      <c r="F199" s="113" t="n"/>
      <c r="G199" s="113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68">
      <c r="A200" s="113" t="n"/>
      <c r="B200" s="111" t="n"/>
      <c r="C200" s="117" t="n"/>
      <c r="D200" s="118">
        <f>IF(E200="","",IF(E200="HDFC Bank (INR)","INR","GBP"))</f>
        <v/>
      </c>
      <c r="E200" s="111" t="n"/>
      <c r="F200" s="113" t="n"/>
      <c r="G200" s="113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68">
      <c r="A201" s="113" t="n"/>
      <c r="B201" s="111" t="n"/>
      <c r="C201" s="117" t="n"/>
      <c r="D201" s="118">
        <f>IF(E201="","",IF(E201="HDFC Bank (INR)","INR","GBP"))</f>
        <v/>
      </c>
      <c r="E201" s="111" t="n"/>
      <c r="F201" s="113" t="n"/>
      <c r="G201" s="113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68">
      <c r="A202" s="113" t="n"/>
      <c r="B202" s="111" t="n"/>
      <c r="C202" s="117" t="n"/>
      <c r="D202" s="118">
        <f>IF(E202="","",IF(E202="HDFC Bank (INR)","INR","GBP"))</f>
        <v/>
      </c>
      <c r="E202" s="111" t="n"/>
      <c r="F202" s="113" t="n"/>
      <c r="G202" s="113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68">
      <c r="A203" s="113" t="n"/>
      <c r="B203" s="111" t="n"/>
      <c r="C203" s="117" t="n"/>
      <c r="D203" s="118">
        <f>IF(E203="","",IF(E203="HDFC Bank (INR)","INR","GBP"))</f>
        <v/>
      </c>
      <c r="E203" s="111" t="n"/>
      <c r="F203" s="113" t="n"/>
      <c r="G203" s="113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68">
      <c r="A204" s="113" t="n"/>
      <c r="B204" s="111" t="n"/>
      <c r="C204" s="117" t="n"/>
      <c r="D204" s="118">
        <f>IF(E204="","",IF(E204="HDFC Bank (INR)","INR","GBP"))</f>
        <v/>
      </c>
      <c r="E204" s="111" t="n"/>
      <c r="F204" s="113" t="n"/>
      <c r="G204" s="113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68">
      <c r="A205" s="113" t="n"/>
      <c r="B205" s="111" t="n"/>
      <c r="C205" s="117" t="n"/>
      <c r="D205" s="118">
        <f>IF(E205="","",IF(E205="HDFC Bank (INR)","INR","GBP"))</f>
        <v/>
      </c>
      <c r="E205" s="111" t="n"/>
      <c r="F205" s="113" t="n"/>
      <c r="G205" s="113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68">
      <c r="A206" s="113" t="n"/>
      <c r="B206" s="111" t="n"/>
      <c r="C206" s="117" t="n"/>
      <c r="D206" s="118">
        <f>IF(E206="","",IF(E206="HDFC Bank (INR)","INR","GBP"))</f>
        <v/>
      </c>
      <c r="E206" s="111" t="n"/>
      <c r="F206" s="113" t="n"/>
      <c r="G206" s="113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68">
      <c r="A207" s="113" t="n"/>
      <c r="B207" s="111" t="n"/>
      <c r="C207" s="117" t="n"/>
      <c r="D207" s="118">
        <f>IF(E207="","",IF(E207="HDFC Bank (INR)","INR","GBP"))</f>
        <v/>
      </c>
      <c r="E207" s="111" t="n"/>
      <c r="F207" s="113" t="n"/>
      <c r="G207" s="113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68">
      <c r="A208" s="113" t="n"/>
      <c r="B208" s="111" t="n"/>
      <c r="C208" s="117" t="n"/>
      <c r="D208" s="118">
        <f>IF(E208="","",IF(E208="HDFC Bank (INR)","INR","GBP"))</f>
        <v/>
      </c>
      <c r="E208" s="111" t="n"/>
      <c r="F208" s="113" t="n"/>
      <c r="G208" s="113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68">
      <c r="A209" s="113" t="n"/>
      <c r="B209" s="111" t="n"/>
      <c r="C209" s="117" t="n"/>
      <c r="D209" s="118">
        <f>IF(E209="","",IF(E209="HDFC Bank (INR)","INR","GBP"))</f>
        <v/>
      </c>
      <c r="E209" s="111" t="n"/>
      <c r="F209" s="113" t="n"/>
      <c r="G209" s="113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68">
      <c r="A210" s="113" t="n"/>
      <c r="B210" s="111" t="n"/>
      <c r="C210" s="117" t="n"/>
      <c r="D210" s="118">
        <f>IF(E210="","",IF(E210="HDFC Bank (INR)","INR","GBP"))</f>
        <v/>
      </c>
      <c r="E210" s="111" t="n"/>
      <c r="F210" s="113" t="n"/>
      <c r="G210" s="113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68">
      <c r="A211" s="113" t="n"/>
      <c r="B211" s="111" t="n"/>
      <c r="C211" s="117" t="n"/>
      <c r="D211" s="118">
        <f>IF(E211="","",IF(E211="HDFC Bank (INR)","INR","GBP"))</f>
        <v/>
      </c>
      <c r="E211" s="111" t="n"/>
      <c r="F211" s="113" t="n"/>
      <c r="G211" s="113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68">
      <c r="A212" s="113" t="n"/>
      <c r="B212" s="111" t="n"/>
      <c r="C212" s="117" t="n"/>
      <c r="D212" s="118">
        <f>IF(E212="","",IF(E212="HDFC Bank (INR)","INR","GBP"))</f>
        <v/>
      </c>
      <c r="E212" s="111" t="n"/>
      <c r="F212" s="113" t="n"/>
      <c r="G212" s="113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68">
      <c r="A213" s="113" t="n"/>
      <c r="B213" s="111" t="n"/>
      <c r="C213" s="117" t="n"/>
      <c r="D213" s="118">
        <f>IF(E213="","",IF(E213="HDFC Bank (INR)","INR","GBP"))</f>
        <v/>
      </c>
      <c r="E213" s="111" t="n"/>
      <c r="F213" s="113" t="n"/>
      <c r="G213" s="113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68">
      <c r="A214" s="113" t="n"/>
      <c r="B214" s="111" t="n"/>
      <c r="C214" s="117" t="n"/>
      <c r="D214" s="118">
        <f>IF(E214="","",IF(E214="HDFC Bank (INR)","INR","GBP"))</f>
        <v/>
      </c>
      <c r="E214" s="111" t="n"/>
      <c r="F214" s="113" t="n"/>
      <c r="G214" s="113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68">
      <c r="A215" s="113" t="n"/>
      <c r="B215" s="111" t="n"/>
      <c r="C215" s="117" t="n"/>
      <c r="D215" s="118">
        <f>IF(E215="","",IF(E215="HDFC Bank (INR)","INR","GBP"))</f>
        <v/>
      </c>
      <c r="E215" s="111" t="n"/>
      <c r="F215" s="113" t="n"/>
      <c r="G215" s="113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68">
      <c r="A216" s="113" t="n"/>
      <c r="B216" s="111" t="n"/>
      <c r="C216" s="117" t="n"/>
      <c r="D216" s="118">
        <f>IF(E216="","",IF(E216="HDFC Bank (INR)","INR","GBP"))</f>
        <v/>
      </c>
      <c r="E216" s="111" t="n"/>
      <c r="F216" s="113" t="n"/>
      <c r="G216" s="113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68">
      <c r="A217" s="113" t="n"/>
      <c r="B217" s="111" t="n"/>
      <c r="C217" s="117" t="n"/>
      <c r="D217" s="118">
        <f>IF(E217="","",IF(E217="HDFC Bank (INR)","INR","GBP"))</f>
        <v/>
      </c>
      <c r="E217" s="111" t="n"/>
      <c r="F217" s="113" t="n"/>
      <c r="G217" s="113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68">
      <c r="A218" s="113" t="n"/>
      <c r="B218" s="111" t="n"/>
      <c r="C218" s="117" t="n"/>
      <c r="D218" s="118">
        <f>IF(E218="","",IF(E218="HDFC Bank (INR)","INR","GBP"))</f>
        <v/>
      </c>
      <c r="E218" s="111" t="n"/>
      <c r="F218" s="113" t="n"/>
      <c r="G218" s="113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68">
      <c r="A219" s="113" t="n"/>
      <c r="B219" s="111" t="n"/>
      <c r="C219" s="117" t="n"/>
      <c r="D219" s="118">
        <f>IF(E219="","",IF(E219="HDFC Bank (INR)","INR","GBP"))</f>
        <v/>
      </c>
      <c r="E219" s="111" t="n"/>
      <c r="F219" s="113" t="n"/>
      <c r="G219" s="113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68">
      <c r="A220" s="113" t="n"/>
      <c r="B220" s="111" t="n"/>
      <c r="C220" s="117" t="n"/>
      <c r="D220" s="118">
        <f>IF(E220="","",IF(E220="HDFC Bank (INR)","INR","GBP"))</f>
        <v/>
      </c>
      <c r="E220" s="111" t="n"/>
      <c r="F220" s="113" t="n"/>
      <c r="G220" s="113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68">
      <c r="A221" s="113" t="n"/>
      <c r="B221" s="111" t="n"/>
      <c r="C221" s="117" t="n"/>
      <c r="D221" s="118">
        <f>IF(E221="","",IF(E221="HDFC Bank (INR)","INR","GBP"))</f>
        <v/>
      </c>
      <c r="E221" s="111" t="n"/>
      <c r="F221" s="113" t="n"/>
      <c r="G221" s="113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68">
      <c r="A222" s="113" t="n"/>
      <c r="B222" s="111" t="n"/>
      <c r="C222" s="117" t="n"/>
      <c r="D222" s="118">
        <f>IF(E222="","",IF(E222="HDFC Bank (INR)","INR","GBP"))</f>
        <v/>
      </c>
      <c r="E222" s="111" t="n"/>
      <c r="F222" s="113" t="n"/>
      <c r="G222" s="113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68">
      <c r="A223" s="113" t="n"/>
      <c r="B223" s="111" t="n"/>
      <c r="C223" s="117" t="n"/>
      <c r="D223" s="118">
        <f>IF(E223="","",IF(E223="HDFC Bank (INR)","INR","GBP"))</f>
        <v/>
      </c>
      <c r="E223" s="111" t="n"/>
      <c r="F223" s="113" t="n"/>
      <c r="G223" s="113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68">
      <c r="A224" s="113" t="n"/>
      <c r="B224" s="111" t="n"/>
      <c r="C224" s="117" t="n"/>
      <c r="D224" s="118">
        <f>IF(E224="","",IF(E224="HDFC Bank (INR)","INR","GBP"))</f>
        <v/>
      </c>
      <c r="E224" s="111" t="n"/>
      <c r="F224" s="113" t="n"/>
      <c r="G224" s="113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68">
      <c r="A225" s="113" t="n"/>
      <c r="B225" s="111" t="n"/>
      <c r="C225" s="117" t="n"/>
      <c r="D225" s="118">
        <f>IF(E225="","",IF(E225="HDFC Bank (INR)","INR","GBP"))</f>
        <v/>
      </c>
      <c r="E225" s="111" t="n"/>
      <c r="F225" s="113" t="n"/>
      <c r="G225" s="113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68">
      <c r="A226" s="113" t="n"/>
      <c r="B226" s="111" t="n"/>
      <c r="C226" s="117" t="n"/>
      <c r="D226" s="118">
        <f>IF(E226="","",IF(E226="HDFC Bank (INR)","INR","GBP"))</f>
        <v/>
      </c>
      <c r="E226" s="111" t="n"/>
      <c r="F226" s="113" t="n"/>
      <c r="G226" s="113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68">
      <c r="A227" s="113" t="n"/>
      <c r="B227" s="111" t="n"/>
      <c r="C227" s="117" t="n"/>
      <c r="D227" s="118">
        <f>IF(E227="","",IF(E227="HDFC Bank (INR)","INR","GBP"))</f>
        <v/>
      </c>
      <c r="E227" s="111" t="n"/>
      <c r="F227" s="113" t="n"/>
      <c r="G227" s="113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68">
      <c r="A228" s="113" t="n"/>
      <c r="B228" s="111" t="n"/>
      <c r="C228" s="117" t="n"/>
      <c r="D228" s="118">
        <f>IF(E228="","",IF(E228="HDFC Bank (INR)","INR","GBP"))</f>
        <v/>
      </c>
      <c r="E228" s="111" t="n"/>
      <c r="F228" s="113" t="n"/>
      <c r="G228" s="113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68">
      <c r="A229" s="113" t="n"/>
      <c r="B229" s="111" t="n"/>
      <c r="C229" s="117" t="n"/>
      <c r="D229" s="118">
        <f>IF(E229="","",IF(E229="HDFC Bank (INR)","INR","GBP"))</f>
        <v/>
      </c>
      <c r="E229" s="111" t="n"/>
      <c r="F229" s="113" t="n"/>
      <c r="G229" s="113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68">
      <c r="A230" s="113" t="n"/>
      <c r="B230" s="111" t="n"/>
      <c r="C230" s="117" t="n"/>
      <c r="D230" s="118">
        <f>IF(E230="","",IF(E230="HDFC Bank (INR)","INR","GBP"))</f>
        <v/>
      </c>
      <c r="E230" s="111" t="n"/>
      <c r="F230" s="113" t="n"/>
      <c r="G230" s="113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68">
      <c r="A231" s="113" t="n"/>
      <c r="B231" s="111" t="n"/>
      <c r="C231" s="117" t="n"/>
      <c r="D231" s="118">
        <f>IF(E231="","",IF(E231="HDFC Bank (INR)","INR","GBP"))</f>
        <v/>
      </c>
      <c r="E231" s="111" t="n"/>
      <c r="F231" s="113" t="n"/>
      <c r="G231" s="113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68">
      <c r="A232" s="113" t="n"/>
      <c r="B232" s="111" t="n"/>
      <c r="C232" s="117" t="n"/>
      <c r="D232" s="118">
        <f>IF(E232="","",IF(E232="HDFC Bank (INR)","INR","GBP"))</f>
        <v/>
      </c>
      <c r="E232" s="111" t="n"/>
      <c r="F232" s="113" t="n"/>
      <c r="G232" s="113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68">
      <c r="A233" s="113" t="n"/>
      <c r="B233" s="111" t="n"/>
      <c r="C233" s="117" t="n"/>
      <c r="D233" s="118">
        <f>IF(E233="","",IF(E233="HDFC Bank (INR)","INR","GBP"))</f>
        <v/>
      </c>
      <c r="E233" s="111" t="n"/>
      <c r="F233" s="113" t="n"/>
      <c r="G233" s="113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68">
      <c r="A234" s="113" t="n"/>
      <c r="B234" s="111" t="n"/>
      <c r="C234" s="117" t="n"/>
      <c r="D234" s="118">
        <f>IF(E234="","",IF(E234="HDFC Bank (INR)","INR","GBP"))</f>
        <v/>
      </c>
      <c r="E234" s="111" t="n"/>
      <c r="F234" s="113" t="n"/>
      <c r="G234" s="113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68">
      <c r="A235" s="113" t="n"/>
      <c r="B235" s="111" t="n"/>
      <c r="C235" s="117" t="n"/>
      <c r="D235" s="118">
        <f>IF(E235="","",IF(E235="HDFC Bank (INR)","INR","GBP"))</f>
        <v/>
      </c>
      <c r="E235" s="111" t="n"/>
      <c r="F235" s="113" t="n"/>
      <c r="G235" s="113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68">
      <c r="A236" s="113" t="n"/>
      <c r="B236" s="111" t="n"/>
      <c r="C236" s="117" t="n"/>
      <c r="D236" s="118">
        <f>IF(E236="","",IF(E236="HDFC Bank (INR)","INR","GBP"))</f>
        <v/>
      </c>
      <c r="E236" s="111" t="n"/>
      <c r="F236" s="113" t="n"/>
      <c r="G236" s="113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68">
      <c r="A237" s="113" t="n"/>
      <c r="B237" s="111" t="n"/>
      <c r="C237" s="117" t="n"/>
      <c r="D237" s="118">
        <f>IF(E237="","",IF(E237="HDFC Bank (INR)","INR","GBP"))</f>
        <v/>
      </c>
      <c r="E237" s="111" t="n"/>
      <c r="F237" s="113" t="n"/>
      <c r="G237" s="113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68">
      <c r="A238" s="113" t="n"/>
      <c r="B238" s="111" t="n"/>
      <c r="C238" s="117" t="n"/>
      <c r="D238" s="118">
        <f>IF(E238="","",IF(E238="HDFC Bank (INR)","INR","GBP"))</f>
        <v/>
      </c>
      <c r="E238" s="111" t="n"/>
      <c r="F238" s="113" t="n"/>
      <c r="G238" s="113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68">
      <c r="A239" s="113" t="n"/>
      <c r="B239" s="111" t="n"/>
      <c r="C239" s="117" t="n"/>
      <c r="D239" s="118">
        <f>IF(E239="","",IF(E239="HDFC Bank (INR)","INR","GBP"))</f>
        <v/>
      </c>
      <c r="E239" s="111" t="n"/>
      <c r="F239" s="113" t="n"/>
      <c r="G239" s="113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68">
      <c r="A240" s="113" t="n"/>
      <c r="B240" s="111" t="n"/>
      <c r="C240" s="117" t="n"/>
      <c r="D240" s="118">
        <f>IF(E240="","",IF(E240="HDFC Bank (INR)","INR","GBP"))</f>
        <v/>
      </c>
      <c r="E240" s="111" t="n"/>
      <c r="F240" s="113" t="n"/>
      <c r="G240" s="113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68">
      <c r="A241" s="113" t="n"/>
      <c r="B241" s="111" t="n"/>
      <c r="C241" s="117" t="n"/>
      <c r="D241" s="118">
        <f>IF(E241="","",IF(E241="HDFC Bank (INR)","INR","GBP"))</f>
        <v/>
      </c>
      <c r="E241" s="111" t="n"/>
      <c r="F241" s="113" t="n"/>
      <c r="G241" s="113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68">
      <c r="A242" s="113" t="n"/>
      <c r="B242" s="111" t="n"/>
      <c r="C242" s="117" t="n"/>
      <c r="D242" s="118">
        <f>IF(E242="","",IF(E242="HDFC Bank (INR)","INR","GBP"))</f>
        <v/>
      </c>
      <c r="E242" s="111" t="n"/>
      <c r="F242" s="113" t="n"/>
      <c r="G242" s="113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68">
      <c r="A243" s="113" t="n"/>
      <c r="B243" s="111" t="n"/>
      <c r="C243" s="117" t="n"/>
      <c r="D243" s="118">
        <f>IF(E243="","",IF(E243="HDFC Bank (INR)","INR","GBP"))</f>
        <v/>
      </c>
      <c r="E243" s="111" t="n"/>
      <c r="F243" s="113" t="n"/>
      <c r="G243" s="113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68">
      <c r="A244" s="113" t="n"/>
      <c r="B244" s="111" t="n"/>
      <c r="C244" s="117" t="n"/>
      <c r="D244" s="118">
        <f>IF(E244="","",IF(E244="HDFC Bank (INR)","INR","GBP"))</f>
        <v/>
      </c>
      <c r="E244" s="111" t="n"/>
      <c r="F244" s="113" t="n"/>
      <c r="G244" s="113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68">
      <c r="A245" s="113" t="n"/>
      <c r="B245" s="111" t="n"/>
      <c r="C245" s="117" t="n"/>
      <c r="D245" s="118">
        <f>IF(E245="","",IF(E245="HDFC Bank (INR)","INR","GBP"))</f>
        <v/>
      </c>
      <c r="E245" s="111" t="n"/>
      <c r="F245" s="113" t="n"/>
      <c r="G245" s="113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68">
      <c r="A246" s="113" t="n"/>
      <c r="B246" s="111" t="n"/>
      <c r="C246" s="117" t="n"/>
      <c r="D246" s="118">
        <f>IF(E246="","",IF(E246="HDFC Bank (INR)","INR","GBP"))</f>
        <v/>
      </c>
      <c r="E246" s="111" t="n"/>
      <c r="F246" s="113" t="n"/>
      <c r="G246" s="113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68">
      <c r="A247" s="113" t="n"/>
      <c r="B247" s="111" t="n"/>
      <c r="C247" s="117" t="n"/>
      <c r="D247" s="118">
        <f>IF(E247="","",IF(E247="HDFC Bank (INR)","INR","GBP"))</f>
        <v/>
      </c>
      <c r="E247" s="111" t="n"/>
      <c r="F247" s="113" t="n"/>
      <c r="G247" s="113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68">
      <c r="A248" s="113" t="n"/>
      <c r="B248" s="111" t="n"/>
      <c r="C248" s="117" t="n"/>
      <c r="D248" s="118">
        <f>IF(E248="","",IF(E248="HDFC Bank (INR)","INR","GBP"))</f>
        <v/>
      </c>
      <c r="E248" s="111" t="n"/>
      <c r="F248" s="113" t="n"/>
      <c r="G248" s="113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68">
      <c r="A249" s="113" t="n"/>
      <c r="B249" s="111" t="n"/>
      <c r="C249" s="117" t="n"/>
      <c r="D249" s="118">
        <f>IF(E249="","",IF(E249="HDFC Bank (INR)","INR","GBP"))</f>
        <v/>
      </c>
      <c r="E249" s="111" t="n"/>
      <c r="F249" s="113" t="n"/>
      <c r="G249" s="113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68">
      <c r="A250" s="113" t="n"/>
      <c r="B250" s="111" t="n"/>
      <c r="C250" s="117" t="n"/>
      <c r="D250" s="118">
        <f>IF(E250="","",IF(E250="HDFC Bank (INR)","INR","GBP"))</f>
        <v/>
      </c>
      <c r="E250" s="111" t="n"/>
      <c r="F250" s="113" t="n"/>
      <c r="G250" s="113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68">
      <c r="A251" s="113" t="n"/>
      <c r="B251" s="111" t="n"/>
      <c r="C251" s="117" t="n"/>
      <c r="D251" s="118">
        <f>IF(E251="","",IF(E251="HDFC Bank (INR)","INR","GBP"))</f>
        <v/>
      </c>
      <c r="E251" s="111" t="n"/>
      <c r="F251" s="113" t="n"/>
      <c r="G251" s="113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68">
      <c r="A252" s="113" t="n"/>
      <c r="B252" s="111" t="n"/>
      <c r="C252" s="117" t="n"/>
      <c r="D252" s="118">
        <f>IF(E252="","",IF(E252="HDFC Bank (INR)","INR","GBP"))</f>
        <v/>
      </c>
      <c r="E252" s="111" t="n"/>
      <c r="F252" s="113" t="n"/>
      <c r="G252" s="113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68">
      <c r="A253" s="113" t="n"/>
      <c r="B253" s="111" t="n"/>
      <c r="C253" s="117" t="n"/>
      <c r="D253" s="118">
        <f>IF(E253="","",IF(E253="HDFC Bank (INR)","INR","GBP"))</f>
        <v/>
      </c>
      <c r="E253" s="111" t="n"/>
      <c r="F253" s="113" t="n"/>
      <c r="G253" s="113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68">
      <c r="A254" s="113" t="n"/>
      <c r="B254" s="111" t="n"/>
      <c r="C254" s="117" t="n"/>
      <c r="D254" s="118">
        <f>IF(E254="","",IF(E254="HDFC Bank (INR)","INR","GBP"))</f>
        <v/>
      </c>
      <c r="E254" s="111" t="n"/>
      <c r="F254" s="113" t="n"/>
      <c r="G254" s="113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68">
      <c r="A255" s="113" t="n"/>
      <c r="B255" s="111" t="n"/>
      <c r="C255" s="117" t="n"/>
      <c r="D255" s="118">
        <f>IF(E255="","",IF(E255="HDFC Bank (INR)","INR","GBP"))</f>
        <v/>
      </c>
      <c r="E255" s="111" t="n"/>
      <c r="F255" s="113" t="n"/>
      <c r="G255" s="113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68">
      <c r="A256" s="113" t="n"/>
      <c r="B256" s="111" t="n"/>
      <c r="C256" s="117" t="n"/>
      <c r="D256" s="118">
        <f>IF(E256="","",IF(E256="HDFC Bank (INR)","INR","GBP"))</f>
        <v/>
      </c>
      <c r="E256" s="111" t="n"/>
      <c r="F256" s="113" t="n"/>
      <c r="G256" s="113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68">
      <c r="A257" s="113" t="n"/>
      <c r="B257" s="111" t="n"/>
      <c r="C257" s="117" t="n"/>
      <c r="D257" s="118">
        <f>IF(E257="","",IF(E257="HDFC Bank (INR)","INR","GBP"))</f>
        <v/>
      </c>
      <c r="E257" s="111" t="n"/>
      <c r="F257" s="113" t="n"/>
      <c r="G257" s="113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68">
      <c r="A258" s="113" t="n"/>
      <c r="B258" s="111" t="n"/>
      <c r="C258" s="117" t="n"/>
      <c r="D258" s="118">
        <f>IF(E258="","",IF(E258="HDFC Bank (INR)","INR","GBP"))</f>
        <v/>
      </c>
      <c r="E258" s="111" t="n"/>
      <c r="F258" s="113" t="n"/>
      <c r="G258" s="113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68">
      <c r="A259" s="113" t="n"/>
      <c r="B259" s="111" t="n"/>
      <c r="C259" s="117" t="n"/>
      <c r="D259" s="118">
        <f>IF(E259="","",IF(E259="HDFC Bank (INR)","INR","GBP"))</f>
        <v/>
      </c>
      <c r="E259" s="111" t="n"/>
      <c r="F259" s="113" t="n"/>
      <c r="G259" s="113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68">
      <c r="A260" s="113" t="n"/>
      <c r="B260" s="111" t="n"/>
      <c r="C260" s="117" t="n"/>
      <c r="D260" s="118">
        <f>IF(E260="","",IF(E260="HDFC Bank (INR)","INR","GBP"))</f>
        <v/>
      </c>
      <c r="E260" s="111" t="n"/>
      <c r="F260" s="113" t="n"/>
      <c r="G260" s="113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68">
      <c r="A261" s="113" t="n"/>
      <c r="B261" s="111" t="n"/>
      <c r="C261" s="117" t="n"/>
      <c r="D261" s="118">
        <f>IF(E261="","",IF(E261="HDFC Bank (INR)","INR","GBP"))</f>
        <v/>
      </c>
      <c r="E261" s="111" t="n"/>
      <c r="F261" s="113" t="n"/>
      <c r="G261" s="113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68">
      <c r="A262" s="113" t="n"/>
      <c r="B262" s="111" t="n"/>
      <c r="C262" s="117" t="n"/>
      <c r="D262" s="118">
        <f>IF(E262="","",IF(E262="HDFC Bank (INR)","INR","GBP"))</f>
        <v/>
      </c>
      <c r="E262" s="111" t="n"/>
      <c r="F262" s="113" t="n"/>
      <c r="G262" s="113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68">
      <c r="A263" s="113" t="n"/>
      <c r="B263" s="111" t="n"/>
      <c r="C263" s="117" t="n"/>
      <c r="D263" s="118">
        <f>IF(E263="","",IF(E263="HDFC Bank (INR)","INR","GBP"))</f>
        <v/>
      </c>
      <c r="E263" s="111" t="n"/>
      <c r="F263" s="113" t="n"/>
      <c r="G263" s="113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68">
      <c r="A264" s="113" t="n"/>
      <c r="B264" s="111" t="n"/>
      <c r="C264" s="117" t="n"/>
      <c r="D264" s="118">
        <f>IF(E264="","",IF(E264="HDFC Bank (INR)","INR","GBP"))</f>
        <v/>
      </c>
      <c r="E264" s="111" t="n"/>
      <c r="F264" s="113" t="n"/>
      <c r="G264" s="113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68">
      <c r="A265" s="113" t="n"/>
      <c r="B265" s="111" t="n"/>
      <c r="C265" s="117" t="n"/>
      <c r="D265" s="118">
        <f>IF(E265="","",IF(E265="HDFC Bank (INR)","INR","GBP"))</f>
        <v/>
      </c>
      <c r="E265" s="111" t="n"/>
      <c r="F265" s="113" t="n"/>
      <c r="G265" s="113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68">
      <c r="A266" s="113" t="n"/>
      <c r="B266" s="111" t="n"/>
      <c r="C266" s="117" t="n"/>
      <c r="D266" s="118">
        <f>IF(E266="","",IF(E266="HDFC Bank (INR)","INR","GBP"))</f>
        <v/>
      </c>
      <c r="E266" s="111" t="n"/>
      <c r="F266" s="113" t="n"/>
      <c r="G266" s="113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68">
      <c r="A267" s="113" t="n"/>
      <c r="B267" s="111" t="n"/>
      <c r="C267" s="117" t="n"/>
      <c r="D267" s="118">
        <f>IF(E267="","",IF(E267="HDFC Bank (INR)","INR","GBP"))</f>
        <v/>
      </c>
      <c r="E267" s="111" t="n"/>
      <c r="F267" s="113" t="n"/>
      <c r="G267" s="113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68">
      <c r="A268" s="113" t="n"/>
      <c r="B268" s="111" t="n"/>
      <c r="C268" s="117" t="n"/>
      <c r="D268" s="118">
        <f>IF(E268="","",IF(E268="HDFC Bank (INR)","INR","GBP"))</f>
        <v/>
      </c>
      <c r="E268" s="111" t="n"/>
      <c r="F268" s="113" t="n"/>
      <c r="G268" s="113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68">
      <c r="A269" s="113" t="n"/>
      <c r="B269" s="111" t="n"/>
      <c r="C269" s="117" t="n"/>
      <c r="D269" s="118">
        <f>IF(E269="","",IF(E269="HDFC Bank (INR)","INR","GBP"))</f>
        <v/>
      </c>
      <c r="E269" s="111" t="n"/>
      <c r="F269" s="113" t="n"/>
      <c r="G269" s="113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68">
      <c r="A270" s="113" t="n"/>
      <c r="B270" s="111" t="n"/>
      <c r="C270" s="117" t="n"/>
      <c r="D270" s="118">
        <f>IF(E270="","",IF(E270="HDFC Bank (INR)","INR","GBP"))</f>
        <v/>
      </c>
      <c r="E270" s="111" t="n"/>
      <c r="F270" s="113" t="n"/>
      <c r="G270" s="113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68">
      <c r="A271" s="113" t="n"/>
      <c r="B271" s="111" t="n"/>
      <c r="C271" s="117" t="n"/>
      <c r="D271" s="118">
        <f>IF(E271="","",IF(E271="HDFC Bank (INR)","INR","GBP"))</f>
        <v/>
      </c>
      <c r="E271" s="111" t="n"/>
      <c r="F271" s="113" t="n"/>
      <c r="G271" s="113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68">
      <c r="A272" s="113" t="n"/>
      <c r="B272" s="111" t="n"/>
      <c r="C272" s="117" t="n"/>
      <c r="D272" s="118">
        <f>IF(E272="","",IF(E272="HDFC Bank (INR)","INR","GBP"))</f>
        <v/>
      </c>
      <c r="E272" s="111" t="n"/>
      <c r="F272" s="113" t="n"/>
      <c r="G272" s="113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68">
      <c r="A273" s="113" t="n"/>
      <c r="B273" s="111" t="n"/>
      <c r="C273" s="117" t="n"/>
      <c r="D273" s="118">
        <f>IF(E273="","",IF(E273="HDFC Bank (INR)","INR","GBP"))</f>
        <v/>
      </c>
      <c r="E273" s="111" t="n"/>
      <c r="F273" s="113" t="n"/>
      <c r="G273" s="113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68">
      <c r="A274" s="113" t="n"/>
      <c r="B274" s="111" t="n"/>
      <c r="C274" s="117" t="n"/>
      <c r="D274" s="118">
        <f>IF(E274="","",IF(E274="HDFC Bank (INR)","INR","GBP"))</f>
        <v/>
      </c>
      <c r="E274" s="111" t="n"/>
      <c r="F274" s="113" t="n"/>
      <c r="G274" s="113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68">
      <c r="A275" s="113" t="n"/>
      <c r="B275" s="111" t="n"/>
      <c r="C275" s="117" t="n"/>
      <c r="D275" s="118">
        <f>IF(E275="","",IF(E275="HDFC Bank (INR)","INR","GBP"))</f>
        <v/>
      </c>
      <c r="E275" s="111" t="n"/>
      <c r="F275" s="113" t="n"/>
      <c r="G275" s="113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68">
      <c r="A276" s="113" t="n"/>
      <c r="B276" s="111" t="n"/>
      <c r="C276" s="117" t="n"/>
      <c r="D276" s="118">
        <f>IF(E276="","",IF(E276="HDFC Bank (INR)","INR","GBP"))</f>
        <v/>
      </c>
      <c r="E276" s="111" t="n"/>
      <c r="F276" s="113" t="n"/>
      <c r="G276" s="113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68">
      <c r="A277" s="113" t="n"/>
      <c r="B277" s="111" t="n"/>
      <c r="C277" s="117" t="n"/>
      <c r="D277" s="118">
        <f>IF(E277="","",IF(E277="HDFC Bank (INR)","INR","GBP"))</f>
        <v/>
      </c>
      <c r="E277" s="111" t="n"/>
      <c r="F277" s="113" t="n"/>
      <c r="G277" s="113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68">
      <c r="A278" s="113" t="n"/>
      <c r="B278" s="111" t="n"/>
      <c r="C278" s="117" t="n"/>
      <c r="D278" s="118">
        <f>IF(E278="","",IF(E278="HDFC Bank (INR)","INR","GBP"))</f>
        <v/>
      </c>
      <c r="E278" s="111" t="n"/>
      <c r="F278" s="113" t="n"/>
      <c r="G278" s="113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68">
      <c r="A279" s="113" t="n"/>
      <c r="B279" s="111" t="n"/>
      <c r="C279" s="117" t="n"/>
      <c r="D279" s="118">
        <f>IF(E279="","",IF(E279="HDFC Bank (INR)","INR","GBP"))</f>
        <v/>
      </c>
      <c r="E279" s="111" t="n"/>
      <c r="F279" s="113" t="n"/>
      <c r="G279" s="113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68">
      <c r="A280" s="113" t="n"/>
      <c r="B280" s="111" t="n"/>
      <c r="C280" s="117" t="n"/>
      <c r="D280" s="118">
        <f>IF(E280="","",IF(E280="HDFC Bank (INR)","INR","GBP"))</f>
        <v/>
      </c>
      <c r="E280" s="111" t="n"/>
      <c r="F280" s="113" t="n"/>
      <c r="G280" s="113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68">
      <c r="A281" s="113" t="n"/>
      <c r="B281" s="111" t="n"/>
      <c r="C281" s="117" t="n"/>
      <c r="D281" s="118">
        <f>IF(E281="","",IF(E281="HDFC Bank (INR)","INR","GBP"))</f>
        <v/>
      </c>
      <c r="E281" s="111" t="n"/>
      <c r="F281" s="113" t="n"/>
      <c r="G281" s="113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68">
      <c r="A282" s="113" t="n"/>
      <c r="B282" s="111" t="n"/>
      <c r="C282" s="117" t="n"/>
      <c r="D282" s="118">
        <f>IF(E282="","",IF(E282="HDFC Bank (INR)","INR","GBP"))</f>
        <v/>
      </c>
      <c r="E282" s="111" t="n"/>
      <c r="F282" s="113" t="n"/>
      <c r="G282" s="113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68">
      <c r="A283" s="113" t="n"/>
      <c r="B283" s="111" t="n"/>
      <c r="C283" s="117" t="n"/>
      <c r="D283" s="118">
        <f>IF(E283="","",IF(E283="HDFC Bank (INR)","INR","GBP"))</f>
        <v/>
      </c>
      <c r="E283" s="111" t="n"/>
      <c r="F283" s="113" t="n"/>
      <c r="G283" s="113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68">
      <c r="A284" s="113" t="n"/>
      <c r="B284" s="111" t="n"/>
      <c r="C284" s="117" t="n"/>
      <c r="D284" s="118">
        <f>IF(E284="","",IF(E284="HDFC Bank (INR)","INR","GBP"))</f>
        <v/>
      </c>
      <c r="E284" s="111" t="n"/>
      <c r="F284" s="113" t="n"/>
      <c r="G284" s="113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68">
      <c r="A285" s="113" t="n"/>
      <c r="B285" s="111" t="n"/>
      <c r="C285" s="117" t="n"/>
      <c r="D285" s="118">
        <f>IF(E285="","",IF(E285="HDFC Bank (INR)","INR","GBP"))</f>
        <v/>
      </c>
      <c r="E285" s="111" t="n"/>
      <c r="F285" s="113" t="n"/>
      <c r="G285" s="113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68">
      <c r="A286" s="113" t="n"/>
      <c r="B286" s="111" t="n"/>
      <c r="C286" s="117" t="n"/>
      <c r="D286" s="118">
        <f>IF(E286="","",IF(E286="HDFC Bank (INR)","INR","GBP"))</f>
        <v/>
      </c>
      <c r="E286" s="111" t="n"/>
      <c r="F286" s="113" t="n"/>
      <c r="G286" s="113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68">
      <c r="A287" s="113" t="n"/>
      <c r="B287" s="111" t="n"/>
      <c r="C287" s="117" t="n"/>
      <c r="D287" s="118">
        <f>IF(E287="","",IF(E287="HDFC Bank (INR)","INR","GBP"))</f>
        <v/>
      </c>
      <c r="E287" s="111" t="n"/>
      <c r="F287" s="113" t="n"/>
      <c r="G287" s="113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68">
      <c r="A288" s="113" t="n"/>
      <c r="B288" s="111" t="n"/>
      <c r="C288" s="117" t="n"/>
      <c r="D288" s="118">
        <f>IF(E288="","",IF(E288="HDFC Bank (INR)","INR","GBP"))</f>
        <v/>
      </c>
      <c r="E288" s="111" t="n"/>
      <c r="F288" s="113" t="n"/>
      <c r="G288" s="113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68">
      <c r="A289" s="113" t="n"/>
      <c r="B289" s="111" t="n"/>
      <c r="C289" s="117" t="n"/>
      <c r="D289" s="118">
        <f>IF(E289="","",IF(E289="HDFC Bank (INR)","INR","GBP"))</f>
        <v/>
      </c>
      <c r="E289" s="111" t="n"/>
      <c r="F289" s="113" t="n"/>
      <c r="G289" s="113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68">
      <c r="A290" s="113" t="n"/>
      <c r="B290" s="111" t="n"/>
      <c r="C290" s="117" t="n"/>
      <c r="D290" s="118">
        <f>IF(E290="","",IF(E290="HDFC Bank (INR)","INR","GBP"))</f>
        <v/>
      </c>
      <c r="E290" s="111" t="n"/>
      <c r="F290" s="113" t="n"/>
      <c r="G290" s="113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68">
      <c r="A291" s="113" t="n"/>
      <c r="B291" s="111" t="n"/>
      <c r="C291" s="117" t="n"/>
      <c r="D291" s="118">
        <f>IF(E291="","",IF(E291="HDFC Bank (INR)","INR","GBP"))</f>
        <v/>
      </c>
      <c r="E291" s="111" t="n"/>
      <c r="F291" s="113" t="n"/>
      <c r="G291" s="113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68">
      <c r="A292" s="113" t="n"/>
      <c r="B292" s="111" t="n"/>
      <c r="C292" s="117" t="n"/>
      <c r="D292" s="118">
        <f>IF(E292="","",IF(E292="HDFC Bank (INR)","INR","GBP"))</f>
        <v/>
      </c>
      <c r="E292" s="111" t="n"/>
      <c r="F292" s="113" t="n"/>
      <c r="G292" s="113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68">
      <c r="A293" s="113" t="n"/>
      <c r="B293" s="111" t="n"/>
      <c r="C293" s="117" t="n"/>
      <c r="D293" s="118">
        <f>IF(E293="","",IF(E293="HDFC Bank (INR)","INR","GBP"))</f>
        <v/>
      </c>
      <c r="E293" s="111" t="n"/>
      <c r="F293" s="113" t="n"/>
      <c r="G293" s="113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68">
      <c r="A294" s="113" t="n"/>
      <c r="B294" s="111" t="n"/>
      <c r="C294" s="117" t="n"/>
      <c r="D294" s="118">
        <f>IF(E294="","",IF(E294="HDFC Bank (INR)","INR","GBP"))</f>
        <v/>
      </c>
      <c r="E294" s="111" t="n"/>
      <c r="F294" s="113" t="n"/>
      <c r="G294" s="113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68">
      <c r="A295" s="113" t="n"/>
      <c r="B295" s="111" t="n"/>
      <c r="C295" s="117" t="n"/>
      <c r="D295" s="118">
        <f>IF(E295="","",IF(E295="HDFC Bank (INR)","INR","GBP"))</f>
        <v/>
      </c>
      <c r="E295" s="111" t="n"/>
      <c r="F295" s="113" t="n"/>
      <c r="G295" s="113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68">
      <c r="A296" s="113" t="n"/>
      <c r="B296" s="111" t="n"/>
      <c r="C296" s="117" t="n"/>
      <c r="D296" s="118">
        <f>IF(E296="","",IF(E296="HDFC Bank (INR)","INR","GBP"))</f>
        <v/>
      </c>
      <c r="E296" s="111" t="n"/>
      <c r="F296" s="113" t="n"/>
      <c r="G296" s="113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68">
      <c r="A297" s="113" t="n"/>
      <c r="B297" s="111" t="n"/>
      <c r="C297" s="117" t="n"/>
      <c r="D297" s="118">
        <f>IF(E297="","",IF(E297="HDFC Bank (INR)","INR","GBP"))</f>
        <v/>
      </c>
      <c r="E297" s="111" t="n"/>
      <c r="F297" s="113" t="n"/>
      <c r="G297" s="113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68">
      <c r="A298" s="113" t="n"/>
      <c r="B298" s="111" t="n"/>
      <c r="C298" s="117" t="n"/>
      <c r="D298" s="118">
        <f>IF(E298="","",IF(E298="HDFC Bank (INR)","INR","GBP"))</f>
        <v/>
      </c>
      <c r="E298" s="111" t="n"/>
      <c r="F298" s="113" t="n"/>
      <c r="G298" s="113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68">
      <c r="A299" s="113" t="n"/>
      <c r="B299" s="111" t="n"/>
      <c r="C299" s="117" t="n"/>
      <c r="D299" s="118">
        <f>IF(E299="","",IF(E299="HDFC Bank (INR)","INR","GBP"))</f>
        <v/>
      </c>
      <c r="E299" s="111" t="n"/>
      <c r="F299" s="113" t="n"/>
      <c r="G299" s="113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68">
      <c r="A300" s="113" t="n"/>
      <c r="B300" s="111" t="n"/>
      <c r="C300" s="117" t="n"/>
      <c r="D300" s="118">
        <f>IF(E300="","",IF(E300="HDFC Bank (INR)","INR","GBP"))</f>
        <v/>
      </c>
      <c r="E300" s="111" t="n"/>
      <c r="F300" s="113" t="n"/>
      <c r="G300" s="113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68">
      <c r="A301" s="113" t="n"/>
      <c r="B301" s="111" t="n"/>
      <c r="C301" s="117" t="n"/>
      <c r="D301" s="118">
        <f>IF(E301="","",IF(E301="HDFC Bank (INR)","INR","GBP"))</f>
        <v/>
      </c>
      <c r="E301" s="111" t="n"/>
      <c r="F301" s="113" t="n"/>
      <c r="G301" s="113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68">
      <c r="A302" s="113" t="n"/>
      <c r="B302" s="111" t="n"/>
      <c r="C302" s="117" t="n"/>
      <c r="D302" s="118">
        <f>IF(E302="","",IF(E302="HDFC Bank (INR)","INR","GBP"))</f>
        <v/>
      </c>
      <c r="E302" s="111" t="n"/>
      <c r="F302" s="113" t="n"/>
      <c r="G302" s="113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68">
      <c r="A303" s="113" t="n"/>
      <c r="B303" s="111" t="n"/>
      <c r="C303" s="117" t="n"/>
      <c r="D303" s="118">
        <f>IF(E303="","",IF(E303="HDFC Bank (INR)","INR","GBP"))</f>
        <v/>
      </c>
      <c r="E303" s="111" t="n"/>
      <c r="F303" s="113" t="n"/>
      <c r="G303" s="113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68">
      <c r="A304" s="113" t="n"/>
      <c r="B304" s="111" t="n"/>
      <c r="C304" s="117" t="n"/>
      <c r="D304" s="118">
        <f>IF(E304="","",IF(E304="HDFC Bank (INR)","INR","GBP"))</f>
        <v/>
      </c>
      <c r="E304" s="111" t="n"/>
      <c r="F304" s="113" t="n"/>
      <c r="G304" s="113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68">
      <c r="A305" s="113" t="n"/>
      <c r="B305" s="111" t="n"/>
      <c r="C305" s="117" t="n"/>
      <c r="D305" s="118">
        <f>IF(E305="","",IF(E305="HDFC Bank (INR)","INR","GBP"))</f>
        <v/>
      </c>
      <c r="E305" s="111" t="n"/>
      <c r="F305" s="113" t="n"/>
      <c r="G305" s="113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68">
      <c r="A306" s="113" t="n"/>
      <c r="B306" s="111" t="n"/>
      <c r="C306" s="117" t="n"/>
      <c r="D306" s="118">
        <f>IF(E306="","",IF(E306="HDFC Bank (INR)","INR","GBP"))</f>
        <v/>
      </c>
      <c r="E306" s="111" t="n"/>
      <c r="F306" s="113" t="n"/>
      <c r="G306" s="113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68">
      <c r="A307" s="113" t="n"/>
      <c r="B307" s="111" t="n"/>
      <c r="C307" s="117" t="n"/>
      <c r="D307" s="118">
        <f>IF(E307="","",IF(E307="HDFC Bank (INR)","INR","GBP"))</f>
        <v/>
      </c>
      <c r="E307" s="111" t="n"/>
      <c r="F307" s="113" t="n"/>
      <c r="G307" s="113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68">
      <c r="A308" s="113" t="n"/>
      <c r="B308" s="111" t="n"/>
      <c r="C308" s="117" t="n"/>
      <c r="D308" s="118">
        <f>IF(E308="","",IF(E308="HDFC Bank (INR)","INR","GBP"))</f>
        <v/>
      </c>
      <c r="E308" s="111" t="n"/>
      <c r="F308" s="113" t="n"/>
      <c r="G308" s="113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68">
      <c r="A309" s="113" t="n"/>
      <c r="B309" s="111" t="n"/>
      <c r="C309" s="117" t="n"/>
      <c r="D309" s="118">
        <f>IF(E309="","",IF(E309="HDFC Bank (INR)","INR","GBP"))</f>
        <v/>
      </c>
      <c r="E309" s="111" t="n"/>
      <c r="F309" s="113" t="n"/>
      <c r="G309" s="113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68">
      <c r="A310" s="113" t="n"/>
      <c r="B310" s="111" t="n"/>
      <c r="C310" s="117" t="n"/>
      <c r="D310" s="118">
        <f>IF(E310="","",IF(E310="HDFC Bank (INR)","INR","GBP"))</f>
        <v/>
      </c>
      <c r="E310" s="111" t="n"/>
      <c r="F310" s="113" t="n"/>
      <c r="G310" s="113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68">
      <c r="A311" s="113" t="n"/>
      <c r="B311" s="111" t="n"/>
      <c r="C311" s="117" t="n"/>
      <c r="D311" s="118">
        <f>IF(E311="","",IF(E311="HDFC Bank (INR)","INR","GBP"))</f>
        <v/>
      </c>
      <c r="E311" s="111" t="n"/>
      <c r="F311" s="113" t="n"/>
      <c r="G311" s="113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68">
      <c r="A312" s="113" t="n"/>
      <c r="B312" s="111" t="n"/>
      <c r="C312" s="117" t="n"/>
      <c r="D312" s="118">
        <f>IF(E312="","",IF(E312="HDFC Bank (INR)","INR","GBP"))</f>
        <v/>
      </c>
      <c r="E312" s="111" t="n"/>
      <c r="F312" s="113" t="n"/>
      <c r="G312" s="113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68">
      <c r="A313" s="113" t="n"/>
      <c r="B313" s="111" t="n"/>
      <c r="C313" s="117" t="n"/>
      <c r="D313" s="118">
        <f>IF(E313="","",IF(E313="HDFC Bank (INR)","INR","GBP"))</f>
        <v/>
      </c>
      <c r="E313" s="111" t="n"/>
      <c r="F313" s="113" t="n"/>
      <c r="G313" s="113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68">
      <c r="A314" s="113" t="n"/>
      <c r="B314" s="111" t="n"/>
      <c r="C314" s="117" t="n"/>
      <c r="D314" s="118">
        <f>IF(E314="","",IF(E314="HDFC Bank (INR)","INR","GBP"))</f>
        <v/>
      </c>
      <c r="E314" s="111" t="n"/>
      <c r="F314" s="113" t="n"/>
      <c r="G314" s="113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68">
      <c r="A315" s="113" t="n"/>
      <c r="B315" s="111" t="n"/>
      <c r="C315" s="117" t="n"/>
      <c r="D315" s="118">
        <f>IF(E315="","",IF(E315="HDFC Bank (INR)","INR","GBP"))</f>
        <v/>
      </c>
      <c r="E315" s="111" t="n"/>
      <c r="F315" s="113" t="n"/>
      <c r="G315" s="113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68">
      <c r="A316" s="113" t="n"/>
      <c r="B316" s="111" t="n"/>
      <c r="C316" s="117" t="n"/>
      <c r="D316" s="118">
        <f>IF(E316="","",IF(E316="HDFC Bank (INR)","INR","GBP"))</f>
        <v/>
      </c>
      <c r="E316" s="111" t="n"/>
      <c r="F316" s="113" t="n"/>
      <c r="G316" s="113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68">
      <c r="A317" s="113" t="n"/>
      <c r="B317" s="111" t="n"/>
      <c r="C317" s="117" t="n"/>
      <c r="D317" s="118">
        <f>IF(E317="","",IF(E317="HDFC Bank (INR)","INR","GBP"))</f>
        <v/>
      </c>
      <c r="E317" s="111" t="n"/>
      <c r="F317" s="113" t="n"/>
      <c r="G317" s="113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68">
      <c r="A318" s="113" t="n"/>
      <c r="B318" s="111" t="n"/>
      <c r="C318" s="117" t="n"/>
      <c r="D318" s="118">
        <f>IF(E318="","",IF(E318="HDFC Bank (INR)","INR","GBP"))</f>
        <v/>
      </c>
      <c r="E318" s="111" t="n"/>
      <c r="F318" s="113" t="n"/>
      <c r="G318" s="113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68">
      <c r="A319" s="113" t="n"/>
      <c r="B319" s="111" t="n"/>
      <c r="C319" s="117" t="n"/>
      <c r="D319" s="118">
        <f>IF(E319="","",IF(E319="HDFC Bank (INR)","INR","GBP"))</f>
        <v/>
      </c>
      <c r="E319" s="111" t="n"/>
      <c r="F319" s="113" t="n"/>
      <c r="G319" s="113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68">
      <c r="A320" s="113" t="n"/>
      <c r="B320" s="111" t="n"/>
      <c r="C320" s="117" t="n"/>
      <c r="D320" s="118">
        <f>IF(E320="","",IF(E320="HDFC Bank (INR)","INR","GBP"))</f>
        <v/>
      </c>
      <c r="E320" s="111" t="n"/>
      <c r="F320" s="113" t="n"/>
      <c r="G320" s="113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68">
      <c r="A321" s="113" t="n"/>
      <c r="B321" s="111" t="n"/>
      <c r="C321" s="117" t="n"/>
      <c r="D321" s="118">
        <f>IF(E321="","",IF(E321="HDFC Bank (INR)","INR","GBP"))</f>
        <v/>
      </c>
      <c r="E321" s="111" t="n"/>
      <c r="F321" s="113" t="n"/>
      <c r="G321" s="113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68">
      <c r="A322" s="113" t="n"/>
      <c r="B322" s="111" t="n"/>
      <c r="C322" s="117" t="n"/>
      <c r="D322" s="118">
        <f>IF(E322="","",IF(E322="HDFC Bank (INR)","INR","GBP"))</f>
        <v/>
      </c>
      <c r="E322" s="111" t="n"/>
      <c r="F322" s="113" t="n"/>
      <c r="G322" s="113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68">
      <c r="A323" s="113" t="n"/>
      <c r="B323" s="111" t="n"/>
      <c r="C323" s="117" t="n"/>
      <c r="D323" s="118">
        <f>IF(E323="","",IF(E323="HDFC Bank (INR)","INR","GBP"))</f>
        <v/>
      </c>
      <c r="E323" s="111" t="n"/>
      <c r="F323" s="113" t="n"/>
      <c r="G323" s="113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68">
      <c r="A324" s="113" t="n"/>
      <c r="B324" s="111" t="n"/>
      <c r="C324" s="117" t="n"/>
      <c r="D324" s="118">
        <f>IF(E324="","",IF(E324="HDFC Bank (INR)","INR","GBP"))</f>
        <v/>
      </c>
      <c r="E324" s="111" t="n"/>
      <c r="F324" s="113" t="n"/>
      <c r="G324" s="113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68">
      <c r="A325" s="113" t="n"/>
      <c r="B325" s="111" t="n"/>
      <c r="C325" s="117" t="n"/>
      <c r="D325" s="118">
        <f>IF(E325="","",IF(E325="HDFC Bank (INR)","INR","GBP"))</f>
        <v/>
      </c>
      <c r="E325" s="111" t="n"/>
      <c r="F325" s="113" t="n"/>
      <c r="G325" s="113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68">
      <c r="A326" s="113" t="n"/>
      <c r="B326" s="111" t="n"/>
      <c r="C326" s="117" t="n"/>
      <c r="D326" s="118">
        <f>IF(E326="","",IF(E326="HDFC Bank (INR)","INR","GBP"))</f>
        <v/>
      </c>
      <c r="E326" s="111" t="n"/>
      <c r="F326" s="113" t="n"/>
      <c r="G326" s="113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68">
      <c r="A327" s="113" t="n"/>
      <c r="B327" s="111" t="n"/>
      <c r="C327" s="117" t="n"/>
      <c r="D327" s="118">
        <f>IF(E327="","",IF(E327="HDFC Bank (INR)","INR","GBP"))</f>
        <v/>
      </c>
      <c r="E327" s="111" t="n"/>
      <c r="F327" s="113" t="n"/>
      <c r="G327" s="113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68">
      <c r="A328" s="113" t="n"/>
      <c r="B328" s="111" t="n"/>
      <c r="C328" s="117" t="n"/>
      <c r="D328" s="118">
        <f>IF(E328="","",IF(E328="HDFC Bank (INR)","INR","GBP"))</f>
        <v/>
      </c>
      <c r="E328" s="111" t="n"/>
      <c r="F328" s="113" t="n"/>
      <c r="G328" s="113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68">
      <c r="A329" s="113" t="n"/>
      <c r="B329" s="111" t="n"/>
      <c r="C329" s="117" t="n"/>
      <c r="D329" s="118">
        <f>IF(E329="","",IF(E329="HDFC Bank (INR)","INR","GBP"))</f>
        <v/>
      </c>
      <c r="E329" s="111" t="n"/>
      <c r="F329" s="113" t="n"/>
      <c r="G329" s="113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68">
      <c r="A330" s="113" t="n"/>
      <c r="B330" s="111" t="n"/>
      <c r="C330" s="117" t="n"/>
      <c r="D330" s="118">
        <f>IF(E330="","",IF(E330="HDFC Bank (INR)","INR","GBP"))</f>
        <v/>
      </c>
      <c r="E330" s="111" t="n"/>
      <c r="F330" s="113" t="n"/>
      <c r="G330" s="113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68">
      <c r="A331" s="113" t="n"/>
      <c r="B331" s="111" t="n"/>
      <c r="C331" s="117" t="n"/>
      <c r="D331" s="118">
        <f>IF(E331="","",IF(E331="HDFC Bank (INR)","INR","GBP"))</f>
        <v/>
      </c>
      <c r="E331" s="111" t="n"/>
      <c r="F331" s="113" t="n"/>
      <c r="G331" s="113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68">
      <c r="A332" s="113" t="n"/>
      <c r="B332" s="111" t="n"/>
      <c r="C332" s="117" t="n"/>
      <c r="D332" s="118">
        <f>IF(E332="","",IF(E332="HDFC Bank (INR)","INR","GBP"))</f>
        <v/>
      </c>
      <c r="E332" s="111" t="n"/>
      <c r="F332" s="113" t="n"/>
      <c r="G332" s="113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68">
      <c r="A333" s="113" t="n"/>
      <c r="B333" s="111" t="n"/>
      <c r="C333" s="117" t="n"/>
      <c r="D333" s="118">
        <f>IF(E333="","",IF(E333="HDFC Bank (INR)","INR","GBP"))</f>
        <v/>
      </c>
      <c r="E333" s="111" t="n"/>
      <c r="F333" s="113" t="n"/>
      <c r="G333" s="113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68">
      <c r="A334" s="113" t="n"/>
      <c r="B334" s="111" t="n"/>
      <c r="C334" s="117" t="n"/>
      <c r="D334" s="118">
        <f>IF(E334="","",IF(E334="HDFC Bank (INR)","INR","GBP"))</f>
        <v/>
      </c>
      <c r="E334" s="111" t="n"/>
      <c r="F334" s="113" t="n"/>
      <c r="G334" s="113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68">
      <c r="A335" s="113" t="n"/>
      <c r="B335" s="111" t="n"/>
      <c r="C335" s="117" t="n"/>
      <c r="D335" s="118">
        <f>IF(E335="","",IF(E335="HDFC Bank (INR)","INR","GBP"))</f>
        <v/>
      </c>
      <c r="E335" s="111" t="n"/>
      <c r="F335" s="113" t="n"/>
      <c r="G335" s="113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68">
      <c r="A336" s="113" t="n"/>
      <c r="B336" s="111" t="n"/>
      <c r="C336" s="117" t="n"/>
      <c r="D336" s="118">
        <f>IF(E336="","",IF(E336="HDFC Bank (INR)","INR","GBP"))</f>
        <v/>
      </c>
      <c r="E336" s="111" t="n"/>
      <c r="F336" s="113" t="n"/>
      <c r="G336" s="113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68">
      <c r="A337" s="113" t="n"/>
      <c r="B337" s="111" t="n"/>
      <c r="C337" s="117" t="n"/>
      <c r="D337" s="118">
        <f>IF(E337="","",IF(E337="HDFC Bank (INR)","INR","GBP"))</f>
        <v/>
      </c>
      <c r="E337" s="111" t="n"/>
      <c r="F337" s="113" t="n"/>
      <c r="G337" s="113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68">
      <c r="A338" s="113" t="n"/>
      <c r="B338" s="111" t="n"/>
      <c r="C338" s="117" t="n"/>
      <c r="D338" s="118">
        <f>IF(E338="","",IF(E338="HDFC Bank (INR)","INR","GBP"))</f>
        <v/>
      </c>
      <c r="E338" s="111" t="n"/>
      <c r="F338" s="113" t="n"/>
      <c r="G338" s="113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68">
      <c r="A339" s="113" t="n"/>
      <c r="B339" s="111" t="n"/>
      <c r="C339" s="117" t="n"/>
      <c r="D339" s="118">
        <f>IF(E339="","",IF(E339="HDFC Bank (INR)","INR","GBP"))</f>
        <v/>
      </c>
      <c r="E339" s="111" t="n"/>
      <c r="F339" s="113" t="n"/>
      <c r="G339" s="113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68">
      <c r="A340" s="113" t="n"/>
      <c r="B340" s="111" t="n"/>
      <c r="C340" s="117" t="n"/>
      <c r="D340" s="118">
        <f>IF(E340="","",IF(E340="HDFC Bank (INR)","INR","GBP"))</f>
        <v/>
      </c>
      <c r="E340" s="111" t="n"/>
      <c r="F340" s="113" t="n"/>
      <c r="G340" s="113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68">
      <c r="A341" s="113" t="n"/>
      <c r="B341" s="111" t="n"/>
      <c r="C341" s="117" t="n"/>
      <c r="D341" s="118">
        <f>IF(E341="","",IF(E341="HDFC Bank (INR)","INR","GBP"))</f>
        <v/>
      </c>
      <c r="E341" s="111" t="n"/>
      <c r="F341" s="113" t="n"/>
      <c r="G341" s="113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68">
      <c r="A342" s="113" t="n"/>
      <c r="B342" s="111" t="n"/>
      <c r="C342" s="117" t="n"/>
      <c r="D342" s="118">
        <f>IF(E342="","",IF(E342="HDFC Bank (INR)","INR","GBP"))</f>
        <v/>
      </c>
      <c r="E342" s="111" t="n"/>
      <c r="F342" s="113" t="n"/>
      <c r="G342" s="113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68">
      <c r="A343" s="113" t="n"/>
      <c r="B343" s="111" t="n"/>
      <c r="C343" s="117" t="n"/>
      <c r="D343" s="118">
        <f>IF(E343="","",IF(E343="HDFC Bank (INR)","INR","GBP"))</f>
        <v/>
      </c>
      <c r="E343" s="111" t="n"/>
      <c r="F343" s="113" t="n"/>
      <c r="G343" s="113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68">
      <c r="A344" s="113" t="n"/>
      <c r="B344" s="111" t="n"/>
      <c r="C344" s="117" t="n"/>
      <c r="D344" s="118">
        <f>IF(E344="","",IF(E344="HDFC Bank (INR)","INR","GBP"))</f>
        <v/>
      </c>
      <c r="E344" s="111" t="n"/>
      <c r="F344" s="113" t="n"/>
      <c r="G344" s="113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68">
      <c r="A345" s="113" t="n"/>
      <c r="B345" s="111" t="n"/>
      <c r="C345" s="117" t="n"/>
      <c r="D345" s="118">
        <f>IF(E345="","",IF(E345="HDFC Bank (INR)","INR","GBP"))</f>
        <v/>
      </c>
      <c r="E345" s="111" t="n"/>
      <c r="F345" s="113" t="n"/>
      <c r="G345" s="113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68">
      <c r="A346" s="113" t="n"/>
      <c r="B346" s="111" t="n"/>
      <c r="C346" s="117" t="n"/>
      <c r="D346" s="118">
        <f>IF(E346="","",IF(E346="HDFC Bank (INR)","INR","GBP"))</f>
        <v/>
      </c>
      <c r="E346" s="111" t="n"/>
      <c r="F346" s="113" t="n"/>
      <c r="G346" s="113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68">
      <c r="A347" s="113" t="n"/>
      <c r="B347" s="111" t="n"/>
      <c r="C347" s="117" t="n"/>
      <c r="D347" s="118">
        <f>IF(E347="","",IF(E347="HDFC Bank (INR)","INR","GBP"))</f>
        <v/>
      </c>
      <c r="E347" s="111" t="n"/>
      <c r="F347" s="113" t="n"/>
      <c r="G347" s="113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68">
      <c r="A348" s="113" t="n"/>
      <c r="B348" s="111" t="n"/>
      <c r="C348" s="117" t="n"/>
      <c r="D348" s="118">
        <f>IF(E348="","",IF(E348="HDFC Bank (INR)","INR","GBP"))</f>
        <v/>
      </c>
      <c r="E348" s="111" t="n"/>
      <c r="F348" s="113" t="n"/>
      <c r="G348" s="113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68">
      <c r="A349" s="113" t="n"/>
      <c r="B349" s="111" t="n"/>
      <c r="C349" s="117" t="n"/>
      <c r="D349" s="118">
        <f>IF(E349="","",IF(E349="HDFC Bank (INR)","INR","GBP"))</f>
        <v/>
      </c>
      <c r="E349" s="111" t="n"/>
      <c r="F349" s="113" t="n"/>
      <c r="G349" s="113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68">
      <c r="A350" s="113" t="n"/>
      <c r="B350" s="111" t="n"/>
      <c r="C350" s="117" t="n"/>
      <c r="D350" s="118">
        <f>IF(E350="","",IF(E350="HDFC Bank (INR)","INR","GBP"))</f>
        <v/>
      </c>
      <c r="E350" s="111" t="n"/>
      <c r="F350" s="113" t="n"/>
      <c r="G350" s="113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68">
      <c r="A351" s="113" t="n"/>
      <c r="B351" s="111" t="n"/>
      <c r="C351" s="117" t="n"/>
      <c r="D351" s="118">
        <f>IF(E351="","",IF(E351="HDFC Bank (INR)","INR","GBP"))</f>
        <v/>
      </c>
      <c r="E351" s="111" t="n"/>
      <c r="F351" s="113" t="n"/>
      <c r="G351" s="113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68">
      <c r="A352" s="113" t="n"/>
      <c r="B352" s="111" t="n"/>
      <c r="C352" s="117" t="n"/>
      <c r="D352" s="118">
        <f>IF(E352="","",IF(E352="HDFC Bank (INR)","INR","GBP"))</f>
        <v/>
      </c>
      <c r="E352" s="111" t="n"/>
      <c r="F352" s="113" t="n"/>
      <c r="G352" s="113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68">
      <c r="A353" s="113" t="n"/>
      <c r="B353" s="111" t="n"/>
      <c r="C353" s="117" t="n"/>
      <c r="D353" s="118">
        <f>IF(E353="","",IF(E353="HDFC Bank (INR)","INR","GBP"))</f>
        <v/>
      </c>
      <c r="E353" s="111" t="n"/>
      <c r="F353" s="113" t="n"/>
      <c r="G353" s="113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68">
      <c r="A354" s="113" t="n"/>
      <c r="B354" s="111" t="n"/>
      <c r="C354" s="117" t="n"/>
      <c r="D354" s="118">
        <f>IF(E354="","",IF(E354="HDFC Bank (INR)","INR","GBP"))</f>
        <v/>
      </c>
      <c r="E354" s="111" t="n"/>
      <c r="F354" s="113" t="n"/>
      <c r="G354" s="113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68">
      <c r="A355" s="113" t="n"/>
      <c r="B355" s="111" t="n"/>
      <c r="C355" s="117" t="n"/>
      <c r="D355" s="118">
        <f>IF(E355="","",IF(E355="HDFC Bank (INR)","INR","GBP"))</f>
        <v/>
      </c>
      <c r="E355" s="111" t="n"/>
      <c r="F355" s="113" t="n"/>
      <c r="G355" s="113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68">
      <c r="A356" s="113" t="n"/>
      <c r="B356" s="111" t="n"/>
      <c r="C356" s="117" t="n"/>
      <c r="D356" s="118">
        <f>IF(E356="","",IF(E356="HDFC Bank (INR)","INR","GBP"))</f>
        <v/>
      </c>
      <c r="E356" s="111" t="n"/>
      <c r="F356" s="113" t="n"/>
      <c r="G356" s="113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68">
      <c r="A357" s="113" t="n"/>
      <c r="B357" s="111" t="n"/>
      <c r="C357" s="117" t="n"/>
      <c r="D357" s="118">
        <f>IF(E357="","",IF(E357="HDFC Bank (INR)","INR","GBP"))</f>
        <v/>
      </c>
      <c r="E357" s="111" t="n"/>
      <c r="F357" s="113" t="n"/>
      <c r="G357" s="113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68">
      <c r="A358" s="113" t="n"/>
      <c r="B358" s="111" t="n"/>
      <c r="C358" s="117" t="n"/>
      <c r="D358" s="118">
        <f>IF(E358="","",IF(E358="HDFC Bank (INR)","INR","GBP"))</f>
        <v/>
      </c>
      <c r="E358" s="111" t="n"/>
      <c r="F358" s="113" t="n"/>
      <c r="G358" s="113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68">
      <c r="A359" s="113" t="n"/>
      <c r="B359" s="111" t="n"/>
      <c r="C359" s="117" t="n"/>
      <c r="D359" s="118">
        <f>IF(E359="","",IF(E359="HDFC Bank (INR)","INR","GBP"))</f>
        <v/>
      </c>
      <c r="E359" s="111" t="n"/>
      <c r="F359" s="113" t="n"/>
      <c r="G359" s="113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68">
      <c r="A360" s="113" t="n"/>
      <c r="B360" s="111" t="n"/>
      <c r="C360" s="117" t="n"/>
      <c r="D360" s="118">
        <f>IF(E360="","",IF(E360="HDFC Bank (INR)","INR","GBP"))</f>
        <v/>
      </c>
      <c r="E360" s="111" t="n"/>
      <c r="F360" s="113" t="n"/>
      <c r="G360" s="113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68">
      <c r="A361" s="113" t="n"/>
      <c r="B361" s="111" t="n"/>
      <c r="C361" s="117" t="n"/>
      <c r="D361" s="118">
        <f>IF(E361="","",IF(E361="HDFC Bank (INR)","INR","GBP"))</f>
        <v/>
      </c>
      <c r="E361" s="111" t="n"/>
      <c r="F361" s="113" t="n"/>
      <c r="G361" s="113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68">
      <c r="A362" s="113" t="n"/>
      <c r="B362" s="111" t="n"/>
      <c r="C362" s="117" t="n"/>
      <c r="D362" s="118">
        <f>IF(E362="","",IF(E362="HDFC Bank (INR)","INR","GBP"))</f>
        <v/>
      </c>
      <c r="E362" s="111" t="n"/>
      <c r="F362" s="113" t="n"/>
      <c r="G362" s="113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68">
      <c r="A363" s="113" t="n"/>
      <c r="B363" s="111" t="n"/>
      <c r="C363" s="117" t="n"/>
      <c r="D363" s="118">
        <f>IF(E363="","",IF(E363="HDFC Bank (INR)","INR","GBP"))</f>
        <v/>
      </c>
      <c r="E363" s="111" t="n"/>
      <c r="F363" s="113" t="n"/>
      <c r="G363" s="113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68">
      <c r="A364" s="113" t="n"/>
      <c r="B364" s="111" t="n"/>
      <c r="C364" s="117" t="n"/>
      <c r="D364" s="118">
        <f>IF(E364="","",IF(E364="HDFC Bank (INR)","INR","GBP"))</f>
        <v/>
      </c>
      <c r="E364" s="111" t="n"/>
      <c r="F364" s="113" t="n"/>
      <c r="G364" s="113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68">
      <c r="A365" s="113" t="n"/>
      <c r="B365" s="111" t="n"/>
      <c r="C365" s="117" t="n"/>
      <c r="D365" s="118">
        <f>IF(E365="","",IF(E365="HDFC Bank (INR)","INR","GBP"))</f>
        <v/>
      </c>
      <c r="E365" s="111" t="n"/>
      <c r="F365" s="113" t="n"/>
      <c r="G365" s="113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68">
      <c r="A366" s="113" t="n"/>
      <c r="B366" s="111" t="n"/>
      <c r="C366" s="117" t="n"/>
      <c r="D366" s="118">
        <f>IF(E366="","",IF(E366="HDFC Bank (INR)","INR","GBP"))</f>
        <v/>
      </c>
      <c r="E366" s="111" t="n"/>
      <c r="F366" s="113" t="n"/>
      <c r="G366" s="113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68">
      <c r="A367" s="113" t="n"/>
      <c r="B367" s="111" t="n"/>
      <c r="C367" s="117" t="n"/>
      <c r="D367" s="118">
        <f>IF(E367="","",IF(E367="HDFC Bank (INR)","INR","GBP"))</f>
        <v/>
      </c>
      <c r="E367" s="111" t="n"/>
      <c r="F367" s="113" t="n"/>
      <c r="G367" s="113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68">
      <c r="A368" s="113" t="n"/>
      <c r="B368" s="111" t="n"/>
      <c r="C368" s="117" t="n"/>
      <c r="D368" s="118">
        <f>IF(E368="","",IF(E368="HDFC Bank (INR)","INR","GBP"))</f>
        <v/>
      </c>
      <c r="E368" s="111" t="n"/>
      <c r="F368" s="113" t="n"/>
      <c r="G368" s="113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68">
      <c r="A369" s="113" t="n"/>
      <c r="B369" s="111" t="n"/>
      <c r="C369" s="117" t="n"/>
      <c r="D369" s="118">
        <f>IF(E369="","",IF(E369="HDFC Bank (INR)","INR","GBP"))</f>
        <v/>
      </c>
      <c r="E369" s="111" t="n"/>
      <c r="F369" s="113" t="n"/>
      <c r="G369" s="113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68">
      <c r="A370" s="113" t="n"/>
      <c r="B370" s="111" t="n"/>
      <c r="C370" s="117" t="n"/>
      <c r="D370" s="118">
        <f>IF(E370="","",IF(E370="HDFC Bank (INR)","INR","GBP"))</f>
        <v/>
      </c>
      <c r="E370" s="111" t="n"/>
      <c r="F370" s="113" t="n"/>
      <c r="G370" s="113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68">
      <c r="A371" s="113" t="n"/>
      <c r="B371" s="111" t="n"/>
      <c r="C371" s="117" t="n"/>
      <c r="D371" s="118">
        <f>IF(E371="","",IF(E371="HDFC Bank (INR)","INR","GBP"))</f>
        <v/>
      </c>
      <c r="E371" s="111" t="n"/>
      <c r="F371" s="113" t="n"/>
      <c r="G371" s="113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68">
      <c r="A372" s="113" t="n"/>
      <c r="B372" s="111" t="n"/>
      <c r="C372" s="117" t="n"/>
      <c r="D372" s="118">
        <f>IF(E372="","",IF(E372="HDFC Bank (INR)","INR","GBP"))</f>
        <v/>
      </c>
      <c r="E372" s="111" t="n"/>
      <c r="F372" s="113" t="n"/>
      <c r="G372" s="113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68">
      <c r="A373" s="113" t="n"/>
      <c r="B373" s="111" t="n"/>
      <c r="C373" s="117" t="n"/>
      <c r="D373" s="118">
        <f>IF(E373="","",IF(E373="HDFC Bank (INR)","INR","GBP"))</f>
        <v/>
      </c>
      <c r="E373" s="111" t="n"/>
      <c r="F373" s="113" t="n"/>
      <c r="G373" s="113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68">
      <c r="A374" s="113" t="n"/>
      <c r="B374" s="111" t="n"/>
      <c r="C374" s="117" t="n"/>
      <c r="D374" s="118">
        <f>IF(E374="","",IF(E374="HDFC Bank (INR)","INR","GBP"))</f>
        <v/>
      </c>
      <c r="E374" s="111" t="n"/>
      <c r="F374" s="113" t="n"/>
      <c r="G374" s="113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68">
      <c r="A375" s="113" t="n"/>
      <c r="B375" s="111" t="n"/>
      <c r="C375" s="117" t="n"/>
      <c r="D375" s="118">
        <f>IF(E375="","",IF(E375="HDFC Bank (INR)","INR","GBP"))</f>
        <v/>
      </c>
      <c r="E375" s="111" t="n"/>
      <c r="F375" s="113" t="n"/>
      <c r="G375" s="113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68">
      <c r="A376" s="113" t="n"/>
      <c r="B376" s="111" t="n"/>
      <c r="C376" s="117" t="n"/>
      <c r="D376" s="118">
        <f>IF(E376="","",IF(E376="HDFC Bank (INR)","INR","GBP"))</f>
        <v/>
      </c>
      <c r="E376" s="111" t="n"/>
      <c r="F376" s="113" t="n"/>
      <c r="G376" s="113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68">
      <c r="A377" s="113" t="n"/>
      <c r="B377" s="111" t="n"/>
      <c r="C377" s="117" t="n"/>
      <c r="D377" s="118">
        <f>IF(E377="","",IF(E377="HDFC Bank (INR)","INR","GBP"))</f>
        <v/>
      </c>
      <c r="E377" s="111" t="n"/>
      <c r="F377" s="113" t="n"/>
      <c r="G377" s="113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68">
      <c r="A378" s="113" t="n"/>
      <c r="B378" s="111" t="n"/>
      <c r="C378" s="117" t="n"/>
      <c r="D378" s="118">
        <f>IF(E378="","",IF(E378="HDFC Bank (INR)","INR","GBP"))</f>
        <v/>
      </c>
      <c r="E378" s="111" t="n"/>
      <c r="F378" s="113" t="n"/>
      <c r="G378" s="113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68">
      <c r="A379" s="113" t="n"/>
      <c r="B379" s="111" t="n"/>
      <c r="C379" s="117" t="n"/>
      <c r="D379" s="118">
        <f>IF(E379="","",IF(E379="HDFC Bank (INR)","INR","GBP"))</f>
        <v/>
      </c>
      <c r="E379" s="111" t="n"/>
      <c r="F379" s="113" t="n"/>
      <c r="G379" s="113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68">
      <c r="A380" s="113" t="n"/>
      <c r="B380" s="111" t="n"/>
      <c r="C380" s="117" t="n"/>
      <c r="D380" s="118">
        <f>IF(E380="","",IF(E380="HDFC Bank (INR)","INR","GBP"))</f>
        <v/>
      </c>
      <c r="E380" s="111" t="n"/>
      <c r="F380" s="113" t="n"/>
      <c r="G380" s="113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68">
      <c r="A381" s="113" t="n"/>
      <c r="B381" s="111" t="n"/>
      <c r="C381" s="117" t="n"/>
      <c r="D381" s="118">
        <f>IF(E381="","",IF(E381="HDFC Bank (INR)","INR","GBP"))</f>
        <v/>
      </c>
      <c r="E381" s="111" t="n"/>
      <c r="F381" s="113" t="n"/>
      <c r="G381" s="113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68">
      <c r="A382" s="113" t="n"/>
      <c r="B382" s="111" t="n"/>
      <c r="C382" s="117" t="n"/>
      <c r="D382" s="118">
        <f>IF(E382="","",IF(E382="HDFC Bank (INR)","INR","GBP"))</f>
        <v/>
      </c>
      <c r="E382" s="111" t="n"/>
      <c r="F382" s="113" t="n"/>
      <c r="G382" s="113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68">
      <c r="A383" s="113" t="n"/>
      <c r="B383" s="111" t="n"/>
      <c r="C383" s="117" t="n"/>
      <c r="D383" s="118">
        <f>IF(E383="","",IF(E383="HDFC Bank (INR)","INR","GBP"))</f>
        <v/>
      </c>
      <c r="E383" s="111" t="n"/>
      <c r="F383" s="113" t="n"/>
      <c r="G383" s="113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68">
      <c r="A384" s="113" t="n"/>
      <c r="B384" s="111" t="n"/>
      <c r="C384" s="117" t="n"/>
      <c r="D384" s="118">
        <f>IF(E384="","",IF(E384="HDFC Bank (INR)","INR","GBP"))</f>
        <v/>
      </c>
      <c r="E384" s="111" t="n"/>
      <c r="F384" s="113" t="n"/>
      <c r="G384" s="113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68">
      <c r="A385" s="113" t="n"/>
      <c r="B385" s="111" t="n"/>
      <c r="C385" s="117" t="n"/>
      <c r="D385" s="118">
        <f>IF(E385="","",IF(E385="HDFC Bank (INR)","INR","GBP"))</f>
        <v/>
      </c>
      <c r="E385" s="111" t="n"/>
      <c r="F385" s="113" t="n"/>
      <c r="G385" s="113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68">
      <c r="A386" s="113" t="n"/>
      <c r="B386" s="111" t="n"/>
      <c r="C386" s="117" t="n"/>
      <c r="D386" s="118">
        <f>IF(E386="","",IF(E386="HDFC Bank (INR)","INR","GBP"))</f>
        <v/>
      </c>
      <c r="E386" s="111" t="n"/>
      <c r="F386" s="113" t="n"/>
      <c r="G386" s="113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68">
      <c r="A387" s="113" t="n"/>
      <c r="B387" s="111" t="n"/>
      <c r="C387" s="117" t="n"/>
      <c r="D387" s="118">
        <f>IF(E387="","",IF(E387="HDFC Bank (INR)","INR","GBP"))</f>
        <v/>
      </c>
      <c r="E387" s="111" t="n"/>
      <c r="F387" s="113" t="n"/>
      <c r="G387" s="113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68">
      <c r="A388" s="113" t="n"/>
      <c r="B388" s="111" t="n"/>
      <c r="C388" s="117" t="n"/>
      <c r="D388" s="118">
        <f>IF(E388="","",IF(E388="HDFC Bank (INR)","INR","GBP"))</f>
        <v/>
      </c>
      <c r="E388" s="111" t="n"/>
      <c r="F388" s="113" t="n"/>
      <c r="G388" s="113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68">
      <c r="A389" s="113" t="n"/>
      <c r="B389" s="111" t="n"/>
      <c r="C389" s="117" t="n"/>
      <c r="D389" s="118">
        <f>IF(E389="","",IF(E389="HDFC Bank (INR)","INR","GBP"))</f>
        <v/>
      </c>
      <c r="E389" s="111" t="n"/>
      <c r="F389" s="113" t="n"/>
      <c r="G389" s="113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68">
      <c r="A390" s="113" t="n"/>
      <c r="B390" s="111" t="n"/>
      <c r="C390" s="117" t="n"/>
      <c r="D390" s="118">
        <f>IF(E390="","",IF(E390="HDFC Bank (INR)","INR","GBP"))</f>
        <v/>
      </c>
      <c r="E390" s="111" t="n"/>
      <c r="F390" s="113" t="n"/>
      <c r="G390" s="113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68">
      <c r="A391" s="113" t="n"/>
      <c r="B391" s="111" t="n"/>
      <c r="C391" s="117" t="n"/>
      <c r="D391" s="118">
        <f>IF(E391="","",IF(E391="HDFC Bank (INR)","INR","GBP"))</f>
        <v/>
      </c>
      <c r="E391" s="111" t="n"/>
      <c r="F391" s="113" t="n"/>
      <c r="G391" s="113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68">
      <c r="A392" s="113" t="n"/>
      <c r="B392" s="111" t="n"/>
      <c r="C392" s="117" t="n"/>
      <c r="D392" s="118">
        <f>IF(E392="","",IF(E392="HDFC Bank (INR)","INR","GBP"))</f>
        <v/>
      </c>
      <c r="E392" s="111" t="n"/>
      <c r="F392" s="113" t="n"/>
      <c r="G392" s="113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68">
      <c r="A393" s="113" t="n"/>
      <c r="B393" s="111" t="n"/>
      <c r="C393" s="117" t="n"/>
      <c r="D393" s="118">
        <f>IF(E393="","",IF(E393="HDFC Bank (INR)","INR","GBP"))</f>
        <v/>
      </c>
      <c r="E393" s="111" t="n"/>
      <c r="F393" s="113" t="n"/>
      <c r="G393" s="113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68">
      <c r="A394" s="113" t="n"/>
      <c r="B394" s="111" t="n"/>
      <c r="C394" s="117" t="n"/>
      <c r="D394" s="118">
        <f>IF(E394="","",IF(E394="HDFC Bank (INR)","INR","GBP"))</f>
        <v/>
      </c>
      <c r="E394" s="111" t="n"/>
      <c r="F394" s="113" t="n"/>
      <c r="G394" s="113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68">
      <c r="A395" s="113" t="n"/>
      <c r="B395" s="111" t="n"/>
      <c r="C395" s="117" t="n"/>
      <c r="D395" s="118">
        <f>IF(E395="","",IF(E395="HDFC Bank (INR)","INR","GBP"))</f>
        <v/>
      </c>
      <c r="E395" s="111" t="n"/>
      <c r="F395" s="113" t="n"/>
      <c r="G395" s="113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68">
      <c r="A396" s="113" t="n"/>
      <c r="B396" s="111" t="n"/>
      <c r="C396" s="117" t="n"/>
      <c r="D396" s="118">
        <f>IF(E396="","",IF(E396="HDFC Bank (INR)","INR","GBP"))</f>
        <v/>
      </c>
      <c r="E396" s="111" t="n"/>
      <c r="F396" s="113" t="n"/>
      <c r="G396" s="113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68">
      <c r="A397" s="113" t="n"/>
      <c r="B397" s="111" t="n"/>
      <c r="C397" s="117" t="n"/>
      <c r="D397" s="118">
        <f>IF(E397="","",IF(E397="HDFC Bank (INR)","INR","GBP"))</f>
        <v/>
      </c>
      <c r="E397" s="111" t="n"/>
      <c r="F397" s="113" t="n"/>
      <c r="G397" s="113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68">
      <c r="A398" s="113" t="n"/>
      <c r="B398" s="111" t="n"/>
      <c r="C398" s="117" t="n"/>
      <c r="D398" s="118">
        <f>IF(E398="","",IF(E398="HDFC Bank (INR)","INR","GBP"))</f>
        <v/>
      </c>
      <c r="E398" s="111" t="n"/>
      <c r="F398" s="113" t="n"/>
      <c r="G398" s="113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68">
      <c r="A399" s="113" t="n"/>
      <c r="B399" s="111" t="n"/>
      <c r="C399" s="117" t="n"/>
      <c r="D399" s="118">
        <f>IF(E399="","",IF(E399="HDFC Bank (INR)","INR","GBP"))</f>
        <v/>
      </c>
      <c r="E399" s="111" t="n"/>
      <c r="F399" s="113" t="n"/>
      <c r="G399" s="113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68">
      <c r="A400" s="113" t="n"/>
      <c r="B400" s="111" t="n"/>
      <c r="C400" s="117" t="n"/>
      <c r="D400" s="118">
        <f>IF(E400="","",IF(E400="HDFC Bank (INR)","INR","GBP"))</f>
        <v/>
      </c>
      <c r="E400" s="111" t="n"/>
      <c r="F400" s="113" t="n"/>
      <c r="G400" s="113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68">
      <c r="A401" s="113" t="n"/>
      <c r="B401" s="111" t="n"/>
      <c r="C401" s="117" t="n"/>
      <c r="D401" s="118">
        <f>IF(E401="","",IF(E401="HDFC Bank (INR)","INR","GBP"))</f>
        <v/>
      </c>
      <c r="E401" s="111" t="n"/>
      <c r="F401" s="113" t="n"/>
      <c r="G401" s="113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68">
      <c r="A402" s="113" t="n"/>
      <c r="B402" s="111" t="n"/>
      <c r="C402" s="117" t="n"/>
      <c r="D402" s="118">
        <f>IF(E402="","",IF(E402="HDFC Bank (INR)","INR","GBP"))</f>
        <v/>
      </c>
      <c r="E402" s="111" t="n"/>
      <c r="F402" s="113" t="n"/>
      <c r="G402" s="113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68">
      <c r="A403" s="113" t="n"/>
      <c r="B403" s="111" t="n"/>
      <c r="C403" s="117" t="n"/>
      <c r="D403" s="118">
        <f>IF(E403="","",IF(E403="HDFC Bank (INR)","INR","GBP"))</f>
        <v/>
      </c>
      <c r="E403" s="111" t="n"/>
      <c r="F403" s="113" t="n"/>
      <c r="G403" s="113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68">
      <c r="A404" s="113" t="n"/>
      <c r="B404" s="111" t="n"/>
      <c r="C404" s="117" t="n"/>
      <c r="D404" s="118">
        <f>IF(E404="","",IF(E404="HDFC Bank (INR)","INR","GBP"))</f>
        <v/>
      </c>
      <c r="E404" s="111" t="n"/>
      <c r="F404" s="113" t="n"/>
      <c r="G404" s="113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68">
      <c r="A405" s="113" t="n"/>
      <c r="B405" s="111" t="n"/>
      <c r="C405" s="117" t="n"/>
      <c r="D405" s="118">
        <f>IF(E405="","",IF(E405="HDFC Bank (INR)","INR","GBP"))</f>
        <v/>
      </c>
      <c r="E405" s="111" t="n"/>
      <c r="F405" s="113" t="n"/>
      <c r="G405" s="113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68">
      <c r="A406" s="113" t="n"/>
      <c r="B406" s="111" t="n"/>
      <c r="C406" s="117" t="n"/>
      <c r="D406" s="118">
        <f>IF(E406="","",IF(E406="HDFC Bank (INR)","INR","GBP"))</f>
        <v/>
      </c>
      <c r="E406" s="111" t="n"/>
      <c r="F406" s="113" t="n"/>
      <c r="G406" s="113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68">
      <c r="A407" s="113" t="n"/>
      <c r="B407" s="111" t="n"/>
      <c r="C407" s="117" t="n"/>
      <c r="D407" s="118">
        <f>IF(E407="","",IF(E407="HDFC Bank (INR)","INR","GBP"))</f>
        <v/>
      </c>
      <c r="E407" s="111" t="n"/>
      <c r="F407" s="113" t="n"/>
      <c r="G407" s="113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68">
      <c r="A408" s="113" t="n"/>
      <c r="B408" s="111" t="n"/>
      <c r="C408" s="117" t="n"/>
      <c r="D408" s="118">
        <f>IF(E408="","",IF(E408="HDFC Bank (INR)","INR","GBP"))</f>
        <v/>
      </c>
      <c r="E408" s="111" t="n"/>
      <c r="F408" s="113" t="n"/>
      <c r="G408" s="113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68">
      <c r="A409" s="113" t="n"/>
      <c r="B409" s="111" t="n"/>
      <c r="C409" s="117" t="n"/>
      <c r="D409" s="118">
        <f>IF(E409="","",IF(E409="HDFC Bank (INR)","INR","GBP"))</f>
        <v/>
      </c>
      <c r="E409" s="111" t="n"/>
      <c r="F409" s="113" t="n"/>
      <c r="G409" s="113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68">
      <c r="A410" s="113" t="n"/>
      <c r="B410" s="111" t="n"/>
      <c r="C410" s="117" t="n"/>
      <c r="D410" s="118">
        <f>IF(E410="","",IF(E410="HDFC Bank (INR)","INR","GBP"))</f>
        <v/>
      </c>
      <c r="E410" s="111" t="n"/>
      <c r="F410" s="113" t="n"/>
      <c r="G410" s="113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68">
      <c r="A411" s="113" t="n"/>
      <c r="B411" s="111" t="n"/>
      <c r="C411" s="117" t="n"/>
      <c r="D411" s="118">
        <f>IF(E411="","",IF(E411="HDFC Bank (INR)","INR","GBP"))</f>
        <v/>
      </c>
      <c r="E411" s="111" t="n"/>
      <c r="F411" s="113" t="n"/>
      <c r="G411" s="113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68">
      <c r="A412" s="113" t="n"/>
      <c r="B412" s="111" t="n"/>
      <c r="C412" s="117" t="n"/>
      <c r="D412" s="118">
        <f>IF(E412="","",IF(E412="HDFC Bank (INR)","INR","GBP"))</f>
        <v/>
      </c>
      <c r="E412" s="111" t="n"/>
      <c r="F412" s="113" t="n"/>
      <c r="G412" s="113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68">
      <c r="A413" s="113" t="n"/>
      <c r="B413" s="111" t="n"/>
      <c r="C413" s="117" t="n"/>
      <c r="D413" s="118">
        <f>IF(E413="","",IF(E413="HDFC Bank (INR)","INR","GBP"))</f>
        <v/>
      </c>
      <c r="E413" s="111" t="n"/>
      <c r="F413" s="113" t="n"/>
      <c r="G413" s="113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68">
      <c r="A414" s="113" t="n"/>
      <c r="B414" s="111" t="n"/>
      <c r="C414" s="117" t="n"/>
      <c r="D414" s="118">
        <f>IF(E414="","",IF(E414="HDFC Bank (INR)","INR","GBP"))</f>
        <v/>
      </c>
      <c r="E414" s="111" t="n"/>
      <c r="F414" s="113" t="n"/>
      <c r="G414" s="113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68">
      <c r="A415" s="113" t="n"/>
      <c r="B415" s="111" t="n"/>
      <c r="C415" s="117" t="n"/>
      <c r="D415" s="118">
        <f>IF(E415="","",IF(E415="HDFC Bank (INR)","INR","GBP"))</f>
        <v/>
      </c>
      <c r="E415" s="111" t="n"/>
      <c r="F415" s="113" t="n"/>
      <c r="G415" s="113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68">
      <c r="A416" s="113" t="n"/>
      <c r="B416" s="111" t="n"/>
      <c r="C416" s="117" t="n"/>
      <c r="D416" s="118">
        <f>IF(E416="","",IF(E416="HDFC Bank (INR)","INR","GBP"))</f>
        <v/>
      </c>
      <c r="E416" s="111" t="n"/>
      <c r="F416" s="113" t="n"/>
      <c r="G416" s="113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68">
      <c r="A417" s="113" t="n"/>
      <c r="B417" s="111" t="n"/>
      <c r="C417" s="117" t="n"/>
      <c r="D417" s="118">
        <f>IF(E417="","",IF(E417="HDFC Bank (INR)","INR","GBP"))</f>
        <v/>
      </c>
      <c r="E417" s="111" t="n"/>
      <c r="F417" s="113" t="n"/>
      <c r="G417" s="113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68">
      <c r="A418" s="113" t="n"/>
      <c r="B418" s="111" t="n"/>
      <c r="C418" s="117" t="n"/>
      <c r="D418" s="118">
        <f>IF(E418="","",IF(E418="HDFC Bank (INR)","INR","GBP"))</f>
        <v/>
      </c>
      <c r="E418" s="111" t="n"/>
      <c r="F418" s="113" t="n"/>
      <c r="G418" s="113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68">
      <c r="A419" s="113" t="n"/>
      <c r="B419" s="111" t="n"/>
      <c r="C419" s="117" t="n"/>
      <c r="D419" s="118">
        <f>IF(E419="","",IF(E419="HDFC Bank (INR)","INR","GBP"))</f>
        <v/>
      </c>
      <c r="E419" s="111" t="n"/>
      <c r="F419" s="113" t="n"/>
      <c r="G419" s="113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68">
      <c r="A420" s="113" t="n"/>
      <c r="B420" s="111" t="n"/>
      <c r="C420" s="117" t="n"/>
      <c r="D420" s="118">
        <f>IF(E420="","",IF(E420="HDFC Bank (INR)","INR","GBP"))</f>
        <v/>
      </c>
      <c r="E420" s="111" t="n"/>
      <c r="F420" s="113" t="n"/>
      <c r="G420" s="113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68">
      <c r="A421" s="113" t="n"/>
      <c r="B421" s="111" t="n"/>
      <c r="C421" s="117" t="n"/>
      <c r="D421" s="118">
        <f>IF(E421="","",IF(E421="HDFC Bank (INR)","INR","GBP"))</f>
        <v/>
      </c>
      <c r="E421" s="111" t="n"/>
      <c r="F421" s="113" t="n"/>
      <c r="G421" s="113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68">
      <c r="A422" s="113" t="n"/>
      <c r="B422" s="111" t="n"/>
      <c r="C422" s="117" t="n"/>
      <c r="D422" s="118">
        <f>IF(E422="","",IF(E422="HDFC Bank (INR)","INR","GBP"))</f>
        <v/>
      </c>
      <c r="E422" s="111" t="n"/>
      <c r="F422" s="113" t="n"/>
      <c r="G422" s="113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68">
      <c r="A423" s="113" t="n"/>
      <c r="B423" s="111" t="n"/>
      <c r="C423" s="117" t="n"/>
      <c r="D423" s="118">
        <f>IF(E423="","",IF(E423="HDFC Bank (INR)","INR","GBP"))</f>
        <v/>
      </c>
      <c r="E423" s="111" t="n"/>
      <c r="F423" s="113" t="n"/>
      <c r="G423" s="113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68">
      <c r="A424" s="113" t="n"/>
      <c r="B424" s="111" t="n"/>
      <c r="C424" s="117" t="n"/>
      <c r="D424" s="118">
        <f>IF(E424="","",IF(E424="HDFC Bank (INR)","INR","GBP"))</f>
        <v/>
      </c>
      <c r="E424" s="111" t="n"/>
      <c r="F424" s="113" t="n"/>
      <c r="G424" s="113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68">
      <c r="A425" s="113" t="n"/>
      <c r="B425" s="111" t="n"/>
      <c r="C425" s="117" t="n"/>
      <c r="D425" s="118">
        <f>IF(E425="","",IF(E425="HDFC Bank (INR)","INR","GBP"))</f>
        <v/>
      </c>
      <c r="E425" s="111" t="n"/>
      <c r="F425" s="113" t="n"/>
      <c r="G425" s="113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68">
      <c r="A426" s="113" t="n"/>
      <c r="B426" s="111" t="n"/>
      <c r="C426" s="117" t="n"/>
      <c r="D426" s="118">
        <f>IF(E426="","",IF(E426="HDFC Bank (INR)","INR","GBP"))</f>
        <v/>
      </c>
      <c r="E426" s="111" t="n"/>
      <c r="F426" s="113" t="n"/>
      <c r="G426" s="113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68">
      <c r="A427" s="113" t="n"/>
      <c r="B427" s="111" t="n"/>
      <c r="C427" s="117" t="n"/>
      <c r="D427" s="118">
        <f>IF(E427="","",IF(E427="HDFC Bank (INR)","INR","GBP"))</f>
        <v/>
      </c>
      <c r="E427" s="111" t="n"/>
      <c r="F427" s="113" t="n"/>
      <c r="G427" s="113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68">
      <c r="A428" s="113" t="n"/>
      <c r="B428" s="111" t="n"/>
      <c r="C428" s="117" t="n"/>
      <c r="D428" s="118">
        <f>IF(E428="","",IF(E428="HDFC Bank (INR)","INR","GBP"))</f>
        <v/>
      </c>
      <c r="E428" s="111" t="n"/>
      <c r="F428" s="113" t="n"/>
      <c r="G428" s="113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68">
      <c r="A429" s="113" t="n"/>
      <c r="B429" s="111" t="n"/>
      <c r="C429" s="117" t="n"/>
      <c r="D429" s="118">
        <f>IF(E429="","",IF(E429="HDFC Bank (INR)","INR","GBP"))</f>
        <v/>
      </c>
      <c r="E429" s="111" t="n"/>
      <c r="F429" s="113" t="n"/>
      <c r="G429" s="113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68">
      <c r="A430" s="113" t="n"/>
      <c r="B430" s="111" t="n"/>
      <c r="C430" s="117" t="n"/>
      <c r="D430" s="118">
        <f>IF(E430="","",IF(E430="HDFC Bank (INR)","INR","GBP"))</f>
        <v/>
      </c>
      <c r="E430" s="111" t="n"/>
      <c r="F430" s="113" t="n"/>
      <c r="G430" s="113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68">
      <c r="A431" s="113" t="n"/>
      <c r="B431" s="111" t="n"/>
      <c r="C431" s="117" t="n"/>
      <c r="D431" s="118">
        <f>IF(E431="","",IF(E431="HDFC Bank (INR)","INR","GBP"))</f>
        <v/>
      </c>
      <c r="E431" s="111" t="n"/>
      <c r="F431" s="113" t="n"/>
      <c r="G431" s="113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68">
      <c r="A432" s="113" t="n"/>
      <c r="B432" s="111" t="n"/>
      <c r="C432" s="117" t="n"/>
      <c r="D432" s="118">
        <f>IF(E432="","",IF(E432="HDFC Bank (INR)","INR","GBP"))</f>
        <v/>
      </c>
      <c r="E432" s="111" t="n"/>
      <c r="F432" s="113" t="n"/>
      <c r="G432" s="113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68">
      <c r="A433" s="113" t="n"/>
      <c r="B433" s="111" t="n"/>
      <c r="C433" s="117" t="n"/>
      <c r="D433" s="118">
        <f>IF(E433="","",IF(E433="HDFC Bank (INR)","INR","GBP"))</f>
        <v/>
      </c>
      <c r="E433" s="111" t="n"/>
      <c r="F433" s="113" t="n"/>
      <c r="G433" s="113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68">
      <c r="A434" s="113" t="n"/>
      <c r="B434" s="111" t="n"/>
      <c r="C434" s="117" t="n"/>
      <c r="D434" s="118">
        <f>IF(E434="","",IF(E434="HDFC Bank (INR)","INR","GBP"))</f>
        <v/>
      </c>
      <c r="E434" s="111" t="n"/>
      <c r="F434" s="113" t="n"/>
      <c r="G434" s="113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68">
      <c r="A435" s="113" t="n"/>
      <c r="B435" s="111" t="n"/>
      <c r="C435" s="117" t="n"/>
      <c r="D435" s="118">
        <f>IF(E435="","",IF(E435="HDFC Bank (INR)","INR","GBP"))</f>
        <v/>
      </c>
      <c r="E435" s="111" t="n"/>
      <c r="F435" s="113" t="n"/>
      <c r="G435" s="113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68">
      <c r="A436" s="113" t="n"/>
      <c r="B436" s="111" t="n"/>
      <c r="C436" s="117" t="n"/>
      <c r="D436" s="118">
        <f>IF(E436="","",IF(E436="HDFC Bank (INR)","INR","GBP"))</f>
        <v/>
      </c>
      <c r="E436" s="111" t="n"/>
      <c r="F436" s="113" t="n"/>
      <c r="G436" s="113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68">
      <c r="A437" s="113" t="n"/>
      <c r="B437" s="111" t="n"/>
      <c r="C437" s="117" t="n"/>
      <c r="D437" s="118">
        <f>IF(E437="","",IF(E437="HDFC Bank (INR)","INR","GBP"))</f>
        <v/>
      </c>
      <c r="E437" s="111" t="n"/>
      <c r="F437" s="113" t="n"/>
      <c r="G437" s="113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68">
      <c r="A438" s="113" t="n"/>
      <c r="B438" s="111" t="n"/>
      <c r="C438" s="117" t="n"/>
      <c r="D438" s="118">
        <f>IF(E438="","",IF(E438="HDFC Bank (INR)","INR","GBP"))</f>
        <v/>
      </c>
      <c r="E438" s="111" t="n"/>
      <c r="F438" s="113" t="n"/>
      <c r="G438" s="113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68">
      <c r="A439" s="113" t="n"/>
      <c r="B439" s="111" t="n"/>
      <c r="C439" s="117" t="n"/>
      <c r="D439" s="118">
        <f>IF(E439="","",IF(E439="HDFC Bank (INR)","INR","GBP"))</f>
        <v/>
      </c>
      <c r="E439" s="111" t="n"/>
      <c r="F439" s="113" t="n"/>
      <c r="G439" s="113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68">
      <c r="A440" s="113" t="n"/>
      <c r="B440" s="111" t="n"/>
      <c r="C440" s="117" t="n"/>
      <c r="D440" s="118">
        <f>IF(E440="","",IF(E440="HDFC Bank (INR)","INR","GBP"))</f>
        <v/>
      </c>
      <c r="E440" s="111" t="n"/>
      <c r="F440" s="113" t="n"/>
      <c r="G440" s="113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68">
      <c r="A441" s="113" t="n"/>
      <c r="B441" s="111" t="n"/>
      <c r="C441" s="117" t="n"/>
      <c r="D441" s="118">
        <f>IF(E441="","",IF(E441="HDFC Bank (INR)","INR","GBP"))</f>
        <v/>
      </c>
      <c r="E441" s="111" t="n"/>
      <c r="F441" s="113" t="n"/>
      <c r="G441" s="113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68">
      <c r="A442" s="113" t="n"/>
      <c r="B442" s="111" t="n"/>
      <c r="C442" s="117" t="n"/>
      <c r="D442" s="118">
        <f>IF(E442="","",IF(E442="HDFC Bank (INR)","INR","GBP"))</f>
        <v/>
      </c>
      <c r="E442" s="111" t="n"/>
      <c r="F442" s="113" t="n"/>
      <c r="G442" s="113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68">
      <c r="A443" s="113" t="n"/>
      <c r="B443" s="111" t="n"/>
      <c r="C443" s="117" t="n"/>
      <c r="D443" s="118">
        <f>IF(E443="","",IF(E443="HDFC Bank (INR)","INR","GBP"))</f>
        <v/>
      </c>
      <c r="E443" s="111" t="n"/>
      <c r="F443" s="113" t="n"/>
      <c r="G443" s="113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68">
      <c r="A444" s="113" t="n"/>
      <c r="B444" s="111" t="n"/>
      <c r="C444" s="117" t="n"/>
      <c r="D444" s="118">
        <f>IF(E444="","",IF(E444="HDFC Bank (INR)","INR","GBP"))</f>
        <v/>
      </c>
      <c r="E444" s="111" t="n"/>
      <c r="F444" s="113" t="n"/>
      <c r="G444" s="113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68">
      <c r="A445" s="113" t="n"/>
      <c r="B445" s="111" t="n"/>
      <c r="C445" s="117" t="n"/>
      <c r="D445" s="118">
        <f>IF(E445="","",IF(E445="HDFC Bank (INR)","INR","GBP"))</f>
        <v/>
      </c>
      <c r="E445" s="111" t="n"/>
      <c r="F445" s="113" t="n"/>
      <c r="G445" s="113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68">
      <c r="A446" s="113" t="n"/>
      <c r="B446" s="111" t="n"/>
      <c r="C446" s="117" t="n"/>
      <c r="D446" s="118">
        <f>IF(E446="","",IF(E446="HDFC Bank (INR)","INR","GBP"))</f>
        <v/>
      </c>
      <c r="E446" s="111" t="n"/>
      <c r="F446" s="113" t="n"/>
      <c r="G446" s="113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68">
      <c r="A447" s="113" t="n"/>
      <c r="B447" s="111" t="n"/>
      <c r="C447" s="117" t="n"/>
      <c r="D447" s="118">
        <f>IF(E447="","",IF(E447="HDFC Bank (INR)","INR","GBP"))</f>
        <v/>
      </c>
      <c r="E447" s="111" t="n"/>
      <c r="F447" s="113" t="n"/>
      <c r="G447" s="113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68">
      <c r="A448" s="113" t="n"/>
      <c r="B448" s="111" t="n"/>
      <c r="C448" s="117" t="n"/>
      <c r="D448" s="118">
        <f>IF(E448="","",IF(E448="HDFC Bank (INR)","INR","GBP"))</f>
        <v/>
      </c>
      <c r="E448" s="111" t="n"/>
      <c r="F448" s="113" t="n"/>
      <c r="G448" s="113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68">
      <c r="A449" s="113" t="n"/>
      <c r="B449" s="111" t="n"/>
      <c r="C449" s="117" t="n"/>
      <c r="D449" s="118">
        <f>IF(E449="","",IF(E449="HDFC Bank (INR)","INR","GBP"))</f>
        <v/>
      </c>
      <c r="E449" s="111" t="n"/>
      <c r="F449" s="113" t="n"/>
      <c r="G449" s="113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68">
      <c r="A450" s="113" t="n"/>
      <c r="B450" s="111" t="n"/>
      <c r="C450" s="117" t="n"/>
      <c r="D450" s="118">
        <f>IF(E450="","",IF(E450="HDFC Bank (INR)","INR","GBP"))</f>
        <v/>
      </c>
      <c r="E450" s="111" t="n"/>
      <c r="F450" s="113" t="n"/>
      <c r="G450" s="113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68">
      <c r="A451" s="113" t="n"/>
      <c r="B451" s="111" t="n"/>
      <c r="C451" s="117" t="n"/>
      <c r="D451" s="118">
        <f>IF(E451="","",IF(E451="HDFC Bank (INR)","INR","GBP"))</f>
        <v/>
      </c>
      <c r="E451" s="111" t="n"/>
      <c r="F451" s="113" t="n"/>
      <c r="G451" s="113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68">
      <c r="A452" s="113" t="n"/>
      <c r="B452" s="111" t="n"/>
      <c r="C452" s="117" t="n"/>
      <c r="D452" s="118">
        <f>IF(E452="","",IF(E452="HDFC Bank (INR)","INR","GBP"))</f>
        <v/>
      </c>
      <c r="E452" s="111" t="n"/>
      <c r="F452" s="113" t="n"/>
      <c r="G452" s="113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68">
      <c r="A453" s="113" t="n"/>
      <c r="B453" s="111" t="n"/>
      <c r="C453" s="117" t="n"/>
      <c r="D453" s="118">
        <f>IF(E453="","",IF(E453="HDFC Bank (INR)","INR","GBP"))</f>
        <v/>
      </c>
      <c r="E453" s="111" t="n"/>
      <c r="F453" s="113" t="n"/>
      <c r="G453" s="113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68">
      <c r="A454" s="113" t="n"/>
      <c r="B454" s="111" t="n"/>
      <c r="C454" s="117" t="n"/>
      <c r="D454" s="118">
        <f>IF(E454="","",IF(E454="HDFC Bank (INR)","INR","GBP"))</f>
        <v/>
      </c>
      <c r="E454" s="111" t="n"/>
      <c r="F454" s="113" t="n"/>
      <c r="G454" s="113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68">
      <c r="A455" s="113" t="n"/>
      <c r="B455" s="111" t="n"/>
      <c r="C455" s="117" t="n"/>
      <c r="D455" s="118">
        <f>IF(E455="","",IF(E455="HDFC Bank (INR)","INR","GBP"))</f>
        <v/>
      </c>
      <c r="E455" s="111" t="n"/>
      <c r="F455" s="113" t="n"/>
      <c r="G455" s="113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68">
      <c r="A456" s="113" t="n"/>
      <c r="B456" s="111" t="n"/>
      <c r="C456" s="117" t="n"/>
      <c r="D456" s="118">
        <f>IF(E456="","",IF(E456="HDFC Bank (INR)","INR","GBP"))</f>
        <v/>
      </c>
      <c r="E456" s="111" t="n"/>
      <c r="F456" s="113" t="n"/>
      <c r="G456" s="113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68">
      <c r="A457" s="113" t="n"/>
      <c r="B457" s="111" t="n"/>
      <c r="C457" s="117" t="n"/>
      <c r="D457" s="118">
        <f>IF(E457="","",IF(E457="HDFC Bank (INR)","INR","GBP"))</f>
        <v/>
      </c>
      <c r="E457" s="111" t="n"/>
      <c r="F457" s="113" t="n"/>
      <c r="G457" s="113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68">
      <c r="A458" s="113" t="n"/>
      <c r="B458" s="111" t="n"/>
      <c r="C458" s="117" t="n"/>
      <c r="D458" s="118">
        <f>IF(E458="","",IF(E458="HDFC Bank (INR)","INR","GBP"))</f>
        <v/>
      </c>
      <c r="E458" s="111" t="n"/>
      <c r="F458" s="113" t="n"/>
      <c r="G458" s="113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68">
      <c r="A459" s="113" t="n"/>
      <c r="B459" s="111" t="n"/>
      <c r="C459" s="117" t="n"/>
      <c r="D459" s="118">
        <f>IF(E459="","",IF(E459="HDFC Bank (INR)","INR","GBP"))</f>
        <v/>
      </c>
      <c r="E459" s="111" t="n"/>
      <c r="F459" s="113" t="n"/>
      <c r="G459" s="113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68">
      <c r="A460" s="113" t="n"/>
      <c r="B460" s="111" t="n"/>
      <c r="C460" s="117" t="n"/>
      <c r="D460" s="118">
        <f>IF(E460="","",IF(E460="HDFC Bank (INR)","INR","GBP"))</f>
        <v/>
      </c>
      <c r="E460" s="111" t="n"/>
      <c r="F460" s="113" t="n"/>
      <c r="G460" s="113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68">
      <c r="A461" s="113" t="n"/>
      <c r="B461" s="111" t="n"/>
      <c r="C461" s="117" t="n"/>
      <c r="D461" s="118">
        <f>IF(E461="","",IF(E461="HDFC Bank (INR)","INR","GBP"))</f>
        <v/>
      </c>
      <c r="E461" s="111" t="n"/>
      <c r="F461" s="113" t="n"/>
      <c r="G461" s="113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68">
      <c r="A462" s="113" t="n"/>
      <c r="B462" s="111" t="n"/>
      <c r="C462" s="117" t="n"/>
      <c r="D462" s="118">
        <f>IF(E462="","",IF(E462="HDFC Bank (INR)","INR","GBP"))</f>
        <v/>
      </c>
      <c r="E462" s="111" t="n"/>
      <c r="F462" s="113" t="n"/>
      <c r="G462" s="113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68">
      <c r="A463" s="113" t="n"/>
      <c r="B463" s="111" t="n"/>
      <c r="C463" s="117" t="n"/>
      <c r="D463" s="118">
        <f>IF(E463="","",IF(E463="HDFC Bank (INR)","INR","GBP"))</f>
        <v/>
      </c>
      <c r="E463" s="111" t="n"/>
      <c r="F463" s="113" t="n"/>
      <c r="G463" s="113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68">
      <c r="A464" s="113" t="n"/>
      <c r="B464" s="111" t="n"/>
      <c r="C464" s="117" t="n"/>
      <c r="D464" s="118">
        <f>IF(E464="","",IF(E464="HDFC Bank (INR)","INR","GBP"))</f>
        <v/>
      </c>
      <c r="E464" s="111" t="n"/>
      <c r="F464" s="113" t="n"/>
      <c r="G464" s="113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68">
      <c r="A465" s="113" t="n"/>
      <c r="B465" s="111" t="n"/>
      <c r="C465" s="117" t="n"/>
      <c r="D465" s="118">
        <f>IF(E465="","",IF(E465="HDFC Bank (INR)","INR","GBP"))</f>
        <v/>
      </c>
      <c r="E465" s="111" t="n"/>
      <c r="F465" s="113" t="n"/>
      <c r="G465" s="113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68">
      <c r="A466" s="113" t="n"/>
      <c r="B466" s="111" t="n"/>
      <c r="C466" s="117" t="n"/>
      <c r="D466" s="118">
        <f>IF(E466="","",IF(E466="HDFC Bank (INR)","INR","GBP"))</f>
        <v/>
      </c>
      <c r="E466" s="111" t="n"/>
      <c r="F466" s="113" t="n"/>
      <c r="G466" s="113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68">
      <c r="A467" s="113" t="n"/>
      <c r="B467" s="111" t="n"/>
      <c r="C467" s="117" t="n"/>
      <c r="D467" s="118">
        <f>IF(E467="","",IF(E467="HDFC Bank (INR)","INR","GBP"))</f>
        <v/>
      </c>
      <c r="E467" s="111" t="n"/>
      <c r="F467" s="113" t="n"/>
      <c r="G467" s="113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68">
      <c r="A468" s="113" t="n"/>
      <c r="B468" s="111" t="n"/>
      <c r="C468" s="117" t="n"/>
      <c r="D468" s="118">
        <f>IF(E468="","",IF(E468="HDFC Bank (INR)","INR","GBP"))</f>
        <v/>
      </c>
      <c r="E468" s="111" t="n"/>
      <c r="F468" s="113" t="n"/>
      <c r="G468" s="113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68">
      <c r="A469" s="113" t="n"/>
      <c r="B469" s="111" t="n"/>
      <c r="C469" s="117" t="n"/>
      <c r="D469" s="118">
        <f>IF(E469="","",IF(E469="HDFC Bank (INR)","INR","GBP"))</f>
        <v/>
      </c>
      <c r="E469" s="111" t="n"/>
      <c r="F469" s="113" t="n"/>
      <c r="G469" s="113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68">
      <c r="A470" s="113" t="n"/>
      <c r="B470" s="111" t="n"/>
      <c r="C470" s="117" t="n"/>
      <c r="D470" s="118">
        <f>IF(E470="","",IF(E470="HDFC Bank (INR)","INR","GBP"))</f>
        <v/>
      </c>
      <c r="E470" s="111" t="n"/>
      <c r="F470" s="113" t="n"/>
      <c r="G470" s="113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68">
      <c r="A471" s="113" t="n"/>
      <c r="B471" s="111" t="n"/>
      <c r="C471" s="117" t="n"/>
      <c r="D471" s="118">
        <f>IF(E471="","",IF(E471="HDFC Bank (INR)","INR","GBP"))</f>
        <v/>
      </c>
      <c r="E471" s="111" t="n"/>
      <c r="F471" s="113" t="n"/>
      <c r="G471" s="113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68">
      <c r="A472" s="113" t="n"/>
      <c r="B472" s="111" t="n"/>
      <c r="C472" s="117" t="n"/>
      <c r="D472" s="118">
        <f>IF(E472="","",IF(E472="HDFC Bank (INR)","INR","GBP"))</f>
        <v/>
      </c>
      <c r="E472" s="111" t="n"/>
      <c r="F472" s="113" t="n"/>
      <c r="G472" s="113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68">
      <c r="A473" s="113" t="n"/>
      <c r="B473" s="111" t="n"/>
      <c r="C473" s="117" t="n"/>
      <c r="D473" s="118">
        <f>IF(E473="","",IF(E473="HDFC Bank (INR)","INR","GBP"))</f>
        <v/>
      </c>
      <c r="E473" s="111" t="n"/>
      <c r="F473" s="113" t="n"/>
      <c r="G473" s="113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68">
      <c r="A474" s="113" t="n"/>
      <c r="B474" s="111" t="n"/>
      <c r="C474" s="117" t="n"/>
      <c r="D474" s="118">
        <f>IF(E474="","",IF(E474="HDFC Bank (INR)","INR","GBP"))</f>
        <v/>
      </c>
      <c r="E474" s="111" t="n"/>
      <c r="F474" s="113" t="n"/>
      <c r="G474" s="113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68">
      <c r="A475" s="113" t="n"/>
      <c r="B475" s="111" t="n"/>
      <c r="C475" s="117" t="n"/>
      <c r="D475" s="118">
        <f>IF(E475="","",IF(E475="HDFC Bank (INR)","INR","GBP"))</f>
        <v/>
      </c>
      <c r="E475" s="111" t="n"/>
      <c r="F475" s="113" t="n"/>
      <c r="G475" s="113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68">
      <c r="A476" s="113" t="n"/>
      <c r="B476" s="111" t="n"/>
      <c r="C476" s="117" t="n"/>
      <c r="D476" s="118">
        <f>IF(E476="","",IF(E476="HDFC Bank (INR)","INR","GBP"))</f>
        <v/>
      </c>
      <c r="E476" s="111" t="n"/>
      <c r="F476" s="113" t="n"/>
      <c r="G476" s="113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68">
      <c r="A477" s="113" t="n"/>
      <c r="B477" s="111" t="n"/>
      <c r="C477" s="117" t="n"/>
      <c r="D477" s="118">
        <f>IF(E477="","",IF(E477="HDFC Bank (INR)","INR","GBP"))</f>
        <v/>
      </c>
      <c r="E477" s="111" t="n"/>
      <c r="F477" s="113" t="n"/>
      <c r="G477" s="113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68">
      <c r="A478" s="113" t="n"/>
      <c r="B478" s="111" t="n"/>
      <c r="C478" s="117" t="n"/>
      <c r="D478" s="118">
        <f>IF(E478="","",IF(E478="HDFC Bank (INR)","INR","GBP"))</f>
        <v/>
      </c>
      <c r="E478" s="111" t="n"/>
      <c r="F478" s="113" t="n"/>
      <c r="G478" s="113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68">
      <c r="A479" s="113" t="n"/>
      <c r="B479" s="111" t="n"/>
      <c r="C479" s="117" t="n"/>
      <c r="D479" s="118">
        <f>IF(E479="","",IF(E479="HDFC Bank (INR)","INR","GBP"))</f>
        <v/>
      </c>
      <c r="E479" s="111" t="n"/>
      <c r="F479" s="113" t="n"/>
      <c r="G479" s="113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68">
      <c r="A480" s="113" t="n"/>
      <c r="B480" s="111" t="n"/>
      <c r="C480" s="117" t="n"/>
      <c r="D480" s="118">
        <f>IF(E480="","",IF(E480="HDFC Bank (INR)","INR","GBP"))</f>
        <v/>
      </c>
      <c r="E480" s="111" t="n"/>
      <c r="F480" s="113" t="n"/>
      <c r="G480" s="113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68">
      <c r="A481" s="113" t="n"/>
      <c r="B481" s="111" t="n"/>
      <c r="C481" s="117" t="n"/>
      <c r="D481" s="118">
        <f>IF(E481="","",IF(E481="HDFC Bank (INR)","INR","GBP"))</f>
        <v/>
      </c>
      <c r="E481" s="111" t="n"/>
      <c r="F481" s="113" t="n"/>
      <c r="G481" s="113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68">
      <c r="A482" s="113" t="n"/>
      <c r="B482" s="111" t="n"/>
      <c r="C482" s="117" t="n"/>
      <c r="D482" s="118">
        <f>IF(E482="","",IF(E482="HDFC Bank (INR)","INR","GBP"))</f>
        <v/>
      </c>
      <c r="E482" s="111" t="n"/>
      <c r="F482" s="113" t="n"/>
      <c r="G482" s="113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68">
      <c r="A483" s="113" t="n"/>
      <c r="B483" s="111" t="n"/>
      <c r="C483" s="117" t="n"/>
      <c r="D483" s="118">
        <f>IF(E483="","",IF(E483="HDFC Bank (INR)","INR","GBP"))</f>
        <v/>
      </c>
      <c r="E483" s="111" t="n"/>
      <c r="F483" s="113" t="n"/>
      <c r="G483" s="113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68">
      <c r="A484" s="113" t="n"/>
      <c r="B484" s="111" t="n"/>
      <c r="C484" s="117" t="n"/>
      <c r="D484" s="118">
        <f>IF(E484="","",IF(E484="HDFC Bank (INR)","INR","GBP"))</f>
        <v/>
      </c>
      <c r="E484" s="111" t="n"/>
      <c r="F484" s="113" t="n"/>
      <c r="G484" s="113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68">
      <c r="A485" s="113" t="n"/>
      <c r="B485" s="111" t="n"/>
      <c r="C485" s="117" t="n"/>
      <c r="D485" s="118">
        <f>IF(E485="","",IF(E485="HDFC Bank (INR)","INR","GBP"))</f>
        <v/>
      </c>
      <c r="E485" s="111" t="n"/>
      <c r="F485" s="113" t="n"/>
      <c r="G485" s="113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68">
      <c r="A486" s="113" t="n"/>
      <c r="B486" s="111" t="n"/>
      <c r="C486" s="117" t="n"/>
      <c r="D486" s="118">
        <f>IF(E486="","",IF(E486="HDFC Bank (INR)","INR","GBP"))</f>
        <v/>
      </c>
      <c r="E486" s="111" t="n"/>
      <c r="F486" s="113" t="n"/>
      <c r="G486" s="113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68">
      <c r="A487" s="113" t="n"/>
      <c r="B487" s="111" t="n"/>
      <c r="C487" s="117" t="n"/>
      <c r="D487" s="118">
        <f>IF(E487="","",IF(E487="HDFC Bank (INR)","INR","GBP"))</f>
        <v/>
      </c>
      <c r="E487" s="111" t="n"/>
      <c r="F487" s="113" t="n"/>
      <c r="G487" s="113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68">
      <c r="A488" s="113" t="n"/>
      <c r="B488" s="111" t="n"/>
      <c r="C488" s="117" t="n"/>
      <c r="D488" s="118">
        <f>IF(E488="","",IF(E488="HDFC Bank (INR)","INR","GBP"))</f>
        <v/>
      </c>
      <c r="E488" s="111" t="n"/>
      <c r="F488" s="113" t="n"/>
      <c r="G488" s="113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68">
      <c r="A489" s="113" t="n"/>
      <c r="B489" s="111" t="n"/>
      <c r="C489" s="117" t="n"/>
      <c r="D489" s="118">
        <f>IF(E489="","",IF(E489="HDFC Bank (INR)","INR","GBP"))</f>
        <v/>
      </c>
      <c r="E489" s="111" t="n"/>
      <c r="F489" s="113" t="n"/>
      <c r="G489" s="113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68">
      <c r="A490" s="113" t="n"/>
      <c r="B490" s="111" t="n"/>
      <c r="C490" s="117" t="n"/>
      <c r="D490" s="118">
        <f>IF(E490="","",IF(E490="HDFC Bank (INR)","INR","GBP"))</f>
        <v/>
      </c>
      <c r="E490" s="111" t="n"/>
      <c r="F490" s="113" t="n"/>
      <c r="G490" s="113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68">
      <c r="A491" s="113" t="n"/>
      <c r="B491" s="111" t="n"/>
      <c r="C491" s="117" t="n"/>
      <c r="D491" s="118">
        <f>IF(E491="","",IF(E491="HDFC Bank (INR)","INR","GBP"))</f>
        <v/>
      </c>
      <c r="E491" s="111" t="n"/>
      <c r="F491" s="113" t="n"/>
      <c r="G491" s="113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68">
      <c r="A492" s="113" t="n"/>
      <c r="B492" s="111" t="n"/>
      <c r="C492" s="117" t="n"/>
      <c r="D492" s="118">
        <f>IF(E492="","",IF(E492="HDFC Bank (INR)","INR","GBP"))</f>
        <v/>
      </c>
      <c r="E492" s="111" t="n"/>
      <c r="F492" s="113" t="n"/>
      <c r="G492" s="113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68">
      <c r="A493" s="113" t="n"/>
      <c r="B493" s="111" t="n"/>
      <c r="C493" s="117" t="n"/>
      <c r="D493" s="118">
        <f>IF(E493="","",IF(E493="HDFC Bank (INR)","INR","GBP"))</f>
        <v/>
      </c>
      <c r="E493" s="111" t="n"/>
      <c r="F493" s="113" t="n"/>
      <c r="G493" s="113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68">
      <c r="A494" s="113" t="n"/>
      <c r="B494" s="111" t="n"/>
      <c r="C494" s="117" t="n"/>
      <c r="D494" s="118">
        <f>IF(E494="","",IF(E494="HDFC Bank (INR)","INR","GBP"))</f>
        <v/>
      </c>
      <c r="E494" s="111" t="n"/>
      <c r="F494" s="113" t="n"/>
      <c r="G494" s="113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68">
      <c r="A495" s="113" t="n"/>
      <c r="B495" s="111" t="n"/>
      <c r="C495" s="117" t="n"/>
      <c r="D495" s="118">
        <f>IF(E495="","",IF(E495="HDFC Bank (INR)","INR","GBP"))</f>
        <v/>
      </c>
      <c r="E495" s="111" t="n"/>
      <c r="F495" s="113" t="n"/>
      <c r="G495" s="113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68">
      <c r="A496" s="113" t="n"/>
      <c r="B496" s="111" t="n"/>
      <c r="C496" s="117" t="n"/>
      <c r="D496" s="118">
        <f>IF(E496="","",IF(E496="HDFC Bank (INR)","INR","GBP"))</f>
        <v/>
      </c>
      <c r="E496" s="111" t="n"/>
      <c r="F496" s="113" t="n"/>
      <c r="G496" s="113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68">
      <c r="A497" s="113" t="n"/>
      <c r="B497" s="111" t="n"/>
      <c r="C497" s="117" t="n"/>
      <c r="D497" s="118">
        <f>IF(E497="","",IF(E497="HDFC Bank (INR)","INR","GBP"))</f>
        <v/>
      </c>
      <c r="E497" s="111" t="n"/>
      <c r="F497" s="113" t="n"/>
      <c r="G497" s="113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68">
      <c r="A498" s="113" t="n"/>
      <c r="B498" s="111" t="n"/>
      <c r="C498" s="117" t="n"/>
      <c r="D498" s="118">
        <f>IF(E498="","",IF(E498="HDFC Bank (INR)","INR","GBP"))</f>
        <v/>
      </c>
      <c r="E498" s="111" t="n"/>
      <c r="F498" s="113" t="n"/>
      <c r="G498" s="113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68">
      <c r="A499" s="113" t="n"/>
      <c r="B499" s="111" t="n"/>
      <c r="C499" s="117" t="n"/>
      <c r="D499" s="118">
        <f>IF(E499="","",IF(E499="HDFC Bank (INR)","INR","GBP"))</f>
        <v/>
      </c>
      <c r="E499" s="111" t="n"/>
      <c r="F499" s="113" t="n"/>
      <c r="G499" s="113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68">
      <c r="A500" s="113" t="n"/>
      <c r="B500" s="111" t="n"/>
      <c r="C500" s="117" t="n"/>
      <c r="D500" s="118">
        <f>IF(E500="","",IF(E500="HDFC Bank (INR)","INR","GBP"))</f>
        <v/>
      </c>
      <c r="E500" s="111" t="n"/>
      <c r="F500" s="113" t="n"/>
      <c r="G500" s="113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68">
      <c r="A501" s="113" t="n"/>
      <c r="B501" s="111" t="n"/>
      <c r="C501" s="117" t="n"/>
      <c r="D501" s="118">
        <f>IF(E501="","",IF(E501="HDFC Bank (INR)","INR","GBP"))</f>
        <v/>
      </c>
      <c r="E501" s="111" t="n"/>
      <c r="F501" s="113" t="n"/>
      <c r="G501" s="113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68">
      <c r="A502" s="113" t="n"/>
      <c r="B502" s="111" t="n"/>
      <c r="C502" s="117" t="n"/>
      <c r="D502" s="118">
        <f>IF(E502="","",IF(E502="HDFC Bank (INR)","INR","GBP"))</f>
        <v/>
      </c>
      <c r="E502" s="111" t="n"/>
      <c r="F502" s="113" t="n"/>
      <c r="G502" s="113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6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6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6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6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6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6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6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6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6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6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6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6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6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6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6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6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6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6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6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6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6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6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6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6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6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6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6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6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6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6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6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6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6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6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6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6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6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6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6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6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6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6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6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6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6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6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6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6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6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6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6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6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6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6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6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6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6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6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6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6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6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6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6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6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6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6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6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6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6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6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6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6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6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6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6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6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6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6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6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6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6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6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6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6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6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6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6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6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6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6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6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6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6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6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6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6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6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6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6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6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6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6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6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6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6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6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6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6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6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6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6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6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6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6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6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6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6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6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6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6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6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6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6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6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6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6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6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6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6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6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6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6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6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6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6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6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6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6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6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6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6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6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6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6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6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6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6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6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6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6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6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6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6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6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6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6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6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6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6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6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6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6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6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6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6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6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6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6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6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6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6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6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6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6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6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6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6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6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6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6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6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6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6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6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6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6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6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6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6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6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6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6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6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6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6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6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6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6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6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6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6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6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6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6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6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6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6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6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6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6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6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6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6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6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6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6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6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6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6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6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6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6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6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6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6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6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6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6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6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6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6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6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6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6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6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6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6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6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6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6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6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6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6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6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6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6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6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6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6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6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6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6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6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6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6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6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6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6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6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6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6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6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6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6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6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6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6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6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6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6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6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6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6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6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6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6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6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6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6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6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6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6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6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6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6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6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6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6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6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6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6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6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6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6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6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6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6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6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6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6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6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6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6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6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6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6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6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6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6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6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6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6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6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6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6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6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6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6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6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6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6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6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6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6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6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6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6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6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6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6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6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6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6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6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6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6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6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6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6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6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6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6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6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6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6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6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6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6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6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6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6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6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6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6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6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6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6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6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6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6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6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6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6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6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6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6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6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6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6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6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6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6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6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6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6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6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6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6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6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6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6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6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6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6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6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6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6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6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6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6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6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6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6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6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6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6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6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6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6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6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6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6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6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6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6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6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6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6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6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6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6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6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6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6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6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6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6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6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6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6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6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6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6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6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6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6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6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6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6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6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6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6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6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6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6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6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6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6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6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6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6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6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6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6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6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6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6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6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6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6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6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6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6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6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6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6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6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6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6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6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6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6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6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6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6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6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6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6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6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6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6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6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6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6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6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6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6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6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6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6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6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6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6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6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6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6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6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6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6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6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6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6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6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">
    <mergeCell ref="A1:G1"/>
  </mergeCells>
  <dataValidations count="2">
    <dataValidation sqref="E3:E502" showDropDown="0" showInputMessage="0" showErrorMessage="0" allowBlank="1" type="list">
      <formula1>"Lloyds Bank (GBP),HSBC Bank (GBP),Barclays Bank (GBP),Halifax Bank (GBP),Klarna Pay (GBP),Splitwise (GBP),Oyster Travel Card (GBP),HDFC Bank (INR)"</formula1>
    </dataValidation>
    <dataValidation sqref="B3:B502" showDropDown="0" showInputMessage="0" showErrorMessage="0" allowBlank="1" type="list">
      <formula1>"Kolumba Carnaby,Gaia Pulses LTD,Tips and Extras,Family and Friends"</formula1>
    </dataValidation>
  </dataValidations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tabColor rgb="FFED7D31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168" min="1" max="1"/>
    <col width="30" customWidth="1" style="168" min="2" max="2"/>
    <col width="38" customWidth="1" style="168" min="3" max="4"/>
    <col width="14" customWidth="1" style="168" min="5" max="5"/>
    <col width="30" customWidth="1" style="168" min="6" max="6"/>
  </cols>
  <sheetData>
    <row r="1">
      <c r="A1" s="101" t="inlineStr">
        <is>
          <t>TRANSFERS (Credit Card Payments &amp; Top-ups)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24" t="inlineStr">
        <is>
          <t>Date</t>
        </is>
      </c>
      <c r="B2" s="124" t="inlineStr">
        <is>
          <t>Description</t>
        </is>
      </c>
      <c r="C2" s="124" t="inlineStr">
        <is>
          <t>To Account</t>
        </is>
      </c>
      <c r="D2" s="124" t="inlineStr">
        <is>
          <t>From Account</t>
        </is>
      </c>
      <c r="E2" s="124" t="inlineStr">
        <is>
          <t>Amount</t>
        </is>
      </c>
      <c r="F2" s="124" t="inlineStr">
        <is>
          <t>Notes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25" t="n">
        <v>46122</v>
      </c>
      <c r="B3" s="126" t="inlineStr">
        <is>
          <t>Barclays Card</t>
        </is>
      </c>
      <c r="C3" s="126" t="inlineStr">
        <is>
          <t>Barclays Rewards Credit Card (GBP)</t>
        </is>
      </c>
      <c r="D3" s="126" t="inlineStr">
        <is>
          <t>Barclays Bank (GBP)</t>
        </is>
      </c>
      <c r="E3" s="127" t="n">
        <v>680.53</v>
      </c>
      <c r="F3" s="126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25" t="n">
        <v>46122</v>
      </c>
      <c r="B4" s="126" t="inlineStr">
        <is>
          <t>Tissot Last Payment</t>
        </is>
      </c>
      <c r="C4" s="126" t="inlineStr">
        <is>
          <t>Klarna Pay Later (GBP)</t>
        </is>
      </c>
      <c r="D4" s="126" t="inlineStr">
        <is>
          <t>Barclays Rewards Credit Card (GBP)</t>
        </is>
      </c>
      <c r="E4" s="127" t="n">
        <v>181.34</v>
      </c>
      <c r="F4" s="126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25" t="n">
        <v>46122</v>
      </c>
      <c r="B5" s="126" t="inlineStr">
        <is>
          <t>Savings</t>
        </is>
      </c>
      <c r="C5" s="126" t="inlineStr">
        <is>
          <t>HSBC Bank (GBP)</t>
        </is>
      </c>
      <c r="D5" s="126" t="inlineStr">
        <is>
          <t>Barclays Bank (GBP)</t>
        </is>
      </c>
      <c r="E5" s="127" t="n">
        <v>1251.14</v>
      </c>
      <c r="F5" s="126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25" t="n">
        <v>46122</v>
      </c>
      <c r="B6" s="126" t="inlineStr">
        <is>
          <t>Rent Savings</t>
        </is>
      </c>
      <c r="C6" s="126" t="inlineStr">
        <is>
          <t>Halifax Bank (GBP)</t>
        </is>
      </c>
      <c r="D6" s="126" t="inlineStr">
        <is>
          <t>Barclays Bank (GBP)</t>
        </is>
      </c>
      <c r="E6" s="127" t="n">
        <v>101.84</v>
      </c>
      <c r="F6" s="126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113" t="n">
        <v>46122</v>
      </c>
      <c r="B7" s="126" t="inlineStr">
        <is>
          <t>Tanisha Split Clear</t>
        </is>
      </c>
      <c r="C7" s="126" t="inlineStr">
        <is>
          <t>Lloyds Bank (GBP)</t>
        </is>
      </c>
      <c r="D7" s="126" t="inlineStr">
        <is>
          <t>Splitwise (GBP)</t>
        </is>
      </c>
      <c r="E7" s="127" t="n">
        <v>50</v>
      </c>
      <c r="F7" s="126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13" t="n">
        <v>46122</v>
      </c>
      <c r="B8" s="126" t="inlineStr">
        <is>
          <t>Ajith Split Clear</t>
        </is>
      </c>
      <c r="C8" s="126" t="inlineStr">
        <is>
          <t>Splitwise (GBP)</t>
        </is>
      </c>
      <c r="D8" s="126" t="inlineStr">
        <is>
          <t>Lloyds Bank (GBP)</t>
        </is>
      </c>
      <c r="E8" s="127" t="n">
        <v>5.22</v>
      </c>
      <c r="F8" s="126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13" t="n">
        <v>46122</v>
      </c>
      <c r="B9" s="126" t="inlineStr">
        <is>
          <t>Bilques Split Clear</t>
        </is>
      </c>
      <c r="C9" s="126" t="inlineStr">
        <is>
          <t>Splitwise (GBP)</t>
        </is>
      </c>
      <c r="D9" s="126" t="inlineStr">
        <is>
          <t>Halifax Bank (GBP)</t>
        </is>
      </c>
      <c r="E9" s="127" t="n">
        <v>64.51000000000001</v>
      </c>
      <c r="F9" s="126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113" t="n">
        <v>46126</v>
      </c>
      <c r="B10" s="126" t="inlineStr">
        <is>
          <t>Tanisha Split Clear</t>
        </is>
      </c>
      <c r="C10" s="126" t="inlineStr">
        <is>
          <t>Halifax Bank (GBP)</t>
        </is>
      </c>
      <c r="D10" s="126" t="inlineStr">
        <is>
          <t>Splitwise (GBP)</t>
        </is>
      </c>
      <c r="E10" s="127" t="n">
        <v>19.09</v>
      </c>
      <c r="F10" s="126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113" t="n">
        <v>46126</v>
      </c>
      <c r="B11" s="126" t="inlineStr">
        <is>
          <t>Kuldeep Split Clear</t>
        </is>
      </c>
      <c r="C11" s="126" t="inlineStr">
        <is>
          <t>Splitwise (GBP)</t>
        </is>
      </c>
      <c r="D11" s="126" t="inlineStr">
        <is>
          <t>Halifax Bank (GBP)</t>
        </is>
      </c>
      <c r="E11" s="127" t="n">
        <v>18.57</v>
      </c>
      <c r="F11" s="126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13" t="n">
        <v>46126</v>
      </c>
      <c r="B12" s="126" t="inlineStr">
        <is>
          <t>HSBC Payment</t>
        </is>
      </c>
      <c r="C12" s="126" t="inlineStr">
        <is>
          <t>HSBC Rewards Credit Card (GBP)</t>
        </is>
      </c>
      <c r="D12" s="126" t="inlineStr">
        <is>
          <t>HSBC Bank (GBP)</t>
        </is>
      </c>
      <c r="E12" s="127" t="n">
        <v>505.93</v>
      </c>
      <c r="F12" s="126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113" t="n">
        <v>46126</v>
      </c>
      <c r="B13" s="126" t="inlineStr">
        <is>
          <t>Axis Bank Statememnt</t>
        </is>
      </c>
      <c r="C13" s="126" t="inlineStr">
        <is>
          <t>Axis Airtel Credit Card (INR)</t>
        </is>
      </c>
      <c r="D13" s="126" t="inlineStr">
        <is>
          <t>HDFC Bank (INR)</t>
        </is>
      </c>
      <c r="E13" s="127" t="n">
        <v>28550.9</v>
      </c>
      <c r="F13" s="126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113" t="n">
        <v>46129</v>
      </c>
      <c r="B14" s="126" t="inlineStr">
        <is>
          <t>Capitol one</t>
        </is>
      </c>
      <c r="C14" s="126" t="inlineStr">
        <is>
          <t>Capitol One Credit Card (GBP)</t>
        </is>
      </c>
      <c r="D14" s="126" t="inlineStr">
        <is>
          <t>Barclays Bank (GBP)</t>
        </is>
      </c>
      <c r="E14" s="127" t="n">
        <v>41.97</v>
      </c>
      <c r="F14" s="126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113" t="n">
        <v>46133</v>
      </c>
      <c r="B15" s="126" t="inlineStr">
        <is>
          <t>Nike retails</t>
        </is>
      </c>
      <c r="C15" s="126" t="inlineStr">
        <is>
          <t>HSBC Rewards Credit Card (GBP)</t>
        </is>
      </c>
      <c r="D15" s="126" t="n"/>
      <c r="E15" s="127" t="n">
        <v>71.98999999999999</v>
      </c>
      <c r="F15" s="126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113" t="n">
        <v>46133</v>
      </c>
      <c r="B16" s="126" t="inlineStr">
        <is>
          <t>Credit Card Payment Swiggy</t>
        </is>
      </c>
      <c r="C16" s="126" t="inlineStr">
        <is>
          <t>HDFC Swiggy Credit Card (INR)</t>
        </is>
      </c>
      <c r="D16" s="126" t="inlineStr">
        <is>
          <t>HDFC Bank (INR)</t>
        </is>
      </c>
      <c r="E16" s="127" t="n">
        <v>799</v>
      </c>
      <c r="F16" s="126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113" t="n">
        <v>46133</v>
      </c>
      <c r="B17" s="126" t="inlineStr">
        <is>
          <t>Credit Card Payment IOCL</t>
        </is>
      </c>
      <c r="C17" s="126" t="inlineStr">
        <is>
          <t>HDFC IOCL Credit Card (INR)</t>
        </is>
      </c>
      <c r="D17" s="126" t="inlineStr">
        <is>
          <t>HDFC Bank (INR)</t>
        </is>
      </c>
      <c r="E17" s="127" t="n">
        <v>335</v>
      </c>
      <c r="F17" s="126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113" t="n">
        <v>46133</v>
      </c>
      <c r="B18" s="126" t="inlineStr">
        <is>
          <t>Oyste recharge</t>
        </is>
      </c>
      <c r="C18" s="126" t="inlineStr">
        <is>
          <t>Oyster Travel Card (GBP)</t>
        </is>
      </c>
      <c r="D18" s="126" t="inlineStr">
        <is>
          <t>Klarna Pay (GBP)</t>
        </is>
      </c>
      <c r="E18" s="127" t="n">
        <v>25</v>
      </c>
      <c r="F18" s="126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113" t="n">
        <v>46133</v>
      </c>
      <c r="B19" s="126" t="inlineStr">
        <is>
          <t>Adidas Return</t>
        </is>
      </c>
      <c r="C19" s="126" t="inlineStr">
        <is>
          <t>Lloyds Bank (GBP)</t>
        </is>
      </c>
      <c r="D19" s="126" t="n"/>
      <c r="E19" s="127" t="n">
        <v>140</v>
      </c>
      <c r="F19" s="126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68">
      <c r="A20" s="113" t="n">
        <v>46138</v>
      </c>
      <c r="B20" s="126" t="inlineStr">
        <is>
          <t>New Balance Return</t>
        </is>
      </c>
      <c r="C20" s="126" t="n"/>
      <c r="D20" s="126" t="n"/>
      <c r="E20" s="127" t="n"/>
      <c r="F20" s="126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68">
      <c r="A21" s="113" t="n">
        <v>46138</v>
      </c>
      <c r="B21" s="126" t="inlineStr">
        <is>
          <t>JD Sport Return</t>
        </is>
      </c>
      <c r="C21" s="126" t="inlineStr">
        <is>
          <t>HSBC Rewards Credit Card (GBP)</t>
        </is>
      </c>
      <c r="D21" s="126" t="n"/>
      <c r="E21" s="127" t="n">
        <v>117</v>
      </c>
      <c r="F21" s="126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68">
      <c r="A22" s="113" t="n">
        <v>46138</v>
      </c>
      <c r="B22" s="126" t="inlineStr">
        <is>
          <t>Photo Album return</t>
        </is>
      </c>
      <c r="C22" s="126" t="inlineStr">
        <is>
          <t>Capitol One Credit Card (GBP)</t>
        </is>
      </c>
      <c r="D22" s="126" t="n"/>
      <c r="E22" s="127" t="n">
        <v>6.99</v>
      </c>
      <c r="F22" s="126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68">
      <c r="A23" s="113" t="n">
        <v>46150</v>
      </c>
      <c r="B23" s="126" t="inlineStr">
        <is>
          <t>Bilques Split Clear</t>
        </is>
      </c>
      <c r="C23" s="126" t="inlineStr">
        <is>
          <t>Splitwise (GBP)</t>
        </is>
      </c>
      <c r="D23" s="126" t="inlineStr">
        <is>
          <t>Halifax Bank (GBP)</t>
        </is>
      </c>
      <c r="E23" s="127" t="n">
        <v>46.53</v>
      </c>
      <c r="F23" s="126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68">
      <c r="A24" s="113" t="n">
        <v>46150</v>
      </c>
      <c r="B24" s="126" t="inlineStr">
        <is>
          <t>Bilques Split Clear</t>
        </is>
      </c>
      <c r="C24" s="126" t="inlineStr">
        <is>
          <t>Splitwise (GBP)</t>
        </is>
      </c>
      <c r="D24" s="126" t="inlineStr">
        <is>
          <t>Halifax Bank (GBP)</t>
        </is>
      </c>
      <c r="E24" s="127" t="n">
        <v>153</v>
      </c>
      <c r="F24" s="126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68">
      <c r="A25" s="113" t="n">
        <v>46150</v>
      </c>
      <c r="B25" s="126" t="inlineStr">
        <is>
          <t>Barclays Card</t>
        </is>
      </c>
      <c r="C25" s="126" t="inlineStr">
        <is>
          <t>Barclays Rewards Credit Card (GBP)</t>
        </is>
      </c>
      <c r="D25" s="126" t="inlineStr">
        <is>
          <t>Barclays Bank (GBP)</t>
        </is>
      </c>
      <c r="E25" s="127" t="n">
        <v>445.97</v>
      </c>
      <c r="F25" s="126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68">
      <c r="A26" s="113" t="n">
        <v>46150</v>
      </c>
      <c r="B26" s="126" t="inlineStr">
        <is>
          <t>Oyste recharge</t>
        </is>
      </c>
      <c r="C26" s="126" t="inlineStr">
        <is>
          <t>Oyster Travel Card (GBP)</t>
        </is>
      </c>
      <c r="D26" s="126" t="inlineStr">
        <is>
          <t>Barclays Bank (GBP)</t>
        </is>
      </c>
      <c r="E26" s="127" t="n">
        <v>80</v>
      </c>
      <c r="F26" s="126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68">
      <c r="A27" s="113" t="n">
        <v>46150</v>
      </c>
      <c r="B27" s="126" t="inlineStr">
        <is>
          <t>Capitol one</t>
        </is>
      </c>
      <c r="C27" s="126" t="inlineStr">
        <is>
          <t>Capitol One Credit Card (GBP)</t>
        </is>
      </c>
      <c r="D27" s="126" t="inlineStr">
        <is>
          <t>Barclays Bank (GBP)</t>
        </is>
      </c>
      <c r="E27" s="127" t="n">
        <v>61.57</v>
      </c>
      <c r="F27" s="126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68">
      <c r="A28" s="113" t="n">
        <v>46150</v>
      </c>
      <c r="B28" s="126" t="inlineStr">
        <is>
          <t>Axis Bank Statememnt</t>
        </is>
      </c>
      <c r="C28" s="126" t="inlineStr">
        <is>
          <t>Axis Airtel Credit Card (INR)</t>
        </is>
      </c>
      <c r="D28" s="126" t="inlineStr">
        <is>
          <t>HDFC Bank (INR)</t>
        </is>
      </c>
      <c r="E28" s="127" t="n">
        <v>28000</v>
      </c>
      <c r="F28" s="126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68">
      <c r="A29" s="113" t="n">
        <v>46150</v>
      </c>
      <c r="B29" s="126" t="inlineStr">
        <is>
          <t>Axis Bank Statememnt</t>
        </is>
      </c>
      <c r="C29" s="126" t="inlineStr">
        <is>
          <t>Axis Airtel Credit Card (INR)</t>
        </is>
      </c>
      <c r="D29" s="126" t="inlineStr">
        <is>
          <t>HDFC Bank (INR)</t>
        </is>
      </c>
      <c r="E29" s="127">
        <f>30454.71-E28</f>
        <v/>
      </c>
      <c r="F29" s="126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68">
      <c r="A30" s="125" t="n"/>
      <c r="B30" s="126" t="n"/>
      <c r="C30" s="126" t="n"/>
      <c r="D30" s="126" t="n"/>
      <c r="E30" s="127" t="n"/>
      <c r="F30" s="126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68">
      <c r="A31" s="125" t="n"/>
      <c r="B31" s="126" t="n"/>
      <c r="C31" s="126" t="n"/>
      <c r="D31" s="126" t="n"/>
      <c r="E31" s="127" t="n"/>
      <c r="F31" s="126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68">
      <c r="A32" s="125" t="n"/>
      <c r="B32" s="126" t="n"/>
      <c r="C32" s="126" t="n"/>
      <c r="D32" s="126" t="n"/>
      <c r="E32" s="127" t="n"/>
      <c r="F32" s="126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68">
      <c r="A33" s="125" t="n"/>
      <c r="B33" s="126" t="n"/>
      <c r="C33" s="126" t="n"/>
      <c r="D33" s="126" t="n"/>
      <c r="E33" s="127" t="n"/>
      <c r="F33" s="126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68">
      <c r="A34" s="125" t="n"/>
      <c r="B34" s="126" t="n"/>
      <c r="C34" s="126" t="n"/>
      <c r="D34" s="126" t="n"/>
      <c r="E34" s="127" t="n"/>
      <c r="F34" s="126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68">
      <c r="A35" s="125" t="n"/>
      <c r="B35" s="126" t="n"/>
      <c r="C35" s="126" t="n"/>
      <c r="D35" s="126" t="n"/>
      <c r="E35" s="127" t="n"/>
      <c r="F35" s="126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68">
      <c r="A36" s="125" t="n"/>
      <c r="B36" s="126" t="n"/>
      <c r="C36" s="126" t="n"/>
      <c r="D36" s="126" t="n"/>
      <c r="E36" s="127" t="n"/>
      <c r="F36" s="126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68">
      <c r="A37" s="125" t="n"/>
      <c r="B37" s="126" t="n"/>
      <c r="C37" s="126" t="n"/>
      <c r="D37" s="126" t="n"/>
      <c r="E37" s="127" t="n"/>
      <c r="F37" s="126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68">
      <c r="A38" s="125" t="n"/>
      <c r="B38" s="126" t="n"/>
      <c r="C38" s="126" t="n"/>
      <c r="D38" s="126" t="n"/>
      <c r="E38" s="127" t="n"/>
      <c r="F38" s="126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68">
      <c r="A39" s="125" t="n"/>
      <c r="B39" s="126" t="n"/>
      <c r="C39" s="126" t="n"/>
      <c r="D39" s="126" t="n"/>
      <c r="E39" s="127" t="n"/>
      <c r="F39" s="126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68">
      <c r="A40" s="125" t="n"/>
      <c r="B40" s="126" t="n"/>
      <c r="C40" s="126" t="n"/>
      <c r="D40" s="126" t="n"/>
      <c r="E40" s="127" t="n"/>
      <c r="F40" s="126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68">
      <c r="A41" s="125" t="n"/>
      <c r="B41" s="126" t="n"/>
      <c r="C41" s="126" t="n"/>
      <c r="D41" s="126" t="n"/>
      <c r="E41" s="127" t="n"/>
      <c r="F41" s="126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68">
      <c r="A42" s="125" t="n"/>
      <c r="B42" s="126" t="n"/>
      <c r="C42" s="126" t="n"/>
      <c r="D42" s="126" t="n"/>
      <c r="E42" s="127" t="n"/>
      <c r="F42" s="126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68">
      <c r="A43" s="125" t="n"/>
      <c r="B43" s="126" t="n"/>
      <c r="C43" s="126" t="n"/>
      <c r="D43" s="126" t="n"/>
      <c r="E43" s="127" t="n"/>
      <c r="F43" s="126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68">
      <c r="A44" s="125" t="n"/>
      <c r="B44" s="126" t="n"/>
      <c r="C44" s="126" t="n"/>
      <c r="D44" s="126" t="n"/>
      <c r="E44" s="127" t="n"/>
      <c r="F44" s="126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68">
      <c r="A45" s="125" t="n"/>
      <c r="B45" s="126" t="n"/>
      <c r="C45" s="126" t="n"/>
      <c r="D45" s="126" t="n"/>
      <c r="E45" s="127" t="n"/>
      <c r="F45" s="126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68">
      <c r="A46" s="125" t="n"/>
      <c r="B46" s="126" t="n"/>
      <c r="C46" s="126" t="n"/>
      <c r="D46" s="126" t="n"/>
      <c r="E46" s="127" t="n"/>
      <c r="F46" s="126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68">
      <c r="A47" s="125" t="n"/>
      <c r="B47" s="126" t="n"/>
      <c r="C47" s="126" t="n"/>
      <c r="D47" s="126" t="n"/>
      <c r="E47" s="127" t="n"/>
      <c r="F47" s="126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68">
      <c r="A48" s="125" t="n"/>
      <c r="B48" s="126" t="n"/>
      <c r="C48" s="126" t="n"/>
      <c r="D48" s="126" t="n"/>
      <c r="E48" s="127" t="n"/>
      <c r="F48" s="126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68">
      <c r="A49" s="125" t="n"/>
      <c r="B49" s="126" t="n"/>
      <c r="C49" s="126" t="n"/>
      <c r="D49" s="126" t="n"/>
      <c r="E49" s="127" t="n"/>
      <c r="F49" s="126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68">
      <c r="A50" s="125" t="n"/>
      <c r="B50" s="126" t="n"/>
      <c r="C50" s="126" t="n"/>
      <c r="D50" s="126" t="n"/>
      <c r="E50" s="127" t="n"/>
      <c r="F50" s="126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68">
      <c r="A51" s="125" t="n"/>
      <c r="B51" s="126" t="n"/>
      <c r="C51" s="126" t="n"/>
      <c r="D51" s="126" t="n"/>
      <c r="E51" s="127" t="n"/>
      <c r="F51" s="126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68">
      <c r="A52" s="125" t="n"/>
      <c r="B52" s="126" t="n"/>
      <c r="C52" s="126" t="n"/>
      <c r="D52" s="126" t="n"/>
      <c r="E52" s="127" t="n"/>
      <c r="F52" s="126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68">
      <c r="A53" s="125" t="n"/>
      <c r="B53" s="126" t="n"/>
      <c r="C53" s="126" t="n"/>
      <c r="D53" s="126" t="n"/>
      <c r="E53" s="127" t="n"/>
      <c r="F53" s="126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68">
      <c r="A54" s="125" t="n"/>
      <c r="B54" s="126" t="n"/>
      <c r="C54" s="126" t="n"/>
      <c r="D54" s="126" t="n"/>
      <c r="E54" s="127" t="n"/>
      <c r="F54" s="126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68">
      <c r="A55" s="125" t="n"/>
      <c r="B55" s="126" t="n"/>
      <c r="C55" s="126" t="n"/>
      <c r="D55" s="126" t="n"/>
      <c r="E55" s="127" t="n"/>
      <c r="F55" s="126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68">
      <c r="A56" s="125" t="n"/>
      <c r="B56" s="126" t="n"/>
      <c r="C56" s="126" t="n"/>
      <c r="D56" s="126" t="n"/>
      <c r="E56" s="127" t="n"/>
      <c r="F56" s="126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68">
      <c r="A57" s="125" t="n"/>
      <c r="B57" s="126" t="n"/>
      <c r="C57" s="126" t="n"/>
      <c r="D57" s="126" t="n"/>
      <c r="E57" s="127" t="n"/>
      <c r="F57" s="126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68">
      <c r="A58" s="125" t="n"/>
      <c r="B58" s="126" t="n"/>
      <c r="C58" s="126" t="n"/>
      <c r="D58" s="126" t="n"/>
      <c r="E58" s="127" t="n"/>
      <c r="F58" s="126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68">
      <c r="A59" s="125" t="n"/>
      <c r="B59" s="126" t="n"/>
      <c r="C59" s="126" t="n"/>
      <c r="D59" s="126" t="n"/>
      <c r="E59" s="127" t="n"/>
      <c r="F59" s="126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68">
      <c r="A60" s="125" t="n"/>
      <c r="B60" s="126" t="n"/>
      <c r="C60" s="126" t="n"/>
      <c r="D60" s="126" t="n"/>
      <c r="E60" s="127" t="n"/>
      <c r="F60" s="126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68">
      <c r="A61" s="125" t="n"/>
      <c r="B61" s="126" t="n"/>
      <c r="C61" s="126" t="n"/>
      <c r="D61" s="126" t="n"/>
      <c r="E61" s="127" t="n"/>
      <c r="F61" s="126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68">
      <c r="A62" s="125" t="n"/>
      <c r="B62" s="126" t="n"/>
      <c r="C62" s="126" t="n"/>
      <c r="D62" s="126" t="n"/>
      <c r="E62" s="127" t="n"/>
      <c r="F62" s="126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68">
      <c r="A63" s="125" t="n"/>
      <c r="B63" s="126" t="n"/>
      <c r="C63" s="126" t="n"/>
      <c r="D63" s="126" t="n"/>
      <c r="E63" s="127" t="n"/>
      <c r="F63" s="126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68">
      <c r="A64" s="125" t="n"/>
      <c r="B64" s="126" t="n"/>
      <c r="C64" s="126" t="n"/>
      <c r="D64" s="126" t="n"/>
      <c r="E64" s="127" t="n"/>
      <c r="F64" s="126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68">
      <c r="A65" s="125" t="n"/>
      <c r="B65" s="126" t="n"/>
      <c r="C65" s="126" t="n"/>
      <c r="D65" s="126" t="n"/>
      <c r="E65" s="127" t="n"/>
      <c r="F65" s="126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68">
      <c r="A66" s="125" t="n"/>
      <c r="B66" s="126" t="n"/>
      <c r="C66" s="126" t="n"/>
      <c r="D66" s="126" t="n"/>
      <c r="E66" s="127" t="n"/>
      <c r="F66" s="126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68">
      <c r="A67" s="125" t="n"/>
      <c r="B67" s="126" t="n"/>
      <c r="C67" s="126" t="n"/>
      <c r="D67" s="126" t="n"/>
      <c r="E67" s="127" t="n"/>
      <c r="F67" s="126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68">
      <c r="A68" s="125" t="n"/>
      <c r="B68" s="126" t="n"/>
      <c r="C68" s="126" t="n"/>
      <c r="D68" s="126" t="n"/>
      <c r="E68" s="127" t="n"/>
      <c r="F68" s="126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68">
      <c r="A69" s="125" t="n"/>
      <c r="B69" s="126" t="n"/>
      <c r="C69" s="126" t="n"/>
      <c r="D69" s="126" t="n"/>
      <c r="E69" s="127" t="n"/>
      <c r="F69" s="126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68">
      <c r="A70" s="125" t="n"/>
      <c r="B70" s="126" t="n"/>
      <c r="C70" s="126" t="n"/>
      <c r="D70" s="126" t="n"/>
      <c r="E70" s="127" t="n"/>
      <c r="F70" s="126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68">
      <c r="A71" s="125" t="n"/>
      <c r="B71" s="126" t="n"/>
      <c r="C71" s="126" t="n"/>
      <c r="D71" s="126" t="n"/>
      <c r="E71" s="127" t="n"/>
      <c r="F71" s="126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68">
      <c r="A72" s="125" t="n"/>
      <c r="B72" s="126" t="n"/>
      <c r="C72" s="126" t="n"/>
      <c r="D72" s="126" t="n"/>
      <c r="E72" s="127" t="n"/>
      <c r="F72" s="126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68">
      <c r="A73" s="125" t="n"/>
      <c r="B73" s="126" t="n"/>
      <c r="C73" s="126" t="n"/>
      <c r="D73" s="126" t="n"/>
      <c r="E73" s="127" t="n"/>
      <c r="F73" s="126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68">
      <c r="A74" s="125" t="n"/>
      <c r="B74" s="126" t="n"/>
      <c r="C74" s="126" t="n"/>
      <c r="D74" s="126" t="n"/>
      <c r="E74" s="127" t="n"/>
      <c r="F74" s="126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68">
      <c r="A75" s="125" t="n"/>
      <c r="B75" s="126" t="n"/>
      <c r="C75" s="126" t="n"/>
      <c r="D75" s="126" t="n"/>
      <c r="E75" s="127" t="n"/>
      <c r="F75" s="126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68">
      <c r="A76" s="125" t="n"/>
      <c r="B76" s="126" t="n"/>
      <c r="C76" s="126" t="n"/>
      <c r="D76" s="126" t="n"/>
      <c r="E76" s="127" t="n"/>
      <c r="F76" s="126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68">
      <c r="A77" s="125" t="n"/>
      <c r="B77" s="126" t="n"/>
      <c r="C77" s="126" t="n"/>
      <c r="D77" s="126" t="n"/>
      <c r="E77" s="127" t="n"/>
      <c r="F77" s="126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68">
      <c r="A78" s="125" t="n"/>
      <c r="B78" s="126" t="n"/>
      <c r="C78" s="126" t="n"/>
      <c r="D78" s="126" t="n"/>
      <c r="E78" s="127" t="n"/>
      <c r="F78" s="126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68">
      <c r="A79" s="125" t="n"/>
      <c r="B79" s="126" t="n"/>
      <c r="C79" s="126" t="n"/>
      <c r="D79" s="126" t="n"/>
      <c r="E79" s="127" t="n"/>
      <c r="F79" s="126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68">
      <c r="A80" s="125" t="n"/>
      <c r="B80" s="126" t="n"/>
      <c r="C80" s="126" t="n"/>
      <c r="D80" s="126" t="n"/>
      <c r="E80" s="127" t="n"/>
      <c r="F80" s="126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68">
      <c r="A81" s="125" t="n"/>
      <c r="B81" s="126" t="n"/>
      <c r="C81" s="126" t="n"/>
      <c r="D81" s="126" t="n"/>
      <c r="E81" s="127" t="n"/>
      <c r="F81" s="126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68">
      <c r="A82" s="125" t="n"/>
      <c r="B82" s="126" t="n"/>
      <c r="C82" s="126" t="n"/>
      <c r="D82" s="126" t="n"/>
      <c r="E82" s="127" t="n"/>
      <c r="F82" s="126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68">
      <c r="A83" s="125" t="n"/>
      <c r="B83" s="126" t="n"/>
      <c r="C83" s="126" t="n"/>
      <c r="D83" s="126" t="n"/>
      <c r="E83" s="127" t="n"/>
      <c r="F83" s="126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68">
      <c r="A84" s="125" t="n"/>
      <c r="B84" s="126" t="n"/>
      <c r="C84" s="126" t="n"/>
      <c r="D84" s="126" t="n"/>
      <c r="E84" s="127" t="n"/>
      <c r="F84" s="126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68">
      <c r="A85" s="125" t="n"/>
      <c r="B85" s="126" t="n"/>
      <c r="C85" s="126" t="n"/>
      <c r="D85" s="126" t="n"/>
      <c r="E85" s="127" t="n"/>
      <c r="F85" s="126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68">
      <c r="A86" s="125" t="n"/>
      <c r="B86" s="126" t="n"/>
      <c r="C86" s="126" t="n"/>
      <c r="D86" s="126" t="n"/>
      <c r="E86" s="127" t="n"/>
      <c r="F86" s="126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68">
      <c r="A87" s="125" t="n"/>
      <c r="B87" s="126" t="n"/>
      <c r="C87" s="126" t="n"/>
      <c r="D87" s="126" t="n"/>
      <c r="E87" s="127" t="n"/>
      <c r="F87" s="126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68">
      <c r="A88" s="125" t="n"/>
      <c r="B88" s="126" t="n"/>
      <c r="C88" s="126" t="n"/>
      <c r="D88" s="126" t="n"/>
      <c r="E88" s="127" t="n"/>
      <c r="F88" s="126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68">
      <c r="A89" s="125" t="n"/>
      <c r="B89" s="126" t="n"/>
      <c r="C89" s="126" t="n"/>
      <c r="D89" s="126" t="n"/>
      <c r="E89" s="127" t="n"/>
      <c r="F89" s="126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68">
      <c r="A90" s="125" t="n"/>
      <c r="B90" s="126" t="n"/>
      <c r="C90" s="126" t="n"/>
      <c r="D90" s="126" t="n"/>
      <c r="E90" s="127" t="n"/>
      <c r="F90" s="126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68">
      <c r="A91" s="125" t="n"/>
      <c r="B91" s="126" t="n"/>
      <c r="C91" s="126" t="n"/>
      <c r="D91" s="126" t="n"/>
      <c r="E91" s="127" t="n"/>
      <c r="F91" s="126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68">
      <c r="A92" s="125" t="n"/>
      <c r="B92" s="126" t="n"/>
      <c r="C92" s="126" t="n"/>
      <c r="D92" s="126" t="n"/>
      <c r="E92" s="127" t="n"/>
      <c r="F92" s="126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68">
      <c r="A93" s="125" t="n"/>
      <c r="B93" s="126" t="n"/>
      <c r="C93" s="126" t="n"/>
      <c r="D93" s="126" t="n"/>
      <c r="E93" s="127" t="n"/>
      <c r="F93" s="126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68">
      <c r="A94" s="125" t="n"/>
      <c r="B94" s="126" t="n"/>
      <c r="C94" s="126" t="n"/>
      <c r="D94" s="126" t="n"/>
      <c r="E94" s="127" t="n"/>
      <c r="F94" s="126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68">
      <c r="A95" s="125" t="n"/>
      <c r="B95" s="126" t="n"/>
      <c r="C95" s="126" t="n"/>
      <c r="D95" s="126" t="n"/>
      <c r="E95" s="127" t="n"/>
      <c r="F95" s="126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68">
      <c r="A96" s="125" t="n"/>
      <c r="B96" s="126" t="n"/>
      <c r="C96" s="126" t="n"/>
      <c r="D96" s="126" t="n"/>
      <c r="E96" s="127" t="n"/>
      <c r="F96" s="126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68">
      <c r="A97" s="125" t="n"/>
      <c r="B97" s="126" t="n"/>
      <c r="C97" s="126" t="n"/>
      <c r="D97" s="126" t="n"/>
      <c r="E97" s="127" t="n"/>
      <c r="F97" s="126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68">
      <c r="A98" s="125" t="n"/>
      <c r="B98" s="126" t="n"/>
      <c r="C98" s="126" t="n"/>
      <c r="D98" s="126" t="n"/>
      <c r="E98" s="127" t="n"/>
      <c r="F98" s="126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68">
      <c r="A99" s="125" t="n"/>
      <c r="B99" s="126" t="n"/>
      <c r="C99" s="126" t="n"/>
      <c r="D99" s="126" t="n"/>
      <c r="E99" s="127" t="n"/>
      <c r="F99" s="126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68">
      <c r="A100" s="125" t="n"/>
      <c r="B100" s="126" t="n"/>
      <c r="C100" s="126" t="n"/>
      <c r="D100" s="126" t="n"/>
      <c r="E100" s="127" t="n"/>
      <c r="F100" s="126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68">
      <c r="A101" s="125" t="n"/>
      <c r="B101" s="126" t="n"/>
      <c r="C101" s="126" t="n"/>
      <c r="D101" s="126" t="n"/>
      <c r="E101" s="127" t="n"/>
      <c r="F101" s="126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68">
      <c r="A102" s="125" t="n"/>
      <c r="B102" s="126" t="n"/>
      <c r="C102" s="126" t="n"/>
      <c r="D102" s="126" t="n"/>
      <c r="E102" s="127" t="n"/>
      <c r="F102" s="126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68">
      <c r="A103" s="125" t="n"/>
      <c r="B103" s="126" t="n"/>
      <c r="C103" s="126" t="n"/>
      <c r="D103" s="126" t="n"/>
      <c r="E103" s="127" t="n"/>
      <c r="F103" s="126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68">
      <c r="A104" s="125" t="n"/>
      <c r="B104" s="126" t="n"/>
      <c r="C104" s="126" t="n"/>
      <c r="D104" s="126" t="n"/>
      <c r="E104" s="127" t="n"/>
      <c r="F104" s="126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68">
      <c r="A105" s="125" t="n"/>
      <c r="B105" s="126" t="n"/>
      <c r="C105" s="126" t="n"/>
      <c r="D105" s="126" t="n"/>
      <c r="E105" s="127" t="n"/>
      <c r="F105" s="126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68">
      <c r="A106" s="125" t="n"/>
      <c r="B106" s="126" t="n"/>
      <c r="C106" s="126" t="n"/>
      <c r="D106" s="126" t="n"/>
      <c r="E106" s="127" t="n"/>
      <c r="F106" s="126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68">
      <c r="A107" s="125" t="n"/>
      <c r="B107" s="126" t="n"/>
      <c r="C107" s="126" t="n"/>
      <c r="D107" s="126" t="n"/>
      <c r="E107" s="127" t="n"/>
      <c r="F107" s="126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68">
      <c r="A108" s="125" t="n"/>
      <c r="B108" s="126" t="n"/>
      <c r="C108" s="126" t="n"/>
      <c r="D108" s="126" t="n"/>
      <c r="E108" s="127" t="n"/>
      <c r="F108" s="126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68">
      <c r="A109" s="125" t="n"/>
      <c r="B109" s="126" t="n"/>
      <c r="C109" s="126" t="n"/>
      <c r="D109" s="126" t="n"/>
      <c r="E109" s="127" t="n"/>
      <c r="F109" s="126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68">
      <c r="A110" s="125" t="n"/>
      <c r="B110" s="126" t="n"/>
      <c r="C110" s="126" t="n"/>
      <c r="D110" s="126" t="n"/>
      <c r="E110" s="127" t="n"/>
      <c r="F110" s="126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68">
      <c r="A111" s="125" t="n"/>
      <c r="B111" s="126" t="n"/>
      <c r="C111" s="126" t="n"/>
      <c r="D111" s="126" t="n"/>
      <c r="E111" s="127" t="n"/>
      <c r="F111" s="126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68">
      <c r="A112" s="125" t="n"/>
      <c r="B112" s="126" t="n"/>
      <c r="C112" s="126" t="n"/>
      <c r="D112" s="126" t="n"/>
      <c r="E112" s="127" t="n"/>
      <c r="F112" s="126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68">
      <c r="A113" s="125" t="n"/>
      <c r="B113" s="126" t="n"/>
      <c r="C113" s="126" t="n"/>
      <c r="D113" s="126" t="n"/>
      <c r="E113" s="127" t="n"/>
      <c r="F113" s="126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68">
      <c r="A114" s="125" t="n"/>
      <c r="B114" s="126" t="n"/>
      <c r="C114" s="126" t="n"/>
      <c r="D114" s="126" t="n"/>
      <c r="E114" s="127" t="n"/>
      <c r="F114" s="126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68">
      <c r="A115" s="125" t="n"/>
      <c r="B115" s="126" t="n"/>
      <c r="C115" s="126" t="n"/>
      <c r="D115" s="126" t="n"/>
      <c r="E115" s="127" t="n"/>
      <c r="F115" s="126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68">
      <c r="A116" s="125" t="n"/>
      <c r="B116" s="126" t="n"/>
      <c r="C116" s="126" t="n"/>
      <c r="D116" s="126" t="n"/>
      <c r="E116" s="127" t="n"/>
      <c r="F116" s="126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68">
      <c r="A117" s="125" t="n"/>
      <c r="B117" s="126" t="n"/>
      <c r="C117" s="126" t="n"/>
      <c r="D117" s="126" t="n"/>
      <c r="E117" s="127" t="n"/>
      <c r="F117" s="126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68">
      <c r="A118" s="125" t="n"/>
      <c r="B118" s="126" t="n"/>
      <c r="C118" s="126" t="n"/>
      <c r="D118" s="126" t="n"/>
      <c r="E118" s="127" t="n"/>
      <c r="F118" s="126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68">
      <c r="A119" s="125" t="n"/>
      <c r="B119" s="126" t="n"/>
      <c r="C119" s="126" t="n"/>
      <c r="D119" s="126" t="n"/>
      <c r="E119" s="127" t="n"/>
      <c r="F119" s="126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68">
      <c r="A120" s="125" t="n"/>
      <c r="B120" s="126" t="n"/>
      <c r="C120" s="126" t="n"/>
      <c r="D120" s="126" t="n"/>
      <c r="E120" s="127" t="n"/>
      <c r="F120" s="126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68">
      <c r="A121" s="125" t="n"/>
      <c r="B121" s="126" t="n"/>
      <c r="C121" s="126" t="n"/>
      <c r="D121" s="126" t="n"/>
      <c r="E121" s="127" t="n"/>
      <c r="F121" s="126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68">
      <c r="A122" s="125" t="n"/>
      <c r="B122" s="126" t="n"/>
      <c r="C122" s="126" t="n"/>
      <c r="D122" s="126" t="n"/>
      <c r="E122" s="127" t="n"/>
      <c r="F122" s="126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68">
      <c r="A123" s="125" t="n"/>
      <c r="B123" s="126" t="n"/>
      <c r="C123" s="126" t="n"/>
      <c r="D123" s="126" t="n"/>
      <c r="E123" s="127" t="n"/>
      <c r="F123" s="126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68">
      <c r="A124" s="125" t="n"/>
      <c r="B124" s="126" t="n"/>
      <c r="C124" s="126" t="n"/>
      <c r="D124" s="126" t="n"/>
      <c r="E124" s="127" t="n"/>
      <c r="F124" s="126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68">
      <c r="A125" s="125" t="n"/>
      <c r="B125" s="126" t="n"/>
      <c r="C125" s="126" t="n"/>
      <c r="D125" s="126" t="n"/>
      <c r="E125" s="127" t="n"/>
      <c r="F125" s="126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68">
      <c r="A126" s="125" t="n"/>
      <c r="B126" s="126" t="n"/>
      <c r="C126" s="126" t="n"/>
      <c r="D126" s="126" t="n"/>
      <c r="E126" s="127" t="n"/>
      <c r="F126" s="126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68">
      <c r="A127" s="125" t="n"/>
      <c r="B127" s="126" t="n"/>
      <c r="C127" s="126" t="n"/>
      <c r="D127" s="126" t="n"/>
      <c r="E127" s="127" t="n"/>
      <c r="F127" s="126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68">
      <c r="A128" s="125" t="n"/>
      <c r="B128" s="126" t="n"/>
      <c r="C128" s="126" t="n"/>
      <c r="D128" s="126" t="n"/>
      <c r="E128" s="127" t="n"/>
      <c r="F128" s="126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68">
      <c r="A129" s="125" t="n"/>
      <c r="B129" s="126" t="n"/>
      <c r="C129" s="126" t="n"/>
      <c r="D129" s="126" t="n"/>
      <c r="E129" s="127" t="n"/>
      <c r="F129" s="126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68">
      <c r="A130" s="125" t="n"/>
      <c r="B130" s="126" t="n"/>
      <c r="C130" s="126" t="n"/>
      <c r="D130" s="126" t="n"/>
      <c r="E130" s="127" t="n"/>
      <c r="F130" s="126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68">
      <c r="A131" s="125" t="n"/>
      <c r="B131" s="126" t="n"/>
      <c r="C131" s="126" t="n"/>
      <c r="D131" s="126" t="n"/>
      <c r="E131" s="127" t="n"/>
      <c r="F131" s="126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68">
      <c r="A132" s="125" t="n"/>
      <c r="B132" s="126" t="n"/>
      <c r="C132" s="126" t="n"/>
      <c r="D132" s="126" t="n"/>
      <c r="E132" s="127" t="n"/>
      <c r="F132" s="126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68">
      <c r="A133" s="125" t="n"/>
      <c r="B133" s="126" t="n"/>
      <c r="C133" s="126" t="n"/>
      <c r="D133" s="126" t="n"/>
      <c r="E133" s="127" t="n"/>
      <c r="F133" s="126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68">
      <c r="A134" s="125" t="n"/>
      <c r="B134" s="126" t="n"/>
      <c r="C134" s="126" t="n"/>
      <c r="D134" s="126" t="n"/>
      <c r="E134" s="127" t="n"/>
      <c r="F134" s="126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68">
      <c r="A135" s="125" t="n"/>
      <c r="B135" s="126" t="n"/>
      <c r="C135" s="126" t="n"/>
      <c r="D135" s="126" t="n"/>
      <c r="E135" s="127" t="n"/>
      <c r="F135" s="126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68">
      <c r="A136" s="125" t="n"/>
      <c r="B136" s="126" t="n"/>
      <c r="C136" s="126" t="n"/>
      <c r="D136" s="126" t="n"/>
      <c r="E136" s="127" t="n"/>
      <c r="F136" s="126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68">
      <c r="A137" s="125" t="n"/>
      <c r="B137" s="126" t="n"/>
      <c r="C137" s="126" t="n"/>
      <c r="D137" s="126" t="n"/>
      <c r="E137" s="127" t="n"/>
      <c r="F137" s="126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68">
      <c r="A138" s="125" t="n"/>
      <c r="B138" s="126" t="n"/>
      <c r="C138" s="126" t="n"/>
      <c r="D138" s="126" t="n"/>
      <c r="E138" s="127" t="n"/>
      <c r="F138" s="126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68">
      <c r="A139" s="125" t="n"/>
      <c r="B139" s="126" t="n"/>
      <c r="C139" s="126" t="n"/>
      <c r="D139" s="126" t="n"/>
      <c r="E139" s="127" t="n"/>
      <c r="F139" s="126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68">
      <c r="A140" s="125" t="n"/>
      <c r="B140" s="126" t="n"/>
      <c r="C140" s="126" t="n"/>
      <c r="D140" s="126" t="n"/>
      <c r="E140" s="127" t="n"/>
      <c r="F140" s="126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68">
      <c r="A141" s="125" t="n"/>
      <c r="B141" s="126" t="n"/>
      <c r="C141" s="126" t="n"/>
      <c r="D141" s="126" t="n"/>
      <c r="E141" s="127" t="n"/>
      <c r="F141" s="126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68">
      <c r="A142" s="125" t="n"/>
      <c r="B142" s="126" t="n"/>
      <c r="C142" s="126" t="n"/>
      <c r="D142" s="126" t="n"/>
      <c r="E142" s="127" t="n"/>
      <c r="F142" s="126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68">
      <c r="A143" s="125" t="n"/>
      <c r="B143" s="126" t="n"/>
      <c r="C143" s="126" t="n"/>
      <c r="D143" s="126" t="n"/>
      <c r="E143" s="127" t="n"/>
      <c r="F143" s="126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68">
      <c r="A144" s="125" t="n"/>
      <c r="B144" s="126" t="n"/>
      <c r="C144" s="126" t="n"/>
      <c r="D144" s="126" t="n"/>
      <c r="E144" s="127" t="n"/>
      <c r="F144" s="126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68">
      <c r="A145" s="125" t="n"/>
      <c r="B145" s="126" t="n"/>
      <c r="C145" s="126" t="n"/>
      <c r="D145" s="126" t="n"/>
      <c r="E145" s="127" t="n"/>
      <c r="F145" s="126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68">
      <c r="A146" s="125" t="n"/>
      <c r="B146" s="126" t="n"/>
      <c r="C146" s="126" t="n"/>
      <c r="D146" s="126" t="n"/>
      <c r="E146" s="127" t="n"/>
      <c r="F146" s="126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68">
      <c r="A147" s="125" t="n"/>
      <c r="B147" s="126" t="n"/>
      <c r="C147" s="126" t="n"/>
      <c r="D147" s="126" t="n"/>
      <c r="E147" s="127" t="n"/>
      <c r="F147" s="126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68">
      <c r="A148" s="125" t="n"/>
      <c r="B148" s="126" t="n"/>
      <c r="C148" s="126" t="n"/>
      <c r="D148" s="126" t="n"/>
      <c r="E148" s="127" t="n"/>
      <c r="F148" s="126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68">
      <c r="A149" s="125" t="n"/>
      <c r="B149" s="126" t="n"/>
      <c r="C149" s="126" t="n"/>
      <c r="D149" s="126" t="n"/>
      <c r="E149" s="127" t="n"/>
      <c r="F149" s="126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68">
      <c r="A150" s="125" t="n"/>
      <c r="B150" s="126" t="n"/>
      <c r="C150" s="126" t="n"/>
      <c r="D150" s="126" t="n"/>
      <c r="E150" s="127" t="n"/>
      <c r="F150" s="126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68">
      <c r="A151" s="125" t="n"/>
      <c r="B151" s="126" t="n"/>
      <c r="C151" s="126" t="n"/>
      <c r="D151" s="126" t="n"/>
      <c r="E151" s="127" t="n"/>
      <c r="F151" s="126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68">
      <c r="A152" s="125" t="n"/>
      <c r="B152" s="126" t="n"/>
      <c r="C152" s="126" t="n"/>
      <c r="D152" s="126" t="n"/>
      <c r="E152" s="127" t="n"/>
      <c r="F152" s="126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68">
      <c r="A153" s="125" t="n"/>
      <c r="B153" s="126" t="n"/>
      <c r="C153" s="126" t="n"/>
      <c r="D153" s="126" t="n"/>
      <c r="E153" s="127" t="n"/>
      <c r="F153" s="126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68">
      <c r="A154" s="125" t="n"/>
      <c r="B154" s="126" t="n"/>
      <c r="C154" s="126" t="n"/>
      <c r="D154" s="126" t="n"/>
      <c r="E154" s="127" t="n"/>
      <c r="F154" s="126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68">
      <c r="A155" s="125" t="n"/>
      <c r="B155" s="126" t="n"/>
      <c r="C155" s="126" t="n"/>
      <c r="D155" s="126" t="n"/>
      <c r="E155" s="127" t="n"/>
      <c r="F155" s="126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68">
      <c r="A156" s="125" t="n"/>
      <c r="B156" s="126" t="n"/>
      <c r="C156" s="126" t="n"/>
      <c r="D156" s="126" t="n"/>
      <c r="E156" s="127" t="n"/>
      <c r="F156" s="126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68">
      <c r="A157" s="125" t="n"/>
      <c r="B157" s="126" t="n"/>
      <c r="C157" s="126" t="n"/>
      <c r="D157" s="126" t="n"/>
      <c r="E157" s="127" t="n"/>
      <c r="F157" s="126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68">
      <c r="A158" s="125" t="n"/>
      <c r="B158" s="126" t="n"/>
      <c r="C158" s="126" t="n"/>
      <c r="D158" s="126" t="n"/>
      <c r="E158" s="127" t="n"/>
      <c r="F158" s="126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68">
      <c r="A159" s="125" t="n"/>
      <c r="B159" s="126" t="n"/>
      <c r="C159" s="126" t="n"/>
      <c r="D159" s="126" t="n"/>
      <c r="E159" s="127" t="n"/>
      <c r="F159" s="126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68">
      <c r="A160" s="125" t="n"/>
      <c r="B160" s="126" t="n"/>
      <c r="C160" s="126" t="n"/>
      <c r="D160" s="126" t="n"/>
      <c r="E160" s="127" t="n"/>
      <c r="F160" s="126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68">
      <c r="A161" s="125" t="n"/>
      <c r="B161" s="126" t="n"/>
      <c r="C161" s="126" t="n"/>
      <c r="D161" s="126" t="n"/>
      <c r="E161" s="127" t="n"/>
      <c r="F161" s="126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68">
      <c r="A162" s="125" t="n"/>
      <c r="B162" s="126" t="n"/>
      <c r="C162" s="126" t="n"/>
      <c r="D162" s="126" t="n"/>
      <c r="E162" s="127" t="n"/>
      <c r="F162" s="126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68">
      <c r="A163" s="125" t="n"/>
      <c r="B163" s="126" t="n"/>
      <c r="C163" s="126" t="n"/>
      <c r="D163" s="126" t="n"/>
      <c r="E163" s="127" t="n"/>
      <c r="F163" s="126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68">
      <c r="A164" s="125" t="n"/>
      <c r="B164" s="126" t="n"/>
      <c r="C164" s="126" t="n"/>
      <c r="D164" s="126" t="n"/>
      <c r="E164" s="127" t="n"/>
      <c r="F164" s="126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68">
      <c r="A165" s="125" t="n"/>
      <c r="B165" s="126" t="n"/>
      <c r="C165" s="126" t="n"/>
      <c r="D165" s="126" t="n"/>
      <c r="E165" s="127" t="n"/>
      <c r="F165" s="126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68">
      <c r="A166" s="125" t="n"/>
      <c r="B166" s="126" t="n"/>
      <c r="C166" s="126" t="n"/>
      <c r="D166" s="126" t="n"/>
      <c r="E166" s="127" t="n"/>
      <c r="F166" s="126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68">
      <c r="A167" s="125" t="n"/>
      <c r="B167" s="126" t="n"/>
      <c r="C167" s="126" t="n"/>
      <c r="D167" s="126" t="n"/>
      <c r="E167" s="127" t="n"/>
      <c r="F167" s="126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68">
      <c r="A168" s="125" t="n"/>
      <c r="B168" s="126" t="n"/>
      <c r="C168" s="126" t="n"/>
      <c r="D168" s="126" t="n"/>
      <c r="E168" s="127" t="n"/>
      <c r="F168" s="126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68">
      <c r="A169" s="125" t="n"/>
      <c r="B169" s="126" t="n"/>
      <c r="C169" s="126" t="n"/>
      <c r="D169" s="126" t="n"/>
      <c r="E169" s="127" t="n"/>
      <c r="F169" s="126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68">
      <c r="A170" s="125" t="n"/>
      <c r="B170" s="126" t="n"/>
      <c r="C170" s="126" t="n"/>
      <c r="D170" s="126" t="n"/>
      <c r="E170" s="127" t="n"/>
      <c r="F170" s="126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68">
      <c r="A171" s="125" t="n"/>
      <c r="B171" s="126" t="n"/>
      <c r="C171" s="126" t="n"/>
      <c r="D171" s="126" t="n"/>
      <c r="E171" s="127" t="n"/>
      <c r="F171" s="126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68">
      <c r="A172" s="125" t="n"/>
      <c r="B172" s="126" t="n"/>
      <c r="C172" s="126" t="n"/>
      <c r="D172" s="126" t="n"/>
      <c r="E172" s="127" t="n"/>
      <c r="F172" s="126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68">
      <c r="A173" s="125" t="n"/>
      <c r="B173" s="126" t="n"/>
      <c r="C173" s="126" t="n"/>
      <c r="D173" s="126" t="n"/>
      <c r="E173" s="127" t="n"/>
      <c r="F173" s="126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68">
      <c r="A174" s="125" t="n"/>
      <c r="B174" s="126" t="n"/>
      <c r="C174" s="126" t="n"/>
      <c r="D174" s="126" t="n"/>
      <c r="E174" s="127" t="n"/>
      <c r="F174" s="126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68">
      <c r="A175" s="125" t="n"/>
      <c r="B175" s="126" t="n"/>
      <c r="C175" s="126" t="n"/>
      <c r="D175" s="126" t="n"/>
      <c r="E175" s="127" t="n"/>
      <c r="F175" s="126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68">
      <c r="A176" s="125" t="n"/>
      <c r="B176" s="126" t="n"/>
      <c r="C176" s="126" t="n"/>
      <c r="D176" s="126" t="n"/>
      <c r="E176" s="127" t="n"/>
      <c r="F176" s="126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68">
      <c r="A177" s="125" t="n"/>
      <c r="B177" s="126" t="n"/>
      <c r="C177" s="126" t="n"/>
      <c r="D177" s="126" t="n"/>
      <c r="E177" s="127" t="n"/>
      <c r="F177" s="126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68">
      <c r="A178" s="125" t="n"/>
      <c r="B178" s="126" t="n"/>
      <c r="C178" s="126" t="n"/>
      <c r="D178" s="126" t="n"/>
      <c r="E178" s="127" t="n"/>
      <c r="F178" s="126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68">
      <c r="A179" s="125" t="n"/>
      <c r="B179" s="126" t="n"/>
      <c r="C179" s="126" t="n"/>
      <c r="D179" s="126" t="n"/>
      <c r="E179" s="127" t="n"/>
      <c r="F179" s="126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68">
      <c r="A180" s="125" t="n"/>
      <c r="B180" s="126" t="n"/>
      <c r="C180" s="126" t="n"/>
      <c r="D180" s="126" t="n"/>
      <c r="E180" s="127" t="n"/>
      <c r="F180" s="126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68">
      <c r="A181" s="125" t="n"/>
      <c r="B181" s="126" t="n"/>
      <c r="C181" s="126" t="n"/>
      <c r="D181" s="126" t="n"/>
      <c r="E181" s="127" t="n"/>
      <c r="F181" s="126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68">
      <c r="A182" s="125" t="n"/>
      <c r="B182" s="126" t="n"/>
      <c r="C182" s="126" t="n"/>
      <c r="D182" s="126" t="n"/>
      <c r="E182" s="127" t="n"/>
      <c r="F182" s="126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68">
      <c r="A183" s="125" t="n"/>
      <c r="B183" s="126" t="n"/>
      <c r="C183" s="126" t="n"/>
      <c r="D183" s="126" t="n"/>
      <c r="E183" s="127" t="n"/>
      <c r="F183" s="126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68">
      <c r="A184" s="125" t="n"/>
      <c r="B184" s="126" t="n"/>
      <c r="C184" s="126" t="n"/>
      <c r="D184" s="126" t="n"/>
      <c r="E184" s="127" t="n"/>
      <c r="F184" s="126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68">
      <c r="A185" s="125" t="n"/>
      <c r="B185" s="126" t="n"/>
      <c r="C185" s="126" t="n"/>
      <c r="D185" s="126" t="n"/>
      <c r="E185" s="127" t="n"/>
      <c r="F185" s="126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68">
      <c r="A186" s="125" t="n"/>
      <c r="B186" s="126" t="n"/>
      <c r="C186" s="126" t="n"/>
      <c r="D186" s="126" t="n"/>
      <c r="E186" s="127" t="n"/>
      <c r="F186" s="126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68">
      <c r="A187" s="125" t="n"/>
      <c r="B187" s="126" t="n"/>
      <c r="C187" s="126" t="n"/>
      <c r="D187" s="126" t="n"/>
      <c r="E187" s="127" t="n"/>
      <c r="F187" s="126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68">
      <c r="A188" s="125" t="n"/>
      <c r="B188" s="126" t="n"/>
      <c r="C188" s="126" t="n"/>
      <c r="D188" s="126" t="n"/>
      <c r="E188" s="127" t="n"/>
      <c r="F188" s="126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68">
      <c r="A189" s="125" t="n"/>
      <c r="B189" s="126" t="n"/>
      <c r="C189" s="126" t="n"/>
      <c r="D189" s="126" t="n"/>
      <c r="E189" s="127" t="n"/>
      <c r="F189" s="126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68">
      <c r="A190" s="125" t="n"/>
      <c r="B190" s="126" t="n"/>
      <c r="C190" s="126" t="n"/>
      <c r="D190" s="126" t="n"/>
      <c r="E190" s="127" t="n"/>
      <c r="F190" s="126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68">
      <c r="A191" s="125" t="n"/>
      <c r="B191" s="126" t="n"/>
      <c r="C191" s="126" t="n"/>
      <c r="D191" s="126" t="n"/>
      <c r="E191" s="127" t="n"/>
      <c r="F191" s="126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68">
      <c r="A192" s="125" t="n"/>
      <c r="B192" s="126" t="n"/>
      <c r="C192" s="126" t="n"/>
      <c r="D192" s="126" t="n"/>
      <c r="E192" s="127" t="n"/>
      <c r="F192" s="126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68">
      <c r="A193" s="125" t="n"/>
      <c r="B193" s="126" t="n"/>
      <c r="C193" s="126" t="n"/>
      <c r="D193" s="126" t="n"/>
      <c r="E193" s="127" t="n"/>
      <c r="F193" s="126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68">
      <c r="A194" s="125" t="n"/>
      <c r="B194" s="126" t="n"/>
      <c r="C194" s="126" t="n"/>
      <c r="D194" s="126" t="n"/>
      <c r="E194" s="127" t="n"/>
      <c r="F194" s="126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68">
      <c r="A195" s="125" t="n"/>
      <c r="B195" s="126" t="n"/>
      <c r="C195" s="126" t="n"/>
      <c r="D195" s="126" t="n"/>
      <c r="E195" s="127" t="n"/>
      <c r="F195" s="126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68">
      <c r="A196" s="125" t="n"/>
      <c r="B196" s="126" t="n"/>
      <c r="C196" s="126" t="n"/>
      <c r="D196" s="126" t="n"/>
      <c r="E196" s="127" t="n"/>
      <c r="F196" s="126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68">
      <c r="A197" s="125" t="n"/>
      <c r="B197" s="126" t="n"/>
      <c r="C197" s="126" t="n"/>
      <c r="D197" s="126" t="n"/>
      <c r="E197" s="127" t="n"/>
      <c r="F197" s="126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68">
      <c r="A198" s="125" t="n"/>
      <c r="B198" s="126" t="n"/>
      <c r="C198" s="126" t="n"/>
      <c r="D198" s="126" t="n"/>
      <c r="E198" s="127" t="n"/>
      <c r="F198" s="126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68">
      <c r="A199" s="125" t="n"/>
      <c r="B199" s="126" t="n"/>
      <c r="C199" s="126" t="n"/>
      <c r="D199" s="126" t="n"/>
      <c r="E199" s="127" t="n"/>
      <c r="F199" s="126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68">
      <c r="A200" s="125" t="n"/>
      <c r="B200" s="126" t="n"/>
      <c r="C200" s="126" t="n"/>
      <c r="D200" s="126" t="n"/>
      <c r="E200" s="127" t="n"/>
      <c r="F200" s="126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68">
      <c r="A201" s="125" t="n"/>
      <c r="B201" s="126" t="n"/>
      <c r="C201" s="126" t="n"/>
      <c r="D201" s="126" t="n"/>
      <c r="E201" s="127" t="n"/>
      <c r="F201" s="126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68">
      <c r="A202" s="125" t="n"/>
      <c r="B202" s="126" t="n"/>
      <c r="C202" s="126" t="n"/>
      <c r="D202" s="126" t="n"/>
      <c r="E202" s="127" t="n"/>
      <c r="F202" s="126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68">
      <c r="A203" s="125" t="n"/>
      <c r="B203" s="126" t="n"/>
      <c r="C203" s="126" t="n"/>
      <c r="D203" s="126" t="n"/>
      <c r="E203" s="127" t="n"/>
      <c r="F203" s="126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68">
      <c r="A204" s="125" t="n"/>
      <c r="B204" s="126" t="n"/>
      <c r="C204" s="126" t="n"/>
      <c r="D204" s="126" t="n"/>
      <c r="E204" s="127" t="n"/>
      <c r="F204" s="126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68">
      <c r="A205" s="125" t="n"/>
      <c r="B205" s="126" t="n"/>
      <c r="C205" s="126" t="n"/>
      <c r="D205" s="126" t="n"/>
      <c r="E205" s="127" t="n"/>
      <c r="F205" s="126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68">
      <c r="A206" s="125" t="n"/>
      <c r="B206" s="126" t="n"/>
      <c r="C206" s="126" t="n"/>
      <c r="D206" s="126" t="n"/>
      <c r="E206" s="127" t="n"/>
      <c r="F206" s="126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68">
      <c r="A207" s="125" t="n"/>
      <c r="B207" s="126" t="n"/>
      <c r="C207" s="126" t="n"/>
      <c r="D207" s="126" t="n"/>
      <c r="E207" s="127" t="n"/>
      <c r="F207" s="126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68">
      <c r="A208" s="125" t="n"/>
      <c r="B208" s="126" t="n"/>
      <c r="C208" s="126" t="n"/>
      <c r="D208" s="126" t="n"/>
      <c r="E208" s="127" t="n"/>
      <c r="F208" s="126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68">
      <c r="A209" s="125" t="n"/>
      <c r="B209" s="126" t="n"/>
      <c r="C209" s="126" t="n"/>
      <c r="D209" s="126" t="n"/>
      <c r="E209" s="127" t="n"/>
      <c r="F209" s="126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68">
      <c r="A210" s="125" t="n"/>
      <c r="B210" s="126" t="n"/>
      <c r="C210" s="126" t="n"/>
      <c r="D210" s="126" t="n"/>
      <c r="E210" s="127" t="n"/>
      <c r="F210" s="126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68">
      <c r="A211" s="125" t="n"/>
      <c r="B211" s="126" t="n"/>
      <c r="C211" s="126" t="n"/>
      <c r="D211" s="126" t="n"/>
      <c r="E211" s="127" t="n"/>
      <c r="F211" s="126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68">
      <c r="A212" s="125" t="n"/>
      <c r="B212" s="126" t="n"/>
      <c r="C212" s="126" t="n"/>
      <c r="D212" s="126" t="n"/>
      <c r="E212" s="127" t="n"/>
      <c r="F212" s="126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68">
      <c r="A213" s="125" t="n"/>
      <c r="B213" s="126" t="n"/>
      <c r="C213" s="126" t="n"/>
      <c r="D213" s="126" t="n"/>
      <c r="E213" s="127" t="n"/>
      <c r="F213" s="126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68">
      <c r="A214" s="125" t="n"/>
      <c r="B214" s="126" t="n"/>
      <c r="C214" s="126" t="n"/>
      <c r="D214" s="126" t="n"/>
      <c r="E214" s="127" t="n"/>
      <c r="F214" s="126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68">
      <c r="A215" s="125" t="n"/>
      <c r="B215" s="126" t="n"/>
      <c r="C215" s="126" t="n"/>
      <c r="D215" s="126" t="n"/>
      <c r="E215" s="127" t="n"/>
      <c r="F215" s="126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68">
      <c r="A216" s="125" t="n"/>
      <c r="B216" s="126" t="n"/>
      <c r="C216" s="126" t="n"/>
      <c r="D216" s="126" t="n"/>
      <c r="E216" s="127" t="n"/>
      <c r="F216" s="126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68">
      <c r="A217" s="125" t="n"/>
      <c r="B217" s="126" t="n"/>
      <c r="C217" s="126" t="n"/>
      <c r="D217" s="126" t="n"/>
      <c r="E217" s="127" t="n"/>
      <c r="F217" s="126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68">
      <c r="A218" s="125" t="n"/>
      <c r="B218" s="126" t="n"/>
      <c r="C218" s="126" t="n"/>
      <c r="D218" s="126" t="n"/>
      <c r="E218" s="127" t="n"/>
      <c r="F218" s="126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68">
      <c r="A219" s="125" t="n"/>
      <c r="B219" s="126" t="n"/>
      <c r="C219" s="126" t="n"/>
      <c r="D219" s="126" t="n"/>
      <c r="E219" s="127" t="n"/>
      <c r="F219" s="126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68">
      <c r="A220" s="2" t="n"/>
      <c r="B220" s="2" t="n"/>
      <c r="C220" s="128" t="n"/>
      <c r="D220" s="128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68">
      <c r="A221" s="2" t="n"/>
      <c r="B221" s="2" t="n"/>
      <c r="C221" s="128" t="n"/>
      <c r="D221" s="128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68">
      <c r="A222" s="2" t="n"/>
      <c r="B222" s="2" t="n"/>
      <c r="C222" s="128" t="n"/>
      <c r="D222" s="128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68">
      <c r="A223" s="2" t="n"/>
      <c r="B223" s="2" t="n"/>
      <c r="C223" s="128" t="n"/>
      <c r="D223" s="128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68">
      <c r="A224" s="2" t="n"/>
      <c r="B224" s="2" t="n"/>
      <c r="C224" s="128" t="n"/>
      <c r="D224" s="128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68">
      <c r="A225" s="2" t="n"/>
      <c r="B225" s="2" t="n"/>
      <c r="C225" s="128" t="n"/>
      <c r="D225" s="128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68">
      <c r="A226" s="2" t="n"/>
      <c r="B226" s="2" t="n"/>
      <c r="C226" s="128" t="n"/>
      <c r="D226" s="128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68">
      <c r="A227" s="2" t="n"/>
      <c r="B227" s="2" t="n"/>
      <c r="C227" s="128" t="n"/>
      <c r="D227" s="128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68">
      <c r="A228" s="2" t="n"/>
      <c r="B228" s="2" t="n"/>
      <c r="C228" s="128" t="n"/>
      <c r="D228" s="128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68">
      <c r="A229" s="2" t="n"/>
      <c r="B229" s="2" t="n"/>
      <c r="C229" s="128" t="n"/>
      <c r="D229" s="128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6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6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6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6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6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6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6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6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6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6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6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6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6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6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6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6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6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6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6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6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6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6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6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6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6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6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6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6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6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6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6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6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6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6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6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6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6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6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6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6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6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6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6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6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6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6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6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6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6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6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6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6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6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6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6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6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6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6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6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6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6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6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6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6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6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6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6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6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6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6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6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6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6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6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6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6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6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6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6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6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6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6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6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6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6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6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6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6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6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6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6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6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6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6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6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6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6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6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6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6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6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6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6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6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6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6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6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6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6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6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6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6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6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6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6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6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6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6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6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6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6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6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6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6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6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6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6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6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6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6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6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6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6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6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6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6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6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6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6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6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6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6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6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6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6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6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6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6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6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6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6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6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6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6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6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6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6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6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6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6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6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6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6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6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6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6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6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6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6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6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6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6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6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6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6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6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6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6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6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6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6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6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6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6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6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6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6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6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6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6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6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6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6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6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6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6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6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6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6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6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6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6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6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6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6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6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6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6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6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6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6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6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6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6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6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6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6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6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6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6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6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6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6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6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6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6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6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6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6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6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6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6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6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6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6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6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6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6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6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6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6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6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6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6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6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6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6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6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6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6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6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6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6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6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6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6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6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6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6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6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6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6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6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6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6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6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6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6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6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6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6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6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6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6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6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6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6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6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6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6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6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6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6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6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6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6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6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6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6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6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6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6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6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6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6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6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6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6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6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6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6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6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6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6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6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6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6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6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6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6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6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6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6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6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6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6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6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6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6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6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6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6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6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6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6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6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6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6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6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6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6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6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6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6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6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6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6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6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6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6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6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6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6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6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6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6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6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6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6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6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6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6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6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6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6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6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6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6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6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6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6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6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6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6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6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6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6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6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6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6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6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6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6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6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6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6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6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6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6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6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6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6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6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6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6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6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6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6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6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6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6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6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6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6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6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6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6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6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6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6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6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6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6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6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6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6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6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6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6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6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6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6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6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6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6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6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6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6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6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6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6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6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6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6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6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6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6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6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6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6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6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6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6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6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6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6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6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6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6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6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6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6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6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6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6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6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6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6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6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6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6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6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6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6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6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6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6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6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6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6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6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6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6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6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6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6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6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6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6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6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6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6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6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6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6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6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6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6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6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6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6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6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6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6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6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6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6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6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6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6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6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6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6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6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6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6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6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6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6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6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6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6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6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6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6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6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6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6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6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6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6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6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6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6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6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6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6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6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6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6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6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6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6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6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6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6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6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6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6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6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6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6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6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6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6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6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6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6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6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6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6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6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6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6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6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6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6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6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6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6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6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6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6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6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6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6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6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6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6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6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6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6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6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6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6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6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6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6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6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6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6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6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6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6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6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6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6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6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6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6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6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6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6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6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6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6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6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6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6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6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6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6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6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6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6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6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6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6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6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6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6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6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6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6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6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6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6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6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6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6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6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6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6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6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6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6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6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6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6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6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6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6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6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6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6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6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6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6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6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6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6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6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6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6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6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6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6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6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6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6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6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6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6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6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6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6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6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6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6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6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6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6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6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6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6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6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6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6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6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6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6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6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6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6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6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6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6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6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6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6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6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6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6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6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6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6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6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6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6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6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6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6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6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6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6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6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6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6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6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6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6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6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6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6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6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6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6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6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6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6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6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6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6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6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6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6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6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6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6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6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6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6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6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6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6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6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6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6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6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6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6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6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6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6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6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6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6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6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6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6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6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6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6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6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6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6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6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6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6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6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6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6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6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6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6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6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6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6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6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6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6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6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6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6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6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6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6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6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6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6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6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6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6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">
    <mergeCell ref="A1:F1"/>
  </mergeCells>
  <dataValidations count="1">
    <dataValidation sqref="C3:D501" showDropDown="0" showInputMessage="0" showErrorMessage="0" allowBlank="1" type="list">
      <formula1>"Lloyds Bank (GBP),HSBC Bank (GBP),Barclays Bank (GBP),Halifax Bank (GBP),Klarna Pay (GBP),Capitol One Credit Card (GBP),HSBC Rewards Credit Card (GBP),Barclays Rewards Credit Card (GBP),Klarna Pay Later (GBP),Splitwise (GBP),Oyster Travel Card (GBP),Axis "&amp;"Airtel Credit Card (INR),HDFC Swiggy Credit Card (INR),HDFC IOCL Credit Card (INR),HDFC Bank (INR)"</formula1>
    </dataValidation>
  </dataValidations>
  <pageMargins left="0.75" right="0.75" top="1" bottom="1" header="0" footer="0"/>
  <pageSetup orientation="portrait" paperSize="9"/>
</worksheet>
</file>

<file path=xl/worksheets/sheet8.xml><?xml version="1.0" encoding="utf-8"?>
<worksheet xmlns="http://schemas.openxmlformats.org/spreadsheetml/2006/main">
  <sheetPr>
    <tabColor rgb="FF7030A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8" customWidth="1" style="168" min="1" max="1"/>
    <col width="16" customWidth="1" style="168" min="2" max="2"/>
    <col width="11.14" customWidth="1" style="168" min="3" max="3"/>
    <col width="34.86" customWidth="1" style="168" min="4" max="4"/>
    <col width="16" customWidth="1" style="168" min="5" max="6"/>
    <col width="35.71" customWidth="1" style="168" min="7" max="7"/>
    <col width="14.86" customWidth="1" style="168" min="8" max="8"/>
    <col width="13.14" customWidth="1" style="168" min="9" max="9"/>
  </cols>
  <sheetData>
    <row r="1">
      <c r="A1" s="101" t="inlineStr">
        <is>
          <t>ACCOUNT BALANCES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30" customHeight="1" s="168">
      <c r="A2" s="129" t="inlineStr">
        <is>
          <t>Account</t>
        </is>
      </c>
      <c r="B2" s="129" t="inlineStr">
        <is>
          <t>Type</t>
        </is>
      </c>
      <c r="C2" s="129" t="inlineStr">
        <is>
          <t>Currency</t>
        </is>
      </c>
      <c r="D2" s="129" t="inlineStr">
        <is>
          <t>Opening Balance / Credit Limit</t>
        </is>
      </c>
      <c r="E2" s="129" t="inlineStr">
        <is>
          <t>Total Credits</t>
        </is>
      </c>
      <c r="F2" s="129" t="inlineStr">
        <is>
          <t>Total Debits</t>
        </is>
      </c>
      <c r="G2" s="129" t="inlineStr">
        <is>
          <t>Current Balance / Available Credit</t>
        </is>
      </c>
      <c r="H2" s="129" t="inlineStr">
        <is>
          <t>CC Dues</t>
        </is>
      </c>
      <c r="I2" s="129" t="inlineStr">
        <is>
          <t>Tally Satus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03" t="inlineStr">
        <is>
          <t>Lloyds Bank (GBP)</t>
        </is>
      </c>
      <c r="B3" s="19" t="inlineStr">
        <is>
          <t>Bank Account</t>
        </is>
      </c>
      <c r="C3" s="19" t="inlineStr">
        <is>
          <t>GBP</t>
        </is>
      </c>
      <c r="D3" s="112" t="n">
        <v>79.61</v>
      </c>
      <c r="E3" s="130">
        <f>SUMIFS(Income!C$3:C$502,Income!E$3:E$502,A3)+SUMIFS(Transfers!E$3:E$501,Transfers!C$3:C$501,A3)</f>
        <v/>
      </c>
      <c r="F3" s="130">
        <f>SUMIFS(Expenses!D$3:D$999,Expenses!F$3:F$999,A3)+SUMIFS(Transfers!E$3:E$501,Transfers!D$3:D$501,A3)</f>
        <v/>
      </c>
      <c r="G3" s="131">
        <f>D3+E3-F3</f>
        <v/>
      </c>
      <c r="H3" s="131" t="n"/>
      <c r="I3" s="131" t="b">
        <v>1</v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14" t="inlineStr">
        <is>
          <t>HSBC Bank (GBP)</t>
        </is>
      </c>
      <c r="B4" s="115" t="inlineStr">
        <is>
          <t>Bank Account</t>
        </is>
      </c>
      <c r="C4" s="115" t="inlineStr">
        <is>
          <t>GBP</t>
        </is>
      </c>
      <c r="D4" s="112">
        <f>Accounts!F4</f>
        <v/>
      </c>
      <c r="E4" s="132">
        <f>SUMIFS(Income!C$3:C$502,Income!E$3:E$502,A4)+SUMIFS(Transfers!E$3:E$501,Transfers!C$3:C$501,A4)</f>
        <v/>
      </c>
      <c r="F4" s="132">
        <f>SUMIFS(Expenses!D$3:D$999,Expenses!F$3:F$999,A4)+SUMIFS(Transfers!E$3:E$501,Transfers!D$3:D$501,A4)</f>
        <v/>
      </c>
      <c r="G4" s="131">
        <f>D4+E4-F4</f>
        <v/>
      </c>
      <c r="H4" s="131" t="n"/>
      <c r="I4" s="131" t="b">
        <v>1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03" t="inlineStr">
        <is>
          <t>Barclays Bank (GBP)</t>
        </is>
      </c>
      <c r="B5" s="19" t="inlineStr">
        <is>
          <t>Bank Account</t>
        </is>
      </c>
      <c r="C5" s="19" t="inlineStr">
        <is>
          <t>GBP</t>
        </is>
      </c>
      <c r="D5" s="112">
        <f>Accounts!F5</f>
        <v/>
      </c>
      <c r="E5" s="130">
        <f>SUMIFS(Income!C$3:C$502,Income!E$3:E$502,A5)+SUMIFS(Transfers!E$3:E$501,Transfers!C$3:C$501,A5)</f>
        <v/>
      </c>
      <c r="F5" s="130">
        <f>SUMIFS(Expenses!D$3:D$999,Expenses!F$3:F$999,A5)+SUMIFS(Transfers!E$3:E$501,Transfers!D$3:D$501,A5)</f>
        <v/>
      </c>
      <c r="G5" s="131">
        <f>D5+E5-F5</f>
        <v/>
      </c>
      <c r="H5" s="131" t="n"/>
      <c r="I5" s="131" t="b">
        <v>1</v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08" t="inlineStr">
        <is>
          <t>Halifax Bank (GBP)</t>
        </is>
      </c>
      <c r="B6" s="208" t="inlineStr">
        <is>
          <t>Bank Account</t>
        </is>
      </c>
      <c r="C6" s="208" t="inlineStr">
        <is>
          <t>GBP</t>
        </is>
      </c>
      <c r="D6" s="209">
        <f>Accounts!F6</f>
        <v/>
      </c>
      <c r="E6" s="209">
        <f>SUMIFS(Income!C$3:C$502,Income!E$3:E$502,A6)+SUMIFS(Transfers!E$3:E$501,Transfers!C$3:C$501,A6)</f>
        <v/>
      </c>
      <c r="F6" s="209">
        <f>SUMIFS(Expenses!D$3:D$999,Expenses!F$3:F$999,A6)+SUMIFS(Transfers!E$3:E$501,Transfers!D$3:D$501,A6)</f>
        <v/>
      </c>
      <c r="G6" s="209">
        <f>D6+E6-F6</f>
        <v/>
      </c>
      <c r="H6" s="209" t="n"/>
      <c r="I6" s="209" t="inlineStr">
        <is>
          <t>Discontinued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103" t="inlineStr">
        <is>
          <t>Klarna Pay (GBP)</t>
        </is>
      </c>
      <c r="B7" s="115" t="inlineStr">
        <is>
          <t>Bank Account</t>
        </is>
      </c>
      <c r="C7" s="19" t="inlineStr">
        <is>
          <t>GBP</t>
        </is>
      </c>
      <c r="D7" s="112">
        <f>Accounts!F7</f>
        <v/>
      </c>
      <c r="E7" s="130">
        <f>SUMIFS(Income!C$3:C$502,Income!E$3:E$502,A7)+SUMIFS(Transfers!E$3:E$501,Transfers!C$3:C$501,A7)</f>
        <v/>
      </c>
      <c r="F7" s="130">
        <f>SUMIFS(Expenses!D$3:D$999,Expenses!F$3:F$999,A7)+SUMIFS(Transfers!E$3:E$501,Transfers!D$3:D$501,A7)</f>
        <v/>
      </c>
      <c r="G7" s="131">
        <f>D7+E7-F7</f>
        <v/>
      </c>
      <c r="H7" s="131" t="n"/>
      <c r="I7" s="131" t="b">
        <v>1</v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14" t="inlineStr">
        <is>
          <t>Capitol One Credit Card (GBP)</t>
        </is>
      </c>
      <c r="B8" s="115" t="inlineStr">
        <is>
          <t>Credit Card</t>
        </is>
      </c>
      <c r="C8" s="115" t="inlineStr">
        <is>
          <t>GBP</t>
        </is>
      </c>
      <c r="D8" s="112">
        <f>Accounts!F8</f>
        <v/>
      </c>
      <c r="E8" s="132">
        <f>SUMIFS(Income!C$3:C$502,Income!E$3:E$502,A8)+SUMIFS(Transfers!E$3:E$501,Transfers!C$3:C$501,A8)</f>
        <v/>
      </c>
      <c r="F8" s="132">
        <f>SUMIFS(Expenses!D$3:D$999,Expenses!F$3:F$999,A8)+SUMIFS(Transfers!E$3:E$501,Transfers!D$3:D$501,A8)</f>
        <v/>
      </c>
      <c r="G8" s="131">
        <f>D8+E8-F8</f>
        <v/>
      </c>
      <c r="H8" s="131">
        <f>550-G8</f>
        <v/>
      </c>
      <c r="I8" s="131" t="b">
        <v>1</v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03" t="inlineStr">
        <is>
          <t>HSBC Rewards Credit Card (GBP)</t>
        </is>
      </c>
      <c r="B9" s="19" t="inlineStr">
        <is>
          <t>Credit Card</t>
        </is>
      </c>
      <c r="C9" s="19" t="inlineStr">
        <is>
          <t>GBP</t>
        </is>
      </c>
      <c r="D9" s="112">
        <f>Accounts!F9</f>
        <v/>
      </c>
      <c r="E9" s="130">
        <f>SUMIFS(Income!C$3:C$502,Income!E$3:E$502,A9)+SUMIFS(Transfers!E$3:E$501,Transfers!C$3:C$501,A9)</f>
        <v/>
      </c>
      <c r="F9" s="130">
        <f>SUMIFS(Expenses!D$3:D$999,Expenses!F$3:F$999,A9)+SUMIFS(Transfers!E$3:E$501,Transfers!D$3:D$501,A9)</f>
        <v/>
      </c>
      <c r="G9" s="131">
        <f>D9+E9-F9</f>
        <v/>
      </c>
      <c r="H9" s="131">
        <f>6000-G9</f>
        <v/>
      </c>
      <c r="I9" s="131" t="b">
        <v>1</v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114" t="inlineStr">
        <is>
          <t>Barclays Rewards Credit Card (GBP)</t>
        </is>
      </c>
      <c r="B10" s="115" t="inlineStr">
        <is>
          <t>Credit Card</t>
        </is>
      </c>
      <c r="C10" s="115" t="inlineStr">
        <is>
          <t>GBP</t>
        </is>
      </c>
      <c r="D10" s="112">
        <f>Accounts!F10</f>
        <v/>
      </c>
      <c r="E10" s="132">
        <f>SUMIFS(Income!C$3:C$502,Income!E$3:E$502,A10)+SUMIFS(Transfers!E$3:E$501,Transfers!C$3:C$501,A10)</f>
        <v/>
      </c>
      <c r="F10" s="132">
        <f>SUMIFS(Expenses!D$3:D$999,Expenses!F$3:F$999,A10)+SUMIFS(Transfers!E$3:E$501,Transfers!D$3:D$501,A10)</f>
        <v/>
      </c>
      <c r="G10" s="131">
        <f>D10+E10-F10</f>
        <v/>
      </c>
      <c r="H10" s="131">
        <f>3500-G10</f>
        <v/>
      </c>
      <c r="I10" s="131" t="b">
        <v>1</v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103" t="inlineStr">
        <is>
          <t>Klarna Pay Later (GBP)</t>
        </is>
      </c>
      <c r="B11" s="19" t="inlineStr">
        <is>
          <t>Pay Later</t>
        </is>
      </c>
      <c r="C11" s="19" t="inlineStr">
        <is>
          <t>GBP</t>
        </is>
      </c>
      <c r="D11" s="112" t="n">
        <v>0</v>
      </c>
      <c r="E11" s="130">
        <f>SUMIFS(Income!C$3:C$502,Income!E$3:E$502,A11)+SUMIFS(Transfers!E$3:E$501,Transfers!C$3:C$501,A11)</f>
        <v/>
      </c>
      <c r="F11" s="130">
        <f>SUMIFS(Expenses!D$3:D$999,Expenses!F$3:F$999,A11)+SUMIFS(Transfers!E$3:E$501,Transfers!D$3:D$501,A11)</f>
        <v/>
      </c>
      <c r="G11" s="131">
        <f>D11+E11-F11</f>
        <v/>
      </c>
      <c r="H11" s="131" t="n"/>
      <c r="I11" s="131" t="b">
        <v>1</v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14" t="inlineStr">
        <is>
          <t>Splitwise (GBP)</t>
        </is>
      </c>
      <c r="B12" s="115" t="inlineStr">
        <is>
          <t>Expense Sharing</t>
        </is>
      </c>
      <c r="C12" s="115" t="inlineStr">
        <is>
          <t>GBP</t>
        </is>
      </c>
      <c r="D12" s="112">
        <f>5.18-28.41-0.49-0.32+7.5</f>
        <v/>
      </c>
      <c r="E12" s="132">
        <f>SUMPRODUCT((Expenses!G$3:G$999="Yes")*(Expenses!D$3:D$999-Expenses!H$3:H$999))+SUMIFS(Transfers!E$3:E$501,Transfers!C$3:C$501,A12)</f>
        <v/>
      </c>
      <c r="F12" s="132">
        <f>SUMIFS(Expenses!D$3:D$999,Expenses!F$3:F$999,A12)+SUMIFS(Transfers!E$3:E$501,Transfers!D$3:D$501,A12)</f>
        <v/>
      </c>
      <c r="G12" s="131">
        <f>D12+E12-F12</f>
        <v/>
      </c>
      <c r="H12" s="131" t="n"/>
      <c r="I12" s="131" t="b">
        <v>1</v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103" t="inlineStr">
        <is>
          <t>Oyster Travel Card (GBP)</t>
        </is>
      </c>
      <c r="B13" s="19" t="inlineStr">
        <is>
          <t>Travel Card</t>
        </is>
      </c>
      <c r="C13" s="19" t="inlineStr">
        <is>
          <t>GBP</t>
        </is>
      </c>
      <c r="D13" s="112">
        <f>Accounts!F13</f>
        <v/>
      </c>
      <c r="E13" s="130">
        <f>SUMIFS(Income!C$3:C$502,Income!E$3:E$502,A13)+SUMIFS(Transfers!E$3:E$501,Transfers!C$3:C$501,A13)</f>
        <v/>
      </c>
      <c r="F13" s="130">
        <f>SUMIFS(Expenses!D$3:D$999,Expenses!F$3:F$999,A13)+SUMIFS(Transfers!E$3:E$501,Transfers!D$3:D$501,A13)</f>
        <v/>
      </c>
      <c r="G13" s="131">
        <f>D13+E13-F13</f>
        <v/>
      </c>
      <c r="H13" s="131" t="n"/>
      <c r="I13" s="131" t="b">
        <v>1</v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114" t="inlineStr">
        <is>
          <t>HDFC Bank (INR)</t>
        </is>
      </c>
      <c r="B14" s="115" t="inlineStr">
        <is>
          <t>Bank Account</t>
        </is>
      </c>
      <c r="C14" s="115" t="inlineStr">
        <is>
          <t>INR</t>
        </is>
      </c>
      <c r="D14" s="112">
        <f>Accounts!F14</f>
        <v/>
      </c>
      <c r="E14" s="132">
        <f>SUMIFS(Income!C$3:C$502,Income!E$3:E$502,A14)+SUMIFS(Transfers!E$3:E$501,Transfers!C$3:C$501,A14)</f>
        <v/>
      </c>
      <c r="F14" s="132">
        <f>SUMIFS(Expenses!D$3:D$999,Expenses!F$3:F$999,A14)+SUMIFS(Transfers!E$3:E$501,Transfers!D$3:D$501,A14)</f>
        <v/>
      </c>
      <c r="G14" s="131">
        <f>D14+E14-F14</f>
        <v/>
      </c>
      <c r="H14" s="131" t="n"/>
      <c r="I14" s="131" t="b">
        <v>0</v>
      </c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103" t="inlineStr">
        <is>
          <t>HDFC IOCL Credit Card (INR)</t>
        </is>
      </c>
      <c r="B15" s="19" t="inlineStr">
        <is>
          <t>Credit Card</t>
        </is>
      </c>
      <c r="C15" s="19" t="inlineStr">
        <is>
          <t>INR</t>
        </is>
      </c>
      <c r="D15" s="112">
        <f>Accounts!F15</f>
        <v/>
      </c>
      <c r="E15" s="130">
        <f>SUMIFS(Income!C$3:C$502,Income!E$3:E$502,A15)+SUMIFS(Transfers!E$3:E$501,Transfers!C$3:C$501,A15)</f>
        <v/>
      </c>
      <c r="F15" s="130">
        <f>SUMIFS(Expenses!D$3:D$999,Expenses!F$3:F$999,A15)+SUMIFS(Transfers!E$3:E$501,Transfers!D$3:D$501,A15)</f>
        <v/>
      </c>
      <c r="G15" s="131">
        <f>D15+E15-F15</f>
        <v/>
      </c>
      <c r="H15" s="131" t="n"/>
      <c r="I15" s="131" t="b">
        <v>0</v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114" t="inlineStr">
        <is>
          <t>HDFC Swiggy Credit Card (INR)</t>
        </is>
      </c>
      <c r="B16" s="115" t="inlineStr">
        <is>
          <t>Credit Card</t>
        </is>
      </c>
      <c r="C16" s="115" t="inlineStr">
        <is>
          <t>INR</t>
        </is>
      </c>
      <c r="D16" s="112">
        <f>Accounts!F16</f>
        <v/>
      </c>
      <c r="E16" s="132">
        <f>SUMIFS(Income!C$3:C$502,Income!E$3:E$502,A16)+SUMIFS(Transfers!E$3:E$501,Transfers!C$3:C$501,A16)</f>
        <v/>
      </c>
      <c r="F16" s="132">
        <f>SUMIFS(Expenses!D$3:D$999,Expenses!F$3:F$999,A16)+SUMIFS(Transfers!E$3:E$501,Transfers!D$3:D$501,A16)</f>
        <v/>
      </c>
      <c r="G16" s="131">
        <f>D16+E16-F16</f>
        <v/>
      </c>
      <c r="H16" s="131" t="n"/>
      <c r="I16" s="131" t="b">
        <v>0</v>
      </c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103" t="inlineStr">
        <is>
          <t>Axis Airtel Credit Card (INR)</t>
        </is>
      </c>
      <c r="B17" s="19" t="inlineStr">
        <is>
          <t>Credit Card</t>
        </is>
      </c>
      <c r="C17" s="19" t="inlineStr">
        <is>
          <t>INR</t>
        </is>
      </c>
      <c r="D17" s="112">
        <f>Accounts!F17</f>
        <v/>
      </c>
      <c r="E17" s="130">
        <f>SUMIFS(Income!C$3:C$502,Income!E$3:E$502,A17)+SUMIFS(Transfers!E$3:E$501,Transfers!C$3:C$501,A17)</f>
        <v/>
      </c>
      <c r="F17" s="130">
        <f>SUMIFS(Expenses!D$3:D$999,Expenses!F$3:F$999,A17)+SUMIFS(Transfers!E$3:E$501,Transfers!D$3:D$501,A17)</f>
        <v/>
      </c>
      <c r="G17" s="131">
        <f>D17+E17-F17</f>
        <v/>
      </c>
      <c r="H17" s="131" t="n"/>
      <c r="I17" s="131" t="b">
        <v>0</v>
      </c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11" t="inlineStr">
        <is>
          <t>Chase Bank (GBP)</t>
        </is>
      </c>
      <c r="B18" s="212" t="inlineStr">
        <is>
          <t>Bank Account</t>
        </is>
      </c>
      <c r="C18" s="212" t="inlineStr">
        <is>
          <t>GBP</t>
        </is>
      </c>
      <c r="D18" s="212" t="n">
        <v>0</v>
      </c>
      <c r="E18" s="212">
        <f>SUMIFS(Income!C$3:C$502,Income!E$3:E$502,A18)</f>
        <v/>
      </c>
      <c r="F18" s="212">
        <f>SUMIFS(Expenses!D$3:D$999,Expenses!F$3:F$999,A18)</f>
        <v/>
      </c>
      <c r="G18" s="212">
        <f>D18+E18-F18</f>
        <v/>
      </c>
      <c r="H18" s="212" t="n"/>
      <c r="I18" s="212" t="inlineStr">
        <is>
          <t>True</t>
        </is>
      </c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13" t="inlineStr">
        <is>
          <t>Monzo (GBP)</t>
        </is>
      </c>
      <c r="B19" s="214" t="inlineStr">
        <is>
          <t>Bank Account</t>
        </is>
      </c>
      <c r="C19" s="214" t="inlineStr">
        <is>
          <t>GBP</t>
        </is>
      </c>
      <c r="D19" s="214" t="n">
        <v>0</v>
      </c>
      <c r="E19" s="214">
        <f>SUMIFS(Income!C$3:C$502,Income!E$3:E$502,A19)</f>
        <v/>
      </c>
      <c r="F19" s="214">
        <f>SUMIFS(Expenses!D$3:D$999,Expenses!F$3:F$999,A19)</f>
        <v/>
      </c>
      <c r="G19" s="214">
        <f>D19+E19-F19</f>
        <v/>
      </c>
      <c r="H19" s="214" t="n"/>
      <c r="I19" s="214" t="inlineStr">
        <is>
          <t>True</t>
        </is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101" t="inlineStr">
        <is>
          <t>DASHBOARD SUMMARY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68">
      <c r="A21" s="103" t="inlineStr">
        <is>
          <t>Total GBP Bank Assets</t>
        </is>
      </c>
      <c r="B21" s="130">
        <f>SUMPRODUCT((C3:C19="GBP")*(B3:B19="Bank Account")*G3:G19)</f>
        <v/>
      </c>
      <c r="C21" s="2" t="n"/>
      <c r="D21" s="2" t="n"/>
      <c r="E21" s="2" t="n"/>
      <c r="F21" s="2" t="n"/>
      <c r="G21" s="128" t="inlineStr">
        <is>
          <t xml:space="preserve">Balance Summary 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68">
      <c r="A22" s="103" t="inlineStr">
        <is>
          <t>Total GBP Credit Card Debt</t>
        </is>
      </c>
      <c r="B22" s="130">
        <f>SUMIFS(F3:F19,C3:C19,"GBP",B3:B19,"Credit Card")</f>
        <v/>
      </c>
      <c r="C22" s="2" t="n"/>
      <c r="D22" s="133">
        <f>B21-B22</f>
        <v/>
      </c>
      <c r="E22" s="2" t="n"/>
      <c r="F22" s="2" t="n"/>
      <c r="G22" s="128" t="inlineStr">
        <is>
          <t xml:space="preserve">Bilquis </t>
        </is>
      </c>
      <c r="H22" s="128" t="n">
        <v>-0.67</v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68">
      <c r="A23" s="103" t="inlineStr">
        <is>
          <t>Total INR Bank Assets</t>
        </is>
      </c>
      <c r="B23" s="130">
        <f>SUMPRODUCT((C3:C19="INR")*(B3:B19="Bank Account")*G3:G19)</f>
        <v/>
      </c>
      <c r="C23" s="2" t="n"/>
      <c r="D23" s="2" t="n"/>
      <c r="E23" s="2" t="n"/>
      <c r="F23" s="2" t="n"/>
      <c r="G23" s="128" t="inlineStr">
        <is>
          <t>Tanisha</t>
        </is>
      </c>
      <c r="H23" s="128" t="n">
        <v>4.17</v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68">
      <c r="A24" s="103" t="inlineStr">
        <is>
          <t>Total INR Credit Card Debt</t>
        </is>
      </c>
      <c r="B24" s="130">
        <f>SUMIFS(F3:F19,C3:C19,"INR",B3:B19,"Credit Card")</f>
        <v/>
      </c>
      <c r="C24" s="2" t="n"/>
      <c r="D24" s="2" t="n"/>
      <c r="E24" s="2" t="n"/>
      <c r="F24" s="2" t="n"/>
      <c r="G24" s="128" t="inlineStr">
        <is>
          <t>Bhanu</t>
        </is>
      </c>
      <c r="H24" s="128" t="n">
        <v>4</v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68">
      <c r="A25" s="103" t="inlineStr">
        <is>
          <t>Exchange Rate (GBP to INR)</t>
        </is>
      </c>
      <c r="B25" s="130">
        <f>Settings!B4</f>
        <v/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68">
      <c r="A26" s="103" t="inlineStr">
        <is>
          <t>Approx Combined GBP Equivalent</t>
        </is>
      </c>
      <c r="B26" s="134">
        <f>B21-B22+(B23-B24)/B25</f>
        <v/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6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6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6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6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6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6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6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6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6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6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6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6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6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6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6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6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6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6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6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6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6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6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6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6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6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6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6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6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6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6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6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6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6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6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6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6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6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6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6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6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6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6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6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6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6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6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6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6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6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6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6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6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6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6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6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6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6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6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6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6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6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6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6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6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6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6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6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6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6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6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6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6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6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6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6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6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6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6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6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6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6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6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6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6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6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6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6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6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6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6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6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6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6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6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6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6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6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6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6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6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6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6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6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6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6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6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6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6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6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6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6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6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6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6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6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6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6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6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6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6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6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6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6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6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6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6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6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6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6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6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6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6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6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6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6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6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6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6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6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6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6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6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6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6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6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6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6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6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6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6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6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6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6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6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6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6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6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6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6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6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6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6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6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6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6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6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6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6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6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6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6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6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6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6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6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6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6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6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6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6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6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6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6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6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6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6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6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6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6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6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6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6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6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6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6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6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6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6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6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6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6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6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6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6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6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6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6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6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6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6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6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6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6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6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6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6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6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6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6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6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6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6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6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6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6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6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6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6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6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6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6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6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6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6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6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6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6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6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6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6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6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6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6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6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6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6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6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6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6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6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6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6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6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6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6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6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6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6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6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6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6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6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6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6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6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6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6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6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6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6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6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6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6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6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6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6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6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6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6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6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6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6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6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6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6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6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6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6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6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6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6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6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6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6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6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6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6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6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6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6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6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6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6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6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6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6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6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6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6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6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6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6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6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6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6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6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6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6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6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6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6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6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6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6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6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6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6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6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6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6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6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6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6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6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6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6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6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6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6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6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6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6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6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6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6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6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6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6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6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6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6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6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6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6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6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6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6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6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6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6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6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6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6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6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6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6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6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6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6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6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6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6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6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6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6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6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6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6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6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6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6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6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6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6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6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6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6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6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6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6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6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6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6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6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6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6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6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6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6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6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6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6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6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6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6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6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6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6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6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6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6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6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6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6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6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6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6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6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6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6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6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6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6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6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6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6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6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6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6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6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6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6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6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6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6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6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6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6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6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6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6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6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6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6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6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6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6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6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6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6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6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6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6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6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6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6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6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6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6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6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6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6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6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6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6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6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6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6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6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6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6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6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6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6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6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6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6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6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6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6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6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6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6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6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6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6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6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6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6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6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6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6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6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6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6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6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6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6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6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6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6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6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6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6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6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6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6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6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6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6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6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6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6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6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6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6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6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6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6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6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6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6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6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6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6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6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6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6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6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6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6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6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6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6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6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6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6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6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6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6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6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6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6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6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6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6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6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6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6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6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6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6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6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6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6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6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6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6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6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6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6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6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6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6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6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6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6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6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6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6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6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6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6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6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6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6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6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6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6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6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6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6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6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6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6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6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6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6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6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6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6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6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6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6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6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6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6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6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6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6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6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6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6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6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6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6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6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6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6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6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6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6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6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6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6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6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6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6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6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6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6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6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6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6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6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6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6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6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6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6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6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6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6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6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6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6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6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6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6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6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6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6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6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6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6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6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6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6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6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6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6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6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6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6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6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6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6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6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6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6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6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6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6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6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6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6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6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6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6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6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6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6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6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6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6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6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6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6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6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6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6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6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6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6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6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6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6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6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6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6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6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6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6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6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6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6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6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6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6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6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6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6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6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6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6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6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6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6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6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6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6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6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6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6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6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6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6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6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6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6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6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6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6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6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6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6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6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6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6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6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6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6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6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6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6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6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6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6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6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6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6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6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6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6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6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6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6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6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6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6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6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6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6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6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6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6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6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6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6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6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6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6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6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6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6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6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6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6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6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6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6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6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6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6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6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6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6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6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6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6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6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6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6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6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6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6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6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6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6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6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6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6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6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6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6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6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6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6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6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6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6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6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6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6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6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6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6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6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6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6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6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6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6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6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6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6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6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6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6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6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6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6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6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6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6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6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6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6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6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6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6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6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6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6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6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6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6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6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6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6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6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6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6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6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6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6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6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6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6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6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6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6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6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6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6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6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6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6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6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6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6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6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6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6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6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6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6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6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6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6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6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6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6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6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6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6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6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6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6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6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6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6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6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6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6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6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6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6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6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6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6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6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6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6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6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6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6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6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6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6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6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6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6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6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6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6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6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6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6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6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6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6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6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6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6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6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6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6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6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6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6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6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6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6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6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6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6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6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6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6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6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6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6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6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6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6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6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6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6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6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6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6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6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6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6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6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6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6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6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6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6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6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6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6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6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6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6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6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6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6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6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6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6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6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2">
    <mergeCell ref="A20:G20"/>
    <mergeCell ref="A1:G1"/>
  </mergeCells>
  <pageMargins left="0.75" right="0.75" top="1" bottom="1" header="0" footer="0"/>
  <pageSetup orientation="portrait" paperSize="9"/>
</worksheet>
</file>

<file path=xl/worksheets/sheet9.xml><?xml version="1.0" encoding="utf-8"?>
<worksheet xmlns="http://schemas.openxmlformats.org/spreadsheetml/2006/main">
  <sheetPr>
    <tabColor rgb="FF2E75B6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8" customWidth="1" style="168" min="1" max="1"/>
    <col width="14" customWidth="1" style="168" min="2" max="6"/>
    <col width="15.86" customWidth="1" style="168" min="7" max="7"/>
    <col width="14" customWidth="1" style="168" min="8" max="15"/>
    <col width="18" customWidth="1" style="168" min="16" max="16"/>
    <col width="14" customWidth="1" style="168" min="17" max="17"/>
    <col width="16" customWidth="1" style="168" min="18" max="18"/>
  </cols>
  <sheetData>
    <row r="1">
      <c r="A1" s="101" t="inlineStr">
        <is>
          <t>MONTHLY OVERVIEW (GBP)</t>
        </is>
      </c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35" t="inlineStr">
        <is>
          <t>Month</t>
        </is>
      </c>
      <c r="B2" s="135" t="inlineStr">
        <is>
          <t>Rent</t>
        </is>
      </c>
      <c r="C2" s="135" t="inlineStr">
        <is>
          <t>Transport</t>
        </is>
      </c>
      <c r="D2" s="135" t="inlineStr">
        <is>
          <t>Travel</t>
        </is>
      </c>
      <c r="E2" s="135" t="inlineStr">
        <is>
          <t>Shopping</t>
        </is>
      </c>
      <c r="F2" s="135" t="inlineStr">
        <is>
          <t>Electronics</t>
        </is>
      </c>
      <c r="G2" s="135" t="inlineStr">
        <is>
          <t>Subscriptions</t>
        </is>
      </c>
      <c r="H2" s="135" t="inlineStr">
        <is>
          <t>Bills</t>
        </is>
      </c>
      <c r="I2" s="135" t="inlineStr">
        <is>
          <t>Entertainment</t>
        </is>
      </c>
      <c r="J2" s="135" t="inlineStr">
        <is>
          <t>Food and Drinks</t>
        </is>
      </c>
      <c r="K2" s="135" t="inlineStr">
        <is>
          <t>Groceries</t>
        </is>
      </c>
      <c r="L2" s="135" t="inlineStr">
        <is>
          <t>Others</t>
        </is>
      </c>
      <c r="M2" s="135" t="inlineStr">
        <is>
          <t>Gifts</t>
        </is>
      </c>
      <c r="N2" s="135" t="inlineStr">
        <is>
          <t>Donations</t>
        </is>
      </c>
      <c r="O2" s="135" t="inlineStr">
        <is>
          <t>Investments</t>
        </is>
      </c>
      <c r="P2" s="135" t="inlineStr">
        <is>
          <t>Total Expenditure</t>
        </is>
      </c>
      <c r="Q2" s="135" t="inlineStr">
        <is>
          <t>Income</t>
        </is>
      </c>
      <c r="R2" s="135" t="inlineStr">
        <is>
          <t>Gross Savings</t>
        </is>
      </c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03" t="inlineStr">
        <is>
          <t>January 2026</t>
        </is>
      </c>
      <c r="B3" s="20">
        <f>SUMPRODUCT((Expenses!C$3:C$999="Rent")*(Expenses!E$3:E$999="GBP")*(MONTH(Expenses!A$3:A$999)=1)*(YEAR(Expenses!A$3:A$999)=2026)*(Expenses!A$3:A$999&lt;&gt;"")*(IF(Expenses!G$3:G$999="Yes",Expenses!H$3:H$999,Expenses!D$3:D$999)))</f>
        <v/>
      </c>
      <c r="C3" s="20">
        <f>SUMPRODUCT((Expenses!C$3:C$999="Transport")*(Expenses!E$3:E$999="GBP")*(MONTH(Expenses!A$3:A$999)=1)*(YEAR(Expenses!A$3:A$999)=2026)*(Expenses!A$3:A$999&lt;&gt;"")*(IF(Expenses!G$3:G$999="Yes",Expenses!H$3:H$999,Expenses!D$3:D$999)))</f>
        <v/>
      </c>
      <c r="D3" s="20">
        <f>SUMPRODUCT((Expenses!C$3:C$999="Travel")*(Expenses!E$3:E$999="GBP")*(MONTH(Expenses!A$3:A$999)=1)*(YEAR(Expenses!A$3:A$999)=2026)*(Expenses!A$3:A$999&lt;&gt;"")*(IF(Expenses!G$3:G$999="Yes",Expenses!H$3:H$999,Expenses!D$3:D$999)))</f>
        <v/>
      </c>
      <c r="E3" s="20">
        <f>SUMPRODUCT((Expenses!C$3:C$999="Shopping")*(Expenses!E$3:E$999="GBP")*(MONTH(Expenses!A$3:A$999)=1)*(YEAR(Expenses!A$3:A$999)=2026)*(Expenses!A$3:A$999&lt;&gt;"")*(IF(Expenses!G$3:G$999="Yes",Expenses!H$3:H$999,Expenses!D$3:D$999)))</f>
        <v/>
      </c>
      <c r="F3" s="20">
        <f>SUMPRODUCT((Expenses!C$3:C$999="Electronics")*(Expenses!E$3:E$999="GBP")*(MONTH(Expenses!A$3:A$999)=1)*(YEAR(Expenses!A$3:A$999)=2026)*(Expenses!A$3:A$999&lt;&gt;"")*(IF(Expenses!G$3:G$999="Yes",Expenses!H$3:H$999,Expenses!D$3:D$999)))</f>
        <v/>
      </c>
      <c r="G3" s="20">
        <f>SUMPRODUCT((Expenses!C$3:C$999="Subscriptions")*(Expenses!E$3:E$999="GBP")*(MONTH(Expenses!A$3:A$999)=1)*(YEAR(Expenses!A$3:A$999)=2026)*(Expenses!A$3:A$999&lt;&gt;"")*(IF(Expenses!G$3:G$999="Yes",Expenses!H$3:H$999,Expenses!D$3:D$999)))</f>
        <v/>
      </c>
      <c r="H3" s="20">
        <f>SUMPRODUCT((Expenses!C$3:C$999="Bills")*(Expenses!E$3:E$999="GBP")*(MONTH(Expenses!A$3:A$999)=1)*(YEAR(Expenses!A$3:A$999)=2026)*(Expenses!A$3:A$999&lt;&gt;"")*(IF(Expenses!G$3:G$999="Yes",Expenses!H$3:H$999,Expenses!D$3:D$999)))</f>
        <v/>
      </c>
      <c r="I3" s="20">
        <f>SUMPRODUCT((Expenses!C$3:C$999="Entertainment")*(Expenses!E$3:E$999="GBP")*(MONTH(Expenses!A$3:A$999)=1)*(YEAR(Expenses!A$3:A$999)=2026)*(Expenses!A$3:A$999&lt;&gt;"")*(IF(Expenses!G$3:G$999="Yes",Expenses!H$3:H$999,Expenses!D$3:D$999)))</f>
        <v/>
      </c>
      <c r="J3" s="20">
        <f>SUMPRODUCT((Expenses!C$3:C$999="Food and Drinks")*(Expenses!E$3:E$999="GBP")*(MONTH(Expenses!A$3:A$999)=1)*(YEAR(Expenses!A$3:A$999)=2026)*(Expenses!A$3:A$999&lt;&gt;"")*(IF(Expenses!G$3:G$999="Yes",Expenses!H$3:H$999,Expenses!D$3:D$999)))</f>
        <v/>
      </c>
      <c r="K3" s="20">
        <f>SUMPRODUCT((Expenses!C$3:C$999="Groceries")*(Expenses!E$3:E$999="GBP")*(MONTH(Expenses!A$3:A$999)=1)*(YEAR(Expenses!A$3:A$999)=2026)*(Expenses!A$3:A$999&lt;&gt;"")*(IF(Expenses!G$3:G$999="Yes",Expenses!H$3:H$999,Expenses!D$3:D$999)))</f>
        <v/>
      </c>
      <c r="L3" s="20">
        <f>SUMPRODUCT((Expenses!C$3:C$999="Others")*(Expenses!E$3:E$999="GBP")*(MONTH(Expenses!A$3:A$999)=1)*(YEAR(Expenses!A$3:A$999)=2026)*(Expenses!A$3:A$999&lt;&gt;"")*(IF(Expenses!G$3:G$999="Yes",Expenses!H$3:H$999,Expenses!D$3:D$999)))</f>
        <v/>
      </c>
      <c r="M3" s="20">
        <f>SUMPRODUCT((Expenses!C$3:C$999="Gifts")*(Expenses!E$3:E$999="GBP")*(MONTH(Expenses!A$3:A$999)=1)*(YEAR(Expenses!A$3:A$999)=2026)*(Expenses!A$3:A$999&lt;&gt;"")*(IF(Expenses!G$3:G$999="Yes",Expenses!H$3:H$999,Expenses!D$3:D$999)))</f>
        <v/>
      </c>
      <c r="N3" s="20">
        <f>SUMPRODUCT((Expenses!C$3:C$999="Donations")*(Expenses!E$3:E$999="GBP")*(MONTH(Expenses!A$3:A$999)=1)*(YEAR(Expenses!A$3:A$999)=2026)*(Expenses!A$3:A$999&lt;&gt;"")*(IF(Expenses!G$3:G$999="Yes",Expenses!H$3:H$999,Expenses!D$3:D$999)))</f>
        <v/>
      </c>
      <c r="O3" s="20">
        <f>SUMPRODUCT((Expenses!C$3:C$999="Investments")*(Expenses!E$3:E$999="GBP")*(MONTH(Expenses!A$3:A$999)=1)*(YEAR(Expenses!A$3:A$999)=2026)*(Expenses!A$3:A$999&lt;&gt;"")*(IF(Expenses!G$3:G$999="Yes",Expenses!H$3:H$999,Expenses!D$3:D$999)))</f>
        <v/>
      </c>
      <c r="P3" s="134">
        <f>SUM(B3:O3)</f>
        <v/>
      </c>
      <c r="Q3" s="20">
        <f>SUMPRODUCT((Income!D$3:D$502="GBP")*(MONTH(Income!A$3:A$502)=1)*(YEAR(Income!A$3:A$502)=2026)*(Income!A$3:A$502&lt;&gt;"")*Income!C$3:C$502)</f>
        <v/>
      </c>
      <c r="R3" s="134">
        <f>Q3-P3</f>
        <v/>
      </c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03" t="inlineStr">
        <is>
          <t>February 2026</t>
        </is>
      </c>
      <c r="B4" s="20">
        <f>SUMPRODUCT((Expenses!C$3:C$999="Rent")*(Expenses!E$3:E$999="GBP")*(MONTH(Expenses!A$3:A$999)=2)*(YEAR(Expenses!A$3:A$999)=2026)*(Expenses!A$3:A$999&lt;&gt;"")*(IF(Expenses!G$3:G$999="Yes",Expenses!H$3:H$999,Expenses!D$3:D$999)))</f>
        <v/>
      </c>
      <c r="C4" s="20">
        <f>SUMPRODUCT((Expenses!C$3:C$999="Transport")*(Expenses!E$3:E$999="GBP")*(MONTH(Expenses!A$3:A$999)=2)*(YEAR(Expenses!A$3:A$999)=2026)*(Expenses!A$3:A$999&lt;&gt;"")*(IF(Expenses!G$3:G$999="Yes",Expenses!H$3:H$999,Expenses!D$3:D$999)))</f>
        <v/>
      </c>
      <c r="D4" s="20">
        <f>SUMPRODUCT((Expenses!C$3:C$999="Travel")*(Expenses!E$3:E$999="GBP")*(MONTH(Expenses!A$3:A$999)=2)*(YEAR(Expenses!A$3:A$999)=2026)*(Expenses!A$3:A$999&lt;&gt;"")*(IF(Expenses!G$3:G$999="Yes",Expenses!H$3:H$999,Expenses!D$3:D$999)))</f>
        <v/>
      </c>
      <c r="E4" s="20">
        <f>SUMPRODUCT((Expenses!C$3:C$999="Shopping")*(Expenses!E$3:E$999="GBP")*(MONTH(Expenses!A$3:A$999)=2)*(YEAR(Expenses!A$3:A$999)=2026)*(Expenses!A$3:A$999&lt;&gt;"")*(IF(Expenses!G$3:G$999="Yes",Expenses!H$3:H$999,Expenses!D$3:D$999)))</f>
        <v/>
      </c>
      <c r="F4" s="20">
        <f>SUMPRODUCT((Expenses!C$3:C$999="Electronics")*(Expenses!E$3:E$999="GBP")*(MONTH(Expenses!A$3:A$999)=2)*(YEAR(Expenses!A$3:A$999)=2026)*(Expenses!A$3:A$999&lt;&gt;"")*(IF(Expenses!G$3:G$999="Yes",Expenses!H$3:H$999,Expenses!D$3:D$999)))</f>
        <v/>
      </c>
      <c r="G4" s="20">
        <f>SUMPRODUCT((Expenses!C$3:C$999="Subscriptions")*(Expenses!E$3:E$999="GBP")*(MONTH(Expenses!A$3:A$999)=2)*(YEAR(Expenses!A$3:A$999)=2026)*(Expenses!A$3:A$999&lt;&gt;"")*(IF(Expenses!G$3:G$999="Yes",Expenses!H$3:H$999,Expenses!D$3:D$999)))</f>
        <v/>
      </c>
      <c r="H4" s="20">
        <f>SUMPRODUCT((Expenses!C$3:C$999="Bills")*(Expenses!E$3:E$999="GBP")*(MONTH(Expenses!A$3:A$999)=2)*(YEAR(Expenses!A$3:A$999)=2026)*(Expenses!A$3:A$999&lt;&gt;"")*(IF(Expenses!G$3:G$999="Yes",Expenses!H$3:H$999,Expenses!D$3:D$999)))</f>
        <v/>
      </c>
      <c r="I4" s="20">
        <f>SUMPRODUCT((Expenses!C$3:C$999="Entertainment")*(Expenses!E$3:E$999="GBP")*(MONTH(Expenses!A$3:A$999)=2)*(YEAR(Expenses!A$3:A$999)=2026)*(Expenses!A$3:A$999&lt;&gt;"")*(IF(Expenses!G$3:G$999="Yes",Expenses!H$3:H$999,Expenses!D$3:D$999)))</f>
        <v/>
      </c>
      <c r="J4" s="20">
        <f>SUMPRODUCT((Expenses!C$3:C$999="Food and Drinks")*(Expenses!E$3:E$999="GBP")*(MONTH(Expenses!A$3:A$999)=2)*(YEAR(Expenses!A$3:A$999)=2026)*(Expenses!A$3:A$999&lt;&gt;"")*(IF(Expenses!G$3:G$999="Yes",Expenses!H$3:H$999,Expenses!D$3:D$999)))</f>
        <v/>
      </c>
      <c r="K4" s="20">
        <f>SUMPRODUCT((Expenses!C$3:C$999="Groceries")*(Expenses!E$3:E$999="GBP")*(MONTH(Expenses!A$3:A$999)=2)*(YEAR(Expenses!A$3:A$999)=2026)*(Expenses!A$3:A$999&lt;&gt;"")*(IF(Expenses!G$3:G$999="Yes",Expenses!H$3:H$999,Expenses!D$3:D$999)))</f>
        <v/>
      </c>
      <c r="L4" s="20">
        <f>SUMPRODUCT((Expenses!C$3:C$999="Others")*(Expenses!E$3:E$999="GBP")*(MONTH(Expenses!A$3:A$999)=2)*(YEAR(Expenses!A$3:A$999)=2026)*(Expenses!A$3:A$999&lt;&gt;"")*(IF(Expenses!G$3:G$999="Yes",Expenses!H$3:H$999,Expenses!D$3:D$999)))</f>
        <v/>
      </c>
      <c r="M4" s="20">
        <f>SUMPRODUCT((Expenses!C$3:C$999="Gifts")*(Expenses!E$3:E$999="GBP")*(MONTH(Expenses!A$3:A$999)=2)*(YEAR(Expenses!A$3:A$999)=2026)*(Expenses!A$3:A$999&lt;&gt;"")*(IF(Expenses!G$3:G$999="Yes",Expenses!H$3:H$999,Expenses!D$3:D$999)))</f>
        <v/>
      </c>
      <c r="N4" s="20">
        <f>SUMPRODUCT((Expenses!C$3:C$999="Donations")*(Expenses!E$3:E$999="GBP")*(MONTH(Expenses!A$3:A$999)=2)*(YEAR(Expenses!A$3:A$999)=2026)*(Expenses!A$3:A$999&lt;&gt;"")*(IF(Expenses!G$3:G$999="Yes",Expenses!H$3:H$999,Expenses!D$3:D$999)))</f>
        <v/>
      </c>
      <c r="O4" s="20">
        <f>SUMPRODUCT((Expenses!C$3:C$999="Investments")*(Expenses!E$3:E$999="GBP")*(MONTH(Expenses!A$3:A$999)=2)*(YEAR(Expenses!A$3:A$999)=2026)*(Expenses!A$3:A$999&lt;&gt;"")*(IF(Expenses!G$3:G$999="Yes",Expenses!H$3:H$999,Expenses!D$3:D$999)))</f>
        <v/>
      </c>
      <c r="P4" s="134">
        <f>SUM(B4:O4)</f>
        <v/>
      </c>
      <c r="Q4" s="20">
        <f>SUMPRODUCT((Income!D$3:D$502="GBP")*(MONTH(Income!A$3:A$502)=2)*(YEAR(Income!A$3:A$502)=2026)*(Income!A$3:A$502&lt;&gt;"")*Income!C$3:C$502)</f>
        <v/>
      </c>
      <c r="R4" s="134">
        <f>Q4-P4</f>
        <v/>
      </c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03" t="inlineStr">
        <is>
          <t>March 2026</t>
        </is>
      </c>
      <c r="B5" s="20">
        <f>SUMPRODUCT((Expenses!C$3:C$999="Rent")*(Expenses!E$3:E$999="GBP")*(MONTH(Expenses!A$3:A$999)=3)*(YEAR(Expenses!A$3:A$999)=2026)*(Expenses!A$3:A$999&lt;&gt;"")*(IF(Expenses!G$3:G$999="Yes",Expenses!H$3:H$999,Expenses!D$3:D$999)))</f>
        <v/>
      </c>
      <c r="C5" s="20">
        <f>SUMPRODUCT((Expenses!C$3:C$999="Transport")*(Expenses!E$3:E$999="GBP")*(MONTH(Expenses!A$3:A$999)=3)*(YEAR(Expenses!A$3:A$999)=2026)*(Expenses!A$3:A$999&lt;&gt;"")*(IF(Expenses!G$3:G$999="Yes",Expenses!H$3:H$999,Expenses!D$3:D$999)))</f>
        <v/>
      </c>
      <c r="D5" s="20">
        <f>SUMPRODUCT((Expenses!C$3:C$999="Travel")*(Expenses!E$3:E$999="GBP")*(MONTH(Expenses!A$3:A$999)=3)*(YEAR(Expenses!A$3:A$999)=2026)*(Expenses!A$3:A$999&lt;&gt;"")*(IF(Expenses!G$3:G$999="Yes",Expenses!H$3:H$999,Expenses!D$3:D$999)))</f>
        <v/>
      </c>
      <c r="E5" s="20">
        <f>SUMPRODUCT((Expenses!C$3:C$999="Shopping")*(Expenses!E$3:E$999="GBP")*(MONTH(Expenses!A$3:A$999)=3)*(YEAR(Expenses!A$3:A$999)=2026)*(Expenses!A$3:A$999&lt;&gt;"")*(IF(Expenses!G$3:G$999="Yes",Expenses!H$3:H$999,Expenses!D$3:D$999)))</f>
        <v/>
      </c>
      <c r="F5" s="20">
        <f>SUMPRODUCT((Expenses!C$3:C$999="Electronics")*(Expenses!E$3:E$999="GBP")*(MONTH(Expenses!A$3:A$999)=3)*(YEAR(Expenses!A$3:A$999)=2026)*(Expenses!A$3:A$999&lt;&gt;"")*(IF(Expenses!G$3:G$999="Yes",Expenses!H$3:H$999,Expenses!D$3:D$999)))</f>
        <v/>
      </c>
      <c r="G5" s="20">
        <f>SUMPRODUCT((Expenses!C$3:C$999="Subscriptions")*(Expenses!E$3:E$999="GBP")*(MONTH(Expenses!A$3:A$999)=3)*(YEAR(Expenses!A$3:A$999)=2026)*(Expenses!A$3:A$999&lt;&gt;"")*(IF(Expenses!G$3:G$999="Yes",Expenses!H$3:H$999,Expenses!D$3:D$999)))</f>
        <v/>
      </c>
      <c r="H5" s="20">
        <f>SUMPRODUCT((Expenses!C$3:C$999="Bills")*(Expenses!E$3:E$999="GBP")*(MONTH(Expenses!A$3:A$999)=3)*(YEAR(Expenses!A$3:A$999)=2026)*(Expenses!A$3:A$999&lt;&gt;"")*(IF(Expenses!G$3:G$999="Yes",Expenses!H$3:H$999,Expenses!D$3:D$999)))</f>
        <v/>
      </c>
      <c r="I5" s="20">
        <f>SUMPRODUCT((Expenses!C$3:C$999="Entertainment")*(Expenses!E$3:E$999="GBP")*(MONTH(Expenses!A$3:A$999)=3)*(YEAR(Expenses!A$3:A$999)=2026)*(Expenses!A$3:A$999&lt;&gt;"")*(IF(Expenses!G$3:G$999="Yes",Expenses!H$3:H$999,Expenses!D$3:D$999)))</f>
        <v/>
      </c>
      <c r="J5" s="20">
        <f>SUMPRODUCT((Expenses!C$3:C$999="Food and Drinks")*(Expenses!E$3:E$999="GBP")*(MONTH(Expenses!A$3:A$999)=3)*(YEAR(Expenses!A$3:A$999)=2026)*(Expenses!A$3:A$999&lt;&gt;"")*(IF(Expenses!G$3:G$999="Yes",Expenses!H$3:H$999,Expenses!D$3:D$999)))</f>
        <v/>
      </c>
      <c r="K5" s="20">
        <f>SUMPRODUCT((Expenses!C$3:C$999="Groceries")*(Expenses!E$3:E$999="GBP")*(MONTH(Expenses!A$3:A$999)=3)*(YEAR(Expenses!A$3:A$999)=2026)*(Expenses!A$3:A$999&lt;&gt;"")*(IF(Expenses!G$3:G$999="Yes",Expenses!H$3:H$999,Expenses!D$3:D$999)))</f>
        <v/>
      </c>
      <c r="L5" s="20">
        <f>SUMPRODUCT((Expenses!C$3:C$999="Others")*(Expenses!E$3:E$999="GBP")*(MONTH(Expenses!A$3:A$999)=3)*(YEAR(Expenses!A$3:A$999)=2026)*(Expenses!A$3:A$999&lt;&gt;"")*(IF(Expenses!G$3:G$999="Yes",Expenses!H$3:H$999,Expenses!D$3:D$999)))</f>
        <v/>
      </c>
      <c r="M5" s="20">
        <f>SUMPRODUCT((Expenses!C$3:C$999="Gifts")*(Expenses!E$3:E$999="GBP")*(MONTH(Expenses!A$3:A$999)=3)*(YEAR(Expenses!A$3:A$999)=2026)*(Expenses!A$3:A$999&lt;&gt;"")*(IF(Expenses!G$3:G$999="Yes",Expenses!H$3:H$999,Expenses!D$3:D$999)))</f>
        <v/>
      </c>
      <c r="N5" s="20">
        <f>SUMPRODUCT((Expenses!C$3:C$999="Donations")*(Expenses!E$3:E$999="GBP")*(MONTH(Expenses!A$3:A$999)=3)*(YEAR(Expenses!A$3:A$999)=2026)*(Expenses!A$3:A$999&lt;&gt;"")*(IF(Expenses!G$3:G$999="Yes",Expenses!H$3:H$999,Expenses!D$3:D$999)))</f>
        <v/>
      </c>
      <c r="O5" s="20">
        <f>SUMPRODUCT((Expenses!C$3:C$999="Investments")*(Expenses!E$3:E$999="GBP")*(MONTH(Expenses!A$3:A$999)=3)*(YEAR(Expenses!A$3:A$999)=2026)*(Expenses!A$3:A$999&lt;&gt;"")*(IF(Expenses!G$3:G$999="Yes",Expenses!H$3:H$999,Expenses!D$3:D$999)))</f>
        <v/>
      </c>
      <c r="P5" s="134">
        <f>SUM(B5:O5)</f>
        <v/>
      </c>
      <c r="Q5" s="20">
        <f>SUMPRODUCT((Income!D$3:D$502="GBP")*(MONTH(Income!A$3:A$502)=3)*(YEAR(Income!A$3:A$502)=2026)*(Income!A$3:A$502&lt;&gt;"")*Income!C$3:C$502)</f>
        <v/>
      </c>
      <c r="R5" s="134">
        <f>Q5-P5</f>
        <v/>
      </c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03" t="inlineStr">
        <is>
          <t>April 2026</t>
        </is>
      </c>
      <c r="B6" s="20">
        <f>SUMPRODUCT((Expenses!C$3:C$999="Rent")*(Expenses!E$3:E$999="GBP")*(MONTH(Expenses!A$3:A$999)=4)*(YEAR(Expenses!A$3:A$999)=2026)*(Expenses!A$3:A$999&lt;&gt;"")*(IF(Expenses!G$3:G$999="Yes",Expenses!H$3:H$999,Expenses!D$3:D$999)))</f>
        <v/>
      </c>
      <c r="C6" s="20">
        <f>SUMPRODUCT((Expenses!C$3:C$999="Transport")*(Expenses!E$3:E$999="GBP")*(MONTH(Expenses!A$3:A$999)=4)*(YEAR(Expenses!A$3:A$999)=2026)*(Expenses!A$3:A$999&lt;&gt;"")*(IF(Expenses!G$3:G$999="Yes",Expenses!H$3:H$999,Expenses!D$3:D$999)))</f>
        <v/>
      </c>
      <c r="D6" s="20">
        <f>SUMPRODUCT((Expenses!C$3:C$999="Travel")*(Expenses!E$3:E$999="GBP")*(MONTH(Expenses!A$3:A$999)=4)*(YEAR(Expenses!A$3:A$999)=2026)*(Expenses!A$3:A$999&lt;&gt;"")*(IF(Expenses!G$3:G$999="Yes",Expenses!H$3:H$999,Expenses!D$3:D$999)))</f>
        <v/>
      </c>
      <c r="E6" s="20">
        <f>SUMPRODUCT((Expenses!C$3:C$999="Shopping")*(Expenses!E$3:E$999="GBP")*(MONTH(Expenses!A$3:A$999)=4)*(YEAR(Expenses!A$3:A$999)=2026)*(Expenses!A$3:A$999&lt;&gt;"")*(IF(Expenses!G$3:G$999="Yes",Expenses!H$3:H$999,Expenses!D$3:D$999)))</f>
        <v/>
      </c>
      <c r="F6" s="20">
        <f>SUMPRODUCT((Expenses!C$3:C$999="Electronics")*(Expenses!E$3:E$999="GBP")*(MONTH(Expenses!A$3:A$999)=4)*(YEAR(Expenses!A$3:A$999)=2026)*(Expenses!A$3:A$999&lt;&gt;"")*(IF(Expenses!G$3:G$999="Yes",Expenses!H$3:H$999,Expenses!D$3:D$999)))</f>
        <v/>
      </c>
      <c r="G6" s="20">
        <f>SUMPRODUCT((Expenses!C$3:C$999="Subscriptions")*(Expenses!E$3:E$999="GBP")*(MONTH(Expenses!A$3:A$999)=4)*(YEAR(Expenses!A$3:A$999)=2026)*(Expenses!A$3:A$999&lt;&gt;"")*(IF(Expenses!G$3:G$999="Yes",Expenses!H$3:H$999,Expenses!D$3:D$999)))</f>
        <v/>
      </c>
      <c r="H6" s="20">
        <f>SUMPRODUCT((Expenses!C$3:C$999="Bills")*(Expenses!E$3:E$999="GBP")*(MONTH(Expenses!A$3:A$999)=4)*(YEAR(Expenses!A$3:A$999)=2026)*(Expenses!A$3:A$999&lt;&gt;"")*(IF(Expenses!G$3:G$999="Yes",Expenses!H$3:H$999,Expenses!D$3:D$999)))</f>
        <v/>
      </c>
      <c r="I6" s="20">
        <f>SUMPRODUCT((Expenses!C$3:C$999="Entertainment")*(Expenses!E$3:E$999="GBP")*(MONTH(Expenses!A$3:A$999)=4)*(YEAR(Expenses!A$3:A$999)=2026)*(Expenses!A$3:A$999&lt;&gt;"")*(IF(Expenses!G$3:G$999="Yes",Expenses!H$3:H$999,Expenses!D$3:D$999)))</f>
        <v/>
      </c>
      <c r="J6" s="20">
        <f>SUMPRODUCT((Expenses!C$3:C$999="Food and Drinks")*(Expenses!E$3:E$999="GBP")*(MONTH(Expenses!A$3:A$999)=4)*(YEAR(Expenses!A$3:A$999)=2026)*(Expenses!A$3:A$999&lt;&gt;"")*(IF(Expenses!G$3:G$999="Yes",Expenses!H$3:H$999,Expenses!D$3:D$999)))</f>
        <v/>
      </c>
      <c r="K6" s="20">
        <f>SUMPRODUCT((Expenses!C$3:C$999="Groceries")*(Expenses!E$3:E$999="GBP")*(MONTH(Expenses!A$3:A$999)=4)*(YEAR(Expenses!A$3:A$999)=2026)*(Expenses!A$3:A$999&lt;&gt;"")*(IF(Expenses!G$3:G$999="Yes",Expenses!H$3:H$999,Expenses!D$3:D$999)))</f>
        <v/>
      </c>
      <c r="L6" s="20">
        <f>SUMPRODUCT((Expenses!C$3:C$999="Others")*(Expenses!E$3:E$999="GBP")*(MONTH(Expenses!A$3:A$999)=4)*(YEAR(Expenses!A$3:A$999)=2026)*(Expenses!A$3:A$999&lt;&gt;"")*(IF(Expenses!G$3:G$999="Yes",Expenses!H$3:H$999,Expenses!D$3:D$999)))</f>
        <v/>
      </c>
      <c r="M6" s="20">
        <f>SUMPRODUCT((Expenses!C$3:C$999="Gifts")*(Expenses!E$3:E$999="GBP")*(MONTH(Expenses!A$3:A$999)=4)*(YEAR(Expenses!A$3:A$999)=2026)*(Expenses!A$3:A$999&lt;&gt;"")*(IF(Expenses!G$3:G$999="Yes",Expenses!H$3:H$999,Expenses!D$3:D$999)))</f>
        <v/>
      </c>
      <c r="N6" s="20">
        <f>SUMPRODUCT((Expenses!C$3:C$999="Donations")*(Expenses!E$3:E$999="GBP")*(MONTH(Expenses!A$3:A$999)=4)*(YEAR(Expenses!A$3:A$999)=2026)*(Expenses!A$3:A$999&lt;&gt;"")*(IF(Expenses!G$3:G$999="Yes",Expenses!H$3:H$999,Expenses!D$3:D$999)))</f>
        <v/>
      </c>
      <c r="O6" s="20">
        <f>SUMPRODUCT((Expenses!C$3:C$999="Investments")*(Expenses!E$3:E$999="GBP")*(MONTH(Expenses!A$3:A$999)=4)*(YEAR(Expenses!A$3:A$999)=2026)*(Expenses!A$3:A$999&lt;&gt;"")*(IF(Expenses!G$3:G$999="Yes",Expenses!H$3:H$999,Expenses!D$3:D$999)))</f>
        <v/>
      </c>
      <c r="P6" s="134">
        <f>SUM(B6:O6)</f>
        <v/>
      </c>
      <c r="Q6" s="20">
        <f>SUMPRODUCT((Income!D$3:D$502="GBP")*(MONTH(Income!A$3:A$502)=4)*(YEAR(Income!A$3:A$502)=2026)*(Income!A$3:A$502&lt;&gt;"")*Income!C$3:C$502)</f>
        <v/>
      </c>
      <c r="R6" s="134">
        <f>Q6-P6</f>
        <v/>
      </c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103" t="inlineStr">
        <is>
          <t>May 2026</t>
        </is>
      </c>
      <c r="B7" s="20">
        <f>SUMPRODUCT((Expenses!C$3:C$999="Rent")*(Expenses!E$3:E$999="GBP")*(MONTH(Expenses!A$3:A$999)=5)*(YEAR(Expenses!A$3:A$999)=2026)*(Expenses!A$3:A$999&lt;&gt;"")*(IF(Expenses!G$3:G$999="Yes",Expenses!H$3:H$999,Expenses!D$3:D$999)))</f>
        <v/>
      </c>
      <c r="C7" s="20">
        <f>SUMPRODUCT((Expenses!C$3:C$999="Transport")*(Expenses!E$3:E$999="GBP")*(MONTH(Expenses!A$3:A$999)=5)*(YEAR(Expenses!A$3:A$999)=2026)*(Expenses!A$3:A$999&lt;&gt;"")*(IF(Expenses!G$3:G$999="Yes",Expenses!H$3:H$999,Expenses!D$3:D$999)))</f>
        <v/>
      </c>
      <c r="D7" s="20">
        <f>SUMPRODUCT((Expenses!C$3:C$999="Travel")*(Expenses!E$3:E$999="GBP")*(MONTH(Expenses!A$3:A$999)=5)*(YEAR(Expenses!A$3:A$999)=2026)*(Expenses!A$3:A$999&lt;&gt;"")*(IF(Expenses!G$3:G$999="Yes",Expenses!H$3:H$999,Expenses!D$3:D$999)))</f>
        <v/>
      </c>
      <c r="E7" s="20">
        <f>SUMPRODUCT((Expenses!C$3:C$999="Shopping")*(Expenses!E$3:E$999="GBP")*(MONTH(Expenses!A$3:A$999)=5)*(YEAR(Expenses!A$3:A$999)=2026)*(Expenses!A$3:A$999&lt;&gt;"")*(IF(Expenses!G$3:G$999="Yes",Expenses!H$3:H$999,Expenses!D$3:D$999)))</f>
        <v/>
      </c>
      <c r="F7" s="20">
        <f>SUMPRODUCT((Expenses!C$3:C$999="Electronics")*(Expenses!E$3:E$999="GBP")*(MONTH(Expenses!A$3:A$999)=5)*(YEAR(Expenses!A$3:A$999)=2026)*(Expenses!A$3:A$999&lt;&gt;"")*(IF(Expenses!G$3:G$999="Yes",Expenses!H$3:H$999,Expenses!D$3:D$999)))</f>
        <v/>
      </c>
      <c r="G7" s="20">
        <f>SUMPRODUCT((Expenses!C$3:C$999="Subscriptions")*(Expenses!E$3:E$999="GBP")*(MONTH(Expenses!A$3:A$999)=5)*(YEAR(Expenses!A$3:A$999)=2026)*(Expenses!A$3:A$999&lt;&gt;"")*(IF(Expenses!G$3:G$999="Yes",Expenses!H$3:H$999,Expenses!D$3:D$999)))</f>
        <v/>
      </c>
      <c r="H7" s="20">
        <f>SUMPRODUCT((Expenses!C$3:C$999="Bills")*(Expenses!E$3:E$999="GBP")*(MONTH(Expenses!A$3:A$999)=5)*(YEAR(Expenses!A$3:A$999)=2026)*(Expenses!A$3:A$999&lt;&gt;"")*(IF(Expenses!G$3:G$999="Yes",Expenses!H$3:H$999,Expenses!D$3:D$999)))</f>
        <v/>
      </c>
      <c r="I7" s="20">
        <f>SUMPRODUCT((Expenses!C$3:C$999="Entertainment")*(Expenses!E$3:E$999="GBP")*(MONTH(Expenses!A$3:A$999)=5)*(YEAR(Expenses!A$3:A$999)=2026)*(Expenses!A$3:A$999&lt;&gt;"")*(IF(Expenses!G$3:G$999="Yes",Expenses!H$3:H$999,Expenses!D$3:D$999)))</f>
        <v/>
      </c>
      <c r="J7" s="20">
        <f>SUMPRODUCT((Expenses!C$3:C$999="Food and Drinks")*(Expenses!E$3:E$999="GBP")*(MONTH(Expenses!A$3:A$999)=5)*(YEAR(Expenses!A$3:A$999)=2026)*(Expenses!A$3:A$999&lt;&gt;"")*(IF(Expenses!G$3:G$999="Yes",Expenses!H$3:H$999,Expenses!D$3:D$999)))</f>
        <v/>
      </c>
      <c r="K7" s="20">
        <f>SUMPRODUCT((Expenses!C$3:C$999="Groceries")*(Expenses!E$3:E$999="GBP")*(MONTH(Expenses!A$3:A$999)=5)*(YEAR(Expenses!A$3:A$999)=2026)*(Expenses!A$3:A$999&lt;&gt;"")*(IF(Expenses!G$3:G$999="Yes",Expenses!H$3:H$999,Expenses!D$3:D$999)))</f>
        <v/>
      </c>
      <c r="L7" s="20">
        <f>SUMPRODUCT((Expenses!C$3:C$999="Others")*(Expenses!E$3:E$999="GBP")*(MONTH(Expenses!A$3:A$999)=5)*(YEAR(Expenses!A$3:A$999)=2026)*(Expenses!A$3:A$999&lt;&gt;"")*(IF(Expenses!G$3:G$999="Yes",Expenses!H$3:H$999,Expenses!D$3:D$999)))</f>
        <v/>
      </c>
      <c r="M7" s="20">
        <f>SUMPRODUCT((Expenses!C$3:C$999="Gifts")*(Expenses!E$3:E$999="GBP")*(MONTH(Expenses!A$3:A$999)=5)*(YEAR(Expenses!A$3:A$999)=2026)*(Expenses!A$3:A$999&lt;&gt;"")*(IF(Expenses!G$3:G$999="Yes",Expenses!H$3:H$999,Expenses!D$3:D$999)))</f>
        <v/>
      </c>
      <c r="N7" s="20">
        <f>SUMPRODUCT((Expenses!C$3:C$999="Donations")*(Expenses!E$3:E$999="GBP")*(MONTH(Expenses!A$3:A$999)=5)*(YEAR(Expenses!A$3:A$999)=2026)*(Expenses!A$3:A$999&lt;&gt;"")*(IF(Expenses!G$3:G$999="Yes",Expenses!H$3:H$999,Expenses!D$3:D$999)))</f>
        <v/>
      </c>
      <c r="O7" s="20">
        <f>SUMPRODUCT((Expenses!C$3:C$999="Investments")*(Expenses!E$3:E$999="GBP")*(MONTH(Expenses!A$3:A$999)=5)*(YEAR(Expenses!A$3:A$999)=2026)*(Expenses!A$3:A$999&lt;&gt;"")*(IF(Expenses!G$3:G$999="Yes",Expenses!H$3:H$999,Expenses!D$3:D$999)))</f>
        <v/>
      </c>
      <c r="P7" s="134">
        <f>SUM(B7:O7)</f>
        <v/>
      </c>
      <c r="Q7" s="20">
        <f>SUMPRODUCT((Income!D$3:D$502="GBP")*(MONTH(Income!A$3:A$502)=5)*(YEAR(Income!A$3:A$502)=2026)*(Income!A$3:A$502&lt;&gt;"")*Income!C$3:C$502)</f>
        <v/>
      </c>
      <c r="R7" s="134">
        <f>Q7-P7</f>
        <v/>
      </c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03" t="inlineStr">
        <is>
          <t>June 2026</t>
        </is>
      </c>
      <c r="B8" s="20">
        <f>SUMPRODUCT((Expenses!C$3:C$999="Rent")*(Expenses!E$3:E$999="GBP")*(MONTH(Expenses!A$3:A$999)=6)*(YEAR(Expenses!A$3:A$999)=2026)*(Expenses!A$3:A$999&lt;&gt;"")*(IF(Expenses!G$3:G$999="Yes",Expenses!H$3:H$999,Expenses!D$3:D$999)))</f>
        <v/>
      </c>
      <c r="C8" s="20">
        <f>SUMPRODUCT((Expenses!C$3:C$999="Transport")*(Expenses!E$3:E$999="GBP")*(MONTH(Expenses!A$3:A$999)=6)*(YEAR(Expenses!A$3:A$999)=2026)*(Expenses!A$3:A$999&lt;&gt;"")*(IF(Expenses!G$3:G$999="Yes",Expenses!H$3:H$999,Expenses!D$3:D$999)))</f>
        <v/>
      </c>
      <c r="D8" s="20">
        <f>SUMPRODUCT((Expenses!C$3:C$999="Travel")*(Expenses!E$3:E$999="GBP")*(MONTH(Expenses!A$3:A$999)=6)*(YEAR(Expenses!A$3:A$999)=2026)*(Expenses!A$3:A$999&lt;&gt;"")*(IF(Expenses!G$3:G$999="Yes",Expenses!H$3:H$999,Expenses!D$3:D$999)))</f>
        <v/>
      </c>
      <c r="E8" s="20">
        <f>SUMPRODUCT((Expenses!C$3:C$999="Shopping")*(Expenses!E$3:E$999="GBP")*(MONTH(Expenses!A$3:A$999)=6)*(YEAR(Expenses!A$3:A$999)=2026)*(Expenses!A$3:A$999&lt;&gt;"")*(IF(Expenses!G$3:G$999="Yes",Expenses!H$3:H$999,Expenses!D$3:D$999)))</f>
        <v/>
      </c>
      <c r="F8" s="20">
        <f>SUMPRODUCT((Expenses!C$3:C$999="Electronics")*(Expenses!E$3:E$999="GBP")*(MONTH(Expenses!A$3:A$999)=6)*(YEAR(Expenses!A$3:A$999)=2026)*(Expenses!A$3:A$999&lt;&gt;"")*(IF(Expenses!G$3:G$999="Yes",Expenses!H$3:H$999,Expenses!D$3:D$999)))</f>
        <v/>
      </c>
      <c r="G8" s="20">
        <f>SUMPRODUCT((Expenses!C$3:C$999="Subscriptions")*(Expenses!E$3:E$999="GBP")*(MONTH(Expenses!A$3:A$999)=6)*(YEAR(Expenses!A$3:A$999)=2026)*(Expenses!A$3:A$999&lt;&gt;"")*(IF(Expenses!G$3:G$999="Yes",Expenses!H$3:H$999,Expenses!D$3:D$999)))</f>
        <v/>
      </c>
      <c r="H8" s="20">
        <f>SUMPRODUCT((Expenses!C$3:C$999="Bills")*(Expenses!E$3:E$999="GBP")*(MONTH(Expenses!A$3:A$999)=6)*(YEAR(Expenses!A$3:A$999)=2026)*(Expenses!A$3:A$999&lt;&gt;"")*(IF(Expenses!G$3:G$999="Yes",Expenses!H$3:H$999,Expenses!D$3:D$999)))</f>
        <v/>
      </c>
      <c r="I8" s="20">
        <f>SUMPRODUCT((Expenses!C$3:C$999="Entertainment")*(Expenses!E$3:E$999="GBP")*(MONTH(Expenses!A$3:A$999)=6)*(YEAR(Expenses!A$3:A$999)=2026)*(Expenses!A$3:A$999&lt;&gt;"")*(IF(Expenses!G$3:G$999="Yes",Expenses!H$3:H$999,Expenses!D$3:D$999)))</f>
        <v/>
      </c>
      <c r="J8" s="20">
        <f>SUMPRODUCT((Expenses!C$3:C$999="Food and Drinks")*(Expenses!E$3:E$999="GBP")*(MONTH(Expenses!A$3:A$999)=6)*(YEAR(Expenses!A$3:A$999)=2026)*(Expenses!A$3:A$999&lt;&gt;"")*(IF(Expenses!G$3:G$999="Yes",Expenses!H$3:H$999,Expenses!D$3:D$999)))</f>
        <v/>
      </c>
      <c r="K8" s="20">
        <f>SUMPRODUCT((Expenses!C$3:C$999="Groceries")*(Expenses!E$3:E$999="GBP")*(MONTH(Expenses!A$3:A$999)=6)*(YEAR(Expenses!A$3:A$999)=2026)*(Expenses!A$3:A$999&lt;&gt;"")*(IF(Expenses!G$3:G$999="Yes",Expenses!H$3:H$999,Expenses!D$3:D$999)))</f>
        <v/>
      </c>
      <c r="L8" s="20">
        <f>SUMPRODUCT((Expenses!C$3:C$999="Others")*(Expenses!E$3:E$999="GBP")*(MONTH(Expenses!A$3:A$999)=6)*(YEAR(Expenses!A$3:A$999)=2026)*(Expenses!A$3:A$999&lt;&gt;"")*(IF(Expenses!G$3:G$999="Yes",Expenses!H$3:H$999,Expenses!D$3:D$999)))</f>
        <v/>
      </c>
      <c r="M8" s="20">
        <f>SUMPRODUCT((Expenses!C$3:C$999="Gifts")*(Expenses!E$3:E$999="GBP")*(MONTH(Expenses!A$3:A$999)=6)*(YEAR(Expenses!A$3:A$999)=2026)*(Expenses!A$3:A$999&lt;&gt;"")*(IF(Expenses!G$3:G$999="Yes",Expenses!H$3:H$999,Expenses!D$3:D$999)))</f>
        <v/>
      </c>
      <c r="N8" s="20">
        <f>SUMPRODUCT((Expenses!C$3:C$999="Donations")*(Expenses!E$3:E$999="GBP")*(MONTH(Expenses!A$3:A$999)=6)*(YEAR(Expenses!A$3:A$999)=2026)*(Expenses!A$3:A$999&lt;&gt;"")*(IF(Expenses!G$3:G$999="Yes",Expenses!H$3:H$999,Expenses!D$3:D$999)))</f>
        <v/>
      </c>
      <c r="O8" s="20">
        <f>SUMPRODUCT((Expenses!C$3:C$999="Investments")*(Expenses!E$3:E$999="GBP")*(MONTH(Expenses!A$3:A$999)=6)*(YEAR(Expenses!A$3:A$999)=2026)*(Expenses!A$3:A$999&lt;&gt;"")*(IF(Expenses!G$3:G$999="Yes",Expenses!H$3:H$999,Expenses!D$3:D$999)))</f>
        <v/>
      </c>
      <c r="P8" s="134">
        <f>SUM(B8:O8)</f>
        <v/>
      </c>
      <c r="Q8" s="20">
        <f>SUMPRODUCT((Income!D$3:D$502="GBP")*(MONTH(Income!A$3:A$502)=6)*(YEAR(Income!A$3:A$502)=2026)*(Income!A$3:A$502&lt;&gt;"")*Income!C$3:C$502)</f>
        <v/>
      </c>
      <c r="R8" s="134">
        <f>Q8-P8</f>
        <v/>
      </c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03" t="inlineStr">
        <is>
          <t>July 2026</t>
        </is>
      </c>
      <c r="B9" s="20">
        <f>SUMPRODUCT((Expenses!C$3:C$999="Rent")*(Expenses!E$3:E$999="GBP")*(MONTH(Expenses!A$3:A$999)=7)*(YEAR(Expenses!A$3:A$999)=2026)*(Expenses!A$3:A$999&lt;&gt;"")*(IF(Expenses!G$3:G$999="Yes",Expenses!H$3:H$999,Expenses!D$3:D$999)))</f>
        <v/>
      </c>
      <c r="C9" s="20">
        <f>SUMPRODUCT((Expenses!C$3:C$999="Transport")*(Expenses!E$3:E$999="GBP")*(MONTH(Expenses!A$3:A$999)=7)*(YEAR(Expenses!A$3:A$999)=2026)*(Expenses!A$3:A$999&lt;&gt;"")*(IF(Expenses!G$3:G$999="Yes",Expenses!H$3:H$999,Expenses!D$3:D$999)))</f>
        <v/>
      </c>
      <c r="D9" s="20">
        <f>SUMPRODUCT((Expenses!C$3:C$999="Travel")*(Expenses!E$3:E$999="GBP")*(MONTH(Expenses!A$3:A$999)=7)*(YEAR(Expenses!A$3:A$999)=2026)*(Expenses!A$3:A$999&lt;&gt;"")*(IF(Expenses!G$3:G$999="Yes",Expenses!H$3:H$999,Expenses!D$3:D$999)))</f>
        <v/>
      </c>
      <c r="E9" s="20">
        <f>SUMPRODUCT((Expenses!C$3:C$999="Shopping")*(Expenses!E$3:E$999="GBP")*(MONTH(Expenses!A$3:A$999)=7)*(YEAR(Expenses!A$3:A$999)=2026)*(Expenses!A$3:A$999&lt;&gt;"")*(IF(Expenses!G$3:G$999="Yes",Expenses!H$3:H$999,Expenses!D$3:D$999)))</f>
        <v/>
      </c>
      <c r="F9" s="20">
        <f>SUMPRODUCT((Expenses!C$3:C$999="Electronics")*(Expenses!E$3:E$999="GBP")*(MONTH(Expenses!A$3:A$999)=7)*(YEAR(Expenses!A$3:A$999)=2026)*(Expenses!A$3:A$999&lt;&gt;"")*(IF(Expenses!G$3:G$999="Yes",Expenses!H$3:H$999,Expenses!D$3:D$999)))</f>
        <v/>
      </c>
      <c r="G9" s="20">
        <f>SUMPRODUCT((Expenses!C$3:C$999="Subscriptions")*(Expenses!E$3:E$999="GBP")*(MONTH(Expenses!A$3:A$999)=7)*(YEAR(Expenses!A$3:A$999)=2026)*(Expenses!A$3:A$999&lt;&gt;"")*(IF(Expenses!G$3:G$999="Yes",Expenses!H$3:H$999,Expenses!D$3:D$999)))</f>
        <v/>
      </c>
      <c r="H9" s="20">
        <f>SUMPRODUCT((Expenses!C$3:C$999="Bills")*(Expenses!E$3:E$999="GBP")*(MONTH(Expenses!A$3:A$999)=7)*(YEAR(Expenses!A$3:A$999)=2026)*(Expenses!A$3:A$999&lt;&gt;"")*(IF(Expenses!G$3:G$999="Yes",Expenses!H$3:H$999,Expenses!D$3:D$999)))</f>
        <v/>
      </c>
      <c r="I9" s="20">
        <f>SUMPRODUCT((Expenses!C$3:C$999="Entertainment")*(Expenses!E$3:E$999="GBP")*(MONTH(Expenses!A$3:A$999)=7)*(YEAR(Expenses!A$3:A$999)=2026)*(Expenses!A$3:A$999&lt;&gt;"")*(IF(Expenses!G$3:G$999="Yes",Expenses!H$3:H$999,Expenses!D$3:D$999)))</f>
        <v/>
      </c>
      <c r="J9" s="20">
        <f>SUMPRODUCT((Expenses!C$3:C$999="Food and Drinks")*(Expenses!E$3:E$999="GBP")*(MONTH(Expenses!A$3:A$999)=7)*(YEAR(Expenses!A$3:A$999)=2026)*(Expenses!A$3:A$999&lt;&gt;"")*(IF(Expenses!G$3:G$999="Yes",Expenses!H$3:H$999,Expenses!D$3:D$999)))</f>
        <v/>
      </c>
      <c r="K9" s="20">
        <f>SUMPRODUCT((Expenses!C$3:C$999="Groceries")*(Expenses!E$3:E$999="GBP")*(MONTH(Expenses!A$3:A$999)=7)*(YEAR(Expenses!A$3:A$999)=2026)*(Expenses!A$3:A$999&lt;&gt;"")*(IF(Expenses!G$3:G$999="Yes",Expenses!H$3:H$999,Expenses!D$3:D$999)))</f>
        <v/>
      </c>
      <c r="L9" s="20">
        <f>SUMPRODUCT((Expenses!C$3:C$999="Others")*(Expenses!E$3:E$999="GBP")*(MONTH(Expenses!A$3:A$999)=7)*(YEAR(Expenses!A$3:A$999)=2026)*(Expenses!A$3:A$999&lt;&gt;"")*(IF(Expenses!G$3:G$999="Yes",Expenses!H$3:H$999,Expenses!D$3:D$999)))</f>
        <v/>
      </c>
      <c r="M9" s="20">
        <f>SUMPRODUCT((Expenses!C$3:C$999="Gifts")*(Expenses!E$3:E$999="GBP")*(MONTH(Expenses!A$3:A$999)=7)*(YEAR(Expenses!A$3:A$999)=2026)*(Expenses!A$3:A$999&lt;&gt;"")*(IF(Expenses!G$3:G$999="Yes",Expenses!H$3:H$999,Expenses!D$3:D$999)))</f>
        <v/>
      </c>
      <c r="N9" s="20">
        <f>SUMPRODUCT((Expenses!C$3:C$999="Donations")*(Expenses!E$3:E$999="GBP")*(MONTH(Expenses!A$3:A$999)=7)*(YEAR(Expenses!A$3:A$999)=2026)*(Expenses!A$3:A$999&lt;&gt;"")*(IF(Expenses!G$3:G$999="Yes",Expenses!H$3:H$999,Expenses!D$3:D$999)))</f>
        <v/>
      </c>
      <c r="O9" s="20">
        <f>SUMPRODUCT((Expenses!C$3:C$999="Investments")*(Expenses!E$3:E$999="GBP")*(MONTH(Expenses!A$3:A$999)=7)*(YEAR(Expenses!A$3:A$999)=2026)*(Expenses!A$3:A$999&lt;&gt;"")*(IF(Expenses!G$3:G$999="Yes",Expenses!H$3:H$999,Expenses!D$3:D$999)))</f>
        <v/>
      </c>
      <c r="P9" s="134">
        <f>SUM(B9:O9)</f>
        <v/>
      </c>
      <c r="Q9" s="20">
        <f>SUMPRODUCT((Income!D$3:D$502="GBP")*(MONTH(Income!A$3:A$502)=7)*(YEAR(Income!A$3:A$502)=2026)*(Income!A$3:A$502&lt;&gt;"")*Income!C$3:C$502)</f>
        <v/>
      </c>
      <c r="R9" s="134">
        <f>Q9-P9</f>
        <v/>
      </c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103" t="inlineStr">
        <is>
          <t>August 2026</t>
        </is>
      </c>
      <c r="B10" s="20">
        <f>SUMPRODUCT((Expenses!C$3:C$999="Rent")*(Expenses!E$3:E$999="GBP")*(MONTH(Expenses!A$3:A$999)=8)*(YEAR(Expenses!A$3:A$999)=2026)*(Expenses!A$3:A$999&lt;&gt;"")*(IF(Expenses!G$3:G$999="Yes",Expenses!H$3:H$999,Expenses!D$3:D$999)))</f>
        <v/>
      </c>
      <c r="C10" s="20">
        <f>SUMPRODUCT((Expenses!C$3:C$999="Transport")*(Expenses!E$3:E$999="GBP")*(MONTH(Expenses!A$3:A$999)=8)*(YEAR(Expenses!A$3:A$999)=2026)*(Expenses!A$3:A$999&lt;&gt;"")*(IF(Expenses!G$3:G$999="Yes",Expenses!H$3:H$999,Expenses!D$3:D$999)))</f>
        <v/>
      </c>
      <c r="D10" s="20">
        <f>SUMPRODUCT((Expenses!C$3:C$999="Travel")*(Expenses!E$3:E$999="GBP")*(MONTH(Expenses!A$3:A$999)=8)*(YEAR(Expenses!A$3:A$999)=2026)*(Expenses!A$3:A$999&lt;&gt;"")*(IF(Expenses!G$3:G$999="Yes",Expenses!H$3:H$999,Expenses!D$3:D$999)))</f>
        <v/>
      </c>
      <c r="E10" s="20">
        <f>SUMPRODUCT((Expenses!C$3:C$999="Shopping")*(Expenses!E$3:E$999="GBP")*(MONTH(Expenses!A$3:A$999)=8)*(YEAR(Expenses!A$3:A$999)=2026)*(Expenses!A$3:A$999&lt;&gt;"")*(IF(Expenses!G$3:G$999="Yes",Expenses!H$3:H$999,Expenses!D$3:D$999)))</f>
        <v/>
      </c>
      <c r="F10" s="20">
        <f>SUMPRODUCT((Expenses!C$3:C$999="Electronics")*(Expenses!E$3:E$999="GBP")*(MONTH(Expenses!A$3:A$999)=8)*(YEAR(Expenses!A$3:A$999)=2026)*(Expenses!A$3:A$999&lt;&gt;"")*(IF(Expenses!G$3:G$999="Yes",Expenses!H$3:H$999,Expenses!D$3:D$999)))</f>
        <v/>
      </c>
      <c r="G10" s="20">
        <f>SUMPRODUCT((Expenses!C$3:C$999="Subscriptions")*(Expenses!E$3:E$999="GBP")*(MONTH(Expenses!A$3:A$999)=8)*(YEAR(Expenses!A$3:A$999)=2026)*(Expenses!A$3:A$999&lt;&gt;"")*(IF(Expenses!G$3:G$999="Yes",Expenses!H$3:H$999,Expenses!D$3:D$999)))</f>
        <v/>
      </c>
      <c r="H10" s="20">
        <f>SUMPRODUCT((Expenses!C$3:C$999="Bills")*(Expenses!E$3:E$999="GBP")*(MONTH(Expenses!A$3:A$999)=8)*(YEAR(Expenses!A$3:A$999)=2026)*(Expenses!A$3:A$999&lt;&gt;"")*(IF(Expenses!G$3:G$999="Yes",Expenses!H$3:H$999,Expenses!D$3:D$999)))</f>
        <v/>
      </c>
      <c r="I10" s="20">
        <f>SUMPRODUCT((Expenses!C$3:C$999="Entertainment")*(Expenses!E$3:E$999="GBP")*(MONTH(Expenses!A$3:A$999)=8)*(YEAR(Expenses!A$3:A$999)=2026)*(Expenses!A$3:A$999&lt;&gt;"")*(IF(Expenses!G$3:G$999="Yes",Expenses!H$3:H$999,Expenses!D$3:D$999)))</f>
        <v/>
      </c>
      <c r="J10" s="20">
        <f>SUMPRODUCT((Expenses!C$3:C$999="Food and Drinks")*(Expenses!E$3:E$999="GBP")*(MONTH(Expenses!A$3:A$999)=8)*(YEAR(Expenses!A$3:A$999)=2026)*(Expenses!A$3:A$999&lt;&gt;"")*(IF(Expenses!G$3:G$999="Yes",Expenses!H$3:H$999,Expenses!D$3:D$999)))</f>
        <v/>
      </c>
      <c r="K10" s="20">
        <f>SUMPRODUCT((Expenses!C$3:C$999="Groceries")*(Expenses!E$3:E$999="GBP")*(MONTH(Expenses!A$3:A$999)=8)*(YEAR(Expenses!A$3:A$999)=2026)*(Expenses!A$3:A$999&lt;&gt;"")*(IF(Expenses!G$3:G$999="Yes",Expenses!H$3:H$999,Expenses!D$3:D$999)))</f>
        <v/>
      </c>
      <c r="L10" s="20">
        <f>SUMPRODUCT((Expenses!C$3:C$999="Others")*(Expenses!E$3:E$999="GBP")*(MONTH(Expenses!A$3:A$999)=8)*(YEAR(Expenses!A$3:A$999)=2026)*(Expenses!A$3:A$999&lt;&gt;"")*(IF(Expenses!G$3:G$999="Yes",Expenses!H$3:H$999,Expenses!D$3:D$999)))</f>
        <v/>
      </c>
      <c r="M10" s="20">
        <f>SUMPRODUCT((Expenses!C$3:C$999="Gifts")*(Expenses!E$3:E$999="GBP")*(MONTH(Expenses!A$3:A$999)=8)*(YEAR(Expenses!A$3:A$999)=2026)*(Expenses!A$3:A$999&lt;&gt;"")*(IF(Expenses!G$3:G$999="Yes",Expenses!H$3:H$999,Expenses!D$3:D$999)))</f>
        <v/>
      </c>
      <c r="N10" s="20">
        <f>SUMPRODUCT((Expenses!C$3:C$999="Donations")*(Expenses!E$3:E$999="GBP")*(MONTH(Expenses!A$3:A$999)=8)*(YEAR(Expenses!A$3:A$999)=2026)*(Expenses!A$3:A$999&lt;&gt;"")*(IF(Expenses!G$3:G$999="Yes",Expenses!H$3:H$999,Expenses!D$3:D$999)))</f>
        <v/>
      </c>
      <c r="O10" s="20">
        <f>SUMPRODUCT((Expenses!C$3:C$999="Investments")*(Expenses!E$3:E$999="GBP")*(MONTH(Expenses!A$3:A$999)=8)*(YEAR(Expenses!A$3:A$999)=2026)*(Expenses!A$3:A$999&lt;&gt;"")*(IF(Expenses!G$3:G$999="Yes",Expenses!H$3:H$999,Expenses!D$3:D$999)))</f>
        <v/>
      </c>
      <c r="P10" s="134">
        <f>SUM(B10:O10)</f>
        <v/>
      </c>
      <c r="Q10" s="20">
        <f>SUMPRODUCT((Income!D$3:D$502="GBP")*(MONTH(Income!A$3:A$502)=8)*(YEAR(Income!A$3:A$502)=2026)*(Income!A$3:A$502&lt;&gt;"")*Income!C$3:C$502)</f>
        <v/>
      </c>
      <c r="R10" s="134">
        <f>Q10-P10</f>
        <v/>
      </c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103" t="inlineStr">
        <is>
          <t>September 2026</t>
        </is>
      </c>
      <c r="B11" s="20">
        <f>SUMPRODUCT((Expenses!C$3:C$999="Rent")*(Expenses!E$3:E$999="GBP")*(MONTH(Expenses!A$3:A$999)=9)*(YEAR(Expenses!A$3:A$999)=2026)*(Expenses!A$3:A$999&lt;&gt;"")*(IF(Expenses!G$3:G$999="Yes",Expenses!H$3:H$999,Expenses!D$3:D$999)))</f>
        <v/>
      </c>
      <c r="C11" s="20">
        <f>SUMPRODUCT((Expenses!C$3:C$999="Transport")*(Expenses!E$3:E$999="GBP")*(MONTH(Expenses!A$3:A$999)=9)*(YEAR(Expenses!A$3:A$999)=2026)*(Expenses!A$3:A$999&lt;&gt;"")*(IF(Expenses!G$3:G$999="Yes",Expenses!H$3:H$999,Expenses!D$3:D$999)))</f>
        <v/>
      </c>
      <c r="D11" s="20">
        <f>SUMPRODUCT((Expenses!C$3:C$999="Travel")*(Expenses!E$3:E$999="GBP")*(MONTH(Expenses!A$3:A$999)=9)*(YEAR(Expenses!A$3:A$999)=2026)*(Expenses!A$3:A$999&lt;&gt;"")*(IF(Expenses!G$3:G$999="Yes",Expenses!H$3:H$999,Expenses!D$3:D$999)))</f>
        <v/>
      </c>
      <c r="E11" s="20">
        <f>SUMPRODUCT((Expenses!C$3:C$999="Shopping")*(Expenses!E$3:E$999="GBP")*(MONTH(Expenses!A$3:A$999)=9)*(YEAR(Expenses!A$3:A$999)=2026)*(Expenses!A$3:A$999&lt;&gt;"")*(IF(Expenses!G$3:G$999="Yes",Expenses!H$3:H$999,Expenses!D$3:D$999)))</f>
        <v/>
      </c>
      <c r="F11" s="20">
        <f>SUMPRODUCT((Expenses!C$3:C$999="Electronics")*(Expenses!E$3:E$999="GBP")*(MONTH(Expenses!A$3:A$999)=9)*(YEAR(Expenses!A$3:A$999)=2026)*(Expenses!A$3:A$999&lt;&gt;"")*(IF(Expenses!G$3:G$999="Yes",Expenses!H$3:H$999,Expenses!D$3:D$999)))</f>
        <v/>
      </c>
      <c r="G11" s="20">
        <f>SUMPRODUCT((Expenses!C$3:C$999="Subscriptions")*(Expenses!E$3:E$999="GBP")*(MONTH(Expenses!A$3:A$999)=9)*(YEAR(Expenses!A$3:A$999)=2026)*(Expenses!A$3:A$999&lt;&gt;"")*(IF(Expenses!G$3:G$999="Yes",Expenses!H$3:H$999,Expenses!D$3:D$999)))</f>
        <v/>
      </c>
      <c r="H11" s="20">
        <f>SUMPRODUCT((Expenses!C$3:C$999="Bills")*(Expenses!E$3:E$999="GBP")*(MONTH(Expenses!A$3:A$999)=9)*(YEAR(Expenses!A$3:A$999)=2026)*(Expenses!A$3:A$999&lt;&gt;"")*(IF(Expenses!G$3:G$999="Yes",Expenses!H$3:H$999,Expenses!D$3:D$999)))</f>
        <v/>
      </c>
      <c r="I11" s="20">
        <f>SUMPRODUCT((Expenses!C$3:C$999="Entertainment")*(Expenses!E$3:E$999="GBP")*(MONTH(Expenses!A$3:A$999)=9)*(YEAR(Expenses!A$3:A$999)=2026)*(Expenses!A$3:A$999&lt;&gt;"")*(IF(Expenses!G$3:G$999="Yes",Expenses!H$3:H$999,Expenses!D$3:D$999)))</f>
        <v/>
      </c>
      <c r="J11" s="20">
        <f>SUMPRODUCT((Expenses!C$3:C$999="Food and Drinks")*(Expenses!E$3:E$999="GBP")*(MONTH(Expenses!A$3:A$999)=9)*(YEAR(Expenses!A$3:A$999)=2026)*(Expenses!A$3:A$999&lt;&gt;"")*(IF(Expenses!G$3:G$999="Yes",Expenses!H$3:H$999,Expenses!D$3:D$999)))</f>
        <v/>
      </c>
      <c r="K11" s="20">
        <f>SUMPRODUCT((Expenses!C$3:C$999="Groceries")*(Expenses!E$3:E$999="GBP")*(MONTH(Expenses!A$3:A$999)=9)*(YEAR(Expenses!A$3:A$999)=2026)*(Expenses!A$3:A$999&lt;&gt;"")*(IF(Expenses!G$3:G$999="Yes",Expenses!H$3:H$999,Expenses!D$3:D$999)))</f>
        <v/>
      </c>
      <c r="L11" s="20">
        <f>SUMPRODUCT((Expenses!C$3:C$999="Others")*(Expenses!E$3:E$999="GBP")*(MONTH(Expenses!A$3:A$999)=9)*(YEAR(Expenses!A$3:A$999)=2026)*(Expenses!A$3:A$999&lt;&gt;"")*(IF(Expenses!G$3:G$999="Yes",Expenses!H$3:H$999,Expenses!D$3:D$999)))</f>
        <v/>
      </c>
      <c r="M11" s="20">
        <f>SUMPRODUCT((Expenses!C$3:C$999="Gifts")*(Expenses!E$3:E$999="GBP")*(MONTH(Expenses!A$3:A$999)=9)*(YEAR(Expenses!A$3:A$999)=2026)*(Expenses!A$3:A$999&lt;&gt;"")*(IF(Expenses!G$3:G$999="Yes",Expenses!H$3:H$999,Expenses!D$3:D$999)))</f>
        <v/>
      </c>
      <c r="N11" s="20">
        <f>SUMPRODUCT((Expenses!C$3:C$999="Donations")*(Expenses!E$3:E$999="GBP")*(MONTH(Expenses!A$3:A$999)=9)*(YEAR(Expenses!A$3:A$999)=2026)*(Expenses!A$3:A$999&lt;&gt;"")*(IF(Expenses!G$3:G$999="Yes",Expenses!H$3:H$999,Expenses!D$3:D$999)))</f>
        <v/>
      </c>
      <c r="O11" s="20">
        <f>SUMPRODUCT((Expenses!C$3:C$999="Investments")*(Expenses!E$3:E$999="GBP")*(MONTH(Expenses!A$3:A$999)=9)*(YEAR(Expenses!A$3:A$999)=2026)*(Expenses!A$3:A$999&lt;&gt;"")*(IF(Expenses!G$3:G$999="Yes",Expenses!H$3:H$999,Expenses!D$3:D$999)))</f>
        <v/>
      </c>
      <c r="P11" s="134">
        <f>SUM(B11:O11)</f>
        <v/>
      </c>
      <c r="Q11" s="20">
        <f>SUMPRODUCT((Income!D$3:D$502="GBP")*(MONTH(Income!A$3:A$502)=9)*(YEAR(Income!A$3:A$502)=2026)*(Income!A$3:A$502&lt;&gt;"")*Income!C$3:C$502)</f>
        <v/>
      </c>
      <c r="R11" s="134">
        <f>Q11-P11</f>
        <v/>
      </c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03" t="inlineStr">
        <is>
          <t>October 2026</t>
        </is>
      </c>
      <c r="B12" s="20">
        <f>SUMPRODUCT((Expenses!C$3:C$999="Rent")*(Expenses!E$3:E$999="GBP")*(MONTH(Expenses!A$3:A$999)=10)*(YEAR(Expenses!A$3:A$999)=2026)*(Expenses!A$3:A$999&lt;&gt;"")*(IF(Expenses!G$3:G$999="Yes",Expenses!H$3:H$999,Expenses!D$3:D$999)))</f>
        <v/>
      </c>
      <c r="C12" s="20">
        <f>SUMPRODUCT((Expenses!C$3:C$999="Transport")*(Expenses!E$3:E$999="GBP")*(MONTH(Expenses!A$3:A$999)=10)*(YEAR(Expenses!A$3:A$999)=2026)*(Expenses!A$3:A$999&lt;&gt;"")*(IF(Expenses!G$3:G$999="Yes",Expenses!H$3:H$999,Expenses!D$3:D$999)))</f>
        <v/>
      </c>
      <c r="D12" s="20">
        <f>SUMPRODUCT((Expenses!C$3:C$999="Travel")*(Expenses!E$3:E$999="GBP")*(MONTH(Expenses!A$3:A$999)=10)*(YEAR(Expenses!A$3:A$999)=2026)*(Expenses!A$3:A$999&lt;&gt;"")*(IF(Expenses!G$3:G$999="Yes",Expenses!H$3:H$999,Expenses!D$3:D$999)))</f>
        <v/>
      </c>
      <c r="E12" s="20">
        <f>SUMPRODUCT((Expenses!C$3:C$999="Shopping")*(Expenses!E$3:E$999="GBP")*(MONTH(Expenses!A$3:A$999)=10)*(YEAR(Expenses!A$3:A$999)=2026)*(Expenses!A$3:A$999&lt;&gt;"")*(IF(Expenses!G$3:G$999="Yes",Expenses!H$3:H$999,Expenses!D$3:D$999)))</f>
        <v/>
      </c>
      <c r="F12" s="20">
        <f>SUMPRODUCT((Expenses!C$3:C$999="Electronics")*(Expenses!E$3:E$999="GBP")*(MONTH(Expenses!A$3:A$999)=10)*(YEAR(Expenses!A$3:A$999)=2026)*(Expenses!A$3:A$999&lt;&gt;"")*(IF(Expenses!G$3:G$999="Yes",Expenses!H$3:H$999,Expenses!D$3:D$999)))</f>
        <v/>
      </c>
      <c r="G12" s="20">
        <f>SUMPRODUCT((Expenses!C$3:C$999="Subscriptions")*(Expenses!E$3:E$999="GBP")*(MONTH(Expenses!A$3:A$999)=10)*(YEAR(Expenses!A$3:A$999)=2026)*(Expenses!A$3:A$999&lt;&gt;"")*(IF(Expenses!G$3:G$999="Yes",Expenses!H$3:H$999,Expenses!D$3:D$999)))</f>
        <v/>
      </c>
      <c r="H12" s="20">
        <f>SUMPRODUCT((Expenses!C$3:C$999="Bills")*(Expenses!E$3:E$999="GBP")*(MONTH(Expenses!A$3:A$999)=10)*(YEAR(Expenses!A$3:A$999)=2026)*(Expenses!A$3:A$999&lt;&gt;"")*(IF(Expenses!G$3:G$999="Yes",Expenses!H$3:H$999,Expenses!D$3:D$999)))</f>
        <v/>
      </c>
      <c r="I12" s="20">
        <f>SUMPRODUCT((Expenses!C$3:C$999="Entertainment")*(Expenses!E$3:E$999="GBP")*(MONTH(Expenses!A$3:A$999)=10)*(YEAR(Expenses!A$3:A$999)=2026)*(Expenses!A$3:A$999&lt;&gt;"")*(IF(Expenses!G$3:G$999="Yes",Expenses!H$3:H$999,Expenses!D$3:D$999)))</f>
        <v/>
      </c>
      <c r="J12" s="20">
        <f>SUMPRODUCT((Expenses!C$3:C$999="Food and Drinks")*(Expenses!E$3:E$999="GBP")*(MONTH(Expenses!A$3:A$999)=10)*(YEAR(Expenses!A$3:A$999)=2026)*(Expenses!A$3:A$999&lt;&gt;"")*(IF(Expenses!G$3:G$999="Yes",Expenses!H$3:H$999,Expenses!D$3:D$999)))</f>
        <v/>
      </c>
      <c r="K12" s="20">
        <f>SUMPRODUCT((Expenses!C$3:C$999="Groceries")*(Expenses!E$3:E$999="GBP")*(MONTH(Expenses!A$3:A$999)=10)*(YEAR(Expenses!A$3:A$999)=2026)*(Expenses!A$3:A$999&lt;&gt;"")*(IF(Expenses!G$3:G$999="Yes",Expenses!H$3:H$999,Expenses!D$3:D$999)))</f>
        <v/>
      </c>
      <c r="L12" s="20">
        <f>SUMPRODUCT((Expenses!C$3:C$999="Others")*(Expenses!E$3:E$999="GBP")*(MONTH(Expenses!A$3:A$999)=10)*(YEAR(Expenses!A$3:A$999)=2026)*(Expenses!A$3:A$999&lt;&gt;"")*(IF(Expenses!G$3:G$999="Yes",Expenses!H$3:H$999,Expenses!D$3:D$999)))</f>
        <v/>
      </c>
      <c r="M12" s="20">
        <f>SUMPRODUCT((Expenses!C$3:C$999="Gifts")*(Expenses!E$3:E$999="GBP")*(MONTH(Expenses!A$3:A$999)=10)*(YEAR(Expenses!A$3:A$999)=2026)*(Expenses!A$3:A$999&lt;&gt;"")*(IF(Expenses!G$3:G$999="Yes",Expenses!H$3:H$999,Expenses!D$3:D$999)))</f>
        <v/>
      </c>
      <c r="N12" s="20">
        <f>SUMPRODUCT((Expenses!C$3:C$999="Donations")*(Expenses!E$3:E$999="GBP")*(MONTH(Expenses!A$3:A$999)=10)*(YEAR(Expenses!A$3:A$999)=2026)*(Expenses!A$3:A$999&lt;&gt;"")*(IF(Expenses!G$3:G$999="Yes",Expenses!H$3:H$999,Expenses!D$3:D$999)))</f>
        <v/>
      </c>
      <c r="O12" s="20">
        <f>SUMPRODUCT((Expenses!C$3:C$999="Investments")*(Expenses!E$3:E$999="GBP")*(MONTH(Expenses!A$3:A$999)=10)*(YEAR(Expenses!A$3:A$999)=2026)*(Expenses!A$3:A$999&lt;&gt;"")*(IF(Expenses!G$3:G$999="Yes",Expenses!H$3:H$999,Expenses!D$3:D$999)))</f>
        <v/>
      </c>
      <c r="P12" s="134">
        <f>SUM(B12:O12)</f>
        <v/>
      </c>
      <c r="Q12" s="20">
        <f>SUMPRODUCT((Income!D$3:D$502="GBP")*(MONTH(Income!A$3:A$502)=10)*(YEAR(Income!A$3:A$502)=2026)*(Income!A$3:A$502&lt;&gt;"")*Income!C$3:C$502)</f>
        <v/>
      </c>
      <c r="R12" s="134">
        <f>Q12-P12</f>
        <v/>
      </c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103" t="inlineStr">
        <is>
          <t>November 2026</t>
        </is>
      </c>
      <c r="B13" s="20">
        <f>SUMPRODUCT((Expenses!C$3:C$999="Rent")*(Expenses!E$3:E$999="GBP")*(MONTH(Expenses!A$3:A$999)=11)*(YEAR(Expenses!A$3:A$999)=2026)*(Expenses!A$3:A$999&lt;&gt;"")*(IF(Expenses!G$3:G$999="Yes",Expenses!H$3:H$999,Expenses!D$3:D$999)))</f>
        <v/>
      </c>
      <c r="C13" s="20">
        <f>SUMPRODUCT((Expenses!C$3:C$999="Transport")*(Expenses!E$3:E$999="GBP")*(MONTH(Expenses!A$3:A$999)=11)*(YEAR(Expenses!A$3:A$999)=2026)*(Expenses!A$3:A$999&lt;&gt;"")*(IF(Expenses!G$3:G$999="Yes",Expenses!H$3:H$999,Expenses!D$3:D$999)))</f>
        <v/>
      </c>
      <c r="D13" s="20">
        <f>SUMPRODUCT((Expenses!C$3:C$999="Travel")*(Expenses!E$3:E$999="GBP")*(MONTH(Expenses!A$3:A$999)=11)*(YEAR(Expenses!A$3:A$999)=2026)*(Expenses!A$3:A$999&lt;&gt;"")*(IF(Expenses!G$3:G$999="Yes",Expenses!H$3:H$999,Expenses!D$3:D$999)))</f>
        <v/>
      </c>
      <c r="E13" s="20">
        <f>SUMPRODUCT((Expenses!C$3:C$999="Shopping")*(Expenses!E$3:E$999="GBP")*(MONTH(Expenses!A$3:A$999)=11)*(YEAR(Expenses!A$3:A$999)=2026)*(Expenses!A$3:A$999&lt;&gt;"")*(IF(Expenses!G$3:G$999="Yes",Expenses!H$3:H$999,Expenses!D$3:D$999)))</f>
        <v/>
      </c>
      <c r="F13" s="20">
        <f>SUMPRODUCT((Expenses!C$3:C$999="Electronics")*(Expenses!E$3:E$999="GBP")*(MONTH(Expenses!A$3:A$999)=11)*(YEAR(Expenses!A$3:A$999)=2026)*(Expenses!A$3:A$999&lt;&gt;"")*(IF(Expenses!G$3:G$999="Yes",Expenses!H$3:H$999,Expenses!D$3:D$999)))</f>
        <v/>
      </c>
      <c r="G13" s="20">
        <f>SUMPRODUCT((Expenses!C$3:C$999="Subscriptions")*(Expenses!E$3:E$999="GBP")*(MONTH(Expenses!A$3:A$999)=11)*(YEAR(Expenses!A$3:A$999)=2026)*(Expenses!A$3:A$999&lt;&gt;"")*(IF(Expenses!G$3:G$999="Yes",Expenses!H$3:H$999,Expenses!D$3:D$999)))</f>
        <v/>
      </c>
      <c r="H13" s="20">
        <f>SUMPRODUCT((Expenses!C$3:C$999="Bills")*(Expenses!E$3:E$999="GBP")*(MONTH(Expenses!A$3:A$999)=11)*(YEAR(Expenses!A$3:A$999)=2026)*(Expenses!A$3:A$999&lt;&gt;"")*(IF(Expenses!G$3:G$999="Yes",Expenses!H$3:H$999,Expenses!D$3:D$999)))</f>
        <v/>
      </c>
      <c r="I13" s="20">
        <f>SUMPRODUCT((Expenses!C$3:C$999="Entertainment")*(Expenses!E$3:E$999="GBP")*(MONTH(Expenses!A$3:A$999)=11)*(YEAR(Expenses!A$3:A$999)=2026)*(Expenses!A$3:A$999&lt;&gt;"")*(IF(Expenses!G$3:G$999="Yes",Expenses!H$3:H$999,Expenses!D$3:D$999)))</f>
        <v/>
      </c>
      <c r="J13" s="20">
        <f>SUMPRODUCT((Expenses!C$3:C$999="Food and Drinks")*(Expenses!E$3:E$999="GBP")*(MONTH(Expenses!A$3:A$999)=11)*(YEAR(Expenses!A$3:A$999)=2026)*(Expenses!A$3:A$999&lt;&gt;"")*(IF(Expenses!G$3:G$999="Yes",Expenses!H$3:H$999,Expenses!D$3:D$999)))</f>
        <v/>
      </c>
      <c r="K13" s="20">
        <f>SUMPRODUCT((Expenses!C$3:C$999="Groceries")*(Expenses!E$3:E$999="GBP")*(MONTH(Expenses!A$3:A$999)=11)*(YEAR(Expenses!A$3:A$999)=2026)*(Expenses!A$3:A$999&lt;&gt;"")*(IF(Expenses!G$3:G$999="Yes",Expenses!H$3:H$999,Expenses!D$3:D$999)))</f>
        <v/>
      </c>
      <c r="L13" s="20">
        <f>SUMPRODUCT((Expenses!C$3:C$999="Others")*(Expenses!E$3:E$999="GBP")*(MONTH(Expenses!A$3:A$999)=11)*(YEAR(Expenses!A$3:A$999)=2026)*(Expenses!A$3:A$999&lt;&gt;"")*(IF(Expenses!G$3:G$999="Yes",Expenses!H$3:H$999,Expenses!D$3:D$999)))</f>
        <v/>
      </c>
      <c r="M13" s="20">
        <f>SUMPRODUCT((Expenses!C$3:C$999="Gifts")*(Expenses!E$3:E$999="GBP")*(MONTH(Expenses!A$3:A$999)=11)*(YEAR(Expenses!A$3:A$999)=2026)*(Expenses!A$3:A$999&lt;&gt;"")*(IF(Expenses!G$3:G$999="Yes",Expenses!H$3:H$999,Expenses!D$3:D$999)))</f>
        <v/>
      </c>
      <c r="N13" s="20">
        <f>SUMPRODUCT((Expenses!C$3:C$999="Donations")*(Expenses!E$3:E$999="GBP")*(MONTH(Expenses!A$3:A$999)=11)*(YEAR(Expenses!A$3:A$999)=2026)*(Expenses!A$3:A$999&lt;&gt;"")*(IF(Expenses!G$3:G$999="Yes",Expenses!H$3:H$999,Expenses!D$3:D$999)))</f>
        <v/>
      </c>
      <c r="O13" s="20">
        <f>SUMPRODUCT((Expenses!C$3:C$999="Investments")*(Expenses!E$3:E$999="GBP")*(MONTH(Expenses!A$3:A$999)=11)*(YEAR(Expenses!A$3:A$999)=2026)*(Expenses!A$3:A$999&lt;&gt;"")*(IF(Expenses!G$3:G$999="Yes",Expenses!H$3:H$999,Expenses!D$3:D$999)))</f>
        <v/>
      </c>
      <c r="P13" s="134">
        <f>SUM(B13:O13)</f>
        <v/>
      </c>
      <c r="Q13" s="20">
        <f>SUMPRODUCT((Income!D$3:D$502="GBP")*(MONTH(Income!A$3:A$502)=11)*(YEAR(Income!A$3:A$502)=2026)*(Income!A$3:A$502&lt;&gt;"")*Income!C$3:C$502)</f>
        <v/>
      </c>
      <c r="R13" s="134">
        <f>Q13-P13</f>
        <v/>
      </c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103" t="inlineStr">
        <is>
          <t>December 2026</t>
        </is>
      </c>
      <c r="B14" s="20">
        <f>SUMPRODUCT((Expenses!C$3:C$999="Rent")*(Expenses!E$3:E$999="GBP")*(MONTH(Expenses!A$3:A$999)=12)*(YEAR(Expenses!A$3:A$999)=2026)*(Expenses!A$3:A$999&lt;&gt;"")*(IF(Expenses!G$3:G$999="Yes",Expenses!H$3:H$999,Expenses!D$3:D$999)))</f>
        <v/>
      </c>
      <c r="C14" s="20">
        <f>SUMPRODUCT((Expenses!C$3:C$999="Transport")*(Expenses!E$3:E$999="GBP")*(MONTH(Expenses!A$3:A$999)=12)*(YEAR(Expenses!A$3:A$999)=2026)*(Expenses!A$3:A$999&lt;&gt;"")*(IF(Expenses!G$3:G$999="Yes",Expenses!H$3:H$999,Expenses!D$3:D$999)))</f>
        <v/>
      </c>
      <c r="D14" s="20">
        <f>SUMPRODUCT((Expenses!C$3:C$999="Travel")*(Expenses!E$3:E$999="GBP")*(MONTH(Expenses!A$3:A$999)=12)*(YEAR(Expenses!A$3:A$999)=2026)*(Expenses!A$3:A$999&lt;&gt;"")*(IF(Expenses!G$3:G$999="Yes",Expenses!H$3:H$999,Expenses!D$3:D$999)))</f>
        <v/>
      </c>
      <c r="E14" s="20">
        <f>SUMPRODUCT((Expenses!C$3:C$999="Shopping")*(Expenses!E$3:E$999="GBP")*(MONTH(Expenses!A$3:A$999)=12)*(YEAR(Expenses!A$3:A$999)=2026)*(Expenses!A$3:A$999&lt;&gt;"")*(IF(Expenses!G$3:G$999="Yes",Expenses!H$3:H$999,Expenses!D$3:D$999)))</f>
        <v/>
      </c>
      <c r="F14" s="20">
        <f>SUMPRODUCT((Expenses!C$3:C$999="Electronics")*(Expenses!E$3:E$999="GBP")*(MONTH(Expenses!A$3:A$999)=12)*(YEAR(Expenses!A$3:A$999)=2026)*(Expenses!A$3:A$999&lt;&gt;"")*(IF(Expenses!G$3:G$999="Yes",Expenses!H$3:H$999,Expenses!D$3:D$999)))</f>
        <v/>
      </c>
      <c r="G14" s="20">
        <f>SUMPRODUCT((Expenses!C$3:C$999="Subscriptions")*(Expenses!E$3:E$999="GBP")*(MONTH(Expenses!A$3:A$999)=12)*(YEAR(Expenses!A$3:A$999)=2026)*(Expenses!A$3:A$999&lt;&gt;"")*(IF(Expenses!G$3:G$999="Yes",Expenses!H$3:H$999,Expenses!D$3:D$999)))</f>
        <v/>
      </c>
      <c r="H14" s="20">
        <f>SUMPRODUCT((Expenses!C$3:C$999="Bills")*(Expenses!E$3:E$999="GBP")*(MONTH(Expenses!A$3:A$999)=12)*(YEAR(Expenses!A$3:A$999)=2026)*(Expenses!A$3:A$999&lt;&gt;"")*(IF(Expenses!G$3:G$999="Yes",Expenses!H$3:H$999,Expenses!D$3:D$999)))</f>
        <v/>
      </c>
      <c r="I14" s="20">
        <f>SUMPRODUCT((Expenses!C$3:C$999="Entertainment")*(Expenses!E$3:E$999="GBP")*(MONTH(Expenses!A$3:A$999)=12)*(YEAR(Expenses!A$3:A$999)=2026)*(Expenses!A$3:A$999&lt;&gt;"")*(IF(Expenses!G$3:G$999="Yes",Expenses!H$3:H$999,Expenses!D$3:D$999)))</f>
        <v/>
      </c>
      <c r="J14" s="20">
        <f>SUMPRODUCT((Expenses!C$3:C$999="Food and Drinks")*(Expenses!E$3:E$999="GBP")*(MONTH(Expenses!A$3:A$999)=12)*(YEAR(Expenses!A$3:A$999)=2026)*(Expenses!A$3:A$999&lt;&gt;"")*(IF(Expenses!G$3:G$999="Yes",Expenses!H$3:H$999,Expenses!D$3:D$999)))</f>
        <v/>
      </c>
      <c r="K14" s="20">
        <f>SUMPRODUCT((Expenses!C$3:C$999="Groceries")*(Expenses!E$3:E$999="GBP")*(MONTH(Expenses!A$3:A$999)=12)*(YEAR(Expenses!A$3:A$999)=2026)*(Expenses!A$3:A$999&lt;&gt;"")*(IF(Expenses!G$3:G$999="Yes",Expenses!H$3:H$999,Expenses!D$3:D$999)))</f>
        <v/>
      </c>
      <c r="L14" s="20">
        <f>SUMPRODUCT((Expenses!C$3:C$999="Others")*(Expenses!E$3:E$999="GBP")*(MONTH(Expenses!A$3:A$999)=12)*(YEAR(Expenses!A$3:A$999)=2026)*(Expenses!A$3:A$999&lt;&gt;"")*(IF(Expenses!G$3:G$999="Yes",Expenses!H$3:H$999,Expenses!D$3:D$999)))</f>
        <v/>
      </c>
      <c r="M14" s="20">
        <f>SUMPRODUCT((Expenses!C$3:C$999="Gifts")*(Expenses!E$3:E$999="GBP")*(MONTH(Expenses!A$3:A$999)=12)*(YEAR(Expenses!A$3:A$999)=2026)*(Expenses!A$3:A$999&lt;&gt;"")*(IF(Expenses!G$3:G$999="Yes",Expenses!H$3:H$999,Expenses!D$3:D$999)))</f>
        <v/>
      </c>
      <c r="N14" s="20">
        <f>SUMPRODUCT((Expenses!C$3:C$999="Donations")*(Expenses!E$3:E$999="GBP")*(MONTH(Expenses!A$3:A$999)=12)*(YEAR(Expenses!A$3:A$999)=2026)*(Expenses!A$3:A$999&lt;&gt;"")*(IF(Expenses!G$3:G$999="Yes",Expenses!H$3:H$999,Expenses!D$3:D$999)))</f>
        <v/>
      </c>
      <c r="O14" s="20">
        <f>SUMPRODUCT((Expenses!C$3:C$999="Investments")*(Expenses!E$3:E$999="GBP")*(MONTH(Expenses!A$3:A$999)=12)*(YEAR(Expenses!A$3:A$999)=2026)*(Expenses!A$3:A$999&lt;&gt;"")*(IF(Expenses!G$3:G$999="Yes",Expenses!H$3:H$999,Expenses!D$3:D$999)))</f>
        <v/>
      </c>
      <c r="P14" s="134">
        <f>SUM(B14:O14)</f>
        <v/>
      </c>
      <c r="Q14" s="20">
        <f>SUMPRODUCT((Income!D$3:D$502="GBP")*(MONTH(Income!A$3:A$502)=12)*(YEAR(Income!A$3:A$502)=2026)*(Income!A$3:A$502&lt;&gt;"")*Income!C$3:C$502)</f>
        <v/>
      </c>
      <c r="R14" s="134">
        <f>Q14-P14</f>
        <v/>
      </c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136" t="inlineStr">
        <is>
          <t>Total</t>
        </is>
      </c>
      <c r="B16" s="137">
        <f>SUM(B3:B14)</f>
        <v/>
      </c>
      <c r="C16" s="137">
        <f>SUM(C3:C14)</f>
        <v/>
      </c>
      <c r="D16" s="137">
        <f>SUM(D3:D14)</f>
        <v/>
      </c>
      <c r="E16" s="137">
        <f>SUM(E3:E14)</f>
        <v/>
      </c>
      <c r="F16" s="137">
        <f>SUM(F3:F14)</f>
        <v/>
      </c>
      <c r="G16" s="137">
        <f>SUM(G3:G14)</f>
        <v/>
      </c>
      <c r="H16" s="137">
        <f>SUM(H3:H14)</f>
        <v/>
      </c>
      <c r="I16" s="137">
        <f>SUM(I3:I14)</f>
        <v/>
      </c>
      <c r="J16" s="137">
        <f>SUM(J3:J14)</f>
        <v/>
      </c>
      <c r="K16" s="137">
        <f>SUM(K3:K14)</f>
        <v/>
      </c>
      <c r="L16" s="137">
        <f>SUM(L3:L14)</f>
        <v/>
      </c>
      <c r="M16" s="137">
        <f>SUM(M3:M14)</f>
        <v/>
      </c>
      <c r="N16" s="137">
        <f>SUM(N3:N14)</f>
        <v/>
      </c>
      <c r="O16" s="137">
        <f>SUM(O3:O14)</f>
        <v/>
      </c>
      <c r="P16" s="137">
        <f>SUM(P3:P14)</f>
        <v/>
      </c>
      <c r="Q16" s="137">
        <f>SUM(Q3:Q14)</f>
        <v/>
      </c>
      <c r="R16" s="137">
        <f>SUM(R3:R14)</f>
        <v/>
      </c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13" t="inlineStr">
        <is>
          <t>Monthly Budget</t>
        </is>
      </c>
      <c r="B18" s="138" t="n">
        <v>385</v>
      </c>
      <c r="C18" s="138" t="n">
        <v>125</v>
      </c>
      <c r="D18" s="138" t="n">
        <v>100</v>
      </c>
      <c r="E18" s="138" t="n">
        <v>200</v>
      </c>
      <c r="F18" s="138" t="n">
        <v>100</v>
      </c>
      <c r="G18" s="138" t="n">
        <v>100</v>
      </c>
      <c r="H18" s="138" t="n">
        <v>100</v>
      </c>
      <c r="I18" s="138" t="n">
        <v>100</v>
      </c>
      <c r="J18" s="138" t="n">
        <v>150</v>
      </c>
      <c r="K18" s="138" t="n">
        <v>100</v>
      </c>
      <c r="L18" s="138" t="n"/>
      <c r="M18" s="138" t="n">
        <v>10</v>
      </c>
      <c r="N18" s="138" t="n">
        <v>10</v>
      </c>
      <c r="O18" s="138" t="n">
        <v>5</v>
      </c>
      <c r="P18" s="139">
        <f>SUM(B18:O18)</f>
        <v/>
      </c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68">
      <c r="A21" s="140" t="inlineStr">
        <is>
          <t>Yearly Breakdown</t>
        </is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6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6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6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6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6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6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6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6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6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6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6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6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6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6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6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6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6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6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6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6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6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6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6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6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6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6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6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6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6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6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6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6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6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6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6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6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6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6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6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6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6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6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6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6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6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6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6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6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6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6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6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6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6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6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6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6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6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6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6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6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6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6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6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6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6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6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6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6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6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6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6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6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6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6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6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6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6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6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6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6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6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6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6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6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6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6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6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6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6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6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6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6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6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6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6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6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6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6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6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6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6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6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6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6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6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6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6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6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6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6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6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6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6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6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6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6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6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6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6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6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6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6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6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6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6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6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6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6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6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6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6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6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6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6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6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6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6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6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6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6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6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6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6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6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6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6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6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6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6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6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6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6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6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6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6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6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6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6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6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6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6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6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6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6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6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6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6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6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6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6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6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6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6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6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6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6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6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6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6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6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6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6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6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6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6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6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6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6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6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6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6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6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6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6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6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6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6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6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6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6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6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6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6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6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6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6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6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6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6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6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6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6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6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6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6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6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6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6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6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6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6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6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6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6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6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6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6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6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6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6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6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6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6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6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6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6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6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6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6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6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6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6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6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6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6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6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6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6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6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6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6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6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6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6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6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6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6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6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6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6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6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6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6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6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6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6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6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6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6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6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6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6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6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6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6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6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6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6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6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6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6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6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6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6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6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6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6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6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6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6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6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6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6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6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6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6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6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6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6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6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6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6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6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6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6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6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6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6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6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6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6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6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6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6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6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6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6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6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6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6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6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6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6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6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6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6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6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6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6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6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6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6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6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6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6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6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6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6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6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6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6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6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6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6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6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6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6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6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6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6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6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6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6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6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6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6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6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6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6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6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6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6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6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6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6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6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6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6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6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6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6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6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6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6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6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6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6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6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6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6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6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6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6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6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6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6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6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6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6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6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6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6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6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6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6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6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6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6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6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6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6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6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6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6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6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6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6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6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6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6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6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6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6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6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6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6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6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6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6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6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6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6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6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6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6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6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6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6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6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6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6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6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6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6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6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6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6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6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6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6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6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6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6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6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6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6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6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6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6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6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6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6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6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6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6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6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6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6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6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6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6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6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6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6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6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6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6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6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6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6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6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6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6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6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6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6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6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6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6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6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6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6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6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6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6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6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6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6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6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6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6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6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6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6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6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6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6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6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6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6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6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6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6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6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6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6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6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6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6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6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6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6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6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6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6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6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6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6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6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6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6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6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6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6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6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6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6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6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6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6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6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6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6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6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6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6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6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6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6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6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6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6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6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6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6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6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6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6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6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6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6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6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6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6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6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6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6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6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6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6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6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6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6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6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6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6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6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6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6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6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6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6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6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6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6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6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6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6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6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6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6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6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6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6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6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6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6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6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6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6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6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6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6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6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6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6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6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6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6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6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6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6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6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6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6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6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6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6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6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6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6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6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6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6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6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6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6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6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6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6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6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6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6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6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6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6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6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6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6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6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6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6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6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6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6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6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6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6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6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6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6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6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6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6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6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6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6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6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6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6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6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6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6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6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6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6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6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6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6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6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6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6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6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6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6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6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6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6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6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6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6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6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6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6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6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6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6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6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6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6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6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6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6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6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6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6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6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6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6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6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6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6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6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6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6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6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6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6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6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6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6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6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6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6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6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6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6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6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6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6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6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6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6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6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6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6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6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6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6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6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6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6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6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6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6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6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6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6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6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6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6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6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6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6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6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6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6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6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6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6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6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6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6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6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6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6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6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6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6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6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6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6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6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6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6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6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6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6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6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6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6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6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6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6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6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6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6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6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6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6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6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6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6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6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6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6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6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6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6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6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6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6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6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6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6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6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6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6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6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6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6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6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6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6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6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6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6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6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6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6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6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6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6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6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6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6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6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6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6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6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6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6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6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6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6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6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6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6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6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6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6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6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6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6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6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6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6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6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6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6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6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6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6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6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6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6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6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6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6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6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6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6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6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6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6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6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6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6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6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6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6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6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6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6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6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6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6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6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6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6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6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6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6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6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6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6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6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6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6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6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6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6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6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6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6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6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6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6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6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6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6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6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6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6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6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6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6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6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6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6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6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6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6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6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6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6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6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6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6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6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6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6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6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6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6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6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6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6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6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6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6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6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6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6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6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6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6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6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6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6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6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6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6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6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6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6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6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6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6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6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6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6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6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6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6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6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6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6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6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6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6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6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6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6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6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6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6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6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6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6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6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6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6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6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6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6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6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6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6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6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6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6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6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6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6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6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6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6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6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2">
    <mergeCell ref="A21:H21"/>
    <mergeCell ref="A1:R1"/>
  </mergeCells>
  <conditionalFormatting sqref="B3:B14">
    <cfRule type="cellIs" priority="1" operator="lessThanOrEqual" dxfId="6">
      <formula>$B$18</formula>
    </cfRule>
    <cfRule type="cellIs" priority="2" operator="greaterThan" dxfId="7">
      <formula>$B$18</formula>
    </cfRule>
  </conditionalFormatting>
  <conditionalFormatting sqref="C3:C14">
    <cfRule type="cellIs" priority="3" operator="lessThanOrEqual" dxfId="6">
      <formula>$C$18</formula>
    </cfRule>
    <cfRule type="cellIs" priority="4" operator="greaterThan" dxfId="7">
      <formula>$C$18</formula>
    </cfRule>
  </conditionalFormatting>
  <conditionalFormatting sqref="D3:D14">
    <cfRule type="cellIs" priority="5" operator="lessThanOrEqual" dxfId="6">
      <formula>$D$18</formula>
    </cfRule>
    <cfRule type="cellIs" priority="6" operator="greaterThan" dxfId="7">
      <formula>$D$18</formula>
    </cfRule>
  </conditionalFormatting>
  <conditionalFormatting sqref="E3:E14">
    <cfRule type="cellIs" priority="7" operator="lessThanOrEqual" dxfId="6">
      <formula>$E$18</formula>
    </cfRule>
    <cfRule type="cellIs" priority="8" operator="greaterThan" dxfId="7">
      <formula>$E$18</formula>
    </cfRule>
  </conditionalFormatting>
  <conditionalFormatting sqref="F3:F14">
    <cfRule type="cellIs" priority="9" operator="lessThanOrEqual" dxfId="6">
      <formula>$F$18</formula>
    </cfRule>
    <cfRule type="cellIs" priority="10" operator="greaterThan" dxfId="7">
      <formula>$F$18</formula>
    </cfRule>
  </conditionalFormatting>
  <conditionalFormatting sqref="G3:G14">
    <cfRule type="cellIs" priority="11" operator="lessThanOrEqual" dxfId="6">
      <formula>$G$18</formula>
    </cfRule>
    <cfRule type="cellIs" priority="12" operator="greaterThan" dxfId="7">
      <formula>$G$18</formula>
    </cfRule>
  </conditionalFormatting>
  <conditionalFormatting sqref="H3:H14">
    <cfRule type="cellIs" priority="13" operator="lessThanOrEqual" dxfId="6">
      <formula>$H$18</formula>
    </cfRule>
    <cfRule type="cellIs" priority="14" operator="greaterThan" dxfId="7">
      <formula>$H$18</formula>
    </cfRule>
  </conditionalFormatting>
  <conditionalFormatting sqref="I3:I14">
    <cfRule type="cellIs" priority="15" operator="lessThanOrEqual" dxfId="6">
      <formula>$I$18</formula>
    </cfRule>
    <cfRule type="cellIs" priority="16" operator="greaterThan" dxfId="7">
      <formula>$I$18</formula>
    </cfRule>
  </conditionalFormatting>
  <conditionalFormatting sqref="J3:J14">
    <cfRule type="cellIs" priority="17" operator="lessThanOrEqual" dxfId="6">
      <formula>$J$18</formula>
    </cfRule>
    <cfRule type="cellIs" priority="18" operator="greaterThan" dxfId="7">
      <formula>$J$18</formula>
    </cfRule>
  </conditionalFormatting>
  <conditionalFormatting sqref="K3:K14">
    <cfRule type="cellIs" priority="19" operator="lessThanOrEqual" dxfId="6">
      <formula>$K$18</formula>
    </cfRule>
    <cfRule type="cellIs" priority="20" operator="greaterThan" dxfId="7">
      <formula>$K$18</formula>
    </cfRule>
  </conditionalFormatting>
  <conditionalFormatting sqref="L3:L14">
    <cfRule type="cellIs" priority="21" operator="lessThanOrEqual" dxfId="6">
      <formula>$L$18</formula>
    </cfRule>
    <cfRule type="cellIs" priority="22" operator="greaterThan" dxfId="7">
      <formula>$L$18</formula>
    </cfRule>
  </conditionalFormatting>
  <conditionalFormatting sqref="M3:M14">
    <cfRule type="cellIs" priority="23" operator="lessThanOrEqual" dxfId="6">
      <formula>$M$18</formula>
    </cfRule>
    <cfRule type="cellIs" priority="24" operator="greaterThan" dxfId="7">
      <formula>$M$18</formula>
    </cfRule>
  </conditionalFormatting>
  <conditionalFormatting sqref="N3:N14">
    <cfRule type="cellIs" priority="25" operator="lessThanOrEqual" dxfId="6">
      <formula>$N$18</formula>
    </cfRule>
    <cfRule type="cellIs" priority="26" operator="greaterThan" dxfId="7">
      <formula>$N$18</formula>
    </cfRule>
  </conditionalFormatting>
  <conditionalFormatting sqref="O3:O14">
    <cfRule type="cellIs" priority="27" operator="lessThanOrEqual" dxfId="6">
      <formula>$O$18</formula>
    </cfRule>
    <cfRule type="cellIs" priority="28" operator="greaterThan" dxfId="7">
      <formula>$O$18</formula>
    </cfRule>
  </conditionalFormatting>
  <conditionalFormatting sqref="R3:R14">
    <cfRule type="cellIs" priority="29" operator="lessThan" dxfId="7">
      <formula>0</formula>
    </cfRule>
    <cfRule type="cellIs" priority="30" operator="greaterThanOrEqual" dxfId="6">
      <formula>0</formula>
    </cfRule>
  </conditionalFormatting>
  <pageMargins left="0.75" right="0.75" top="1" bottom="1" header="0" footer="0"/>
  <pageSetup orientation="portrait" paperSize="9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FFFF660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8" customWidth="1" style="168" min="1" max="1"/>
    <col width="14" customWidth="1" style="168" min="2" max="15"/>
    <col width="18" customWidth="1" style="168" min="16" max="16"/>
    <col width="14" customWidth="1" style="168" min="17" max="17"/>
    <col width="16" customWidth="1" style="168" min="18" max="18"/>
  </cols>
  <sheetData>
    <row r="1">
      <c r="A1" s="101" t="inlineStr">
        <is>
          <t>MONTHLY OVERVIEW (INR)</t>
        </is>
      </c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35" t="inlineStr">
        <is>
          <t>Month</t>
        </is>
      </c>
      <c r="B2" s="135" t="inlineStr">
        <is>
          <t>Rent</t>
        </is>
      </c>
      <c r="C2" s="135" t="inlineStr">
        <is>
          <t>Transport</t>
        </is>
      </c>
      <c r="D2" s="135" t="inlineStr">
        <is>
          <t>Travel</t>
        </is>
      </c>
      <c r="E2" s="135" t="inlineStr">
        <is>
          <t>Shopping</t>
        </is>
      </c>
      <c r="F2" s="135" t="inlineStr">
        <is>
          <t>Electronics</t>
        </is>
      </c>
      <c r="G2" s="135" t="inlineStr">
        <is>
          <t>Subscriptions</t>
        </is>
      </c>
      <c r="H2" s="135" t="inlineStr">
        <is>
          <t>Bills</t>
        </is>
      </c>
      <c r="I2" s="135" t="inlineStr">
        <is>
          <t>Entertainment</t>
        </is>
      </c>
      <c r="J2" s="135" t="inlineStr">
        <is>
          <t>Food and Drinks</t>
        </is>
      </c>
      <c r="K2" s="135" t="inlineStr">
        <is>
          <t>Groceries</t>
        </is>
      </c>
      <c r="L2" s="135" t="inlineStr">
        <is>
          <t>Others</t>
        </is>
      </c>
      <c r="M2" s="135" t="inlineStr">
        <is>
          <t>Gifts</t>
        </is>
      </c>
      <c r="N2" s="135" t="inlineStr">
        <is>
          <t>Donations</t>
        </is>
      </c>
      <c r="O2" s="135" t="inlineStr">
        <is>
          <t>Investments</t>
        </is>
      </c>
      <c r="P2" s="135" t="inlineStr">
        <is>
          <t>Total Expenditure</t>
        </is>
      </c>
      <c r="Q2" s="135" t="inlineStr">
        <is>
          <t>Income</t>
        </is>
      </c>
      <c r="R2" s="135" t="inlineStr">
        <is>
          <t>Gross Savings</t>
        </is>
      </c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03" t="inlineStr">
        <is>
          <t>January 2026</t>
        </is>
      </c>
      <c r="B3" s="141">
        <f>SUMPRODUCT((Expenses!C$3:C$999="Rent")*(Expenses!E$3:E$999="INR")*(MONTH(Expenses!A$3:A$999)=1)*(YEAR(Expenses!A$3:A$999)=2026)*(Expenses!A$3:A$999&lt;&gt;"")*(IF(Expenses!G$3:G$999="Yes",Expenses!H$3:H$999,Expenses!D$3:D$999)))</f>
        <v/>
      </c>
      <c r="C3" s="141">
        <f>SUMPRODUCT((Expenses!C$3:C$999="Transport")*(Expenses!E$3:E$999="INR")*(MONTH(Expenses!A$3:A$999)=1)*(YEAR(Expenses!A$3:A$999)=2026)*(Expenses!A$3:A$999&lt;&gt;"")*(IF(Expenses!G$3:G$999="Yes",Expenses!H$3:H$999,Expenses!D$3:D$999)))</f>
        <v/>
      </c>
      <c r="D3" s="141">
        <f>SUMPRODUCT((Expenses!C$3:C$999="Travel")*(Expenses!E$3:E$999="INR")*(MONTH(Expenses!A$3:A$999)=1)*(YEAR(Expenses!A$3:A$999)=2026)*(Expenses!A$3:A$999&lt;&gt;"")*(IF(Expenses!G$3:G$999="Yes",Expenses!H$3:H$999,Expenses!D$3:D$999)))</f>
        <v/>
      </c>
      <c r="E3" s="141">
        <f>SUMPRODUCT((Expenses!C$3:C$999="Shopping")*(Expenses!E$3:E$999="INR")*(MONTH(Expenses!A$3:A$999)=1)*(YEAR(Expenses!A$3:A$999)=2026)*(Expenses!A$3:A$999&lt;&gt;"")*(IF(Expenses!G$3:G$999="Yes",Expenses!H$3:H$999,Expenses!D$3:D$999)))</f>
        <v/>
      </c>
      <c r="F3" s="141">
        <f>SUMPRODUCT((Expenses!C$3:C$999="Electronics")*(Expenses!E$3:E$999="INR")*(MONTH(Expenses!A$3:A$999)=1)*(YEAR(Expenses!A$3:A$999)=2026)*(Expenses!A$3:A$999&lt;&gt;"")*(IF(Expenses!G$3:G$999="Yes",Expenses!H$3:H$999,Expenses!D$3:D$999)))</f>
        <v/>
      </c>
      <c r="G3" s="141">
        <f>SUMPRODUCT((Expenses!C$3:C$999="Subscriptions")*(Expenses!E$3:E$999="INR")*(MONTH(Expenses!A$3:A$999)=1)*(YEAR(Expenses!A$3:A$999)=2026)*(Expenses!A$3:A$999&lt;&gt;"")*(IF(Expenses!G$3:G$999="Yes",Expenses!H$3:H$999,Expenses!D$3:D$999)))</f>
        <v/>
      </c>
      <c r="H3" s="141">
        <f>SUMPRODUCT((Expenses!C$3:C$999="Bills")*(Expenses!E$3:E$999="INR")*(MONTH(Expenses!A$3:A$999)=1)*(YEAR(Expenses!A$3:A$999)=2026)*(Expenses!A$3:A$999&lt;&gt;"")*(IF(Expenses!G$3:G$999="Yes",Expenses!H$3:H$999,Expenses!D$3:D$999)))</f>
        <v/>
      </c>
      <c r="I3" s="141">
        <f>SUMPRODUCT((Expenses!C$3:C$999="Entertainment")*(Expenses!E$3:E$999="INR")*(MONTH(Expenses!A$3:A$999)=1)*(YEAR(Expenses!A$3:A$999)=2026)*(Expenses!A$3:A$999&lt;&gt;"")*(IF(Expenses!G$3:G$999="Yes",Expenses!H$3:H$999,Expenses!D$3:D$999)))</f>
        <v/>
      </c>
      <c r="J3" s="141">
        <f>SUMPRODUCT((Expenses!C$3:C$999="Food and Drinks")*(Expenses!E$3:E$999="INR")*(MONTH(Expenses!A$3:A$999)=1)*(YEAR(Expenses!A$3:A$999)=2026)*(Expenses!A$3:A$999&lt;&gt;"")*(IF(Expenses!G$3:G$999="Yes",Expenses!H$3:H$999,Expenses!D$3:D$999)))</f>
        <v/>
      </c>
      <c r="K3" s="141">
        <f>SUMPRODUCT((Expenses!C$3:C$999="Groceries")*(Expenses!E$3:E$999="INR")*(MONTH(Expenses!A$3:A$999)=1)*(YEAR(Expenses!A$3:A$999)=2026)*(Expenses!A$3:A$999&lt;&gt;"")*(IF(Expenses!G$3:G$999="Yes",Expenses!H$3:H$999,Expenses!D$3:D$999)))</f>
        <v/>
      </c>
      <c r="L3" s="141">
        <f>SUMPRODUCT((Expenses!C$3:C$999="Others")*(Expenses!E$3:E$999="INR")*(MONTH(Expenses!A$3:A$999)=1)*(YEAR(Expenses!A$3:A$999)=2026)*(Expenses!A$3:A$999&lt;&gt;"")*(IF(Expenses!G$3:G$999="Yes",Expenses!H$3:H$999,Expenses!D$3:D$999)))</f>
        <v/>
      </c>
      <c r="M3" s="141">
        <f>SUMPRODUCT((Expenses!C$3:C$999="Gifts")*(Expenses!E$3:E$999="INR")*(MONTH(Expenses!A$3:A$999)=1)*(YEAR(Expenses!A$3:A$999)=2026)*(Expenses!A$3:A$999&lt;&gt;"")*(IF(Expenses!G$3:G$999="Yes",Expenses!H$3:H$999,Expenses!D$3:D$999)))</f>
        <v/>
      </c>
      <c r="N3" s="141">
        <f>SUMPRODUCT((Expenses!C$3:C$999="Donations")*(Expenses!E$3:E$999="INR")*(MONTH(Expenses!A$3:A$999)=1)*(YEAR(Expenses!A$3:A$999)=2026)*(Expenses!A$3:A$999&lt;&gt;"")*(IF(Expenses!G$3:G$999="Yes",Expenses!H$3:H$999,Expenses!D$3:D$999)))</f>
        <v/>
      </c>
      <c r="O3" s="141">
        <f>SUMPRODUCT((Expenses!C$3:C$999="Investments")*(Expenses!E$3:E$999="INR")*(MONTH(Expenses!A$3:A$999)=1)*(YEAR(Expenses!A$3:A$999)=2026)*(Expenses!A$3:A$999&lt;&gt;"")*(IF(Expenses!G$3:G$999="Yes",Expenses!H$3:H$999,Expenses!D$3:D$999)))</f>
        <v/>
      </c>
      <c r="P3" s="142">
        <f>SUM(B3:O3)</f>
        <v/>
      </c>
      <c r="Q3" s="141">
        <f>SUMPRODUCT((Income!D$3:D$502="INR")*(MONTH(Income!A$3:A$502)=1)*(YEAR(Income!A$3:A$502)=2026)*(Income!A$3:A$502&lt;&gt;"")*Income!C$3:C$502)</f>
        <v/>
      </c>
      <c r="R3" s="142">
        <f>Q3-P3</f>
        <v/>
      </c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03" t="inlineStr">
        <is>
          <t>February 2026</t>
        </is>
      </c>
      <c r="B4" s="141">
        <f>SUMPRODUCT((Expenses!C$3:C$999="Rent")*(Expenses!E$3:E$999="INR")*(MONTH(Expenses!A$3:A$999)=2)*(YEAR(Expenses!A$3:A$999)=2026)*(Expenses!A$3:A$999&lt;&gt;"")*(IF(Expenses!G$3:G$999="Yes",Expenses!H$3:H$999,Expenses!D$3:D$999)))</f>
        <v/>
      </c>
      <c r="C4" s="141">
        <f>SUMPRODUCT((Expenses!C$3:C$999="Transport")*(Expenses!E$3:E$999="INR")*(MONTH(Expenses!A$3:A$999)=2)*(YEAR(Expenses!A$3:A$999)=2026)*(Expenses!A$3:A$999&lt;&gt;"")*(IF(Expenses!G$3:G$999="Yes",Expenses!H$3:H$999,Expenses!D$3:D$999)))</f>
        <v/>
      </c>
      <c r="D4" s="141">
        <f>SUMPRODUCT((Expenses!C$3:C$999="Travel")*(Expenses!E$3:E$999="INR")*(MONTH(Expenses!A$3:A$999)=2)*(YEAR(Expenses!A$3:A$999)=2026)*(Expenses!A$3:A$999&lt;&gt;"")*(IF(Expenses!G$3:G$999="Yes",Expenses!H$3:H$999,Expenses!D$3:D$999)))</f>
        <v/>
      </c>
      <c r="E4" s="141">
        <f>SUMPRODUCT((Expenses!C$3:C$999="Shopping")*(Expenses!E$3:E$999="INR")*(MONTH(Expenses!A$3:A$999)=2)*(YEAR(Expenses!A$3:A$999)=2026)*(Expenses!A$3:A$999&lt;&gt;"")*(IF(Expenses!G$3:G$999="Yes",Expenses!H$3:H$999,Expenses!D$3:D$999)))</f>
        <v/>
      </c>
      <c r="F4" s="141">
        <f>SUMPRODUCT((Expenses!C$3:C$999="Electronics")*(Expenses!E$3:E$999="INR")*(MONTH(Expenses!A$3:A$999)=2)*(YEAR(Expenses!A$3:A$999)=2026)*(Expenses!A$3:A$999&lt;&gt;"")*(IF(Expenses!G$3:G$999="Yes",Expenses!H$3:H$999,Expenses!D$3:D$999)))</f>
        <v/>
      </c>
      <c r="G4" s="141">
        <f>SUMPRODUCT((Expenses!C$3:C$999="Subscriptions")*(Expenses!E$3:E$999="INR")*(MONTH(Expenses!A$3:A$999)=2)*(YEAR(Expenses!A$3:A$999)=2026)*(Expenses!A$3:A$999&lt;&gt;"")*(IF(Expenses!G$3:G$999="Yes",Expenses!H$3:H$999,Expenses!D$3:D$999)))</f>
        <v/>
      </c>
      <c r="H4" s="141">
        <f>SUMPRODUCT((Expenses!C$3:C$999="Bills")*(Expenses!E$3:E$999="INR")*(MONTH(Expenses!A$3:A$999)=2)*(YEAR(Expenses!A$3:A$999)=2026)*(Expenses!A$3:A$999&lt;&gt;"")*(IF(Expenses!G$3:G$999="Yes",Expenses!H$3:H$999,Expenses!D$3:D$999)))</f>
        <v/>
      </c>
      <c r="I4" s="141">
        <f>SUMPRODUCT((Expenses!C$3:C$999="Entertainment")*(Expenses!E$3:E$999="INR")*(MONTH(Expenses!A$3:A$999)=2)*(YEAR(Expenses!A$3:A$999)=2026)*(Expenses!A$3:A$999&lt;&gt;"")*(IF(Expenses!G$3:G$999="Yes",Expenses!H$3:H$999,Expenses!D$3:D$999)))</f>
        <v/>
      </c>
      <c r="J4" s="141">
        <f>SUMPRODUCT((Expenses!C$3:C$999="Food and Drinks")*(Expenses!E$3:E$999="INR")*(MONTH(Expenses!A$3:A$999)=2)*(YEAR(Expenses!A$3:A$999)=2026)*(Expenses!A$3:A$999&lt;&gt;"")*(IF(Expenses!G$3:G$999="Yes",Expenses!H$3:H$999,Expenses!D$3:D$999)))</f>
        <v/>
      </c>
      <c r="K4" s="141">
        <f>SUMPRODUCT((Expenses!C$3:C$999="Groceries")*(Expenses!E$3:E$999="INR")*(MONTH(Expenses!A$3:A$999)=2)*(YEAR(Expenses!A$3:A$999)=2026)*(Expenses!A$3:A$999&lt;&gt;"")*(IF(Expenses!G$3:G$999="Yes",Expenses!H$3:H$999,Expenses!D$3:D$999)))</f>
        <v/>
      </c>
      <c r="L4" s="141">
        <f>SUMPRODUCT((Expenses!C$3:C$999="Others")*(Expenses!E$3:E$999="INR")*(MONTH(Expenses!A$3:A$999)=2)*(YEAR(Expenses!A$3:A$999)=2026)*(Expenses!A$3:A$999&lt;&gt;"")*(IF(Expenses!G$3:G$999="Yes",Expenses!H$3:H$999,Expenses!D$3:D$999)))</f>
        <v/>
      </c>
      <c r="M4" s="141">
        <f>SUMPRODUCT((Expenses!C$3:C$999="Gifts")*(Expenses!E$3:E$999="INR")*(MONTH(Expenses!A$3:A$999)=2)*(YEAR(Expenses!A$3:A$999)=2026)*(Expenses!A$3:A$999&lt;&gt;"")*(IF(Expenses!G$3:G$999="Yes",Expenses!H$3:H$999,Expenses!D$3:D$999)))</f>
        <v/>
      </c>
      <c r="N4" s="141">
        <f>SUMPRODUCT((Expenses!C$3:C$999="Donations")*(Expenses!E$3:E$999="INR")*(MONTH(Expenses!A$3:A$999)=2)*(YEAR(Expenses!A$3:A$999)=2026)*(Expenses!A$3:A$999&lt;&gt;"")*(IF(Expenses!G$3:G$999="Yes",Expenses!H$3:H$999,Expenses!D$3:D$999)))</f>
        <v/>
      </c>
      <c r="O4" s="141">
        <f>SUMPRODUCT((Expenses!C$3:C$999="Investments")*(Expenses!E$3:E$999="INR")*(MONTH(Expenses!A$3:A$999)=2)*(YEAR(Expenses!A$3:A$999)=2026)*(Expenses!A$3:A$999&lt;&gt;"")*(IF(Expenses!G$3:G$999="Yes",Expenses!H$3:H$999,Expenses!D$3:D$999)))</f>
        <v/>
      </c>
      <c r="P4" s="142">
        <f>SUM(B4:O4)</f>
        <v/>
      </c>
      <c r="Q4" s="141">
        <f>SUMPRODUCT((Income!D$3:D$502="INR")*(MONTH(Income!A$3:A$502)=2)*(YEAR(Income!A$3:A$502)=2026)*(Income!A$3:A$502&lt;&gt;"")*Income!C$3:C$502)</f>
        <v/>
      </c>
      <c r="R4" s="142">
        <f>Q4-P4</f>
        <v/>
      </c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03" t="inlineStr">
        <is>
          <t>March 2026</t>
        </is>
      </c>
      <c r="B5" s="141">
        <f>SUMPRODUCT((Expenses!C$3:C$999="Rent")*(Expenses!E$3:E$999="INR")*(MONTH(Expenses!A$3:A$999)=3)*(YEAR(Expenses!A$3:A$999)=2026)*(Expenses!A$3:A$999&lt;&gt;"")*(IF(Expenses!G$3:G$999="Yes",Expenses!H$3:H$999,Expenses!D$3:D$999)))</f>
        <v/>
      </c>
      <c r="C5" s="141">
        <f>SUMPRODUCT((Expenses!C$3:C$999="Transport")*(Expenses!E$3:E$999="INR")*(MONTH(Expenses!A$3:A$999)=3)*(YEAR(Expenses!A$3:A$999)=2026)*(Expenses!A$3:A$999&lt;&gt;"")*(IF(Expenses!G$3:G$999="Yes",Expenses!H$3:H$999,Expenses!D$3:D$999)))</f>
        <v/>
      </c>
      <c r="D5" s="141">
        <f>SUMPRODUCT((Expenses!C$3:C$999="Travel")*(Expenses!E$3:E$999="INR")*(MONTH(Expenses!A$3:A$999)=3)*(YEAR(Expenses!A$3:A$999)=2026)*(Expenses!A$3:A$999&lt;&gt;"")*(IF(Expenses!G$3:G$999="Yes",Expenses!H$3:H$999,Expenses!D$3:D$999)))</f>
        <v/>
      </c>
      <c r="E5" s="141">
        <f>SUMPRODUCT((Expenses!C$3:C$999="Shopping")*(Expenses!E$3:E$999="INR")*(MONTH(Expenses!A$3:A$999)=3)*(YEAR(Expenses!A$3:A$999)=2026)*(Expenses!A$3:A$999&lt;&gt;"")*(IF(Expenses!G$3:G$999="Yes",Expenses!H$3:H$999,Expenses!D$3:D$999)))</f>
        <v/>
      </c>
      <c r="F5" s="141">
        <f>SUMPRODUCT((Expenses!C$3:C$999="Electronics")*(Expenses!E$3:E$999="INR")*(MONTH(Expenses!A$3:A$999)=3)*(YEAR(Expenses!A$3:A$999)=2026)*(Expenses!A$3:A$999&lt;&gt;"")*(IF(Expenses!G$3:G$999="Yes",Expenses!H$3:H$999,Expenses!D$3:D$999)))</f>
        <v/>
      </c>
      <c r="G5" s="141">
        <f>SUMPRODUCT((Expenses!C$3:C$999="Subscriptions")*(Expenses!E$3:E$999="INR")*(MONTH(Expenses!A$3:A$999)=3)*(YEAR(Expenses!A$3:A$999)=2026)*(Expenses!A$3:A$999&lt;&gt;"")*(IF(Expenses!G$3:G$999="Yes",Expenses!H$3:H$999,Expenses!D$3:D$999)))</f>
        <v/>
      </c>
      <c r="H5" s="141">
        <f>SUMPRODUCT((Expenses!C$3:C$999="Bills")*(Expenses!E$3:E$999="INR")*(MONTH(Expenses!A$3:A$999)=3)*(YEAR(Expenses!A$3:A$999)=2026)*(Expenses!A$3:A$999&lt;&gt;"")*(IF(Expenses!G$3:G$999="Yes",Expenses!H$3:H$999,Expenses!D$3:D$999)))</f>
        <v/>
      </c>
      <c r="I5" s="141">
        <f>SUMPRODUCT((Expenses!C$3:C$999="Entertainment")*(Expenses!E$3:E$999="INR")*(MONTH(Expenses!A$3:A$999)=3)*(YEAR(Expenses!A$3:A$999)=2026)*(Expenses!A$3:A$999&lt;&gt;"")*(IF(Expenses!G$3:G$999="Yes",Expenses!H$3:H$999,Expenses!D$3:D$999)))</f>
        <v/>
      </c>
      <c r="J5" s="141">
        <f>SUMPRODUCT((Expenses!C$3:C$999="Food and Drinks")*(Expenses!E$3:E$999="INR")*(MONTH(Expenses!A$3:A$999)=3)*(YEAR(Expenses!A$3:A$999)=2026)*(Expenses!A$3:A$999&lt;&gt;"")*(IF(Expenses!G$3:G$999="Yes",Expenses!H$3:H$999,Expenses!D$3:D$999)))</f>
        <v/>
      </c>
      <c r="K5" s="141">
        <f>SUMPRODUCT((Expenses!C$3:C$999="Groceries")*(Expenses!E$3:E$999="INR")*(MONTH(Expenses!A$3:A$999)=3)*(YEAR(Expenses!A$3:A$999)=2026)*(Expenses!A$3:A$999&lt;&gt;"")*(IF(Expenses!G$3:G$999="Yes",Expenses!H$3:H$999,Expenses!D$3:D$999)))</f>
        <v/>
      </c>
      <c r="L5" s="141">
        <f>SUMPRODUCT((Expenses!C$3:C$999="Others")*(Expenses!E$3:E$999="INR")*(MONTH(Expenses!A$3:A$999)=3)*(YEAR(Expenses!A$3:A$999)=2026)*(Expenses!A$3:A$999&lt;&gt;"")*(IF(Expenses!G$3:G$999="Yes",Expenses!H$3:H$999,Expenses!D$3:D$999)))</f>
        <v/>
      </c>
      <c r="M5" s="141">
        <f>SUMPRODUCT((Expenses!C$3:C$999="Gifts")*(Expenses!E$3:E$999="INR")*(MONTH(Expenses!A$3:A$999)=3)*(YEAR(Expenses!A$3:A$999)=2026)*(Expenses!A$3:A$999&lt;&gt;"")*(IF(Expenses!G$3:G$999="Yes",Expenses!H$3:H$999,Expenses!D$3:D$999)))</f>
        <v/>
      </c>
      <c r="N5" s="141">
        <f>SUMPRODUCT((Expenses!C$3:C$999="Donations")*(Expenses!E$3:E$999="INR")*(MONTH(Expenses!A$3:A$999)=3)*(YEAR(Expenses!A$3:A$999)=2026)*(Expenses!A$3:A$999&lt;&gt;"")*(IF(Expenses!G$3:G$999="Yes",Expenses!H$3:H$999,Expenses!D$3:D$999)))</f>
        <v/>
      </c>
      <c r="O5" s="141">
        <f>SUMPRODUCT((Expenses!C$3:C$999="Investments")*(Expenses!E$3:E$999="INR")*(MONTH(Expenses!A$3:A$999)=3)*(YEAR(Expenses!A$3:A$999)=2026)*(Expenses!A$3:A$999&lt;&gt;"")*(IF(Expenses!G$3:G$999="Yes",Expenses!H$3:H$999,Expenses!D$3:D$999)))</f>
        <v/>
      </c>
      <c r="P5" s="142">
        <f>SUM(B5:O5)</f>
        <v/>
      </c>
      <c r="Q5" s="141">
        <f>SUMPRODUCT((Income!D$3:D$502="INR")*(MONTH(Income!A$3:A$502)=3)*(YEAR(Income!A$3:A$502)=2026)*(Income!A$3:A$502&lt;&gt;"")*Income!C$3:C$502)</f>
        <v/>
      </c>
      <c r="R5" s="142">
        <f>Q5-P5</f>
        <v/>
      </c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03" t="inlineStr">
        <is>
          <t>April 2026</t>
        </is>
      </c>
      <c r="B6" s="141">
        <f>SUMPRODUCT((Expenses!C$3:C$999="Rent")*(Expenses!E$3:E$999="INR")*(MONTH(Expenses!A$3:A$999)=4)*(YEAR(Expenses!A$3:A$999)=2026)*(Expenses!A$3:A$999&lt;&gt;"")*(IF(Expenses!G$3:G$999="Yes",Expenses!H$3:H$999,Expenses!D$3:D$999)))</f>
        <v/>
      </c>
      <c r="C6" s="141">
        <f>SUMPRODUCT((Expenses!C$3:C$999="Transport")*(Expenses!E$3:E$999="INR")*(MONTH(Expenses!A$3:A$999)=4)*(YEAR(Expenses!A$3:A$999)=2026)*(Expenses!A$3:A$999&lt;&gt;"")*(IF(Expenses!G$3:G$999="Yes",Expenses!H$3:H$999,Expenses!D$3:D$999)))</f>
        <v/>
      </c>
      <c r="D6" s="141">
        <f>SUMPRODUCT((Expenses!C$3:C$999="Travel")*(Expenses!E$3:E$999="INR")*(MONTH(Expenses!A$3:A$999)=4)*(YEAR(Expenses!A$3:A$999)=2026)*(Expenses!A$3:A$999&lt;&gt;"")*(IF(Expenses!G$3:G$999="Yes",Expenses!H$3:H$999,Expenses!D$3:D$999)))</f>
        <v/>
      </c>
      <c r="E6" s="141">
        <f>SUMPRODUCT((Expenses!C$3:C$999="Shopping")*(Expenses!E$3:E$999="INR")*(MONTH(Expenses!A$3:A$999)=4)*(YEAR(Expenses!A$3:A$999)=2026)*(Expenses!A$3:A$999&lt;&gt;"")*(IF(Expenses!G$3:G$999="Yes",Expenses!H$3:H$999,Expenses!D$3:D$999)))</f>
        <v/>
      </c>
      <c r="F6" s="141">
        <f>SUMPRODUCT((Expenses!C$3:C$999="Electronics")*(Expenses!E$3:E$999="INR")*(MONTH(Expenses!A$3:A$999)=4)*(YEAR(Expenses!A$3:A$999)=2026)*(Expenses!A$3:A$999&lt;&gt;"")*(IF(Expenses!G$3:G$999="Yes",Expenses!H$3:H$999,Expenses!D$3:D$999)))</f>
        <v/>
      </c>
      <c r="G6" s="141">
        <f>SUMPRODUCT((Expenses!C$3:C$999="Subscriptions")*(Expenses!E$3:E$999="INR")*(MONTH(Expenses!A$3:A$999)=4)*(YEAR(Expenses!A$3:A$999)=2026)*(Expenses!A$3:A$999&lt;&gt;"")*(IF(Expenses!G$3:G$999="Yes",Expenses!H$3:H$999,Expenses!D$3:D$999)))</f>
        <v/>
      </c>
      <c r="H6" s="141">
        <f>SUMPRODUCT((Expenses!C$3:C$999="Bills")*(Expenses!E$3:E$999="INR")*(MONTH(Expenses!A$3:A$999)=4)*(YEAR(Expenses!A$3:A$999)=2026)*(Expenses!A$3:A$999&lt;&gt;"")*(IF(Expenses!G$3:G$999="Yes",Expenses!H$3:H$999,Expenses!D$3:D$999)))</f>
        <v/>
      </c>
      <c r="I6" s="141">
        <f>SUMPRODUCT((Expenses!C$3:C$999="Entertainment")*(Expenses!E$3:E$999="INR")*(MONTH(Expenses!A$3:A$999)=4)*(YEAR(Expenses!A$3:A$999)=2026)*(Expenses!A$3:A$999&lt;&gt;"")*(IF(Expenses!G$3:G$999="Yes",Expenses!H$3:H$999,Expenses!D$3:D$999)))</f>
        <v/>
      </c>
      <c r="J6" s="141">
        <f>SUMPRODUCT((Expenses!C$3:C$999="Food and Drinks")*(Expenses!E$3:E$999="INR")*(MONTH(Expenses!A$3:A$999)=4)*(YEAR(Expenses!A$3:A$999)=2026)*(Expenses!A$3:A$999&lt;&gt;"")*(IF(Expenses!G$3:G$999="Yes",Expenses!H$3:H$999,Expenses!D$3:D$999)))</f>
        <v/>
      </c>
      <c r="K6" s="141">
        <f>SUMPRODUCT((Expenses!C$3:C$999="Groceries")*(Expenses!E$3:E$999="INR")*(MONTH(Expenses!A$3:A$999)=4)*(YEAR(Expenses!A$3:A$999)=2026)*(Expenses!A$3:A$999&lt;&gt;"")*(IF(Expenses!G$3:G$999="Yes",Expenses!H$3:H$999,Expenses!D$3:D$999)))</f>
        <v/>
      </c>
      <c r="L6" s="141">
        <f>SUMPRODUCT((Expenses!C$3:C$999="Others")*(Expenses!E$3:E$999="INR")*(MONTH(Expenses!A$3:A$999)=4)*(YEAR(Expenses!A$3:A$999)=2026)*(Expenses!A$3:A$999&lt;&gt;"")*(IF(Expenses!G$3:G$999="Yes",Expenses!H$3:H$999,Expenses!D$3:D$999)))</f>
        <v/>
      </c>
      <c r="M6" s="141">
        <f>SUMPRODUCT((Expenses!C$3:C$999="Gifts")*(Expenses!E$3:E$999="INR")*(MONTH(Expenses!A$3:A$999)=4)*(YEAR(Expenses!A$3:A$999)=2026)*(Expenses!A$3:A$999&lt;&gt;"")*(IF(Expenses!G$3:G$999="Yes",Expenses!H$3:H$999,Expenses!D$3:D$999)))</f>
        <v/>
      </c>
      <c r="N6" s="141">
        <f>SUMPRODUCT((Expenses!C$3:C$999="Donations")*(Expenses!E$3:E$999="INR")*(MONTH(Expenses!A$3:A$999)=4)*(YEAR(Expenses!A$3:A$999)=2026)*(Expenses!A$3:A$999&lt;&gt;"")*(IF(Expenses!G$3:G$999="Yes",Expenses!H$3:H$999,Expenses!D$3:D$999)))</f>
        <v/>
      </c>
      <c r="O6" s="141">
        <f>SUMPRODUCT((Expenses!C$3:C$999="Investments")*(Expenses!E$3:E$999="INR")*(MONTH(Expenses!A$3:A$999)=4)*(YEAR(Expenses!A$3:A$999)=2026)*(Expenses!A$3:A$999&lt;&gt;"")*(IF(Expenses!G$3:G$999="Yes",Expenses!H$3:H$999,Expenses!D$3:D$999)))</f>
        <v/>
      </c>
      <c r="P6" s="142">
        <f>SUM(B6:O6)</f>
        <v/>
      </c>
      <c r="Q6" s="141">
        <f>SUMPRODUCT((Income!D$3:D$502="INR")*(MONTH(Income!A$3:A$502)=4)*(YEAR(Income!A$3:A$502)=2026)*(Income!A$3:A$502&lt;&gt;"")*Income!C$3:C$502)</f>
        <v/>
      </c>
      <c r="R6" s="142">
        <f>Q6-P6</f>
        <v/>
      </c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103" t="inlineStr">
        <is>
          <t>May 2026</t>
        </is>
      </c>
      <c r="B7" s="141">
        <f>SUMPRODUCT((Expenses!C$3:C$999="Rent")*(Expenses!E$3:E$999="INR")*(MONTH(Expenses!A$3:A$999)=5)*(YEAR(Expenses!A$3:A$999)=2026)*(Expenses!A$3:A$999&lt;&gt;"")*(IF(Expenses!G$3:G$999="Yes",Expenses!H$3:H$999,Expenses!D$3:D$999)))</f>
        <v/>
      </c>
      <c r="C7" s="141">
        <f>SUMPRODUCT((Expenses!C$3:C$999="Transport")*(Expenses!E$3:E$999="INR")*(MONTH(Expenses!A$3:A$999)=5)*(YEAR(Expenses!A$3:A$999)=2026)*(Expenses!A$3:A$999&lt;&gt;"")*(IF(Expenses!G$3:G$999="Yes",Expenses!H$3:H$999,Expenses!D$3:D$999)))</f>
        <v/>
      </c>
      <c r="D7" s="141">
        <f>SUMPRODUCT((Expenses!C$3:C$999="Travel")*(Expenses!E$3:E$999="INR")*(MONTH(Expenses!A$3:A$999)=5)*(YEAR(Expenses!A$3:A$999)=2026)*(Expenses!A$3:A$999&lt;&gt;"")*(IF(Expenses!G$3:G$999="Yes",Expenses!H$3:H$999,Expenses!D$3:D$999)))</f>
        <v/>
      </c>
      <c r="E7" s="141">
        <f>SUMPRODUCT((Expenses!C$3:C$999="Shopping")*(Expenses!E$3:E$999="INR")*(MONTH(Expenses!A$3:A$999)=5)*(YEAR(Expenses!A$3:A$999)=2026)*(Expenses!A$3:A$999&lt;&gt;"")*(IF(Expenses!G$3:G$999="Yes",Expenses!H$3:H$999,Expenses!D$3:D$999)))</f>
        <v/>
      </c>
      <c r="F7" s="141">
        <f>SUMPRODUCT((Expenses!C$3:C$999="Electronics")*(Expenses!E$3:E$999="INR")*(MONTH(Expenses!A$3:A$999)=5)*(YEAR(Expenses!A$3:A$999)=2026)*(Expenses!A$3:A$999&lt;&gt;"")*(IF(Expenses!G$3:G$999="Yes",Expenses!H$3:H$999,Expenses!D$3:D$999)))</f>
        <v/>
      </c>
      <c r="G7" s="141">
        <f>SUMPRODUCT((Expenses!C$3:C$999="Subscriptions")*(Expenses!E$3:E$999="INR")*(MONTH(Expenses!A$3:A$999)=5)*(YEAR(Expenses!A$3:A$999)=2026)*(Expenses!A$3:A$999&lt;&gt;"")*(IF(Expenses!G$3:G$999="Yes",Expenses!H$3:H$999,Expenses!D$3:D$999)))</f>
        <v/>
      </c>
      <c r="H7" s="141">
        <f>SUMPRODUCT((Expenses!C$3:C$999="Bills")*(Expenses!E$3:E$999="INR")*(MONTH(Expenses!A$3:A$999)=5)*(YEAR(Expenses!A$3:A$999)=2026)*(Expenses!A$3:A$999&lt;&gt;"")*(IF(Expenses!G$3:G$999="Yes",Expenses!H$3:H$999,Expenses!D$3:D$999)))</f>
        <v/>
      </c>
      <c r="I7" s="141">
        <f>SUMPRODUCT((Expenses!C$3:C$999="Entertainment")*(Expenses!E$3:E$999="INR")*(MONTH(Expenses!A$3:A$999)=5)*(YEAR(Expenses!A$3:A$999)=2026)*(Expenses!A$3:A$999&lt;&gt;"")*(IF(Expenses!G$3:G$999="Yes",Expenses!H$3:H$999,Expenses!D$3:D$999)))</f>
        <v/>
      </c>
      <c r="J7" s="141">
        <f>SUMPRODUCT((Expenses!C$3:C$999="Food and Drinks")*(Expenses!E$3:E$999="INR")*(MONTH(Expenses!A$3:A$999)=5)*(YEAR(Expenses!A$3:A$999)=2026)*(Expenses!A$3:A$999&lt;&gt;"")*(IF(Expenses!G$3:G$999="Yes",Expenses!H$3:H$999,Expenses!D$3:D$999)))</f>
        <v/>
      </c>
      <c r="K7" s="141">
        <f>SUMPRODUCT((Expenses!C$3:C$999="Groceries")*(Expenses!E$3:E$999="INR")*(MONTH(Expenses!A$3:A$999)=5)*(YEAR(Expenses!A$3:A$999)=2026)*(Expenses!A$3:A$999&lt;&gt;"")*(IF(Expenses!G$3:G$999="Yes",Expenses!H$3:H$999,Expenses!D$3:D$999)))</f>
        <v/>
      </c>
      <c r="L7" s="141">
        <f>SUMPRODUCT((Expenses!C$3:C$999="Others")*(Expenses!E$3:E$999="INR")*(MONTH(Expenses!A$3:A$999)=5)*(YEAR(Expenses!A$3:A$999)=2026)*(Expenses!A$3:A$999&lt;&gt;"")*(IF(Expenses!G$3:G$999="Yes",Expenses!H$3:H$999,Expenses!D$3:D$999)))</f>
        <v/>
      </c>
      <c r="M7" s="141">
        <f>SUMPRODUCT((Expenses!C$3:C$999="Gifts")*(Expenses!E$3:E$999="INR")*(MONTH(Expenses!A$3:A$999)=5)*(YEAR(Expenses!A$3:A$999)=2026)*(Expenses!A$3:A$999&lt;&gt;"")*(IF(Expenses!G$3:G$999="Yes",Expenses!H$3:H$999,Expenses!D$3:D$999)))</f>
        <v/>
      </c>
      <c r="N7" s="141">
        <f>SUMPRODUCT((Expenses!C$3:C$999="Donations")*(Expenses!E$3:E$999="INR")*(MONTH(Expenses!A$3:A$999)=5)*(YEAR(Expenses!A$3:A$999)=2026)*(Expenses!A$3:A$999&lt;&gt;"")*(IF(Expenses!G$3:G$999="Yes",Expenses!H$3:H$999,Expenses!D$3:D$999)))</f>
        <v/>
      </c>
      <c r="O7" s="141">
        <f>SUMPRODUCT((Expenses!C$3:C$999="Investments")*(Expenses!E$3:E$999="INR")*(MONTH(Expenses!A$3:A$999)=5)*(YEAR(Expenses!A$3:A$999)=2026)*(Expenses!A$3:A$999&lt;&gt;"")*(IF(Expenses!G$3:G$999="Yes",Expenses!H$3:H$999,Expenses!D$3:D$999)))</f>
        <v/>
      </c>
      <c r="P7" s="142">
        <f>SUM(B7:O7)</f>
        <v/>
      </c>
      <c r="Q7" s="141">
        <f>SUMPRODUCT((Income!D$3:D$502="INR")*(MONTH(Income!A$3:A$502)=5)*(YEAR(Income!A$3:A$502)=2026)*(Income!A$3:A$502&lt;&gt;"")*Income!C$3:C$502)</f>
        <v/>
      </c>
      <c r="R7" s="142">
        <f>Q7-P7</f>
        <v/>
      </c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03" t="inlineStr">
        <is>
          <t>June 2026</t>
        </is>
      </c>
      <c r="B8" s="141">
        <f>SUMPRODUCT((Expenses!C$3:C$999="Rent")*(Expenses!E$3:E$999="INR")*(MONTH(Expenses!A$3:A$999)=6)*(YEAR(Expenses!A$3:A$999)=2026)*(Expenses!A$3:A$999&lt;&gt;"")*(IF(Expenses!G$3:G$999="Yes",Expenses!H$3:H$999,Expenses!D$3:D$999)))</f>
        <v/>
      </c>
      <c r="C8" s="141">
        <f>SUMPRODUCT((Expenses!C$3:C$999="Transport")*(Expenses!E$3:E$999="INR")*(MONTH(Expenses!A$3:A$999)=6)*(YEAR(Expenses!A$3:A$999)=2026)*(Expenses!A$3:A$999&lt;&gt;"")*(IF(Expenses!G$3:G$999="Yes",Expenses!H$3:H$999,Expenses!D$3:D$999)))</f>
        <v/>
      </c>
      <c r="D8" s="141">
        <f>SUMPRODUCT((Expenses!C$3:C$999="Travel")*(Expenses!E$3:E$999="INR")*(MONTH(Expenses!A$3:A$999)=6)*(YEAR(Expenses!A$3:A$999)=2026)*(Expenses!A$3:A$999&lt;&gt;"")*(IF(Expenses!G$3:G$999="Yes",Expenses!H$3:H$999,Expenses!D$3:D$999)))</f>
        <v/>
      </c>
      <c r="E8" s="141">
        <f>SUMPRODUCT((Expenses!C$3:C$999="Shopping")*(Expenses!E$3:E$999="INR")*(MONTH(Expenses!A$3:A$999)=6)*(YEAR(Expenses!A$3:A$999)=2026)*(Expenses!A$3:A$999&lt;&gt;"")*(IF(Expenses!G$3:G$999="Yes",Expenses!H$3:H$999,Expenses!D$3:D$999)))</f>
        <v/>
      </c>
      <c r="F8" s="141">
        <f>SUMPRODUCT((Expenses!C$3:C$999="Electronics")*(Expenses!E$3:E$999="INR")*(MONTH(Expenses!A$3:A$999)=6)*(YEAR(Expenses!A$3:A$999)=2026)*(Expenses!A$3:A$999&lt;&gt;"")*(IF(Expenses!G$3:G$999="Yes",Expenses!H$3:H$999,Expenses!D$3:D$999)))</f>
        <v/>
      </c>
      <c r="G8" s="141">
        <f>SUMPRODUCT((Expenses!C$3:C$999="Subscriptions")*(Expenses!E$3:E$999="INR")*(MONTH(Expenses!A$3:A$999)=6)*(YEAR(Expenses!A$3:A$999)=2026)*(Expenses!A$3:A$999&lt;&gt;"")*(IF(Expenses!G$3:G$999="Yes",Expenses!H$3:H$999,Expenses!D$3:D$999)))</f>
        <v/>
      </c>
      <c r="H8" s="141">
        <f>SUMPRODUCT((Expenses!C$3:C$999="Bills")*(Expenses!E$3:E$999="INR")*(MONTH(Expenses!A$3:A$999)=6)*(YEAR(Expenses!A$3:A$999)=2026)*(Expenses!A$3:A$999&lt;&gt;"")*(IF(Expenses!G$3:G$999="Yes",Expenses!H$3:H$999,Expenses!D$3:D$999)))</f>
        <v/>
      </c>
      <c r="I8" s="141">
        <f>SUMPRODUCT((Expenses!C$3:C$999="Entertainment")*(Expenses!E$3:E$999="INR")*(MONTH(Expenses!A$3:A$999)=6)*(YEAR(Expenses!A$3:A$999)=2026)*(Expenses!A$3:A$999&lt;&gt;"")*(IF(Expenses!G$3:G$999="Yes",Expenses!H$3:H$999,Expenses!D$3:D$999)))</f>
        <v/>
      </c>
      <c r="J8" s="141">
        <f>SUMPRODUCT((Expenses!C$3:C$999="Food and Drinks")*(Expenses!E$3:E$999="INR")*(MONTH(Expenses!A$3:A$999)=6)*(YEAR(Expenses!A$3:A$999)=2026)*(Expenses!A$3:A$999&lt;&gt;"")*(IF(Expenses!G$3:G$999="Yes",Expenses!H$3:H$999,Expenses!D$3:D$999)))</f>
        <v/>
      </c>
      <c r="K8" s="141">
        <f>SUMPRODUCT((Expenses!C$3:C$999="Groceries")*(Expenses!E$3:E$999="INR")*(MONTH(Expenses!A$3:A$999)=6)*(YEAR(Expenses!A$3:A$999)=2026)*(Expenses!A$3:A$999&lt;&gt;"")*(IF(Expenses!G$3:G$999="Yes",Expenses!H$3:H$999,Expenses!D$3:D$999)))</f>
        <v/>
      </c>
      <c r="L8" s="141">
        <f>SUMPRODUCT((Expenses!C$3:C$999="Others")*(Expenses!E$3:E$999="INR")*(MONTH(Expenses!A$3:A$999)=6)*(YEAR(Expenses!A$3:A$999)=2026)*(Expenses!A$3:A$999&lt;&gt;"")*(IF(Expenses!G$3:G$999="Yes",Expenses!H$3:H$999,Expenses!D$3:D$999)))</f>
        <v/>
      </c>
      <c r="M8" s="141">
        <f>SUMPRODUCT((Expenses!C$3:C$999="Gifts")*(Expenses!E$3:E$999="INR")*(MONTH(Expenses!A$3:A$999)=6)*(YEAR(Expenses!A$3:A$999)=2026)*(Expenses!A$3:A$999&lt;&gt;"")*(IF(Expenses!G$3:G$999="Yes",Expenses!H$3:H$999,Expenses!D$3:D$999)))</f>
        <v/>
      </c>
      <c r="N8" s="141">
        <f>SUMPRODUCT((Expenses!C$3:C$999="Donations")*(Expenses!E$3:E$999="INR")*(MONTH(Expenses!A$3:A$999)=6)*(YEAR(Expenses!A$3:A$999)=2026)*(Expenses!A$3:A$999&lt;&gt;"")*(IF(Expenses!G$3:G$999="Yes",Expenses!H$3:H$999,Expenses!D$3:D$999)))</f>
        <v/>
      </c>
      <c r="O8" s="141">
        <f>SUMPRODUCT((Expenses!C$3:C$999="Investments")*(Expenses!E$3:E$999="INR")*(MONTH(Expenses!A$3:A$999)=6)*(YEAR(Expenses!A$3:A$999)=2026)*(Expenses!A$3:A$999&lt;&gt;"")*(IF(Expenses!G$3:G$999="Yes",Expenses!H$3:H$999,Expenses!D$3:D$999)))</f>
        <v/>
      </c>
      <c r="P8" s="142">
        <f>SUM(B8:O8)</f>
        <v/>
      </c>
      <c r="Q8" s="141">
        <f>SUMPRODUCT((Income!D$3:D$502="INR")*(MONTH(Income!A$3:A$502)=6)*(YEAR(Income!A$3:A$502)=2026)*(Income!A$3:A$502&lt;&gt;"")*Income!C$3:C$502)</f>
        <v/>
      </c>
      <c r="R8" s="142">
        <f>Q8-P8</f>
        <v/>
      </c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03" t="inlineStr">
        <is>
          <t>July 2026</t>
        </is>
      </c>
      <c r="B9" s="141">
        <f>SUMPRODUCT((Expenses!C$3:C$999="Rent")*(Expenses!E$3:E$999="INR")*(MONTH(Expenses!A$3:A$999)=7)*(YEAR(Expenses!A$3:A$999)=2026)*(Expenses!A$3:A$999&lt;&gt;"")*(IF(Expenses!G$3:G$999="Yes",Expenses!H$3:H$999,Expenses!D$3:D$999)))</f>
        <v/>
      </c>
      <c r="C9" s="141">
        <f>SUMPRODUCT((Expenses!C$3:C$999="Transport")*(Expenses!E$3:E$999="INR")*(MONTH(Expenses!A$3:A$999)=7)*(YEAR(Expenses!A$3:A$999)=2026)*(Expenses!A$3:A$999&lt;&gt;"")*(IF(Expenses!G$3:G$999="Yes",Expenses!H$3:H$999,Expenses!D$3:D$999)))</f>
        <v/>
      </c>
      <c r="D9" s="141">
        <f>SUMPRODUCT((Expenses!C$3:C$999="Travel")*(Expenses!E$3:E$999="INR")*(MONTH(Expenses!A$3:A$999)=7)*(YEAR(Expenses!A$3:A$999)=2026)*(Expenses!A$3:A$999&lt;&gt;"")*(IF(Expenses!G$3:G$999="Yes",Expenses!H$3:H$999,Expenses!D$3:D$999)))</f>
        <v/>
      </c>
      <c r="E9" s="141">
        <f>SUMPRODUCT((Expenses!C$3:C$999="Shopping")*(Expenses!E$3:E$999="INR")*(MONTH(Expenses!A$3:A$999)=7)*(YEAR(Expenses!A$3:A$999)=2026)*(Expenses!A$3:A$999&lt;&gt;"")*(IF(Expenses!G$3:G$999="Yes",Expenses!H$3:H$999,Expenses!D$3:D$999)))</f>
        <v/>
      </c>
      <c r="F9" s="141">
        <f>SUMPRODUCT((Expenses!C$3:C$999="Electronics")*(Expenses!E$3:E$999="INR")*(MONTH(Expenses!A$3:A$999)=7)*(YEAR(Expenses!A$3:A$999)=2026)*(Expenses!A$3:A$999&lt;&gt;"")*(IF(Expenses!G$3:G$999="Yes",Expenses!H$3:H$999,Expenses!D$3:D$999)))</f>
        <v/>
      </c>
      <c r="G9" s="141">
        <f>SUMPRODUCT((Expenses!C$3:C$999="Subscriptions")*(Expenses!E$3:E$999="INR")*(MONTH(Expenses!A$3:A$999)=7)*(YEAR(Expenses!A$3:A$999)=2026)*(Expenses!A$3:A$999&lt;&gt;"")*(IF(Expenses!G$3:G$999="Yes",Expenses!H$3:H$999,Expenses!D$3:D$999)))</f>
        <v/>
      </c>
      <c r="H9" s="141">
        <f>SUMPRODUCT((Expenses!C$3:C$999="Bills")*(Expenses!E$3:E$999="INR")*(MONTH(Expenses!A$3:A$999)=7)*(YEAR(Expenses!A$3:A$999)=2026)*(Expenses!A$3:A$999&lt;&gt;"")*(IF(Expenses!G$3:G$999="Yes",Expenses!H$3:H$999,Expenses!D$3:D$999)))</f>
        <v/>
      </c>
      <c r="I9" s="141">
        <f>SUMPRODUCT((Expenses!C$3:C$999="Entertainment")*(Expenses!E$3:E$999="INR")*(MONTH(Expenses!A$3:A$999)=7)*(YEAR(Expenses!A$3:A$999)=2026)*(Expenses!A$3:A$999&lt;&gt;"")*(IF(Expenses!G$3:G$999="Yes",Expenses!H$3:H$999,Expenses!D$3:D$999)))</f>
        <v/>
      </c>
      <c r="J9" s="141">
        <f>SUMPRODUCT((Expenses!C$3:C$999="Food and Drinks")*(Expenses!E$3:E$999="INR")*(MONTH(Expenses!A$3:A$999)=7)*(YEAR(Expenses!A$3:A$999)=2026)*(Expenses!A$3:A$999&lt;&gt;"")*(IF(Expenses!G$3:G$999="Yes",Expenses!H$3:H$999,Expenses!D$3:D$999)))</f>
        <v/>
      </c>
      <c r="K9" s="141">
        <f>SUMPRODUCT((Expenses!C$3:C$999="Groceries")*(Expenses!E$3:E$999="INR")*(MONTH(Expenses!A$3:A$999)=7)*(YEAR(Expenses!A$3:A$999)=2026)*(Expenses!A$3:A$999&lt;&gt;"")*(IF(Expenses!G$3:G$999="Yes",Expenses!H$3:H$999,Expenses!D$3:D$999)))</f>
        <v/>
      </c>
      <c r="L9" s="141">
        <f>SUMPRODUCT((Expenses!C$3:C$999="Others")*(Expenses!E$3:E$999="INR")*(MONTH(Expenses!A$3:A$999)=7)*(YEAR(Expenses!A$3:A$999)=2026)*(Expenses!A$3:A$999&lt;&gt;"")*(IF(Expenses!G$3:G$999="Yes",Expenses!H$3:H$999,Expenses!D$3:D$999)))</f>
        <v/>
      </c>
      <c r="M9" s="141">
        <f>SUMPRODUCT((Expenses!C$3:C$999="Gifts")*(Expenses!E$3:E$999="INR")*(MONTH(Expenses!A$3:A$999)=7)*(YEAR(Expenses!A$3:A$999)=2026)*(Expenses!A$3:A$999&lt;&gt;"")*(IF(Expenses!G$3:G$999="Yes",Expenses!H$3:H$999,Expenses!D$3:D$999)))</f>
        <v/>
      </c>
      <c r="N9" s="141">
        <f>SUMPRODUCT((Expenses!C$3:C$999="Donations")*(Expenses!E$3:E$999="INR")*(MONTH(Expenses!A$3:A$999)=7)*(YEAR(Expenses!A$3:A$999)=2026)*(Expenses!A$3:A$999&lt;&gt;"")*(IF(Expenses!G$3:G$999="Yes",Expenses!H$3:H$999,Expenses!D$3:D$999)))</f>
        <v/>
      </c>
      <c r="O9" s="141">
        <f>SUMPRODUCT((Expenses!C$3:C$999="Investments")*(Expenses!E$3:E$999="INR")*(MONTH(Expenses!A$3:A$999)=7)*(YEAR(Expenses!A$3:A$999)=2026)*(Expenses!A$3:A$999&lt;&gt;"")*(IF(Expenses!G$3:G$999="Yes",Expenses!H$3:H$999,Expenses!D$3:D$999)))</f>
        <v/>
      </c>
      <c r="P9" s="142">
        <f>SUM(B9:O9)</f>
        <v/>
      </c>
      <c r="Q9" s="141">
        <f>SUMPRODUCT((Income!D$3:D$502="INR")*(MONTH(Income!A$3:A$502)=7)*(YEAR(Income!A$3:A$502)=2026)*(Income!A$3:A$502&lt;&gt;"")*Income!C$3:C$502)</f>
        <v/>
      </c>
      <c r="R9" s="142">
        <f>Q9-P9</f>
        <v/>
      </c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103" t="inlineStr">
        <is>
          <t>August 2026</t>
        </is>
      </c>
      <c r="B10" s="141">
        <f>SUMPRODUCT((Expenses!C$3:C$999="Rent")*(Expenses!E$3:E$999="INR")*(MONTH(Expenses!A$3:A$999)=8)*(YEAR(Expenses!A$3:A$999)=2026)*(Expenses!A$3:A$999&lt;&gt;"")*(IF(Expenses!G$3:G$999="Yes",Expenses!H$3:H$999,Expenses!D$3:D$999)))</f>
        <v/>
      </c>
      <c r="C10" s="141">
        <f>SUMPRODUCT((Expenses!C$3:C$999="Transport")*(Expenses!E$3:E$999="INR")*(MONTH(Expenses!A$3:A$999)=8)*(YEAR(Expenses!A$3:A$999)=2026)*(Expenses!A$3:A$999&lt;&gt;"")*(IF(Expenses!G$3:G$999="Yes",Expenses!H$3:H$999,Expenses!D$3:D$999)))</f>
        <v/>
      </c>
      <c r="D10" s="141">
        <f>SUMPRODUCT((Expenses!C$3:C$999="Travel")*(Expenses!E$3:E$999="INR")*(MONTH(Expenses!A$3:A$999)=8)*(YEAR(Expenses!A$3:A$999)=2026)*(Expenses!A$3:A$999&lt;&gt;"")*(IF(Expenses!G$3:G$999="Yes",Expenses!H$3:H$999,Expenses!D$3:D$999)))</f>
        <v/>
      </c>
      <c r="E10" s="141">
        <f>SUMPRODUCT((Expenses!C$3:C$999="Shopping")*(Expenses!E$3:E$999="INR")*(MONTH(Expenses!A$3:A$999)=8)*(YEAR(Expenses!A$3:A$999)=2026)*(Expenses!A$3:A$999&lt;&gt;"")*(IF(Expenses!G$3:G$999="Yes",Expenses!H$3:H$999,Expenses!D$3:D$999)))</f>
        <v/>
      </c>
      <c r="F10" s="141">
        <f>SUMPRODUCT((Expenses!C$3:C$999="Electronics")*(Expenses!E$3:E$999="INR")*(MONTH(Expenses!A$3:A$999)=8)*(YEAR(Expenses!A$3:A$999)=2026)*(Expenses!A$3:A$999&lt;&gt;"")*(IF(Expenses!G$3:G$999="Yes",Expenses!H$3:H$999,Expenses!D$3:D$999)))</f>
        <v/>
      </c>
      <c r="G10" s="141">
        <f>SUMPRODUCT((Expenses!C$3:C$999="Subscriptions")*(Expenses!E$3:E$999="INR")*(MONTH(Expenses!A$3:A$999)=8)*(YEAR(Expenses!A$3:A$999)=2026)*(Expenses!A$3:A$999&lt;&gt;"")*(IF(Expenses!G$3:G$999="Yes",Expenses!H$3:H$999,Expenses!D$3:D$999)))</f>
        <v/>
      </c>
      <c r="H10" s="141">
        <f>SUMPRODUCT((Expenses!C$3:C$999="Bills")*(Expenses!E$3:E$999="INR")*(MONTH(Expenses!A$3:A$999)=8)*(YEAR(Expenses!A$3:A$999)=2026)*(Expenses!A$3:A$999&lt;&gt;"")*(IF(Expenses!G$3:G$999="Yes",Expenses!H$3:H$999,Expenses!D$3:D$999)))</f>
        <v/>
      </c>
      <c r="I10" s="141">
        <f>SUMPRODUCT((Expenses!C$3:C$999="Entertainment")*(Expenses!E$3:E$999="INR")*(MONTH(Expenses!A$3:A$999)=8)*(YEAR(Expenses!A$3:A$999)=2026)*(Expenses!A$3:A$999&lt;&gt;"")*(IF(Expenses!G$3:G$999="Yes",Expenses!H$3:H$999,Expenses!D$3:D$999)))</f>
        <v/>
      </c>
      <c r="J10" s="141">
        <f>SUMPRODUCT((Expenses!C$3:C$999="Food and Drinks")*(Expenses!E$3:E$999="INR")*(MONTH(Expenses!A$3:A$999)=8)*(YEAR(Expenses!A$3:A$999)=2026)*(Expenses!A$3:A$999&lt;&gt;"")*(IF(Expenses!G$3:G$999="Yes",Expenses!H$3:H$999,Expenses!D$3:D$999)))</f>
        <v/>
      </c>
      <c r="K10" s="141">
        <f>SUMPRODUCT((Expenses!C$3:C$999="Groceries")*(Expenses!E$3:E$999="INR")*(MONTH(Expenses!A$3:A$999)=8)*(YEAR(Expenses!A$3:A$999)=2026)*(Expenses!A$3:A$999&lt;&gt;"")*(IF(Expenses!G$3:G$999="Yes",Expenses!H$3:H$999,Expenses!D$3:D$999)))</f>
        <v/>
      </c>
      <c r="L10" s="141">
        <f>SUMPRODUCT((Expenses!C$3:C$999="Others")*(Expenses!E$3:E$999="INR")*(MONTH(Expenses!A$3:A$999)=8)*(YEAR(Expenses!A$3:A$999)=2026)*(Expenses!A$3:A$999&lt;&gt;"")*(IF(Expenses!G$3:G$999="Yes",Expenses!H$3:H$999,Expenses!D$3:D$999)))</f>
        <v/>
      </c>
      <c r="M10" s="141">
        <f>SUMPRODUCT((Expenses!C$3:C$999="Gifts")*(Expenses!E$3:E$999="INR")*(MONTH(Expenses!A$3:A$999)=8)*(YEAR(Expenses!A$3:A$999)=2026)*(Expenses!A$3:A$999&lt;&gt;"")*(IF(Expenses!G$3:G$999="Yes",Expenses!H$3:H$999,Expenses!D$3:D$999)))</f>
        <v/>
      </c>
      <c r="N10" s="141">
        <f>SUMPRODUCT((Expenses!C$3:C$999="Donations")*(Expenses!E$3:E$999="INR")*(MONTH(Expenses!A$3:A$999)=8)*(YEAR(Expenses!A$3:A$999)=2026)*(Expenses!A$3:A$999&lt;&gt;"")*(IF(Expenses!G$3:G$999="Yes",Expenses!H$3:H$999,Expenses!D$3:D$999)))</f>
        <v/>
      </c>
      <c r="O10" s="141">
        <f>SUMPRODUCT((Expenses!C$3:C$999="Investments")*(Expenses!E$3:E$999="INR")*(MONTH(Expenses!A$3:A$999)=8)*(YEAR(Expenses!A$3:A$999)=2026)*(Expenses!A$3:A$999&lt;&gt;"")*(IF(Expenses!G$3:G$999="Yes",Expenses!H$3:H$999,Expenses!D$3:D$999)))</f>
        <v/>
      </c>
      <c r="P10" s="142">
        <f>SUM(B10:O10)</f>
        <v/>
      </c>
      <c r="Q10" s="141">
        <f>SUMPRODUCT((Income!D$3:D$502="INR")*(MONTH(Income!A$3:A$502)=8)*(YEAR(Income!A$3:A$502)=2026)*(Income!A$3:A$502&lt;&gt;"")*Income!C$3:C$502)</f>
        <v/>
      </c>
      <c r="R10" s="142">
        <f>Q10-P10</f>
        <v/>
      </c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103" t="inlineStr">
        <is>
          <t>September 2026</t>
        </is>
      </c>
      <c r="B11" s="141">
        <f>SUMPRODUCT((Expenses!C$3:C$999="Rent")*(Expenses!E$3:E$999="INR")*(MONTH(Expenses!A$3:A$999)=9)*(YEAR(Expenses!A$3:A$999)=2026)*(Expenses!A$3:A$999&lt;&gt;"")*(IF(Expenses!G$3:G$999="Yes",Expenses!H$3:H$999,Expenses!D$3:D$999)))</f>
        <v/>
      </c>
      <c r="C11" s="141">
        <f>SUMPRODUCT((Expenses!C$3:C$999="Transport")*(Expenses!E$3:E$999="INR")*(MONTH(Expenses!A$3:A$999)=9)*(YEAR(Expenses!A$3:A$999)=2026)*(Expenses!A$3:A$999&lt;&gt;"")*(IF(Expenses!G$3:G$999="Yes",Expenses!H$3:H$999,Expenses!D$3:D$999)))</f>
        <v/>
      </c>
      <c r="D11" s="141">
        <f>SUMPRODUCT((Expenses!C$3:C$999="Travel")*(Expenses!E$3:E$999="INR")*(MONTH(Expenses!A$3:A$999)=9)*(YEAR(Expenses!A$3:A$999)=2026)*(Expenses!A$3:A$999&lt;&gt;"")*(IF(Expenses!G$3:G$999="Yes",Expenses!H$3:H$999,Expenses!D$3:D$999)))</f>
        <v/>
      </c>
      <c r="E11" s="141">
        <f>SUMPRODUCT((Expenses!C$3:C$999="Shopping")*(Expenses!E$3:E$999="INR")*(MONTH(Expenses!A$3:A$999)=9)*(YEAR(Expenses!A$3:A$999)=2026)*(Expenses!A$3:A$999&lt;&gt;"")*(IF(Expenses!G$3:G$999="Yes",Expenses!H$3:H$999,Expenses!D$3:D$999)))</f>
        <v/>
      </c>
      <c r="F11" s="141">
        <f>SUMPRODUCT((Expenses!C$3:C$999="Electronics")*(Expenses!E$3:E$999="INR")*(MONTH(Expenses!A$3:A$999)=9)*(YEAR(Expenses!A$3:A$999)=2026)*(Expenses!A$3:A$999&lt;&gt;"")*(IF(Expenses!G$3:G$999="Yes",Expenses!H$3:H$999,Expenses!D$3:D$999)))</f>
        <v/>
      </c>
      <c r="G11" s="141">
        <f>SUMPRODUCT((Expenses!C$3:C$999="Subscriptions")*(Expenses!E$3:E$999="INR")*(MONTH(Expenses!A$3:A$999)=9)*(YEAR(Expenses!A$3:A$999)=2026)*(Expenses!A$3:A$999&lt;&gt;"")*(IF(Expenses!G$3:G$999="Yes",Expenses!H$3:H$999,Expenses!D$3:D$999)))</f>
        <v/>
      </c>
      <c r="H11" s="141">
        <f>SUMPRODUCT((Expenses!C$3:C$999="Bills")*(Expenses!E$3:E$999="INR")*(MONTH(Expenses!A$3:A$999)=9)*(YEAR(Expenses!A$3:A$999)=2026)*(Expenses!A$3:A$999&lt;&gt;"")*(IF(Expenses!G$3:G$999="Yes",Expenses!H$3:H$999,Expenses!D$3:D$999)))</f>
        <v/>
      </c>
      <c r="I11" s="141">
        <f>SUMPRODUCT((Expenses!C$3:C$999="Entertainment")*(Expenses!E$3:E$999="INR")*(MONTH(Expenses!A$3:A$999)=9)*(YEAR(Expenses!A$3:A$999)=2026)*(Expenses!A$3:A$999&lt;&gt;"")*(IF(Expenses!G$3:G$999="Yes",Expenses!H$3:H$999,Expenses!D$3:D$999)))</f>
        <v/>
      </c>
      <c r="J11" s="141">
        <f>SUMPRODUCT((Expenses!C$3:C$999="Food and Drinks")*(Expenses!E$3:E$999="INR")*(MONTH(Expenses!A$3:A$999)=9)*(YEAR(Expenses!A$3:A$999)=2026)*(Expenses!A$3:A$999&lt;&gt;"")*(IF(Expenses!G$3:G$999="Yes",Expenses!H$3:H$999,Expenses!D$3:D$999)))</f>
        <v/>
      </c>
      <c r="K11" s="141">
        <f>SUMPRODUCT((Expenses!C$3:C$999="Groceries")*(Expenses!E$3:E$999="INR")*(MONTH(Expenses!A$3:A$999)=9)*(YEAR(Expenses!A$3:A$999)=2026)*(Expenses!A$3:A$999&lt;&gt;"")*(IF(Expenses!G$3:G$999="Yes",Expenses!H$3:H$999,Expenses!D$3:D$999)))</f>
        <v/>
      </c>
      <c r="L11" s="141">
        <f>SUMPRODUCT((Expenses!C$3:C$999="Others")*(Expenses!E$3:E$999="INR")*(MONTH(Expenses!A$3:A$999)=9)*(YEAR(Expenses!A$3:A$999)=2026)*(Expenses!A$3:A$999&lt;&gt;"")*(IF(Expenses!G$3:G$999="Yes",Expenses!H$3:H$999,Expenses!D$3:D$999)))</f>
        <v/>
      </c>
      <c r="M11" s="141">
        <f>SUMPRODUCT((Expenses!C$3:C$999="Gifts")*(Expenses!E$3:E$999="INR")*(MONTH(Expenses!A$3:A$999)=9)*(YEAR(Expenses!A$3:A$999)=2026)*(Expenses!A$3:A$999&lt;&gt;"")*(IF(Expenses!G$3:G$999="Yes",Expenses!H$3:H$999,Expenses!D$3:D$999)))</f>
        <v/>
      </c>
      <c r="N11" s="141">
        <f>SUMPRODUCT((Expenses!C$3:C$999="Donations")*(Expenses!E$3:E$999="INR")*(MONTH(Expenses!A$3:A$999)=9)*(YEAR(Expenses!A$3:A$999)=2026)*(Expenses!A$3:A$999&lt;&gt;"")*(IF(Expenses!G$3:G$999="Yes",Expenses!H$3:H$999,Expenses!D$3:D$999)))</f>
        <v/>
      </c>
      <c r="O11" s="141">
        <f>SUMPRODUCT((Expenses!C$3:C$999="Investments")*(Expenses!E$3:E$999="INR")*(MONTH(Expenses!A$3:A$999)=9)*(YEAR(Expenses!A$3:A$999)=2026)*(Expenses!A$3:A$999&lt;&gt;"")*(IF(Expenses!G$3:G$999="Yes",Expenses!H$3:H$999,Expenses!D$3:D$999)))</f>
        <v/>
      </c>
      <c r="P11" s="142">
        <f>SUM(B11:O11)</f>
        <v/>
      </c>
      <c r="Q11" s="141">
        <f>SUMPRODUCT((Income!D$3:D$502="INR")*(MONTH(Income!A$3:A$502)=9)*(YEAR(Income!A$3:A$502)=2026)*(Income!A$3:A$502&lt;&gt;"")*Income!C$3:C$502)</f>
        <v/>
      </c>
      <c r="R11" s="142">
        <f>Q11-P11</f>
        <v/>
      </c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03" t="inlineStr">
        <is>
          <t>October 2026</t>
        </is>
      </c>
      <c r="B12" s="141">
        <f>SUMPRODUCT((Expenses!C$3:C$999="Rent")*(Expenses!E$3:E$999="INR")*(MONTH(Expenses!A$3:A$999)=10)*(YEAR(Expenses!A$3:A$999)=2026)*(Expenses!A$3:A$999&lt;&gt;"")*(IF(Expenses!G$3:G$999="Yes",Expenses!H$3:H$999,Expenses!D$3:D$999)))</f>
        <v/>
      </c>
      <c r="C12" s="141">
        <f>SUMPRODUCT((Expenses!C$3:C$999="Transport")*(Expenses!E$3:E$999="INR")*(MONTH(Expenses!A$3:A$999)=10)*(YEAR(Expenses!A$3:A$999)=2026)*(Expenses!A$3:A$999&lt;&gt;"")*(IF(Expenses!G$3:G$999="Yes",Expenses!H$3:H$999,Expenses!D$3:D$999)))</f>
        <v/>
      </c>
      <c r="D12" s="141">
        <f>SUMPRODUCT((Expenses!C$3:C$999="Travel")*(Expenses!E$3:E$999="INR")*(MONTH(Expenses!A$3:A$999)=10)*(YEAR(Expenses!A$3:A$999)=2026)*(Expenses!A$3:A$999&lt;&gt;"")*(IF(Expenses!G$3:G$999="Yes",Expenses!H$3:H$999,Expenses!D$3:D$999)))</f>
        <v/>
      </c>
      <c r="E12" s="141">
        <f>SUMPRODUCT((Expenses!C$3:C$999="Shopping")*(Expenses!E$3:E$999="INR")*(MONTH(Expenses!A$3:A$999)=10)*(YEAR(Expenses!A$3:A$999)=2026)*(Expenses!A$3:A$999&lt;&gt;"")*(IF(Expenses!G$3:G$999="Yes",Expenses!H$3:H$999,Expenses!D$3:D$999)))</f>
        <v/>
      </c>
      <c r="F12" s="141">
        <f>SUMPRODUCT((Expenses!C$3:C$999="Electronics")*(Expenses!E$3:E$999="INR")*(MONTH(Expenses!A$3:A$999)=10)*(YEAR(Expenses!A$3:A$999)=2026)*(Expenses!A$3:A$999&lt;&gt;"")*(IF(Expenses!G$3:G$999="Yes",Expenses!H$3:H$999,Expenses!D$3:D$999)))</f>
        <v/>
      </c>
      <c r="G12" s="141">
        <f>SUMPRODUCT((Expenses!C$3:C$999="Subscriptions")*(Expenses!E$3:E$999="INR")*(MONTH(Expenses!A$3:A$999)=10)*(YEAR(Expenses!A$3:A$999)=2026)*(Expenses!A$3:A$999&lt;&gt;"")*(IF(Expenses!G$3:G$999="Yes",Expenses!H$3:H$999,Expenses!D$3:D$999)))</f>
        <v/>
      </c>
      <c r="H12" s="141">
        <f>SUMPRODUCT((Expenses!C$3:C$999="Bills")*(Expenses!E$3:E$999="INR")*(MONTH(Expenses!A$3:A$999)=10)*(YEAR(Expenses!A$3:A$999)=2026)*(Expenses!A$3:A$999&lt;&gt;"")*(IF(Expenses!G$3:G$999="Yes",Expenses!H$3:H$999,Expenses!D$3:D$999)))</f>
        <v/>
      </c>
      <c r="I12" s="141">
        <f>SUMPRODUCT((Expenses!C$3:C$999="Entertainment")*(Expenses!E$3:E$999="INR")*(MONTH(Expenses!A$3:A$999)=10)*(YEAR(Expenses!A$3:A$999)=2026)*(Expenses!A$3:A$999&lt;&gt;"")*(IF(Expenses!G$3:G$999="Yes",Expenses!H$3:H$999,Expenses!D$3:D$999)))</f>
        <v/>
      </c>
      <c r="J12" s="141">
        <f>SUMPRODUCT((Expenses!C$3:C$999="Food and Drinks")*(Expenses!E$3:E$999="INR")*(MONTH(Expenses!A$3:A$999)=10)*(YEAR(Expenses!A$3:A$999)=2026)*(Expenses!A$3:A$999&lt;&gt;"")*(IF(Expenses!G$3:G$999="Yes",Expenses!H$3:H$999,Expenses!D$3:D$999)))</f>
        <v/>
      </c>
      <c r="K12" s="141">
        <f>SUMPRODUCT((Expenses!C$3:C$999="Groceries")*(Expenses!E$3:E$999="INR")*(MONTH(Expenses!A$3:A$999)=10)*(YEAR(Expenses!A$3:A$999)=2026)*(Expenses!A$3:A$999&lt;&gt;"")*(IF(Expenses!G$3:G$999="Yes",Expenses!H$3:H$999,Expenses!D$3:D$999)))</f>
        <v/>
      </c>
      <c r="L12" s="141">
        <f>SUMPRODUCT((Expenses!C$3:C$999="Others")*(Expenses!E$3:E$999="INR")*(MONTH(Expenses!A$3:A$999)=10)*(YEAR(Expenses!A$3:A$999)=2026)*(Expenses!A$3:A$999&lt;&gt;"")*(IF(Expenses!G$3:G$999="Yes",Expenses!H$3:H$999,Expenses!D$3:D$999)))</f>
        <v/>
      </c>
      <c r="M12" s="141">
        <f>SUMPRODUCT((Expenses!C$3:C$999="Gifts")*(Expenses!E$3:E$999="INR")*(MONTH(Expenses!A$3:A$999)=10)*(YEAR(Expenses!A$3:A$999)=2026)*(Expenses!A$3:A$999&lt;&gt;"")*(IF(Expenses!G$3:G$999="Yes",Expenses!H$3:H$999,Expenses!D$3:D$999)))</f>
        <v/>
      </c>
      <c r="N12" s="141">
        <f>SUMPRODUCT((Expenses!C$3:C$999="Donations")*(Expenses!E$3:E$999="INR")*(MONTH(Expenses!A$3:A$999)=10)*(YEAR(Expenses!A$3:A$999)=2026)*(Expenses!A$3:A$999&lt;&gt;"")*(IF(Expenses!G$3:G$999="Yes",Expenses!H$3:H$999,Expenses!D$3:D$999)))</f>
        <v/>
      </c>
      <c r="O12" s="141">
        <f>SUMPRODUCT((Expenses!C$3:C$999="Investments")*(Expenses!E$3:E$999="INR")*(MONTH(Expenses!A$3:A$999)=10)*(YEAR(Expenses!A$3:A$999)=2026)*(Expenses!A$3:A$999&lt;&gt;"")*(IF(Expenses!G$3:G$999="Yes",Expenses!H$3:H$999,Expenses!D$3:D$999)))</f>
        <v/>
      </c>
      <c r="P12" s="142">
        <f>SUM(B12:O12)</f>
        <v/>
      </c>
      <c r="Q12" s="141">
        <f>SUMPRODUCT((Income!D$3:D$502="INR")*(MONTH(Income!A$3:A$502)=10)*(YEAR(Income!A$3:A$502)=2026)*(Income!A$3:A$502&lt;&gt;"")*Income!C$3:C$502)</f>
        <v/>
      </c>
      <c r="R12" s="142">
        <f>Q12-P12</f>
        <v/>
      </c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103" t="inlineStr">
        <is>
          <t>November 2026</t>
        </is>
      </c>
      <c r="B13" s="141">
        <f>SUMPRODUCT((Expenses!C$3:C$999="Rent")*(Expenses!E$3:E$999="INR")*(MONTH(Expenses!A$3:A$999)=11)*(YEAR(Expenses!A$3:A$999)=2026)*(Expenses!A$3:A$999&lt;&gt;"")*(IF(Expenses!G$3:G$999="Yes",Expenses!H$3:H$999,Expenses!D$3:D$999)))</f>
        <v/>
      </c>
      <c r="C13" s="141">
        <f>SUMPRODUCT((Expenses!C$3:C$999="Transport")*(Expenses!E$3:E$999="INR")*(MONTH(Expenses!A$3:A$999)=11)*(YEAR(Expenses!A$3:A$999)=2026)*(Expenses!A$3:A$999&lt;&gt;"")*(IF(Expenses!G$3:G$999="Yes",Expenses!H$3:H$999,Expenses!D$3:D$999)))</f>
        <v/>
      </c>
      <c r="D13" s="141">
        <f>SUMPRODUCT((Expenses!C$3:C$999="Travel")*(Expenses!E$3:E$999="INR")*(MONTH(Expenses!A$3:A$999)=11)*(YEAR(Expenses!A$3:A$999)=2026)*(Expenses!A$3:A$999&lt;&gt;"")*(IF(Expenses!G$3:G$999="Yes",Expenses!H$3:H$999,Expenses!D$3:D$999)))</f>
        <v/>
      </c>
      <c r="E13" s="141">
        <f>SUMPRODUCT((Expenses!C$3:C$999="Shopping")*(Expenses!E$3:E$999="INR")*(MONTH(Expenses!A$3:A$999)=11)*(YEAR(Expenses!A$3:A$999)=2026)*(Expenses!A$3:A$999&lt;&gt;"")*(IF(Expenses!G$3:G$999="Yes",Expenses!H$3:H$999,Expenses!D$3:D$999)))</f>
        <v/>
      </c>
      <c r="F13" s="141">
        <f>SUMPRODUCT((Expenses!C$3:C$999="Electronics")*(Expenses!E$3:E$999="INR")*(MONTH(Expenses!A$3:A$999)=11)*(YEAR(Expenses!A$3:A$999)=2026)*(Expenses!A$3:A$999&lt;&gt;"")*(IF(Expenses!G$3:G$999="Yes",Expenses!H$3:H$999,Expenses!D$3:D$999)))</f>
        <v/>
      </c>
      <c r="G13" s="141">
        <f>SUMPRODUCT((Expenses!C$3:C$999="Subscriptions")*(Expenses!E$3:E$999="INR")*(MONTH(Expenses!A$3:A$999)=11)*(YEAR(Expenses!A$3:A$999)=2026)*(Expenses!A$3:A$999&lt;&gt;"")*(IF(Expenses!G$3:G$999="Yes",Expenses!H$3:H$999,Expenses!D$3:D$999)))</f>
        <v/>
      </c>
      <c r="H13" s="141">
        <f>SUMPRODUCT((Expenses!C$3:C$999="Bills")*(Expenses!E$3:E$999="INR")*(MONTH(Expenses!A$3:A$999)=11)*(YEAR(Expenses!A$3:A$999)=2026)*(Expenses!A$3:A$999&lt;&gt;"")*(IF(Expenses!G$3:G$999="Yes",Expenses!H$3:H$999,Expenses!D$3:D$999)))</f>
        <v/>
      </c>
      <c r="I13" s="141">
        <f>SUMPRODUCT((Expenses!C$3:C$999="Entertainment")*(Expenses!E$3:E$999="INR")*(MONTH(Expenses!A$3:A$999)=11)*(YEAR(Expenses!A$3:A$999)=2026)*(Expenses!A$3:A$999&lt;&gt;"")*(IF(Expenses!G$3:G$999="Yes",Expenses!H$3:H$999,Expenses!D$3:D$999)))</f>
        <v/>
      </c>
      <c r="J13" s="141">
        <f>SUMPRODUCT((Expenses!C$3:C$999="Food and Drinks")*(Expenses!E$3:E$999="INR")*(MONTH(Expenses!A$3:A$999)=11)*(YEAR(Expenses!A$3:A$999)=2026)*(Expenses!A$3:A$999&lt;&gt;"")*(IF(Expenses!G$3:G$999="Yes",Expenses!H$3:H$999,Expenses!D$3:D$999)))</f>
        <v/>
      </c>
      <c r="K13" s="141">
        <f>SUMPRODUCT((Expenses!C$3:C$999="Groceries")*(Expenses!E$3:E$999="INR")*(MONTH(Expenses!A$3:A$999)=11)*(YEAR(Expenses!A$3:A$999)=2026)*(Expenses!A$3:A$999&lt;&gt;"")*(IF(Expenses!G$3:G$999="Yes",Expenses!H$3:H$999,Expenses!D$3:D$999)))</f>
        <v/>
      </c>
      <c r="L13" s="141">
        <f>SUMPRODUCT((Expenses!C$3:C$999="Others")*(Expenses!E$3:E$999="INR")*(MONTH(Expenses!A$3:A$999)=11)*(YEAR(Expenses!A$3:A$999)=2026)*(Expenses!A$3:A$999&lt;&gt;"")*(IF(Expenses!G$3:G$999="Yes",Expenses!H$3:H$999,Expenses!D$3:D$999)))</f>
        <v/>
      </c>
      <c r="M13" s="141">
        <f>SUMPRODUCT((Expenses!C$3:C$999="Gifts")*(Expenses!E$3:E$999="INR")*(MONTH(Expenses!A$3:A$999)=11)*(YEAR(Expenses!A$3:A$999)=2026)*(Expenses!A$3:A$999&lt;&gt;"")*(IF(Expenses!G$3:G$999="Yes",Expenses!H$3:H$999,Expenses!D$3:D$999)))</f>
        <v/>
      </c>
      <c r="N13" s="141">
        <f>SUMPRODUCT((Expenses!C$3:C$999="Donations")*(Expenses!E$3:E$999="INR")*(MONTH(Expenses!A$3:A$999)=11)*(YEAR(Expenses!A$3:A$999)=2026)*(Expenses!A$3:A$999&lt;&gt;"")*(IF(Expenses!G$3:G$999="Yes",Expenses!H$3:H$999,Expenses!D$3:D$999)))</f>
        <v/>
      </c>
      <c r="O13" s="141">
        <f>SUMPRODUCT((Expenses!C$3:C$999="Investments")*(Expenses!E$3:E$999="INR")*(MONTH(Expenses!A$3:A$999)=11)*(YEAR(Expenses!A$3:A$999)=2026)*(Expenses!A$3:A$999&lt;&gt;"")*(IF(Expenses!G$3:G$999="Yes",Expenses!H$3:H$999,Expenses!D$3:D$999)))</f>
        <v/>
      </c>
      <c r="P13" s="142">
        <f>SUM(B13:O13)</f>
        <v/>
      </c>
      <c r="Q13" s="141">
        <f>SUMPRODUCT((Income!D$3:D$502="INR")*(MONTH(Income!A$3:A$502)=11)*(YEAR(Income!A$3:A$502)=2026)*(Income!A$3:A$502&lt;&gt;"")*Income!C$3:C$502)</f>
        <v/>
      </c>
      <c r="R13" s="142">
        <f>Q13-P13</f>
        <v/>
      </c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103" t="inlineStr">
        <is>
          <t>December 2026</t>
        </is>
      </c>
      <c r="B14" s="141">
        <f>SUMPRODUCT((Expenses!C$3:C$999="Rent")*(Expenses!E$3:E$999="INR")*(MONTH(Expenses!A$3:A$999)=12)*(YEAR(Expenses!A$3:A$999)=2026)*(Expenses!A$3:A$999&lt;&gt;"")*(IF(Expenses!G$3:G$999="Yes",Expenses!H$3:H$999,Expenses!D$3:D$999)))</f>
        <v/>
      </c>
      <c r="C14" s="141">
        <f>SUMPRODUCT((Expenses!C$3:C$999="Transport")*(Expenses!E$3:E$999="INR")*(MONTH(Expenses!A$3:A$999)=12)*(YEAR(Expenses!A$3:A$999)=2026)*(Expenses!A$3:A$999&lt;&gt;"")*(IF(Expenses!G$3:G$999="Yes",Expenses!H$3:H$999,Expenses!D$3:D$999)))</f>
        <v/>
      </c>
      <c r="D14" s="141">
        <f>SUMPRODUCT((Expenses!C$3:C$999="Travel")*(Expenses!E$3:E$999="INR")*(MONTH(Expenses!A$3:A$999)=12)*(YEAR(Expenses!A$3:A$999)=2026)*(Expenses!A$3:A$999&lt;&gt;"")*(IF(Expenses!G$3:G$999="Yes",Expenses!H$3:H$999,Expenses!D$3:D$999)))</f>
        <v/>
      </c>
      <c r="E14" s="141">
        <f>SUMPRODUCT((Expenses!C$3:C$999="Shopping")*(Expenses!E$3:E$999="INR")*(MONTH(Expenses!A$3:A$999)=12)*(YEAR(Expenses!A$3:A$999)=2026)*(Expenses!A$3:A$999&lt;&gt;"")*(IF(Expenses!G$3:G$999="Yes",Expenses!H$3:H$999,Expenses!D$3:D$999)))</f>
        <v/>
      </c>
      <c r="F14" s="141">
        <f>SUMPRODUCT((Expenses!C$3:C$999="Electronics")*(Expenses!E$3:E$999="INR")*(MONTH(Expenses!A$3:A$999)=12)*(YEAR(Expenses!A$3:A$999)=2026)*(Expenses!A$3:A$999&lt;&gt;"")*(IF(Expenses!G$3:G$999="Yes",Expenses!H$3:H$999,Expenses!D$3:D$999)))</f>
        <v/>
      </c>
      <c r="G14" s="141">
        <f>SUMPRODUCT((Expenses!C$3:C$999="Subscriptions")*(Expenses!E$3:E$999="INR")*(MONTH(Expenses!A$3:A$999)=12)*(YEAR(Expenses!A$3:A$999)=2026)*(Expenses!A$3:A$999&lt;&gt;"")*(IF(Expenses!G$3:G$999="Yes",Expenses!H$3:H$999,Expenses!D$3:D$999)))</f>
        <v/>
      </c>
      <c r="H14" s="141">
        <f>SUMPRODUCT((Expenses!C$3:C$999="Bills")*(Expenses!E$3:E$999="INR")*(MONTH(Expenses!A$3:A$999)=12)*(YEAR(Expenses!A$3:A$999)=2026)*(Expenses!A$3:A$999&lt;&gt;"")*(IF(Expenses!G$3:G$999="Yes",Expenses!H$3:H$999,Expenses!D$3:D$999)))</f>
        <v/>
      </c>
      <c r="I14" s="141">
        <f>SUMPRODUCT((Expenses!C$3:C$999="Entertainment")*(Expenses!E$3:E$999="INR")*(MONTH(Expenses!A$3:A$999)=12)*(YEAR(Expenses!A$3:A$999)=2026)*(Expenses!A$3:A$999&lt;&gt;"")*(IF(Expenses!G$3:G$999="Yes",Expenses!H$3:H$999,Expenses!D$3:D$999)))</f>
        <v/>
      </c>
      <c r="J14" s="141">
        <f>SUMPRODUCT((Expenses!C$3:C$999="Food and Drinks")*(Expenses!E$3:E$999="INR")*(MONTH(Expenses!A$3:A$999)=12)*(YEAR(Expenses!A$3:A$999)=2026)*(Expenses!A$3:A$999&lt;&gt;"")*(IF(Expenses!G$3:G$999="Yes",Expenses!H$3:H$999,Expenses!D$3:D$999)))</f>
        <v/>
      </c>
      <c r="K14" s="141">
        <f>SUMPRODUCT((Expenses!C$3:C$999="Groceries")*(Expenses!E$3:E$999="INR")*(MONTH(Expenses!A$3:A$999)=12)*(YEAR(Expenses!A$3:A$999)=2026)*(Expenses!A$3:A$999&lt;&gt;"")*(IF(Expenses!G$3:G$999="Yes",Expenses!H$3:H$999,Expenses!D$3:D$999)))</f>
        <v/>
      </c>
      <c r="L14" s="141">
        <f>SUMPRODUCT((Expenses!C$3:C$999="Others")*(Expenses!E$3:E$999="INR")*(MONTH(Expenses!A$3:A$999)=12)*(YEAR(Expenses!A$3:A$999)=2026)*(Expenses!A$3:A$999&lt;&gt;"")*(IF(Expenses!G$3:G$999="Yes",Expenses!H$3:H$999,Expenses!D$3:D$999)))</f>
        <v/>
      </c>
      <c r="M14" s="141">
        <f>SUMPRODUCT((Expenses!C$3:C$999="Gifts")*(Expenses!E$3:E$999="INR")*(MONTH(Expenses!A$3:A$999)=12)*(YEAR(Expenses!A$3:A$999)=2026)*(Expenses!A$3:A$999&lt;&gt;"")*(IF(Expenses!G$3:G$999="Yes",Expenses!H$3:H$999,Expenses!D$3:D$999)))</f>
        <v/>
      </c>
      <c r="N14" s="141">
        <f>SUMPRODUCT((Expenses!C$3:C$999="Donations")*(Expenses!E$3:E$999="INR")*(MONTH(Expenses!A$3:A$999)=12)*(YEAR(Expenses!A$3:A$999)=2026)*(Expenses!A$3:A$999&lt;&gt;"")*(IF(Expenses!G$3:G$999="Yes",Expenses!H$3:H$999,Expenses!D$3:D$999)))</f>
        <v/>
      </c>
      <c r="O14" s="141">
        <f>SUMPRODUCT((Expenses!C$3:C$999="Investments")*(Expenses!E$3:E$999="INR")*(MONTH(Expenses!A$3:A$999)=12)*(YEAR(Expenses!A$3:A$999)=2026)*(Expenses!A$3:A$999&lt;&gt;"")*(IF(Expenses!G$3:G$999="Yes",Expenses!H$3:H$999,Expenses!D$3:D$999)))</f>
        <v/>
      </c>
      <c r="P14" s="142">
        <f>SUM(B14:O14)</f>
        <v/>
      </c>
      <c r="Q14" s="141">
        <f>SUMPRODUCT((Income!D$3:D$502="INR")*(MONTH(Income!A$3:A$502)=12)*(YEAR(Income!A$3:A$502)=2026)*(Income!A$3:A$502&lt;&gt;"")*Income!C$3:C$502)</f>
        <v/>
      </c>
      <c r="R14" s="142">
        <f>Q14-P14</f>
        <v/>
      </c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136" t="inlineStr">
        <is>
          <t>Total</t>
        </is>
      </c>
      <c r="B16" s="143">
        <f>SUM(B3:B14)</f>
        <v/>
      </c>
      <c r="C16" s="143">
        <f>SUM(C3:C14)</f>
        <v/>
      </c>
      <c r="D16" s="143">
        <f>SUM(D3:D14)</f>
        <v/>
      </c>
      <c r="E16" s="143">
        <f>SUM(E3:E14)</f>
        <v/>
      </c>
      <c r="F16" s="143">
        <f>SUM(F3:F14)</f>
        <v/>
      </c>
      <c r="G16" s="143">
        <f>SUM(G3:G14)</f>
        <v/>
      </c>
      <c r="H16" s="143">
        <f>SUM(H3:H14)</f>
        <v/>
      </c>
      <c r="I16" s="143">
        <f>SUM(I3:I14)</f>
        <v/>
      </c>
      <c r="J16" s="143">
        <f>SUM(J3:J14)</f>
        <v/>
      </c>
      <c r="K16" s="143">
        <f>SUM(K3:K14)</f>
        <v/>
      </c>
      <c r="L16" s="143">
        <f>SUM(L3:L14)</f>
        <v/>
      </c>
      <c r="M16" s="143">
        <f>SUM(M3:M14)</f>
        <v/>
      </c>
      <c r="N16" s="143">
        <f>SUM(N3:N14)</f>
        <v/>
      </c>
      <c r="O16" s="143">
        <f>SUM(O3:O14)</f>
        <v/>
      </c>
      <c r="P16" s="143">
        <f>SUM(P3:P14)</f>
        <v/>
      </c>
      <c r="Q16" s="143">
        <f>SUM(Q3:Q14)</f>
        <v/>
      </c>
      <c r="R16" s="143">
        <f>SUM(R3:R14)</f>
        <v/>
      </c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13" t="inlineStr">
        <is>
          <t>Monthly Budget</t>
        </is>
      </c>
      <c r="B18" s="144" t="n"/>
      <c r="C18" s="144" t="n"/>
      <c r="D18" s="144" t="n"/>
      <c r="E18" s="144" t="n"/>
      <c r="F18" s="144" t="n"/>
      <c r="G18" s="144" t="n"/>
      <c r="H18" s="144" t="n"/>
      <c r="I18" s="144" t="n"/>
      <c r="J18" s="144" t="n"/>
      <c r="K18" s="144" t="n"/>
      <c r="L18" s="144" t="n"/>
      <c r="M18" s="144" t="n"/>
      <c r="N18" s="144" t="n"/>
      <c r="O18" s="144" t="n"/>
      <c r="P18" s="145">
        <f>SUM(B18:O18)</f>
        <v/>
      </c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68">
      <c r="A21" s="140" t="inlineStr">
        <is>
          <t>Yearly Breakdown</t>
        </is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6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6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6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6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6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6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6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6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6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6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6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6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6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6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6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6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6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6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6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6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6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6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6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6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6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6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6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6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6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6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6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6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6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6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6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6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6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6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6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6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6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6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6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6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6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6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6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6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6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6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6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6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6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6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6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6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6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6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6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6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6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6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6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6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6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6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6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6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6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6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6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6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6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6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6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6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6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6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6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6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6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6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6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6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6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6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6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6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6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6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6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6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6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6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6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6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6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6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6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6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6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6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6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6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6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6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6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6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6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6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6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6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6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6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6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6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6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6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6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6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6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6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6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6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6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6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6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6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6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6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6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6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6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6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6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6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6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6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6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6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6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6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6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6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6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6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6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6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6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6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6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6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6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6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6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6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6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6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6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6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6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6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6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6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6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6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6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6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6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6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6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6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6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6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6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6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6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6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6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6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6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6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6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6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6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6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6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6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6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6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6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6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6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6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6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6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6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6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6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6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6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6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6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6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6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6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6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6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6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6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6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6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6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6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6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6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6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6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6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6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6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6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6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6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6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6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6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6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6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6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6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6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6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6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6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6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6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6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6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6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6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6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6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6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6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6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6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6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6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6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6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6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6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6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6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6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6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6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6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6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6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6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6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6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6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6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6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6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6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6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6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6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6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6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6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6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6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6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6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6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6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6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6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6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6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6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6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6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6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6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6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6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6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6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6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6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6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6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6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6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6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6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6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6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6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6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6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6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6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6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6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6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6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6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6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6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6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6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6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6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6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6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6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6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6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6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6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6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6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6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6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6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6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6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6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6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6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6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6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6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6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6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6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6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6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6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6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6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6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6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6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6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6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6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6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6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6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6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6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6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6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6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6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6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6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6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6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6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6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6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6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6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6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6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6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6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6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6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6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6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6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6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6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6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6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6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6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6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6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6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6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6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6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6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6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6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6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6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6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6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6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6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6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6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6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6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6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6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6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6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6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6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6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6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6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6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6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6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6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6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6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6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6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6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6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6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6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6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6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6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6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6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6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6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6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6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6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6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6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6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6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6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6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6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6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6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6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6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6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6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6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6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6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6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6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6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6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6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6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6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6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6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6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6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6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6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6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6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6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6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6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6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6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6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6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6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6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6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6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6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6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6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6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6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6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6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6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6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6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6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6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6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6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6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6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6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6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6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6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6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6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6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6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6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6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6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6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6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6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6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6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6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6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6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6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6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6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6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6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6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6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6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6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6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6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6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6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6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6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6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6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6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6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6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6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6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6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6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6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6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6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6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6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6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6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6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6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6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6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6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6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6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6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6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6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6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6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6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6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6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6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6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6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6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6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6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6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6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6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6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6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6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6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6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6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6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6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6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6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6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6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6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6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6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6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6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6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6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6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6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6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6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6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6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6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6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6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6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6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6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6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6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6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6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6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6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6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6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6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6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6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6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6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6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6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6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6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6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6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6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6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6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6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6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6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6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6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6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6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6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6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6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6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6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6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6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6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6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6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6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6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6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6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6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6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6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6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6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6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6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6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6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6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6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6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6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6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6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6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6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6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6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6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6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6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6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6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6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6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6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6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6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6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6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6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6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6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6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6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6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6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6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6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6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6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6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6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6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6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6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6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6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6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6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6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6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6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6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6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6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6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6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6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6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6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6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6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6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6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6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6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6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6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6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6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6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6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6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6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6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6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6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6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6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6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6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6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6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6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6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6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6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6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6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6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6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6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6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6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6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6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6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6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6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6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6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6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6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6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6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6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6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6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6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6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6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6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6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6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6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6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6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6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6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6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6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6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6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6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6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6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6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6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6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6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6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6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6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6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6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6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6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6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6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6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6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6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6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6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6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6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6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6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6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6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6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6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6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6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6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6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6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6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6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6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6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6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6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6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6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6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6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6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6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6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6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6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6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6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6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6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6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6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6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6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6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6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6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6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6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6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6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6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6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6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6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6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6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6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6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6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6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6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6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6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6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6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6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6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6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6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6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6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6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6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6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6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6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6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6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6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6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6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6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6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6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6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6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6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6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6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6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6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6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6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6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6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6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6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6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6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6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6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6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6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6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6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6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6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6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6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6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6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6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6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6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6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6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6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6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6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6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6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6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6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6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6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6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6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6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6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6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6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6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6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6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6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6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6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6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6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6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6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6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6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6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6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6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6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6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6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6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6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6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6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6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6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6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6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6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6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6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6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6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6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6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6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6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6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6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6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6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6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6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6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6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6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6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6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6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6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6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6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6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6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6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6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6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6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2">
    <mergeCell ref="A21:H21"/>
    <mergeCell ref="A1:R1"/>
  </mergeCells>
  <conditionalFormatting sqref="B3:B14">
    <cfRule type="cellIs" priority="1" operator="lessThanOrEqual" dxfId="6">
      <formula>$B$18</formula>
    </cfRule>
    <cfRule type="cellIs" priority="2" operator="greaterThan" dxfId="7">
      <formula>$B$18</formula>
    </cfRule>
  </conditionalFormatting>
  <conditionalFormatting sqref="C3:C14">
    <cfRule type="cellIs" priority="3" operator="lessThanOrEqual" dxfId="6">
      <formula>$C$18</formula>
    </cfRule>
    <cfRule type="cellIs" priority="4" operator="greaterThan" dxfId="7">
      <formula>$C$18</formula>
    </cfRule>
  </conditionalFormatting>
  <conditionalFormatting sqref="D3:D14">
    <cfRule type="cellIs" priority="5" operator="lessThanOrEqual" dxfId="6">
      <formula>$D$18</formula>
    </cfRule>
    <cfRule type="cellIs" priority="6" operator="greaterThan" dxfId="7">
      <formula>$D$18</formula>
    </cfRule>
  </conditionalFormatting>
  <conditionalFormatting sqref="E3:E14">
    <cfRule type="cellIs" priority="7" operator="lessThanOrEqual" dxfId="6">
      <formula>$E$18</formula>
    </cfRule>
    <cfRule type="cellIs" priority="8" operator="greaterThan" dxfId="7">
      <formula>$E$18</formula>
    </cfRule>
  </conditionalFormatting>
  <conditionalFormatting sqref="F3:F14">
    <cfRule type="cellIs" priority="9" operator="lessThanOrEqual" dxfId="6">
      <formula>$F$18</formula>
    </cfRule>
    <cfRule type="cellIs" priority="10" operator="greaterThan" dxfId="7">
      <formula>$F$18</formula>
    </cfRule>
  </conditionalFormatting>
  <conditionalFormatting sqref="G3:G14">
    <cfRule type="cellIs" priority="11" operator="lessThanOrEqual" dxfId="6">
      <formula>$G$18</formula>
    </cfRule>
    <cfRule type="cellIs" priority="12" operator="greaterThan" dxfId="7">
      <formula>$G$18</formula>
    </cfRule>
  </conditionalFormatting>
  <conditionalFormatting sqref="H3:H14">
    <cfRule type="cellIs" priority="13" operator="lessThanOrEqual" dxfId="6">
      <formula>$H$18</formula>
    </cfRule>
    <cfRule type="cellIs" priority="14" operator="greaterThan" dxfId="7">
      <formula>$H$18</formula>
    </cfRule>
  </conditionalFormatting>
  <conditionalFormatting sqref="I3:I14">
    <cfRule type="cellIs" priority="15" operator="lessThanOrEqual" dxfId="6">
      <formula>$I$18</formula>
    </cfRule>
    <cfRule type="cellIs" priority="16" operator="greaterThan" dxfId="7">
      <formula>$I$18</formula>
    </cfRule>
  </conditionalFormatting>
  <conditionalFormatting sqref="J3:J14">
    <cfRule type="cellIs" priority="17" operator="lessThanOrEqual" dxfId="6">
      <formula>$J$18</formula>
    </cfRule>
    <cfRule type="cellIs" priority="18" operator="greaterThan" dxfId="7">
      <formula>$J$18</formula>
    </cfRule>
  </conditionalFormatting>
  <conditionalFormatting sqref="K3:K14">
    <cfRule type="cellIs" priority="19" operator="lessThanOrEqual" dxfId="6">
      <formula>$K$18</formula>
    </cfRule>
    <cfRule type="cellIs" priority="20" operator="greaterThan" dxfId="7">
      <formula>$K$18</formula>
    </cfRule>
  </conditionalFormatting>
  <conditionalFormatting sqref="L3:L14">
    <cfRule type="cellIs" priority="21" operator="lessThanOrEqual" dxfId="6">
      <formula>$L$18</formula>
    </cfRule>
    <cfRule type="cellIs" priority="22" operator="greaterThan" dxfId="7">
      <formula>$L$18</formula>
    </cfRule>
  </conditionalFormatting>
  <conditionalFormatting sqref="M3:M14">
    <cfRule type="cellIs" priority="23" operator="lessThanOrEqual" dxfId="6">
      <formula>$M$18</formula>
    </cfRule>
    <cfRule type="cellIs" priority="24" operator="greaterThan" dxfId="7">
      <formula>$M$18</formula>
    </cfRule>
  </conditionalFormatting>
  <conditionalFormatting sqref="N3:N14">
    <cfRule type="cellIs" priority="25" operator="lessThanOrEqual" dxfId="6">
      <formula>$N$18</formula>
    </cfRule>
    <cfRule type="cellIs" priority="26" operator="greaterThan" dxfId="7">
      <formula>$N$18</formula>
    </cfRule>
  </conditionalFormatting>
  <conditionalFormatting sqref="O3:O14">
    <cfRule type="cellIs" priority="27" operator="lessThanOrEqual" dxfId="6">
      <formula>$O$18</formula>
    </cfRule>
    <cfRule type="cellIs" priority="28" operator="greaterThan" dxfId="7">
      <formula>$O$18</formula>
    </cfRule>
  </conditionalFormatting>
  <conditionalFormatting sqref="R3:R14">
    <cfRule type="cellIs" priority="29" operator="lessThan" dxfId="7">
      <formula>0</formula>
    </cfRule>
    <cfRule type="cellIs" priority="30" operator="greaterThanOrEqual" dxfId="6">
      <formula>0</formula>
    </cfRule>
  </conditionalFormatting>
  <pageMargins left="0.75" right="0.75" top="1" bottom="1" header="0" footer="0"/>
  <pageSetup orientation="portrait" paperSize="9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FF0070C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168" min="1" max="1"/>
    <col width="14" customWidth="1" style="168" min="2" max="2"/>
    <col width="18" customWidth="1" style="168" min="3" max="3"/>
    <col width="16" customWidth="1" style="168" min="4" max="4"/>
    <col width="14" customWidth="1" style="168" min="5" max="6"/>
    <col width="18" customWidth="1" style="168" min="7" max="7"/>
    <col width="20" customWidth="1" style="168" min="8" max="8"/>
  </cols>
  <sheetData>
    <row r="1">
      <c r="A1" s="101" t="inlineStr">
        <is>
          <t>CASHFLOW (GBP) - Daily Running Balance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35" t="inlineStr">
        <is>
          <t>Week</t>
        </is>
      </c>
      <c r="B2" s="135" t="inlineStr">
        <is>
          <t>Date</t>
        </is>
      </c>
      <c r="C2" s="135" t="inlineStr">
        <is>
          <t>Starting Balance</t>
        </is>
      </c>
      <c r="D2" s="135" t="inlineStr">
        <is>
          <t>Day Total +/-</t>
        </is>
      </c>
      <c r="E2" s="135" t="inlineStr">
        <is>
          <t>Income (+)</t>
        </is>
      </c>
      <c r="F2" s="135" t="inlineStr">
        <is>
          <t>Expenses (-)</t>
        </is>
      </c>
      <c r="G2" s="135" t="inlineStr">
        <is>
          <t>Ending Balance</t>
        </is>
      </c>
      <c r="H2" s="135" t="inlineStr">
        <is>
          <t>Notes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9" t="n">
        <v>1</v>
      </c>
      <c r="B3" s="146" t="n">
        <v>46023</v>
      </c>
      <c r="C3" s="138" t="n">
        <v>2474.47</v>
      </c>
      <c r="D3" s="134">
        <f>E3-F3</f>
        <v/>
      </c>
      <c r="E3" s="20">
        <f>SUMPRODUCT((Income!D$3:D$502="GBP")*(Income!A$3:A$502=B3)*(Income!A$3:A$502&lt;&gt;"")*Income!C$3:C$502)</f>
        <v/>
      </c>
      <c r="F3" s="20">
        <f>SUMPRODUCT((Expenses!E$3:E$999="GBP")*(Expenses!A$3:A$999=B3)*(Expenses!A$3:A$999&lt;&gt;"")*Expenses!D$3:D$999)</f>
        <v/>
      </c>
      <c r="G3" s="134">
        <f>C3+D3</f>
        <v/>
      </c>
      <c r="H3" s="111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9" t="n">
        <v>1</v>
      </c>
      <c r="B4" s="146" t="n">
        <v>46024</v>
      </c>
      <c r="C4" s="20">
        <f>G3</f>
        <v/>
      </c>
      <c r="D4" s="134">
        <f>E4-F4</f>
        <v/>
      </c>
      <c r="E4" s="20">
        <f>SUMPRODUCT((Income!D$3:D$502="GBP")*(Income!A$3:A$502=B4)*(Income!A$3:A$502&lt;&gt;"")*Income!C$3:C$502)</f>
        <v/>
      </c>
      <c r="F4" s="20">
        <f>SUMPRODUCT((Expenses!E$3:E$999="GBP")*(Expenses!A$3:A$999=B4)*(Expenses!A$3:A$999&lt;&gt;"")*Expenses!D$3:D$999)</f>
        <v/>
      </c>
      <c r="G4" s="134">
        <f>C4+D4</f>
        <v/>
      </c>
      <c r="H4" s="111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9" t="n">
        <v>1</v>
      </c>
      <c r="B5" s="146" t="n">
        <v>46025</v>
      </c>
      <c r="C5" s="20">
        <f>G4</f>
        <v/>
      </c>
      <c r="D5" s="134">
        <f>E5-F5</f>
        <v/>
      </c>
      <c r="E5" s="20">
        <f>SUMPRODUCT((Income!D$3:D$502="GBP")*(Income!A$3:A$502=B5)*(Income!A$3:A$502&lt;&gt;"")*Income!C$3:C$502)</f>
        <v/>
      </c>
      <c r="F5" s="20">
        <f>SUMPRODUCT((Expenses!E$3:E$999="GBP")*(Expenses!A$3:A$999=B5)*(Expenses!A$3:A$999&lt;&gt;"")*Expenses!D$3:D$999)</f>
        <v/>
      </c>
      <c r="G5" s="134">
        <f>C5+D5</f>
        <v/>
      </c>
      <c r="H5" s="111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9" t="n">
        <v>1</v>
      </c>
      <c r="B6" s="146" t="n">
        <v>46026</v>
      </c>
      <c r="C6" s="20">
        <f>G5</f>
        <v/>
      </c>
      <c r="D6" s="134">
        <f>E6-F6</f>
        <v/>
      </c>
      <c r="E6" s="20">
        <f>SUMPRODUCT((Income!D$3:D$502="GBP")*(Income!A$3:A$502=B6)*(Income!A$3:A$502&lt;&gt;"")*Income!C$3:C$502)</f>
        <v/>
      </c>
      <c r="F6" s="20">
        <f>SUMPRODUCT((Expenses!E$3:E$999="GBP")*(Expenses!A$3:A$999=B6)*(Expenses!A$3:A$999&lt;&gt;"")*Expenses!D$3:D$999)</f>
        <v/>
      </c>
      <c r="G6" s="134">
        <f>C6+D6</f>
        <v/>
      </c>
      <c r="H6" s="111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19" t="n">
        <v>2</v>
      </c>
      <c r="B7" s="146" t="n">
        <v>46027</v>
      </c>
      <c r="C7" s="20">
        <f>G6</f>
        <v/>
      </c>
      <c r="D7" s="134">
        <f>E7-F7</f>
        <v/>
      </c>
      <c r="E7" s="20">
        <f>SUMPRODUCT((Income!D$3:D$502="GBP")*(Income!A$3:A$502=B7)*(Income!A$3:A$502&lt;&gt;"")*Income!C$3:C$502)</f>
        <v/>
      </c>
      <c r="F7" s="20">
        <f>SUMPRODUCT((Expenses!E$3:E$999="GBP")*(Expenses!A$3:A$999=B7)*(Expenses!A$3:A$999&lt;&gt;"")*Expenses!D$3:D$999)</f>
        <v/>
      </c>
      <c r="G7" s="134">
        <f>C7+D7</f>
        <v/>
      </c>
      <c r="H7" s="111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9" t="n">
        <v>2</v>
      </c>
      <c r="B8" s="146" t="n">
        <v>46028</v>
      </c>
      <c r="C8" s="20">
        <f>G7</f>
        <v/>
      </c>
      <c r="D8" s="134">
        <f>E8-F8</f>
        <v/>
      </c>
      <c r="E8" s="20">
        <f>SUMPRODUCT((Income!D$3:D$502="GBP")*(Income!A$3:A$502=B8)*(Income!A$3:A$502&lt;&gt;"")*Income!C$3:C$502)</f>
        <v/>
      </c>
      <c r="F8" s="20">
        <f>SUMPRODUCT((Expenses!E$3:E$999="GBP")*(Expenses!A$3:A$999=B8)*(Expenses!A$3:A$999&lt;&gt;"")*Expenses!D$3:D$999)</f>
        <v/>
      </c>
      <c r="G8" s="134">
        <f>C8+D8</f>
        <v/>
      </c>
      <c r="H8" s="111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9" t="n">
        <v>2</v>
      </c>
      <c r="B9" s="146" t="n">
        <v>46029</v>
      </c>
      <c r="C9" s="20">
        <f>G8</f>
        <v/>
      </c>
      <c r="D9" s="134">
        <f>E9-F9</f>
        <v/>
      </c>
      <c r="E9" s="20">
        <f>SUMPRODUCT((Income!D$3:D$502="GBP")*(Income!A$3:A$502=B9)*(Income!A$3:A$502&lt;&gt;"")*Income!C$3:C$502)</f>
        <v/>
      </c>
      <c r="F9" s="20">
        <f>SUMPRODUCT((Expenses!E$3:E$999="GBP")*(Expenses!A$3:A$999=B9)*(Expenses!A$3:A$999&lt;&gt;"")*Expenses!D$3:D$999)</f>
        <v/>
      </c>
      <c r="G9" s="134">
        <f>C9+D9</f>
        <v/>
      </c>
      <c r="H9" s="111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19" t="n">
        <v>2</v>
      </c>
      <c r="B10" s="146" t="n">
        <v>46030</v>
      </c>
      <c r="C10" s="20">
        <f>G9</f>
        <v/>
      </c>
      <c r="D10" s="134">
        <f>E10-F10</f>
        <v/>
      </c>
      <c r="E10" s="20">
        <f>SUMPRODUCT((Income!D$3:D$502="GBP")*(Income!A$3:A$502=B10)*(Income!A$3:A$502&lt;&gt;"")*Income!C$3:C$502)</f>
        <v/>
      </c>
      <c r="F10" s="20">
        <f>SUMPRODUCT((Expenses!E$3:E$999="GBP")*(Expenses!A$3:A$999=B10)*(Expenses!A$3:A$999&lt;&gt;"")*Expenses!D$3:D$999)</f>
        <v/>
      </c>
      <c r="G10" s="134">
        <f>C10+D10</f>
        <v/>
      </c>
      <c r="H10" s="111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19" t="n">
        <v>2</v>
      </c>
      <c r="B11" s="146" t="n">
        <v>46031</v>
      </c>
      <c r="C11" s="20">
        <f>G10</f>
        <v/>
      </c>
      <c r="D11" s="134">
        <f>E11-F11</f>
        <v/>
      </c>
      <c r="E11" s="20">
        <f>SUMPRODUCT((Income!D$3:D$502="GBP")*(Income!A$3:A$502=B11)*(Income!A$3:A$502&lt;&gt;"")*Income!C$3:C$502)</f>
        <v/>
      </c>
      <c r="F11" s="20">
        <f>SUMPRODUCT((Expenses!E$3:E$999="GBP")*(Expenses!A$3:A$999=B11)*(Expenses!A$3:A$999&lt;&gt;"")*Expenses!D$3:D$999)</f>
        <v/>
      </c>
      <c r="G11" s="134">
        <f>C11+D11</f>
        <v/>
      </c>
      <c r="H11" s="111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9" t="n">
        <v>2</v>
      </c>
      <c r="B12" s="146" t="n">
        <v>46032</v>
      </c>
      <c r="C12" s="20">
        <f>G11</f>
        <v/>
      </c>
      <c r="D12" s="134">
        <f>E12-F12</f>
        <v/>
      </c>
      <c r="E12" s="20">
        <f>SUMPRODUCT((Income!D$3:D$502="GBP")*(Income!A$3:A$502=B12)*(Income!A$3:A$502&lt;&gt;"")*Income!C$3:C$502)</f>
        <v/>
      </c>
      <c r="F12" s="20">
        <f>SUMPRODUCT((Expenses!E$3:E$999="GBP")*(Expenses!A$3:A$999=B12)*(Expenses!A$3:A$999&lt;&gt;"")*Expenses!D$3:D$999)</f>
        <v/>
      </c>
      <c r="G12" s="134">
        <f>C12+D12</f>
        <v/>
      </c>
      <c r="H12" s="111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19" t="n">
        <v>2</v>
      </c>
      <c r="B13" s="146" t="n">
        <v>46033</v>
      </c>
      <c r="C13" s="20">
        <f>G12</f>
        <v/>
      </c>
      <c r="D13" s="134">
        <f>E13-F13</f>
        <v/>
      </c>
      <c r="E13" s="20">
        <f>SUMPRODUCT((Income!D$3:D$502="GBP")*(Income!A$3:A$502=B13)*(Income!A$3:A$502&lt;&gt;"")*Income!C$3:C$502)</f>
        <v/>
      </c>
      <c r="F13" s="20">
        <f>SUMPRODUCT((Expenses!E$3:E$999="GBP")*(Expenses!A$3:A$999=B13)*(Expenses!A$3:A$999&lt;&gt;"")*Expenses!D$3:D$999)</f>
        <v/>
      </c>
      <c r="G13" s="134">
        <f>C13+D13</f>
        <v/>
      </c>
      <c r="H13" s="111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19" t="n">
        <v>3</v>
      </c>
      <c r="B14" s="146" t="n">
        <v>46034</v>
      </c>
      <c r="C14" s="20">
        <f>G13</f>
        <v/>
      </c>
      <c r="D14" s="134">
        <f>E14-F14</f>
        <v/>
      </c>
      <c r="E14" s="20">
        <f>SUMPRODUCT((Income!D$3:D$502="GBP")*(Income!A$3:A$502=B14)*(Income!A$3:A$502&lt;&gt;"")*Income!C$3:C$502)</f>
        <v/>
      </c>
      <c r="F14" s="20">
        <f>SUMPRODUCT((Expenses!E$3:E$999="GBP")*(Expenses!A$3:A$999=B14)*(Expenses!A$3:A$999&lt;&gt;"")*Expenses!D$3:D$999)</f>
        <v/>
      </c>
      <c r="G14" s="134">
        <f>C14+D14</f>
        <v/>
      </c>
      <c r="H14" s="111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19" t="n">
        <v>3</v>
      </c>
      <c r="B15" s="146" t="n">
        <v>46035</v>
      </c>
      <c r="C15" s="20">
        <f>G14</f>
        <v/>
      </c>
      <c r="D15" s="134">
        <f>E15-F15</f>
        <v/>
      </c>
      <c r="E15" s="20">
        <f>SUMPRODUCT((Income!D$3:D$502="GBP")*(Income!A$3:A$502=B15)*(Income!A$3:A$502&lt;&gt;"")*Income!C$3:C$502)</f>
        <v/>
      </c>
      <c r="F15" s="20">
        <f>SUMPRODUCT((Expenses!E$3:E$999="GBP")*(Expenses!A$3:A$999=B15)*(Expenses!A$3:A$999&lt;&gt;"")*Expenses!D$3:D$999)</f>
        <v/>
      </c>
      <c r="G15" s="134">
        <f>C15+D15</f>
        <v/>
      </c>
      <c r="H15" s="111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19" t="n">
        <v>3</v>
      </c>
      <c r="B16" s="146" t="n">
        <v>46036</v>
      </c>
      <c r="C16" s="20">
        <f>G15</f>
        <v/>
      </c>
      <c r="D16" s="134">
        <f>E16-F16</f>
        <v/>
      </c>
      <c r="E16" s="20">
        <f>SUMPRODUCT((Income!D$3:D$502="GBP")*(Income!A$3:A$502=B16)*(Income!A$3:A$502&lt;&gt;"")*Income!C$3:C$502)</f>
        <v/>
      </c>
      <c r="F16" s="20">
        <f>SUMPRODUCT((Expenses!E$3:E$999="GBP")*(Expenses!A$3:A$999=B16)*(Expenses!A$3:A$999&lt;&gt;"")*Expenses!D$3:D$999)</f>
        <v/>
      </c>
      <c r="G16" s="134">
        <f>C16+D16</f>
        <v/>
      </c>
      <c r="H16" s="111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19" t="n">
        <v>3</v>
      </c>
      <c r="B17" s="146" t="n">
        <v>46037</v>
      </c>
      <c r="C17" s="20">
        <f>G16</f>
        <v/>
      </c>
      <c r="D17" s="134">
        <f>E17-F17</f>
        <v/>
      </c>
      <c r="E17" s="20">
        <f>SUMPRODUCT((Income!D$3:D$502="GBP")*(Income!A$3:A$502=B17)*(Income!A$3:A$502&lt;&gt;"")*Income!C$3:C$502)</f>
        <v/>
      </c>
      <c r="F17" s="20">
        <f>SUMPRODUCT((Expenses!E$3:E$999="GBP")*(Expenses!A$3:A$999=B17)*(Expenses!A$3:A$999&lt;&gt;"")*Expenses!D$3:D$999)</f>
        <v/>
      </c>
      <c r="G17" s="134">
        <f>C17+D17</f>
        <v/>
      </c>
      <c r="H17" s="111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19" t="n">
        <v>3</v>
      </c>
      <c r="B18" s="146" t="n">
        <v>46038</v>
      </c>
      <c r="C18" s="20">
        <f>G17</f>
        <v/>
      </c>
      <c r="D18" s="134">
        <f>E18-F18</f>
        <v/>
      </c>
      <c r="E18" s="20">
        <f>SUMPRODUCT((Income!D$3:D$502="GBP")*(Income!A$3:A$502=B18)*(Income!A$3:A$502&lt;&gt;"")*Income!C$3:C$502)</f>
        <v/>
      </c>
      <c r="F18" s="20">
        <f>SUMPRODUCT((Expenses!E$3:E$999="GBP")*(Expenses!A$3:A$999=B18)*(Expenses!A$3:A$999&lt;&gt;"")*Expenses!D$3:D$999)</f>
        <v/>
      </c>
      <c r="G18" s="134">
        <f>C18+D18</f>
        <v/>
      </c>
      <c r="H18" s="111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19" t="n">
        <v>3</v>
      </c>
      <c r="B19" s="146" t="n">
        <v>46039</v>
      </c>
      <c r="C19" s="20">
        <f>G18</f>
        <v/>
      </c>
      <c r="D19" s="134">
        <f>E19-F19</f>
        <v/>
      </c>
      <c r="E19" s="20">
        <f>SUMPRODUCT((Income!D$3:D$502="GBP")*(Income!A$3:A$502=B19)*(Income!A$3:A$502&lt;&gt;"")*Income!C$3:C$502)</f>
        <v/>
      </c>
      <c r="F19" s="20">
        <f>SUMPRODUCT((Expenses!E$3:E$999="GBP")*(Expenses!A$3:A$999=B19)*(Expenses!A$3:A$999&lt;&gt;"")*Expenses!D$3:D$999)</f>
        <v/>
      </c>
      <c r="G19" s="134">
        <f>C19+D19</f>
        <v/>
      </c>
      <c r="H19" s="111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19" t="n">
        <v>3</v>
      </c>
      <c r="B20" s="146" t="n">
        <v>46040</v>
      </c>
      <c r="C20" s="20">
        <f>G19</f>
        <v/>
      </c>
      <c r="D20" s="134">
        <f>E20-F20</f>
        <v/>
      </c>
      <c r="E20" s="20">
        <f>SUMPRODUCT((Income!D$3:D$502="GBP")*(Income!A$3:A$502=B20)*(Income!A$3:A$502&lt;&gt;"")*Income!C$3:C$502)</f>
        <v/>
      </c>
      <c r="F20" s="20">
        <f>SUMPRODUCT((Expenses!E$3:E$999="GBP")*(Expenses!A$3:A$999=B20)*(Expenses!A$3:A$999&lt;&gt;"")*Expenses!D$3:D$999)</f>
        <v/>
      </c>
      <c r="G20" s="134">
        <f>C20+D20</f>
        <v/>
      </c>
      <c r="H20" s="111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68">
      <c r="A21" s="19" t="n">
        <v>4</v>
      </c>
      <c r="B21" s="146" t="n">
        <v>46041</v>
      </c>
      <c r="C21" s="20">
        <f>G20</f>
        <v/>
      </c>
      <c r="D21" s="134">
        <f>E21-F21</f>
        <v/>
      </c>
      <c r="E21" s="20">
        <f>SUMPRODUCT((Income!D$3:D$502="GBP")*(Income!A$3:A$502=B21)*(Income!A$3:A$502&lt;&gt;"")*Income!C$3:C$502)</f>
        <v/>
      </c>
      <c r="F21" s="20">
        <f>SUMPRODUCT((Expenses!E$3:E$999="GBP")*(Expenses!A$3:A$999=B21)*(Expenses!A$3:A$999&lt;&gt;"")*Expenses!D$3:D$999)</f>
        <v/>
      </c>
      <c r="G21" s="134">
        <f>C21+D21</f>
        <v/>
      </c>
      <c r="H21" s="111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68">
      <c r="A22" s="19" t="n">
        <v>4</v>
      </c>
      <c r="B22" s="146" t="n">
        <v>46042</v>
      </c>
      <c r="C22" s="20">
        <f>G21</f>
        <v/>
      </c>
      <c r="D22" s="134">
        <f>E22-F22</f>
        <v/>
      </c>
      <c r="E22" s="20">
        <f>SUMPRODUCT((Income!D$3:D$502="GBP")*(Income!A$3:A$502=B22)*(Income!A$3:A$502&lt;&gt;"")*Income!C$3:C$502)</f>
        <v/>
      </c>
      <c r="F22" s="20">
        <f>SUMPRODUCT((Expenses!E$3:E$999="GBP")*(Expenses!A$3:A$999=B22)*(Expenses!A$3:A$999&lt;&gt;"")*Expenses!D$3:D$999)</f>
        <v/>
      </c>
      <c r="G22" s="134">
        <f>C22+D22</f>
        <v/>
      </c>
      <c r="H22" s="111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68">
      <c r="A23" s="19" t="n">
        <v>4</v>
      </c>
      <c r="B23" s="146" t="n">
        <v>46043</v>
      </c>
      <c r="C23" s="20">
        <f>G22</f>
        <v/>
      </c>
      <c r="D23" s="134">
        <f>E23-F23</f>
        <v/>
      </c>
      <c r="E23" s="20">
        <f>SUMPRODUCT((Income!D$3:D$502="GBP")*(Income!A$3:A$502=B23)*(Income!A$3:A$502&lt;&gt;"")*Income!C$3:C$502)</f>
        <v/>
      </c>
      <c r="F23" s="20">
        <f>SUMPRODUCT((Expenses!E$3:E$999="GBP")*(Expenses!A$3:A$999=B23)*(Expenses!A$3:A$999&lt;&gt;"")*Expenses!D$3:D$999)</f>
        <v/>
      </c>
      <c r="G23" s="134">
        <f>C23+D23</f>
        <v/>
      </c>
      <c r="H23" s="111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68">
      <c r="A24" s="19" t="n">
        <v>4</v>
      </c>
      <c r="B24" s="146" t="n">
        <v>46044</v>
      </c>
      <c r="C24" s="20">
        <f>G23</f>
        <v/>
      </c>
      <c r="D24" s="134">
        <f>E24-F24</f>
        <v/>
      </c>
      <c r="E24" s="20">
        <f>SUMPRODUCT((Income!D$3:D$502="GBP")*(Income!A$3:A$502=B24)*(Income!A$3:A$502&lt;&gt;"")*Income!C$3:C$502)</f>
        <v/>
      </c>
      <c r="F24" s="20">
        <f>SUMPRODUCT((Expenses!E$3:E$999="GBP")*(Expenses!A$3:A$999=B24)*(Expenses!A$3:A$999&lt;&gt;"")*Expenses!D$3:D$999)</f>
        <v/>
      </c>
      <c r="G24" s="134">
        <f>C24+D24</f>
        <v/>
      </c>
      <c r="H24" s="111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68">
      <c r="A25" s="19" t="n">
        <v>4</v>
      </c>
      <c r="B25" s="146" t="n">
        <v>46045</v>
      </c>
      <c r="C25" s="20">
        <f>G24</f>
        <v/>
      </c>
      <c r="D25" s="134">
        <f>E25-F25</f>
        <v/>
      </c>
      <c r="E25" s="20">
        <f>SUMPRODUCT((Income!D$3:D$502="GBP")*(Income!A$3:A$502=B25)*(Income!A$3:A$502&lt;&gt;"")*Income!C$3:C$502)</f>
        <v/>
      </c>
      <c r="F25" s="20">
        <f>SUMPRODUCT((Expenses!E$3:E$999="GBP")*(Expenses!A$3:A$999=B25)*(Expenses!A$3:A$999&lt;&gt;"")*Expenses!D$3:D$999)</f>
        <v/>
      </c>
      <c r="G25" s="134">
        <f>C25+D25</f>
        <v/>
      </c>
      <c r="H25" s="111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68">
      <c r="A26" s="19" t="n">
        <v>4</v>
      </c>
      <c r="B26" s="146" t="n">
        <v>46046</v>
      </c>
      <c r="C26" s="20">
        <f>G25</f>
        <v/>
      </c>
      <c r="D26" s="134">
        <f>E26-F26</f>
        <v/>
      </c>
      <c r="E26" s="20">
        <f>SUMPRODUCT((Income!D$3:D$502="GBP")*(Income!A$3:A$502=B26)*(Income!A$3:A$502&lt;&gt;"")*Income!C$3:C$502)</f>
        <v/>
      </c>
      <c r="F26" s="20">
        <f>SUMPRODUCT((Expenses!E$3:E$999="GBP")*(Expenses!A$3:A$999=B26)*(Expenses!A$3:A$999&lt;&gt;"")*Expenses!D$3:D$999)</f>
        <v/>
      </c>
      <c r="G26" s="134">
        <f>C26+D26</f>
        <v/>
      </c>
      <c r="H26" s="111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68">
      <c r="A27" s="19" t="n">
        <v>4</v>
      </c>
      <c r="B27" s="146" t="n">
        <v>46047</v>
      </c>
      <c r="C27" s="20">
        <f>G26</f>
        <v/>
      </c>
      <c r="D27" s="134">
        <f>E27-F27</f>
        <v/>
      </c>
      <c r="E27" s="20">
        <f>SUMPRODUCT((Income!D$3:D$502="GBP")*(Income!A$3:A$502=B27)*(Income!A$3:A$502&lt;&gt;"")*Income!C$3:C$502)</f>
        <v/>
      </c>
      <c r="F27" s="20">
        <f>SUMPRODUCT((Expenses!E$3:E$999="GBP")*(Expenses!A$3:A$999=B27)*(Expenses!A$3:A$999&lt;&gt;"")*Expenses!D$3:D$999)</f>
        <v/>
      </c>
      <c r="G27" s="134">
        <f>C27+D27</f>
        <v/>
      </c>
      <c r="H27" s="111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68">
      <c r="A28" s="19" t="n">
        <v>5</v>
      </c>
      <c r="B28" s="146" t="n">
        <v>46048</v>
      </c>
      <c r="C28" s="20">
        <f>G27</f>
        <v/>
      </c>
      <c r="D28" s="134">
        <f>E28-F28</f>
        <v/>
      </c>
      <c r="E28" s="20">
        <f>SUMPRODUCT((Income!D$3:D$502="GBP")*(Income!A$3:A$502=B28)*(Income!A$3:A$502&lt;&gt;"")*Income!C$3:C$502)</f>
        <v/>
      </c>
      <c r="F28" s="20">
        <f>SUMPRODUCT((Expenses!E$3:E$999="GBP")*(Expenses!A$3:A$999=B28)*(Expenses!A$3:A$999&lt;&gt;"")*Expenses!D$3:D$999)</f>
        <v/>
      </c>
      <c r="G28" s="134">
        <f>C28+D28</f>
        <v/>
      </c>
      <c r="H28" s="111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68">
      <c r="A29" s="19" t="n">
        <v>5</v>
      </c>
      <c r="B29" s="146" t="n">
        <v>46049</v>
      </c>
      <c r="C29" s="20">
        <f>G28</f>
        <v/>
      </c>
      <c r="D29" s="134">
        <f>E29-F29</f>
        <v/>
      </c>
      <c r="E29" s="20">
        <f>SUMPRODUCT((Income!D$3:D$502="GBP")*(Income!A$3:A$502=B29)*(Income!A$3:A$502&lt;&gt;"")*Income!C$3:C$502)</f>
        <v/>
      </c>
      <c r="F29" s="20">
        <f>SUMPRODUCT((Expenses!E$3:E$999="GBP")*(Expenses!A$3:A$999=B29)*(Expenses!A$3:A$999&lt;&gt;"")*Expenses!D$3:D$999)</f>
        <v/>
      </c>
      <c r="G29" s="134">
        <f>C29+D29</f>
        <v/>
      </c>
      <c r="H29" s="111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68">
      <c r="A30" s="19" t="n">
        <v>5</v>
      </c>
      <c r="B30" s="146" t="n">
        <v>46050</v>
      </c>
      <c r="C30" s="20">
        <f>G29</f>
        <v/>
      </c>
      <c r="D30" s="134">
        <f>E30-F30</f>
        <v/>
      </c>
      <c r="E30" s="20">
        <f>SUMPRODUCT((Income!D$3:D$502="GBP")*(Income!A$3:A$502=B30)*(Income!A$3:A$502&lt;&gt;"")*Income!C$3:C$502)</f>
        <v/>
      </c>
      <c r="F30" s="20">
        <f>SUMPRODUCT((Expenses!E$3:E$999="GBP")*(Expenses!A$3:A$999=B30)*(Expenses!A$3:A$999&lt;&gt;"")*Expenses!D$3:D$999)</f>
        <v/>
      </c>
      <c r="G30" s="134">
        <f>C30+D30</f>
        <v/>
      </c>
      <c r="H30" s="111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68">
      <c r="A31" s="19" t="n">
        <v>5</v>
      </c>
      <c r="B31" s="146" t="n">
        <v>46051</v>
      </c>
      <c r="C31" s="20">
        <f>G30</f>
        <v/>
      </c>
      <c r="D31" s="134">
        <f>E31-F31</f>
        <v/>
      </c>
      <c r="E31" s="20">
        <f>SUMPRODUCT((Income!D$3:D$502="GBP")*(Income!A$3:A$502=B31)*(Income!A$3:A$502&lt;&gt;"")*Income!C$3:C$502)</f>
        <v/>
      </c>
      <c r="F31" s="20">
        <f>SUMPRODUCT((Expenses!E$3:E$999="GBP")*(Expenses!A$3:A$999=B31)*(Expenses!A$3:A$999&lt;&gt;"")*Expenses!D$3:D$999)</f>
        <v/>
      </c>
      <c r="G31" s="134">
        <f>C31+D31</f>
        <v/>
      </c>
      <c r="H31" s="111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68">
      <c r="A32" s="19" t="n">
        <v>5</v>
      </c>
      <c r="B32" s="146" t="n">
        <v>46052</v>
      </c>
      <c r="C32" s="20">
        <f>G31</f>
        <v/>
      </c>
      <c r="D32" s="134">
        <f>E32-F32</f>
        <v/>
      </c>
      <c r="E32" s="20">
        <f>SUMPRODUCT((Income!D$3:D$502="GBP")*(Income!A$3:A$502=B32)*(Income!A$3:A$502&lt;&gt;"")*Income!C$3:C$502)</f>
        <v/>
      </c>
      <c r="F32" s="20">
        <f>SUMPRODUCT((Expenses!E$3:E$999="GBP")*(Expenses!A$3:A$999=B32)*(Expenses!A$3:A$999&lt;&gt;"")*Expenses!D$3:D$999)</f>
        <v/>
      </c>
      <c r="G32" s="134">
        <f>C32+D32</f>
        <v/>
      </c>
      <c r="H32" s="111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68">
      <c r="A33" s="19" t="n">
        <v>5</v>
      </c>
      <c r="B33" s="146" t="n">
        <v>46053</v>
      </c>
      <c r="C33" s="20">
        <f>G32</f>
        <v/>
      </c>
      <c r="D33" s="134">
        <f>E33-F33</f>
        <v/>
      </c>
      <c r="E33" s="20">
        <f>SUMPRODUCT((Income!D$3:D$502="GBP")*(Income!A$3:A$502=B33)*(Income!A$3:A$502&lt;&gt;"")*Income!C$3:C$502)</f>
        <v/>
      </c>
      <c r="F33" s="20">
        <f>SUMPRODUCT((Expenses!E$3:E$999="GBP")*(Expenses!A$3:A$999=B33)*(Expenses!A$3:A$999&lt;&gt;"")*Expenses!D$3:D$999)</f>
        <v/>
      </c>
      <c r="G33" s="134">
        <f>C33+D33</f>
        <v/>
      </c>
      <c r="H33" s="111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68">
      <c r="A34" s="19" t="n">
        <v>5</v>
      </c>
      <c r="B34" s="146" t="n">
        <v>46054</v>
      </c>
      <c r="C34" s="20">
        <f>G33</f>
        <v/>
      </c>
      <c r="D34" s="134">
        <f>E34-F34</f>
        <v/>
      </c>
      <c r="E34" s="20">
        <f>SUMPRODUCT((Income!D$3:D$502="GBP")*(Income!A$3:A$502=B34)*(Income!A$3:A$502&lt;&gt;"")*Income!C$3:C$502)</f>
        <v/>
      </c>
      <c r="F34" s="20">
        <f>SUMPRODUCT((Expenses!E$3:E$999="GBP")*(Expenses!A$3:A$999=B34)*(Expenses!A$3:A$999&lt;&gt;"")*Expenses!D$3:D$999)</f>
        <v/>
      </c>
      <c r="G34" s="134">
        <f>C34+D34</f>
        <v/>
      </c>
      <c r="H34" s="111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68">
      <c r="A35" s="19" t="n">
        <v>6</v>
      </c>
      <c r="B35" s="146" t="n">
        <v>46055</v>
      </c>
      <c r="C35" s="20">
        <f>G34</f>
        <v/>
      </c>
      <c r="D35" s="134">
        <f>E35-F35</f>
        <v/>
      </c>
      <c r="E35" s="20">
        <f>SUMPRODUCT((Income!D$3:D$502="GBP")*(Income!A$3:A$502=B35)*(Income!A$3:A$502&lt;&gt;"")*Income!C$3:C$502)</f>
        <v/>
      </c>
      <c r="F35" s="20">
        <f>SUMPRODUCT((Expenses!E$3:E$999="GBP")*(Expenses!A$3:A$999=B35)*(Expenses!A$3:A$999&lt;&gt;"")*Expenses!D$3:D$999)</f>
        <v/>
      </c>
      <c r="G35" s="134">
        <f>C35+D35</f>
        <v/>
      </c>
      <c r="H35" s="111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68">
      <c r="A36" s="19" t="n">
        <v>6</v>
      </c>
      <c r="B36" s="146" t="n">
        <v>46056</v>
      </c>
      <c r="C36" s="20">
        <f>G35</f>
        <v/>
      </c>
      <c r="D36" s="134">
        <f>E36-F36</f>
        <v/>
      </c>
      <c r="E36" s="20">
        <f>SUMPRODUCT((Income!D$3:D$502="GBP")*(Income!A$3:A$502=B36)*(Income!A$3:A$502&lt;&gt;"")*Income!C$3:C$502)</f>
        <v/>
      </c>
      <c r="F36" s="20">
        <f>SUMPRODUCT((Expenses!E$3:E$999="GBP")*(Expenses!A$3:A$999=B36)*(Expenses!A$3:A$999&lt;&gt;"")*Expenses!D$3:D$999)</f>
        <v/>
      </c>
      <c r="G36" s="134">
        <f>C36+D36</f>
        <v/>
      </c>
      <c r="H36" s="111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68">
      <c r="A37" s="19" t="n">
        <v>6</v>
      </c>
      <c r="B37" s="146" t="n">
        <v>46057</v>
      </c>
      <c r="C37" s="20">
        <f>G36</f>
        <v/>
      </c>
      <c r="D37" s="134">
        <f>E37-F37</f>
        <v/>
      </c>
      <c r="E37" s="20">
        <f>SUMPRODUCT((Income!D$3:D$502="GBP")*(Income!A$3:A$502=B37)*(Income!A$3:A$502&lt;&gt;"")*Income!C$3:C$502)</f>
        <v/>
      </c>
      <c r="F37" s="20">
        <f>SUMPRODUCT((Expenses!E$3:E$999="GBP")*(Expenses!A$3:A$999=B37)*(Expenses!A$3:A$999&lt;&gt;"")*Expenses!D$3:D$999)</f>
        <v/>
      </c>
      <c r="G37" s="134">
        <f>C37+D37</f>
        <v/>
      </c>
      <c r="H37" s="111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68">
      <c r="A38" s="19" t="n">
        <v>6</v>
      </c>
      <c r="B38" s="146" t="n">
        <v>46058</v>
      </c>
      <c r="C38" s="20">
        <f>G37</f>
        <v/>
      </c>
      <c r="D38" s="134">
        <f>E38-F38</f>
        <v/>
      </c>
      <c r="E38" s="20">
        <f>SUMPRODUCT((Income!D$3:D$502="GBP")*(Income!A$3:A$502=B38)*(Income!A$3:A$502&lt;&gt;"")*Income!C$3:C$502)</f>
        <v/>
      </c>
      <c r="F38" s="20">
        <f>SUMPRODUCT((Expenses!E$3:E$999="GBP")*(Expenses!A$3:A$999=B38)*(Expenses!A$3:A$999&lt;&gt;"")*Expenses!D$3:D$999)</f>
        <v/>
      </c>
      <c r="G38" s="134">
        <f>C38+D38</f>
        <v/>
      </c>
      <c r="H38" s="111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68">
      <c r="A39" s="19" t="n">
        <v>6</v>
      </c>
      <c r="B39" s="146" t="n">
        <v>46059</v>
      </c>
      <c r="C39" s="20">
        <f>G38</f>
        <v/>
      </c>
      <c r="D39" s="134">
        <f>E39-F39</f>
        <v/>
      </c>
      <c r="E39" s="20">
        <f>SUMPRODUCT((Income!D$3:D$502="GBP")*(Income!A$3:A$502=B39)*(Income!A$3:A$502&lt;&gt;"")*Income!C$3:C$502)</f>
        <v/>
      </c>
      <c r="F39" s="20">
        <f>SUMPRODUCT((Expenses!E$3:E$999="GBP")*(Expenses!A$3:A$999=B39)*(Expenses!A$3:A$999&lt;&gt;"")*Expenses!D$3:D$999)</f>
        <v/>
      </c>
      <c r="G39" s="134">
        <f>C39+D39</f>
        <v/>
      </c>
      <c r="H39" s="111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68">
      <c r="A40" s="19" t="n">
        <v>6</v>
      </c>
      <c r="B40" s="146" t="n">
        <v>46060</v>
      </c>
      <c r="C40" s="20">
        <f>G39</f>
        <v/>
      </c>
      <c r="D40" s="134">
        <f>E40-F40</f>
        <v/>
      </c>
      <c r="E40" s="20">
        <f>SUMPRODUCT((Income!D$3:D$502="GBP")*(Income!A$3:A$502=B40)*(Income!A$3:A$502&lt;&gt;"")*Income!C$3:C$502)</f>
        <v/>
      </c>
      <c r="F40" s="20">
        <f>SUMPRODUCT((Expenses!E$3:E$999="GBP")*(Expenses!A$3:A$999=B40)*(Expenses!A$3:A$999&lt;&gt;"")*Expenses!D$3:D$999)</f>
        <v/>
      </c>
      <c r="G40" s="134">
        <f>C40+D40</f>
        <v/>
      </c>
      <c r="H40" s="111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68">
      <c r="A41" s="19" t="n">
        <v>6</v>
      </c>
      <c r="B41" s="146" t="n">
        <v>46061</v>
      </c>
      <c r="C41" s="20">
        <f>G40</f>
        <v/>
      </c>
      <c r="D41" s="134">
        <f>E41-F41</f>
        <v/>
      </c>
      <c r="E41" s="20">
        <f>SUMPRODUCT((Income!D$3:D$502="GBP")*(Income!A$3:A$502=B41)*(Income!A$3:A$502&lt;&gt;"")*Income!C$3:C$502)</f>
        <v/>
      </c>
      <c r="F41" s="20">
        <f>SUMPRODUCT((Expenses!E$3:E$999="GBP")*(Expenses!A$3:A$999=B41)*(Expenses!A$3:A$999&lt;&gt;"")*Expenses!D$3:D$999)</f>
        <v/>
      </c>
      <c r="G41" s="134">
        <f>C41+D41</f>
        <v/>
      </c>
      <c r="H41" s="111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68">
      <c r="A42" s="19" t="n">
        <v>7</v>
      </c>
      <c r="B42" s="146" t="n">
        <v>46062</v>
      </c>
      <c r="C42" s="20">
        <f>G41</f>
        <v/>
      </c>
      <c r="D42" s="134">
        <f>E42-F42</f>
        <v/>
      </c>
      <c r="E42" s="20">
        <f>SUMPRODUCT((Income!D$3:D$502="GBP")*(Income!A$3:A$502=B42)*(Income!A$3:A$502&lt;&gt;"")*Income!C$3:C$502)</f>
        <v/>
      </c>
      <c r="F42" s="20">
        <f>SUMPRODUCT((Expenses!E$3:E$999="GBP")*(Expenses!A$3:A$999=B42)*(Expenses!A$3:A$999&lt;&gt;"")*Expenses!D$3:D$999)</f>
        <v/>
      </c>
      <c r="G42" s="134">
        <f>C42+D42</f>
        <v/>
      </c>
      <c r="H42" s="111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68">
      <c r="A43" s="19" t="n">
        <v>7</v>
      </c>
      <c r="B43" s="146" t="n">
        <v>46063</v>
      </c>
      <c r="C43" s="20">
        <f>G42</f>
        <v/>
      </c>
      <c r="D43" s="134">
        <f>E43-F43</f>
        <v/>
      </c>
      <c r="E43" s="20">
        <f>SUMPRODUCT((Income!D$3:D$502="GBP")*(Income!A$3:A$502=B43)*(Income!A$3:A$502&lt;&gt;"")*Income!C$3:C$502)</f>
        <v/>
      </c>
      <c r="F43" s="20">
        <f>SUMPRODUCT((Expenses!E$3:E$999="GBP")*(Expenses!A$3:A$999=B43)*(Expenses!A$3:A$999&lt;&gt;"")*Expenses!D$3:D$999)</f>
        <v/>
      </c>
      <c r="G43" s="134">
        <f>C43+D43</f>
        <v/>
      </c>
      <c r="H43" s="111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68">
      <c r="A44" s="19" t="n">
        <v>7</v>
      </c>
      <c r="B44" s="146" t="n">
        <v>46064</v>
      </c>
      <c r="C44" s="20">
        <f>G43</f>
        <v/>
      </c>
      <c r="D44" s="134">
        <f>E44-F44</f>
        <v/>
      </c>
      <c r="E44" s="20">
        <f>SUMPRODUCT((Income!D$3:D$502="GBP")*(Income!A$3:A$502=B44)*(Income!A$3:A$502&lt;&gt;"")*Income!C$3:C$502)</f>
        <v/>
      </c>
      <c r="F44" s="20">
        <f>SUMPRODUCT((Expenses!E$3:E$999="GBP")*(Expenses!A$3:A$999=B44)*(Expenses!A$3:A$999&lt;&gt;"")*Expenses!D$3:D$999)</f>
        <v/>
      </c>
      <c r="G44" s="134">
        <f>C44+D44</f>
        <v/>
      </c>
      <c r="H44" s="111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68">
      <c r="A45" s="19" t="n">
        <v>7</v>
      </c>
      <c r="B45" s="146" t="n">
        <v>46065</v>
      </c>
      <c r="C45" s="20">
        <f>G44</f>
        <v/>
      </c>
      <c r="D45" s="134">
        <f>E45-F45</f>
        <v/>
      </c>
      <c r="E45" s="20">
        <f>SUMPRODUCT((Income!D$3:D$502="GBP")*(Income!A$3:A$502=B45)*(Income!A$3:A$502&lt;&gt;"")*Income!C$3:C$502)</f>
        <v/>
      </c>
      <c r="F45" s="20">
        <f>SUMPRODUCT((Expenses!E$3:E$999="GBP")*(Expenses!A$3:A$999=B45)*(Expenses!A$3:A$999&lt;&gt;"")*Expenses!D$3:D$999)</f>
        <v/>
      </c>
      <c r="G45" s="134">
        <f>C45+D45</f>
        <v/>
      </c>
      <c r="H45" s="111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68">
      <c r="A46" s="19" t="n">
        <v>7</v>
      </c>
      <c r="B46" s="146" t="n">
        <v>46066</v>
      </c>
      <c r="C46" s="20">
        <f>G45</f>
        <v/>
      </c>
      <c r="D46" s="134">
        <f>E46-F46</f>
        <v/>
      </c>
      <c r="E46" s="20">
        <f>SUMPRODUCT((Income!D$3:D$502="GBP")*(Income!A$3:A$502=B46)*(Income!A$3:A$502&lt;&gt;"")*Income!C$3:C$502)</f>
        <v/>
      </c>
      <c r="F46" s="20">
        <f>SUMPRODUCT((Expenses!E$3:E$999="GBP")*(Expenses!A$3:A$999=B46)*(Expenses!A$3:A$999&lt;&gt;"")*Expenses!D$3:D$999)</f>
        <v/>
      </c>
      <c r="G46" s="134">
        <f>C46+D46</f>
        <v/>
      </c>
      <c r="H46" s="111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68">
      <c r="A47" s="19" t="n">
        <v>7</v>
      </c>
      <c r="B47" s="146" t="n">
        <v>46067</v>
      </c>
      <c r="C47" s="20">
        <f>G46</f>
        <v/>
      </c>
      <c r="D47" s="134">
        <f>E47-F47</f>
        <v/>
      </c>
      <c r="E47" s="20">
        <f>SUMPRODUCT((Income!D$3:D$502="GBP")*(Income!A$3:A$502=B47)*(Income!A$3:A$502&lt;&gt;"")*Income!C$3:C$502)</f>
        <v/>
      </c>
      <c r="F47" s="20">
        <f>SUMPRODUCT((Expenses!E$3:E$999="GBP")*(Expenses!A$3:A$999=B47)*(Expenses!A$3:A$999&lt;&gt;"")*Expenses!D$3:D$999)</f>
        <v/>
      </c>
      <c r="G47" s="134">
        <f>C47+D47</f>
        <v/>
      </c>
      <c r="H47" s="111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68">
      <c r="A48" s="19" t="n">
        <v>7</v>
      </c>
      <c r="B48" s="146" t="n">
        <v>46068</v>
      </c>
      <c r="C48" s="20">
        <f>G47</f>
        <v/>
      </c>
      <c r="D48" s="134">
        <f>E48-F48</f>
        <v/>
      </c>
      <c r="E48" s="20">
        <f>SUMPRODUCT((Income!D$3:D$502="GBP")*(Income!A$3:A$502=B48)*(Income!A$3:A$502&lt;&gt;"")*Income!C$3:C$502)</f>
        <v/>
      </c>
      <c r="F48" s="20">
        <f>SUMPRODUCT((Expenses!E$3:E$999="GBP")*(Expenses!A$3:A$999=B48)*(Expenses!A$3:A$999&lt;&gt;"")*Expenses!D$3:D$999)</f>
        <v/>
      </c>
      <c r="G48" s="134">
        <f>C48+D48</f>
        <v/>
      </c>
      <c r="H48" s="111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68">
      <c r="A49" s="19" t="n">
        <v>8</v>
      </c>
      <c r="B49" s="146" t="n">
        <v>46069</v>
      </c>
      <c r="C49" s="20">
        <f>G48</f>
        <v/>
      </c>
      <c r="D49" s="134">
        <f>E49-F49</f>
        <v/>
      </c>
      <c r="E49" s="20">
        <f>SUMPRODUCT((Income!D$3:D$502="GBP")*(Income!A$3:A$502=B49)*(Income!A$3:A$502&lt;&gt;"")*Income!C$3:C$502)</f>
        <v/>
      </c>
      <c r="F49" s="20">
        <f>SUMPRODUCT((Expenses!E$3:E$999="GBP")*(Expenses!A$3:A$999=B49)*(Expenses!A$3:A$999&lt;&gt;"")*Expenses!D$3:D$999)</f>
        <v/>
      </c>
      <c r="G49" s="134">
        <f>C49+D49</f>
        <v/>
      </c>
      <c r="H49" s="111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68">
      <c r="A50" s="19" t="n">
        <v>8</v>
      </c>
      <c r="B50" s="146" t="n">
        <v>46070</v>
      </c>
      <c r="C50" s="20">
        <f>G49</f>
        <v/>
      </c>
      <c r="D50" s="134">
        <f>E50-F50</f>
        <v/>
      </c>
      <c r="E50" s="20">
        <f>SUMPRODUCT((Income!D$3:D$502="GBP")*(Income!A$3:A$502=B50)*(Income!A$3:A$502&lt;&gt;"")*Income!C$3:C$502)</f>
        <v/>
      </c>
      <c r="F50" s="20">
        <f>SUMPRODUCT((Expenses!E$3:E$999="GBP")*(Expenses!A$3:A$999=B50)*(Expenses!A$3:A$999&lt;&gt;"")*Expenses!D$3:D$999)</f>
        <v/>
      </c>
      <c r="G50" s="134">
        <f>C50+D50</f>
        <v/>
      </c>
      <c r="H50" s="111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68">
      <c r="A51" s="19" t="n">
        <v>8</v>
      </c>
      <c r="B51" s="146" t="n">
        <v>46071</v>
      </c>
      <c r="C51" s="20">
        <f>G50</f>
        <v/>
      </c>
      <c r="D51" s="134">
        <f>E51-F51</f>
        <v/>
      </c>
      <c r="E51" s="20">
        <f>SUMPRODUCT((Income!D$3:D$502="GBP")*(Income!A$3:A$502=B51)*(Income!A$3:A$502&lt;&gt;"")*Income!C$3:C$502)</f>
        <v/>
      </c>
      <c r="F51" s="20">
        <f>SUMPRODUCT((Expenses!E$3:E$999="GBP")*(Expenses!A$3:A$999=B51)*(Expenses!A$3:A$999&lt;&gt;"")*Expenses!D$3:D$999)</f>
        <v/>
      </c>
      <c r="G51" s="134">
        <f>C51+D51</f>
        <v/>
      </c>
      <c r="H51" s="111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68">
      <c r="A52" s="19" t="n">
        <v>8</v>
      </c>
      <c r="B52" s="146" t="n">
        <v>46072</v>
      </c>
      <c r="C52" s="20">
        <f>G51</f>
        <v/>
      </c>
      <c r="D52" s="134">
        <f>E52-F52</f>
        <v/>
      </c>
      <c r="E52" s="20">
        <f>SUMPRODUCT((Income!D$3:D$502="GBP")*(Income!A$3:A$502=B52)*(Income!A$3:A$502&lt;&gt;"")*Income!C$3:C$502)</f>
        <v/>
      </c>
      <c r="F52" s="20">
        <f>SUMPRODUCT((Expenses!E$3:E$999="GBP")*(Expenses!A$3:A$999=B52)*(Expenses!A$3:A$999&lt;&gt;"")*Expenses!D$3:D$999)</f>
        <v/>
      </c>
      <c r="G52" s="134">
        <f>C52+D52</f>
        <v/>
      </c>
      <c r="H52" s="111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68">
      <c r="A53" s="19" t="n">
        <v>8</v>
      </c>
      <c r="B53" s="146" t="n">
        <v>46073</v>
      </c>
      <c r="C53" s="20">
        <f>G52</f>
        <v/>
      </c>
      <c r="D53" s="134">
        <f>E53-F53</f>
        <v/>
      </c>
      <c r="E53" s="20">
        <f>SUMPRODUCT((Income!D$3:D$502="GBP")*(Income!A$3:A$502=B53)*(Income!A$3:A$502&lt;&gt;"")*Income!C$3:C$502)</f>
        <v/>
      </c>
      <c r="F53" s="20">
        <f>SUMPRODUCT((Expenses!E$3:E$999="GBP")*(Expenses!A$3:A$999=B53)*(Expenses!A$3:A$999&lt;&gt;"")*Expenses!D$3:D$999)</f>
        <v/>
      </c>
      <c r="G53" s="134">
        <f>C53+D53</f>
        <v/>
      </c>
      <c r="H53" s="111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68">
      <c r="A54" s="19" t="n">
        <v>8</v>
      </c>
      <c r="B54" s="146" t="n">
        <v>46074</v>
      </c>
      <c r="C54" s="20">
        <f>G53</f>
        <v/>
      </c>
      <c r="D54" s="134">
        <f>E54-F54</f>
        <v/>
      </c>
      <c r="E54" s="20">
        <f>SUMPRODUCT((Income!D$3:D$502="GBP")*(Income!A$3:A$502=B54)*(Income!A$3:A$502&lt;&gt;"")*Income!C$3:C$502)</f>
        <v/>
      </c>
      <c r="F54" s="20">
        <f>SUMPRODUCT((Expenses!E$3:E$999="GBP")*(Expenses!A$3:A$999=B54)*(Expenses!A$3:A$999&lt;&gt;"")*Expenses!D$3:D$999)</f>
        <v/>
      </c>
      <c r="G54" s="134">
        <f>C54+D54</f>
        <v/>
      </c>
      <c r="H54" s="111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68">
      <c r="A55" s="19" t="n">
        <v>8</v>
      </c>
      <c r="B55" s="146" t="n">
        <v>46075</v>
      </c>
      <c r="C55" s="20">
        <f>G54</f>
        <v/>
      </c>
      <c r="D55" s="134">
        <f>E55-F55</f>
        <v/>
      </c>
      <c r="E55" s="20">
        <f>SUMPRODUCT((Income!D$3:D$502="GBP")*(Income!A$3:A$502=B55)*(Income!A$3:A$502&lt;&gt;"")*Income!C$3:C$502)</f>
        <v/>
      </c>
      <c r="F55" s="20">
        <f>SUMPRODUCT((Expenses!E$3:E$999="GBP")*(Expenses!A$3:A$999=B55)*(Expenses!A$3:A$999&lt;&gt;"")*Expenses!D$3:D$999)</f>
        <v/>
      </c>
      <c r="G55" s="134">
        <f>C55+D55</f>
        <v/>
      </c>
      <c r="H55" s="111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68">
      <c r="A56" s="19" t="n">
        <v>9</v>
      </c>
      <c r="B56" s="146" t="n">
        <v>46076</v>
      </c>
      <c r="C56" s="20">
        <f>G55</f>
        <v/>
      </c>
      <c r="D56" s="134">
        <f>E56-F56</f>
        <v/>
      </c>
      <c r="E56" s="20">
        <f>SUMPRODUCT((Income!D$3:D$502="GBP")*(Income!A$3:A$502=B56)*(Income!A$3:A$502&lt;&gt;"")*Income!C$3:C$502)</f>
        <v/>
      </c>
      <c r="F56" s="20">
        <f>SUMPRODUCT((Expenses!E$3:E$999="GBP")*(Expenses!A$3:A$999=B56)*(Expenses!A$3:A$999&lt;&gt;"")*Expenses!D$3:D$999)</f>
        <v/>
      </c>
      <c r="G56" s="134">
        <f>C56+D56</f>
        <v/>
      </c>
      <c r="H56" s="111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68">
      <c r="A57" s="19" t="n">
        <v>9</v>
      </c>
      <c r="B57" s="146" t="n">
        <v>46077</v>
      </c>
      <c r="C57" s="20">
        <f>G56</f>
        <v/>
      </c>
      <c r="D57" s="134">
        <f>E57-F57</f>
        <v/>
      </c>
      <c r="E57" s="20">
        <f>SUMPRODUCT((Income!D$3:D$502="GBP")*(Income!A$3:A$502=B57)*(Income!A$3:A$502&lt;&gt;"")*Income!C$3:C$502)</f>
        <v/>
      </c>
      <c r="F57" s="20">
        <f>SUMPRODUCT((Expenses!E$3:E$999="GBP")*(Expenses!A$3:A$999=B57)*(Expenses!A$3:A$999&lt;&gt;"")*Expenses!D$3:D$999)</f>
        <v/>
      </c>
      <c r="G57" s="134">
        <f>C57+D57</f>
        <v/>
      </c>
      <c r="H57" s="111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68">
      <c r="A58" s="19" t="n">
        <v>9</v>
      </c>
      <c r="B58" s="146" t="n">
        <v>46078</v>
      </c>
      <c r="C58" s="20">
        <f>G57</f>
        <v/>
      </c>
      <c r="D58" s="134">
        <f>E58-F58</f>
        <v/>
      </c>
      <c r="E58" s="20">
        <f>SUMPRODUCT((Income!D$3:D$502="GBP")*(Income!A$3:A$502=B58)*(Income!A$3:A$502&lt;&gt;"")*Income!C$3:C$502)</f>
        <v/>
      </c>
      <c r="F58" s="20">
        <f>SUMPRODUCT((Expenses!E$3:E$999="GBP")*(Expenses!A$3:A$999=B58)*(Expenses!A$3:A$999&lt;&gt;"")*Expenses!D$3:D$999)</f>
        <v/>
      </c>
      <c r="G58" s="134">
        <f>C58+D58</f>
        <v/>
      </c>
      <c r="H58" s="111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68">
      <c r="A59" s="19" t="n">
        <v>9</v>
      </c>
      <c r="B59" s="146" t="n">
        <v>46079</v>
      </c>
      <c r="C59" s="20">
        <f>G58</f>
        <v/>
      </c>
      <c r="D59" s="134">
        <f>E59-F59</f>
        <v/>
      </c>
      <c r="E59" s="20">
        <f>SUMPRODUCT((Income!D$3:D$502="GBP")*(Income!A$3:A$502=B59)*(Income!A$3:A$502&lt;&gt;"")*Income!C$3:C$502)</f>
        <v/>
      </c>
      <c r="F59" s="20">
        <f>SUMPRODUCT((Expenses!E$3:E$999="GBP")*(Expenses!A$3:A$999=B59)*(Expenses!A$3:A$999&lt;&gt;"")*Expenses!D$3:D$999)</f>
        <v/>
      </c>
      <c r="G59" s="134">
        <f>C59+D59</f>
        <v/>
      </c>
      <c r="H59" s="111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68">
      <c r="A60" s="19" t="n">
        <v>9</v>
      </c>
      <c r="B60" s="146" t="n">
        <v>46080</v>
      </c>
      <c r="C60" s="20">
        <f>G59</f>
        <v/>
      </c>
      <c r="D60" s="134">
        <f>E60-F60</f>
        <v/>
      </c>
      <c r="E60" s="20">
        <f>SUMPRODUCT((Income!D$3:D$502="GBP")*(Income!A$3:A$502=B60)*(Income!A$3:A$502&lt;&gt;"")*Income!C$3:C$502)</f>
        <v/>
      </c>
      <c r="F60" s="20">
        <f>SUMPRODUCT((Expenses!E$3:E$999="GBP")*(Expenses!A$3:A$999=B60)*(Expenses!A$3:A$999&lt;&gt;"")*Expenses!D$3:D$999)</f>
        <v/>
      </c>
      <c r="G60" s="134">
        <f>C60+D60</f>
        <v/>
      </c>
      <c r="H60" s="111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68">
      <c r="A61" s="19" t="n">
        <v>9</v>
      </c>
      <c r="B61" s="146" t="n">
        <v>46081</v>
      </c>
      <c r="C61" s="20">
        <f>G60</f>
        <v/>
      </c>
      <c r="D61" s="134">
        <f>E61-F61</f>
        <v/>
      </c>
      <c r="E61" s="20">
        <f>SUMPRODUCT((Income!D$3:D$502="GBP")*(Income!A$3:A$502=B61)*(Income!A$3:A$502&lt;&gt;"")*Income!C$3:C$502)</f>
        <v/>
      </c>
      <c r="F61" s="20">
        <f>SUMPRODUCT((Expenses!E$3:E$999="GBP")*(Expenses!A$3:A$999=B61)*(Expenses!A$3:A$999&lt;&gt;"")*Expenses!D$3:D$999)</f>
        <v/>
      </c>
      <c r="G61" s="134">
        <f>C61+D61</f>
        <v/>
      </c>
      <c r="H61" s="111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68">
      <c r="A62" s="19" t="n">
        <v>9</v>
      </c>
      <c r="B62" s="146" t="n">
        <v>46082</v>
      </c>
      <c r="C62" s="20">
        <f>G61</f>
        <v/>
      </c>
      <c r="D62" s="134">
        <f>E62-F62</f>
        <v/>
      </c>
      <c r="E62" s="20">
        <f>SUMPRODUCT((Income!D$3:D$502="GBP")*(Income!A$3:A$502=B62)*(Income!A$3:A$502&lt;&gt;"")*Income!C$3:C$502)</f>
        <v/>
      </c>
      <c r="F62" s="20">
        <f>SUMPRODUCT((Expenses!E$3:E$999="GBP")*(Expenses!A$3:A$999=B62)*(Expenses!A$3:A$999&lt;&gt;"")*Expenses!D$3:D$999)</f>
        <v/>
      </c>
      <c r="G62" s="134">
        <f>C62+D62</f>
        <v/>
      </c>
      <c r="H62" s="111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68">
      <c r="A63" s="19" t="n">
        <v>10</v>
      </c>
      <c r="B63" s="146" t="n">
        <v>46083</v>
      </c>
      <c r="C63" s="20">
        <f>G62</f>
        <v/>
      </c>
      <c r="D63" s="134">
        <f>E63-F63</f>
        <v/>
      </c>
      <c r="E63" s="20">
        <f>SUMPRODUCT((Income!D$3:D$502="GBP")*(Income!A$3:A$502=B63)*(Income!A$3:A$502&lt;&gt;"")*Income!C$3:C$502)</f>
        <v/>
      </c>
      <c r="F63" s="20">
        <f>SUMPRODUCT((Expenses!E$3:E$999="GBP")*(Expenses!A$3:A$999=B63)*(Expenses!A$3:A$999&lt;&gt;"")*Expenses!D$3:D$999)</f>
        <v/>
      </c>
      <c r="G63" s="134">
        <f>C63+D63</f>
        <v/>
      </c>
      <c r="H63" s="111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68">
      <c r="A64" s="19" t="n">
        <v>10</v>
      </c>
      <c r="B64" s="146" t="n">
        <v>46084</v>
      </c>
      <c r="C64" s="20">
        <f>G63</f>
        <v/>
      </c>
      <c r="D64" s="134">
        <f>E64-F64</f>
        <v/>
      </c>
      <c r="E64" s="20">
        <f>SUMPRODUCT((Income!D$3:D$502="GBP")*(Income!A$3:A$502=B64)*(Income!A$3:A$502&lt;&gt;"")*Income!C$3:C$502)</f>
        <v/>
      </c>
      <c r="F64" s="20">
        <f>SUMPRODUCT((Expenses!E$3:E$999="GBP")*(Expenses!A$3:A$999=B64)*(Expenses!A$3:A$999&lt;&gt;"")*Expenses!D$3:D$999)</f>
        <v/>
      </c>
      <c r="G64" s="134">
        <f>C64+D64</f>
        <v/>
      </c>
      <c r="H64" s="111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68">
      <c r="A65" s="19" t="n">
        <v>10</v>
      </c>
      <c r="B65" s="146" t="n">
        <v>46085</v>
      </c>
      <c r="C65" s="20">
        <f>G64</f>
        <v/>
      </c>
      <c r="D65" s="134">
        <f>E65-F65</f>
        <v/>
      </c>
      <c r="E65" s="20">
        <f>SUMPRODUCT((Income!D$3:D$502="GBP")*(Income!A$3:A$502=B65)*(Income!A$3:A$502&lt;&gt;"")*Income!C$3:C$502)</f>
        <v/>
      </c>
      <c r="F65" s="20">
        <f>SUMPRODUCT((Expenses!E$3:E$999="GBP")*(Expenses!A$3:A$999=B65)*(Expenses!A$3:A$999&lt;&gt;"")*Expenses!D$3:D$999)</f>
        <v/>
      </c>
      <c r="G65" s="134">
        <f>C65+D65</f>
        <v/>
      </c>
      <c r="H65" s="111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68">
      <c r="A66" s="19" t="n">
        <v>10</v>
      </c>
      <c r="B66" s="146" t="n">
        <v>46086</v>
      </c>
      <c r="C66" s="20">
        <f>G65</f>
        <v/>
      </c>
      <c r="D66" s="134">
        <f>E66-F66</f>
        <v/>
      </c>
      <c r="E66" s="20">
        <f>SUMPRODUCT((Income!D$3:D$502="GBP")*(Income!A$3:A$502=B66)*(Income!A$3:A$502&lt;&gt;"")*Income!C$3:C$502)</f>
        <v/>
      </c>
      <c r="F66" s="20">
        <f>SUMPRODUCT((Expenses!E$3:E$999="GBP")*(Expenses!A$3:A$999=B66)*(Expenses!A$3:A$999&lt;&gt;"")*Expenses!D$3:D$999)</f>
        <v/>
      </c>
      <c r="G66" s="134">
        <f>C66+D66</f>
        <v/>
      </c>
      <c r="H66" s="111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68">
      <c r="A67" s="19" t="n">
        <v>10</v>
      </c>
      <c r="B67" s="146" t="n">
        <v>46087</v>
      </c>
      <c r="C67" s="20">
        <f>G66</f>
        <v/>
      </c>
      <c r="D67" s="134">
        <f>E67-F67</f>
        <v/>
      </c>
      <c r="E67" s="20">
        <f>SUMPRODUCT((Income!D$3:D$502="GBP")*(Income!A$3:A$502=B67)*(Income!A$3:A$502&lt;&gt;"")*Income!C$3:C$502)</f>
        <v/>
      </c>
      <c r="F67" s="20">
        <f>SUMPRODUCT((Expenses!E$3:E$999="GBP")*(Expenses!A$3:A$999=B67)*(Expenses!A$3:A$999&lt;&gt;"")*Expenses!D$3:D$999)</f>
        <v/>
      </c>
      <c r="G67" s="134">
        <f>C67+D67</f>
        <v/>
      </c>
      <c r="H67" s="111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68">
      <c r="A68" s="19" t="n">
        <v>10</v>
      </c>
      <c r="B68" s="146" t="n">
        <v>46088</v>
      </c>
      <c r="C68" s="20">
        <f>G67</f>
        <v/>
      </c>
      <c r="D68" s="134">
        <f>E68-F68</f>
        <v/>
      </c>
      <c r="E68" s="20">
        <f>SUMPRODUCT((Income!D$3:D$502="GBP")*(Income!A$3:A$502=B68)*(Income!A$3:A$502&lt;&gt;"")*Income!C$3:C$502)</f>
        <v/>
      </c>
      <c r="F68" s="20">
        <f>SUMPRODUCT((Expenses!E$3:E$999="GBP")*(Expenses!A$3:A$999=B68)*(Expenses!A$3:A$999&lt;&gt;"")*Expenses!D$3:D$999)</f>
        <v/>
      </c>
      <c r="G68" s="134">
        <f>C68+D68</f>
        <v/>
      </c>
      <c r="H68" s="111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68">
      <c r="A69" s="19" t="n">
        <v>10</v>
      </c>
      <c r="B69" s="146" t="n">
        <v>46089</v>
      </c>
      <c r="C69" s="20">
        <f>G68</f>
        <v/>
      </c>
      <c r="D69" s="134">
        <f>E69-F69</f>
        <v/>
      </c>
      <c r="E69" s="20">
        <f>SUMPRODUCT((Income!D$3:D$502="GBP")*(Income!A$3:A$502=B69)*(Income!A$3:A$502&lt;&gt;"")*Income!C$3:C$502)</f>
        <v/>
      </c>
      <c r="F69" s="20">
        <f>SUMPRODUCT((Expenses!E$3:E$999="GBP")*(Expenses!A$3:A$999=B69)*(Expenses!A$3:A$999&lt;&gt;"")*Expenses!D$3:D$999)</f>
        <v/>
      </c>
      <c r="G69" s="134">
        <f>C69+D69</f>
        <v/>
      </c>
      <c r="H69" s="111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68">
      <c r="A70" s="19" t="n">
        <v>11</v>
      </c>
      <c r="B70" s="146" t="n">
        <v>46090</v>
      </c>
      <c r="C70" s="20">
        <f>G69</f>
        <v/>
      </c>
      <c r="D70" s="134">
        <f>E70-F70</f>
        <v/>
      </c>
      <c r="E70" s="20">
        <f>SUMPRODUCT((Income!D$3:D$502="GBP")*(Income!A$3:A$502=B70)*(Income!A$3:A$502&lt;&gt;"")*Income!C$3:C$502)</f>
        <v/>
      </c>
      <c r="F70" s="20">
        <f>SUMPRODUCT((Expenses!E$3:E$999="GBP")*(Expenses!A$3:A$999=B70)*(Expenses!A$3:A$999&lt;&gt;"")*Expenses!D$3:D$999)</f>
        <v/>
      </c>
      <c r="G70" s="134">
        <f>C70+D70</f>
        <v/>
      </c>
      <c r="H70" s="111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68">
      <c r="A71" s="19" t="n">
        <v>11</v>
      </c>
      <c r="B71" s="146" t="n">
        <v>46091</v>
      </c>
      <c r="C71" s="20">
        <f>G70</f>
        <v/>
      </c>
      <c r="D71" s="134">
        <f>E71-F71</f>
        <v/>
      </c>
      <c r="E71" s="20">
        <f>SUMPRODUCT((Income!D$3:D$502="GBP")*(Income!A$3:A$502=B71)*(Income!A$3:A$502&lt;&gt;"")*Income!C$3:C$502)</f>
        <v/>
      </c>
      <c r="F71" s="20">
        <f>SUMPRODUCT((Expenses!E$3:E$999="GBP")*(Expenses!A$3:A$999=B71)*(Expenses!A$3:A$999&lt;&gt;"")*Expenses!D$3:D$999)</f>
        <v/>
      </c>
      <c r="G71" s="134">
        <f>C71+D71</f>
        <v/>
      </c>
      <c r="H71" s="111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68">
      <c r="A72" s="19" t="n">
        <v>11</v>
      </c>
      <c r="B72" s="146" t="n">
        <v>46092</v>
      </c>
      <c r="C72" s="20">
        <f>G71</f>
        <v/>
      </c>
      <c r="D72" s="134">
        <f>E72-F72</f>
        <v/>
      </c>
      <c r="E72" s="20">
        <f>SUMPRODUCT((Income!D$3:D$502="GBP")*(Income!A$3:A$502=B72)*(Income!A$3:A$502&lt;&gt;"")*Income!C$3:C$502)</f>
        <v/>
      </c>
      <c r="F72" s="20">
        <f>SUMPRODUCT((Expenses!E$3:E$999="GBP")*(Expenses!A$3:A$999=B72)*(Expenses!A$3:A$999&lt;&gt;"")*Expenses!D$3:D$999)</f>
        <v/>
      </c>
      <c r="G72" s="134">
        <f>C72+D72</f>
        <v/>
      </c>
      <c r="H72" s="111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68">
      <c r="A73" s="19" t="n">
        <v>11</v>
      </c>
      <c r="B73" s="146" t="n">
        <v>46093</v>
      </c>
      <c r="C73" s="20">
        <f>G72</f>
        <v/>
      </c>
      <c r="D73" s="134">
        <f>E73-F73</f>
        <v/>
      </c>
      <c r="E73" s="20">
        <f>SUMPRODUCT((Income!D$3:D$502="GBP")*(Income!A$3:A$502=B73)*(Income!A$3:A$502&lt;&gt;"")*Income!C$3:C$502)</f>
        <v/>
      </c>
      <c r="F73" s="20">
        <f>SUMPRODUCT((Expenses!E$3:E$999="GBP")*(Expenses!A$3:A$999=B73)*(Expenses!A$3:A$999&lt;&gt;"")*Expenses!D$3:D$999)</f>
        <v/>
      </c>
      <c r="G73" s="134">
        <f>C73+D73</f>
        <v/>
      </c>
      <c r="H73" s="111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68">
      <c r="A74" s="19" t="n">
        <v>11</v>
      </c>
      <c r="B74" s="146" t="n">
        <v>46094</v>
      </c>
      <c r="C74" s="20">
        <f>G73</f>
        <v/>
      </c>
      <c r="D74" s="134">
        <f>E74-F74</f>
        <v/>
      </c>
      <c r="E74" s="20">
        <f>SUMPRODUCT((Income!D$3:D$502="GBP")*(Income!A$3:A$502=B74)*(Income!A$3:A$502&lt;&gt;"")*Income!C$3:C$502)</f>
        <v/>
      </c>
      <c r="F74" s="20">
        <f>SUMPRODUCT((Expenses!E$3:E$999="GBP")*(Expenses!A$3:A$999=B74)*(Expenses!A$3:A$999&lt;&gt;"")*Expenses!D$3:D$999)</f>
        <v/>
      </c>
      <c r="G74" s="134">
        <f>C74+D74</f>
        <v/>
      </c>
      <c r="H74" s="111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68">
      <c r="A75" s="19" t="n">
        <v>11</v>
      </c>
      <c r="B75" s="146" t="n">
        <v>46095</v>
      </c>
      <c r="C75" s="20">
        <f>G74</f>
        <v/>
      </c>
      <c r="D75" s="134">
        <f>E75-F75</f>
        <v/>
      </c>
      <c r="E75" s="20">
        <f>SUMPRODUCT((Income!D$3:D$502="GBP")*(Income!A$3:A$502=B75)*(Income!A$3:A$502&lt;&gt;"")*Income!C$3:C$502)</f>
        <v/>
      </c>
      <c r="F75" s="20">
        <f>SUMPRODUCT((Expenses!E$3:E$999="GBP")*(Expenses!A$3:A$999=B75)*(Expenses!A$3:A$999&lt;&gt;"")*Expenses!D$3:D$999)</f>
        <v/>
      </c>
      <c r="G75" s="134">
        <f>C75+D75</f>
        <v/>
      </c>
      <c r="H75" s="111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68">
      <c r="A76" s="19" t="n">
        <v>11</v>
      </c>
      <c r="B76" s="146" t="n">
        <v>46096</v>
      </c>
      <c r="C76" s="20">
        <f>G75</f>
        <v/>
      </c>
      <c r="D76" s="134">
        <f>E76-F76</f>
        <v/>
      </c>
      <c r="E76" s="20">
        <f>SUMPRODUCT((Income!D$3:D$502="GBP")*(Income!A$3:A$502=B76)*(Income!A$3:A$502&lt;&gt;"")*Income!C$3:C$502)</f>
        <v/>
      </c>
      <c r="F76" s="20">
        <f>SUMPRODUCT((Expenses!E$3:E$999="GBP")*(Expenses!A$3:A$999=B76)*(Expenses!A$3:A$999&lt;&gt;"")*Expenses!D$3:D$999)</f>
        <v/>
      </c>
      <c r="G76" s="134">
        <f>C76+D76</f>
        <v/>
      </c>
      <c r="H76" s="111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68">
      <c r="A77" s="19" t="n">
        <v>12</v>
      </c>
      <c r="B77" s="146" t="n">
        <v>46097</v>
      </c>
      <c r="C77" s="20">
        <f>G76</f>
        <v/>
      </c>
      <c r="D77" s="134">
        <f>E77-F77</f>
        <v/>
      </c>
      <c r="E77" s="20">
        <f>SUMPRODUCT((Income!D$3:D$502="GBP")*(Income!A$3:A$502=B77)*(Income!A$3:A$502&lt;&gt;"")*Income!C$3:C$502)</f>
        <v/>
      </c>
      <c r="F77" s="20">
        <f>SUMPRODUCT((Expenses!E$3:E$999="GBP")*(Expenses!A$3:A$999=B77)*(Expenses!A$3:A$999&lt;&gt;"")*Expenses!D$3:D$999)</f>
        <v/>
      </c>
      <c r="G77" s="134">
        <f>C77+D77</f>
        <v/>
      </c>
      <c r="H77" s="111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68">
      <c r="A78" s="19" t="n">
        <v>12</v>
      </c>
      <c r="B78" s="146" t="n">
        <v>46098</v>
      </c>
      <c r="C78" s="20">
        <f>G77</f>
        <v/>
      </c>
      <c r="D78" s="134">
        <f>E78-F78</f>
        <v/>
      </c>
      <c r="E78" s="20">
        <f>SUMPRODUCT((Income!D$3:D$502="GBP")*(Income!A$3:A$502=B78)*(Income!A$3:A$502&lt;&gt;"")*Income!C$3:C$502)</f>
        <v/>
      </c>
      <c r="F78" s="20">
        <f>SUMPRODUCT((Expenses!E$3:E$999="GBP")*(Expenses!A$3:A$999=B78)*(Expenses!A$3:A$999&lt;&gt;"")*Expenses!D$3:D$999)</f>
        <v/>
      </c>
      <c r="G78" s="134">
        <f>C78+D78</f>
        <v/>
      </c>
      <c r="H78" s="111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68">
      <c r="A79" s="19" t="n">
        <v>12</v>
      </c>
      <c r="B79" s="146" t="n">
        <v>46099</v>
      </c>
      <c r="C79" s="20">
        <f>G78</f>
        <v/>
      </c>
      <c r="D79" s="134">
        <f>E79-F79</f>
        <v/>
      </c>
      <c r="E79" s="20">
        <f>SUMPRODUCT((Income!D$3:D$502="GBP")*(Income!A$3:A$502=B79)*(Income!A$3:A$502&lt;&gt;"")*Income!C$3:C$502)</f>
        <v/>
      </c>
      <c r="F79" s="20">
        <f>SUMPRODUCT((Expenses!E$3:E$999="GBP")*(Expenses!A$3:A$999=B79)*(Expenses!A$3:A$999&lt;&gt;"")*Expenses!D$3:D$999)</f>
        <v/>
      </c>
      <c r="G79" s="134">
        <f>C79+D79</f>
        <v/>
      </c>
      <c r="H79" s="111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68">
      <c r="A80" s="19" t="n">
        <v>12</v>
      </c>
      <c r="B80" s="146" t="n">
        <v>46100</v>
      </c>
      <c r="C80" s="20">
        <f>G79</f>
        <v/>
      </c>
      <c r="D80" s="134">
        <f>E80-F80</f>
        <v/>
      </c>
      <c r="E80" s="20">
        <f>SUMPRODUCT((Income!D$3:D$502="GBP")*(Income!A$3:A$502=B80)*(Income!A$3:A$502&lt;&gt;"")*Income!C$3:C$502)</f>
        <v/>
      </c>
      <c r="F80" s="20">
        <f>SUMPRODUCT((Expenses!E$3:E$999="GBP")*(Expenses!A$3:A$999=B80)*(Expenses!A$3:A$999&lt;&gt;"")*Expenses!D$3:D$999)</f>
        <v/>
      </c>
      <c r="G80" s="134">
        <f>C80+D80</f>
        <v/>
      </c>
      <c r="H80" s="111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68">
      <c r="A81" s="19" t="n">
        <v>12</v>
      </c>
      <c r="B81" s="146" t="n">
        <v>46101</v>
      </c>
      <c r="C81" s="20">
        <f>G80</f>
        <v/>
      </c>
      <c r="D81" s="134">
        <f>E81-F81</f>
        <v/>
      </c>
      <c r="E81" s="20">
        <f>SUMPRODUCT((Income!D$3:D$502="GBP")*(Income!A$3:A$502=B81)*(Income!A$3:A$502&lt;&gt;"")*Income!C$3:C$502)</f>
        <v/>
      </c>
      <c r="F81" s="20">
        <f>SUMPRODUCT((Expenses!E$3:E$999="GBP")*(Expenses!A$3:A$999=B81)*(Expenses!A$3:A$999&lt;&gt;"")*Expenses!D$3:D$999)</f>
        <v/>
      </c>
      <c r="G81" s="134">
        <f>C81+D81</f>
        <v/>
      </c>
      <c r="H81" s="111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68">
      <c r="A82" s="19" t="n">
        <v>12</v>
      </c>
      <c r="B82" s="146" t="n">
        <v>46102</v>
      </c>
      <c r="C82" s="20">
        <f>G81</f>
        <v/>
      </c>
      <c r="D82" s="134">
        <f>E82-F82</f>
        <v/>
      </c>
      <c r="E82" s="20">
        <f>SUMPRODUCT((Income!D$3:D$502="GBP")*(Income!A$3:A$502=B82)*(Income!A$3:A$502&lt;&gt;"")*Income!C$3:C$502)</f>
        <v/>
      </c>
      <c r="F82" s="20">
        <f>SUMPRODUCT((Expenses!E$3:E$999="GBP")*(Expenses!A$3:A$999=B82)*(Expenses!A$3:A$999&lt;&gt;"")*Expenses!D$3:D$999)</f>
        <v/>
      </c>
      <c r="G82" s="134">
        <f>C82+D82</f>
        <v/>
      </c>
      <c r="H82" s="111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68">
      <c r="A83" s="19" t="n">
        <v>12</v>
      </c>
      <c r="B83" s="146" t="n">
        <v>46103</v>
      </c>
      <c r="C83" s="20">
        <f>G82</f>
        <v/>
      </c>
      <c r="D83" s="134">
        <f>E83-F83</f>
        <v/>
      </c>
      <c r="E83" s="20">
        <f>SUMPRODUCT((Income!D$3:D$502="GBP")*(Income!A$3:A$502=B83)*(Income!A$3:A$502&lt;&gt;"")*Income!C$3:C$502)</f>
        <v/>
      </c>
      <c r="F83" s="20">
        <f>SUMPRODUCT((Expenses!E$3:E$999="GBP")*(Expenses!A$3:A$999=B83)*(Expenses!A$3:A$999&lt;&gt;"")*Expenses!D$3:D$999)</f>
        <v/>
      </c>
      <c r="G83" s="134">
        <f>C83+D83</f>
        <v/>
      </c>
      <c r="H83" s="111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68">
      <c r="A84" s="19" t="n">
        <v>13</v>
      </c>
      <c r="B84" s="146" t="n">
        <v>46104</v>
      </c>
      <c r="C84" s="20">
        <f>G83</f>
        <v/>
      </c>
      <c r="D84" s="134">
        <f>E84-F84</f>
        <v/>
      </c>
      <c r="E84" s="20">
        <f>SUMPRODUCT((Income!D$3:D$502="GBP")*(Income!A$3:A$502=B84)*(Income!A$3:A$502&lt;&gt;"")*Income!C$3:C$502)</f>
        <v/>
      </c>
      <c r="F84" s="20">
        <f>SUMPRODUCT((Expenses!E$3:E$999="GBP")*(Expenses!A$3:A$999=B84)*(Expenses!A$3:A$999&lt;&gt;"")*Expenses!D$3:D$999)</f>
        <v/>
      </c>
      <c r="G84" s="134">
        <f>C84+D84</f>
        <v/>
      </c>
      <c r="H84" s="111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68">
      <c r="A85" s="19" t="n">
        <v>13</v>
      </c>
      <c r="B85" s="146" t="n">
        <v>46105</v>
      </c>
      <c r="C85" s="20">
        <f>G84</f>
        <v/>
      </c>
      <c r="D85" s="134">
        <f>E85-F85</f>
        <v/>
      </c>
      <c r="E85" s="20">
        <f>SUMPRODUCT((Income!D$3:D$502="GBP")*(Income!A$3:A$502=B85)*(Income!A$3:A$502&lt;&gt;"")*Income!C$3:C$502)</f>
        <v/>
      </c>
      <c r="F85" s="20">
        <f>SUMPRODUCT((Expenses!E$3:E$999="GBP")*(Expenses!A$3:A$999=B85)*(Expenses!A$3:A$999&lt;&gt;"")*Expenses!D$3:D$999)</f>
        <v/>
      </c>
      <c r="G85" s="134">
        <f>C85+D85</f>
        <v/>
      </c>
      <c r="H85" s="111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68">
      <c r="A86" s="19" t="n">
        <v>13</v>
      </c>
      <c r="B86" s="146" t="n">
        <v>46106</v>
      </c>
      <c r="C86" s="20">
        <f>G85</f>
        <v/>
      </c>
      <c r="D86" s="134">
        <f>E86-F86</f>
        <v/>
      </c>
      <c r="E86" s="20">
        <f>SUMPRODUCT((Income!D$3:D$502="GBP")*(Income!A$3:A$502=B86)*(Income!A$3:A$502&lt;&gt;"")*Income!C$3:C$502)</f>
        <v/>
      </c>
      <c r="F86" s="20">
        <f>SUMPRODUCT((Expenses!E$3:E$999="GBP")*(Expenses!A$3:A$999=B86)*(Expenses!A$3:A$999&lt;&gt;"")*Expenses!D$3:D$999)</f>
        <v/>
      </c>
      <c r="G86" s="134">
        <f>C86+D86</f>
        <v/>
      </c>
      <c r="H86" s="111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68">
      <c r="A87" s="19" t="n">
        <v>13</v>
      </c>
      <c r="B87" s="146" t="n">
        <v>46107</v>
      </c>
      <c r="C87" s="20">
        <f>G86</f>
        <v/>
      </c>
      <c r="D87" s="134">
        <f>E87-F87</f>
        <v/>
      </c>
      <c r="E87" s="20">
        <f>SUMPRODUCT((Income!D$3:D$502="GBP")*(Income!A$3:A$502=B87)*(Income!A$3:A$502&lt;&gt;"")*Income!C$3:C$502)</f>
        <v/>
      </c>
      <c r="F87" s="20">
        <f>SUMPRODUCT((Expenses!E$3:E$999="GBP")*(Expenses!A$3:A$999=B87)*(Expenses!A$3:A$999&lt;&gt;"")*Expenses!D$3:D$999)</f>
        <v/>
      </c>
      <c r="G87" s="134">
        <f>C87+D87</f>
        <v/>
      </c>
      <c r="H87" s="111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68">
      <c r="A88" s="19" t="n">
        <v>13</v>
      </c>
      <c r="B88" s="146" t="n">
        <v>46108</v>
      </c>
      <c r="C88" s="20">
        <f>G87</f>
        <v/>
      </c>
      <c r="D88" s="134">
        <f>E88-F88</f>
        <v/>
      </c>
      <c r="E88" s="20">
        <f>SUMPRODUCT((Income!D$3:D$502="GBP")*(Income!A$3:A$502=B88)*(Income!A$3:A$502&lt;&gt;"")*Income!C$3:C$502)</f>
        <v/>
      </c>
      <c r="F88" s="20">
        <f>SUMPRODUCT((Expenses!E$3:E$999="GBP")*(Expenses!A$3:A$999=B88)*(Expenses!A$3:A$999&lt;&gt;"")*Expenses!D$3:D$999)</f>
        <v/>
      </c>
      <c r="G88" s="134">
        <f>C88+D88</f>
        <v/>
      </c>
      <c r="H88" s="111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68">
      <c r="A89" s="19" t="n">
        <v>13</v>
      </c>
      <c r="B89" s="146" t="n">
        <v>46109</v>
      </c>
      <c r="C89" s="20">
        <f>G88</f>
        <v/>
      </c>
      <c r="D89" s="134">
        <f>E89-F89</f>
        <v/>
      </c>
      <c r="E89" s="20">
        <f>SUMPRODUCT((Income!D$3:D$502="GBP")*(Income!A$3:A$502=B89)*(Income!A$3:A$502&lt;&gt;"")*Income!C$3:C$502)</f>
        <v/>
      </c>
      <c r="F89" s="20">
        <f>SUMPRODUCT((Expenses!E$3:E$999="GBP")*(Expenses!A$3:A$999=B89)*(Expenses!A$3:A$999&lt;&gt;"")*Expenses!D$3:D$999)</f>
        <v/>
      </c>
      <c r="G89" s="134">
        <f>C89+D89</f>
        <v/>
      </c>
      <c r="H89" s="111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68">
      <c r="A90" s="19" t="n">
        <v>13</v>
      </c>
      <c r="B90" s="146" t="n">
        <v>46110</v>
      </c>
      <c r="C90" s="20">
        <f>G89</f>
        <v/>
      </c>
      <c r="D90" s="134">
        <f>E90-F90</f>
        <v/>
      </c>
      <c r="E90" s="20">
        <f>SUMPRODUCT((Income!D$3:D$502="GBP")*(Income!A$3:A$502=B90)*(Income!A$3:A$502&lt;&gt;"")*Income!C$3:C$502)</f>
        <v/>
      </c>
      <c r="F90" s="20">
        <f>SUMPRODUCT((Expenses!E$3:E$999="GBP")*(Expenses!A$3:A$999=B90)*(Expenses!A$3:A$999&lt;&gt;"")*Expenses!D$3:D$999)</f>
        <v/>
      </c>
      <c r="G90" s="134">
        <f>C90+D90</f>
        <v/>
      </c>
      <c r="H90" s="111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68">
      <c r="A91" s="19" t="n">
        <v>14</v>
      </c>
      <c r="B91" s="146" t="n">
        <v>46111</v>
      </c>
      <c r="C91" s="20">
        <f>G90</f>
        <v/>
      </c>
      <c r="D91" s="134">
        <f>E91-F91</f>
        <v/>
      </c>
      <c r="E91" s="20">
        <f>SUMPRODUCT((Income!D$3:D$502="GBP")*(Income!A$3:A$502=B91)*(Income!A$3:A$502&lt;&gt;"")*Income!C$3:C$502)</f>
        <v/>
      </c>
      <c r="F91" s="20">
        <f>SUMPRODUCT((Expenses!E$3:E$999="GBP")*(Expenses!A$3:A$999=B91)*(Expenses!A$3:A$999&lt;&gt;"")*Expenses!D$3:D$999)</f>
        <v/>
      </c>
      <c r="G91" s="134">
        <f>C91+D91</f>
        <v/>
      </c>
      <c r="H91" s="111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68">
      <c r="A92" s="19" t="n">
        <v>14</v>
      </c>
      <c r="B92" s="146" t="n">
        <v>46112</v>
      </c>
      <c r="C92" s="20">
        <f>G91</f>
        <v/>
      </c>
      <c r="D92" s="134">
        <f>E92-F92</f>
        <v/>
      </c>
      <c r="E92" s="20">
        <f>SUMPRODUCT((Income!D$3:D$502="GBP")*(Income!A$3:A$502=B92)*(Income!A$3:A$502&lt;&gt;"")*Income!C$3:C$502)</f>
        <v/>
      </c>
      <c r="F92" s="20">
        <f>SUMPRODUCT((Expenses!E$3:E$999="GBP")*(Expenses!A$3:A$999=B92)*(Expenses!A$3:A$999&lt;&gt;"")*Expenses!D$3:D$999)</f>
        <v/>
      </c>
      <c r="G92" s="134">
        <f>C92+D92</f>
        <v/>
      </c>
      <c r="H92" s="111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68">
      <c r="A93" s="19" t="n">
        <v>14</v>
      </c>
      <c r="B93" s="146" t="n">
        <v>46113</v>
      </c>
      <c r="C93" s="20">
        <f>G92</f>
        <v/>
      </c>
      <c r="D93" s="134">
        <f>E93-F93</f>
        <v/>
      </c>
      <c r="E93" s="20">
        <f>SUMPRODUCT((Income!D$3:D$502="GBP")*(Income!A$3:A$502=B93)*(Income!A$3:A$502&lt;&gt;"")*Income!C$3:C$502)</f>
        <v/>
      </c>
      <c r="F93" s="20">
        <f>SUMPRODUCT((Expenses!E$3:E$999="GBP")*(Expenses!A$3:A$999=B93)*(Expenses!A$3:A$999&lt;&gt;"")*Expenses!D$3:D$999)</f>
        <v/>
      </c>
      <c r="G93" s="134">
        <f>C93+D93</f>
        <v/>
      </c>
      <c r="H93" s="111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68">
      <c r="A94" s="19" t="n">
        <v>14</v>
      </c>
      <c r="B94" s="146" t="n">
        <v>46114</v>
      </c>
      <c r="C94" s="20">
        <f>G93</f>
        <v/>
      </c>
      <c r="D94" s="134">
        <f>E94-F94</f>
        <v/>
      </c>
      <c r="E94" s="20">
        <f>SUMPRODUCT((Income!D$3:D$502="GBP")*(Income!A$3:A$502=B94)*(Income!A$3:A$502&lt;&gt;"")*Income!C$3:C$502)</f>
        <v/>
      </c>
      <c r="F94" s="20">
        <f>SUMPRODUCT((Expenses!E$3:E$999="GBP")*(Expenses!A$3:A$999=B94)*(Expenses!A$3:A$999&lt;&gt;"")*Expenses!D$3:D$999)</f>
        <v/>
      </c>
      <c r="G94" s="134">
        <f>C94+D94</f>
        <v/>
      </c>
      <c r="H94" s="111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68">
      <c r="A95" s="19" t="n">
        <v>14</v>
      </c>
      <c r="B95" s="146" t="n">
        <v>46115</v>
      </c>
      <c r="C95" s="20">
        <f>G94</f>
        <v/>
      </c>
      <c r="D95" s="134">
        <f>E95-F95</f>
        <v/>
      </c>
      <c r="E95" s="20">
        <f>SUMPRODUCT((Income!D$3:D$502="GBP")*(Income!A$3:A$502=B95)*(Income!A$3:A$502&lt;&gt;"")*Income!C$3:C$502)</f>
        <v/>
      </c>
      <c r="F95" s="20">
        <f>SUMPRODUCT((Expenses!E$3:E$999="GBP")*(Expenses!A$3:A$999=B95)*(Expenses!A$3:A$999&lt;&gt;"")*Expenses!D$3:D$999)</f>
        <v/>
      </c>
      <c r="G95" s="134">
        <f>C95+D95</f>
        <v/>
      </c>
      <c r="H95" s="111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68">
      <c r="A96" s="19" t="n">
        <v>14</v>
      </c>
      <c r="B96" s="146" t="n">
        <v>46116</v>
      </c>
      <c r="C96" s="20">
        <f>G95</f>
        <v/>
      </c>
      <c r="D96" s="134">
        <f>E96-F96</f>
        <v/>
      </c>
      <c r="E96" s="20">
        <f>SUMPRODUCT((Income!D$3:D$502="GBP")*(Income!A$3:A$502=B96)*(Income!A$3:A$502&lt;&gt;"")*Income!C$3:C$502)</f>
        <v/>
      </c>
      <c r="F96" s="20">
        <f>SUMPRODUCT((Expenses!E$3:E$999="GBP")*(Expenses!A$3:A$999=B96)*(Expenses!A$3:A$999&lt;&gt;"")*Expenses!D$3:D$999)</f>
        <v/>
      </c>
      <c r="G96" s="134">
        <f>C96+D96</f>
        <v/>
      </c>
      <c r="H96" s="111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68">
      <c r="A97" s="19" t="n">
        <v>14</v>
      </c>
      <c r="B97" s="146" t="n">
        <v>46117</v>
      </c>
      <c r="C97" s="20">
        <f>G96</f>
        <v/>
      </c>
      <c r="D97" s="134">
        <f>E97-F97</f>
        <v/>
      </c>
      <c r="E97" s="20">
        <f>SUMPRODUCT((Income!D$3:D$502="GBP")*(Income!A$3:A$502=B97)*(Income!A$3:A$502&lt;&gt;"")*Income!C$3:C$502)</f>
        <v/>
      </c>
      <c r="F97" s="20">
        <f>SUMPRODUCT((Expenses!E$3:E$999="GBP")*(Expenses!A$3:A$999=B97)*(Expenses!A$3:A$999&lt;&gt;"")*Expenses!D$3:D$999)</f>
        <v/>
      </c>
      <c r="G97" s="134">
        <f>C97+D97</f>
        <v/>
      </c>
      <c r="H97" s="111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68">
      <c r="A98" s="19" t="n">
        <v>15</v>
      </c>
      <c r="B98" s="146" t="n">
        <v>46118</v>
      </c>
      <c r="C98" s="20">
        <f>G97</f>
        <v/>
      </c>
      <c r="D98" s="134">
        <f>E98-F98</f>
        <v/>
      </c>
      <c r="E98" s="20">
        <f>SUMPRODUCT((Income!D$3:D$502="GBP")*(Income!A$3:A$502=B98)*(Income!A$3:A$502&lt;&gt;"")*Income!C$3:C$502)</f>
        <v/>
      </c>
      <c r="F98" s="20">
        <f>SUMPRODUCT((Expenses!E$3:E$999="GBP")*(Expenses!A$3:A$999=B98)*(Expenses!A$3:A$999&lt;&gt;"")*Expenses!D$3:D$999)</f>
        <v/>
      </c>
      <c r="G98" s="134">
        <f>C98+D98</f>
        <v/>
      </c>
      <c r="H98" s="111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68">
      <c r="A99" s="19" t="n">
        <v>15</v>
      </c>
      <c r="B99" s="146" t="n">
        <v>46119</v>
      </c>
      <c r="C99" s="20">
        <f>G98</f>
        <v/>
      </c>
      <c r="D99" s="134">
        <f>E99-F99</f>
        <v/>
      </c>
      <c r="E99" s="20">
        <f>SUMPRODUCT((Income!D$3:D$502="GBP")*(Income!A$3:A$502=B99)*(Income!A$3:A$502&lt;&gt;"")*Income!C$3:C$502)</f>
        <v/>
      </c>
      <c r="F99" s="20">
        <f>SUMPRODUCT((Expenses!E$3:E$999="GBP")*(Expenses!A$3:A$999=B99)*(Expenses!A$3:A$999&lt;&gt;"")*Expenses!D$3:D$999)</f>
        <v/>
      </c>
      <c r="G99" s="134">
        <f>C99+D99</f>
        <v/>
      </c>
      <c r="H99" s="111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68">
      <c r="A100" s="19" t="n">
        <v>15</v>
      </c>
      <c r="B100" s="146" t="n">
        <v>46120</v>
      </c>
      <c r="C100" s="20">
        <f>G99</f>
        <v/>
      </c>
      <c r="D100" s="134">
        <f>E100-F100</f>
        <v/>
      </c>
      <c r="E100" s="20">
        <f>SUMPRODUCT((Income!D$3:D$502="GBP")*(Income!A$3:A$502=B100)*(Income!A$3:A$502&lt;&gt;"")*Income!C$3:C$502)</f>
        <v/>
      </c>
      <c r="F100" s="20">
        <f>SUMPRODUCT((Expenses!E$3:E$999="GBP")*(Expenses!A$3:A$999=B100)*(Expenses!A$3:A$999&lt;&gt;"")*Expenses!D$3:D$999)</f>
        <v/>
      </c>
      <c r="G100" s="134">
        <f>C100+D100</f>
        <v/>
      </c>
      <c r="H100" s="111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68">
      <c r="A101" s="19" t="n">
        <v>15</v>
      </c>
      <c r="B101" s="146" t="n">
        <v>46121</v>
      </c>
      <c r="C101" s="20">
        <f>G100</f>
        <v/>
      </c>
      <c r="D101" s="134">
        <f>E101-F101</f>
        <v/>
      </c>
      <c r="E101" s="20">
        <f>SUMPRODUCT((Income!D$3:D$502="GBP")*(Income!A$3:A$502=B101)*(Income!A$3:A$502&lt;&gt;"")*Income!C$3:C$502)</f>
        <v/>
      </c>
      <c r="F101" s="20">
        <f>SUMPRODUCT((Expenses!E$3:E$999="GBP")*(Expenses!A$3:A$999=B101)*(Expenses!A$3:A$999&lt;&gt;"")*Expenses!D$3:D$999)</f>
        <v/>
      </c>
      <c r="G101" s="134">
        <f>C101+D101</f>
        <v/>
      </c>
      <c r="H101" s="111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68">
      <c r="A102" s="19" t="n">
        <v>15</v>
      </c>
      <c r="B102" s="146" t="n">
        <v>46122</v>
      </c>
      <c r="C102" s="20">
        <f>G101</f>
        <v/>
      </c>
      <c r="D102" s="134">
        <f>E102-F102</f>
        <v/>
      </c>
      <c r="E102" s="20">
        <f>SUMPRODUCT((Income!D$3:D$502="GBP")*(Income!A$3:A$502=B102)*(Income!A$3:A$502&lt;&gt;"")*Income!C$3:C$502)</f>
        <v/>
      </c>
      <c r="F102" s="20">
        <f>SUMPRODUCT((Expenses!E$3:E$999="GBP")*(Expenses!A$3:A$999=B102)*(Expenses!A$3:A$999&lt;&gt;"")*Expenses!D$3:D$999)</f>
        <v/>
      </c>
      <c r="G102" s="134">
        <f>C102+D102</f>
        <v/>
      </c>
      <c r="H102" s="111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68">
      <c r="A103" s="19" t="n">
        <v>15</v>
      </c>
      <c r="B103" s="146" t="n">
        <v>46123</v>
      </c>
      <c r="C103" s="20">
        <f>G102</f>
        <v/>
      </c>
      <c r="D103" s="134">
        <f>E103-F103</f>
        <v/>
      </c>
      <c r="E103" s="20">
        <f>SUMPRODUCT((Income!D$3:D$502="GBP")*(Income!A$3:A$502=B103)*(Income!A$3:A$502&lt;&gt;"")*Income!C$3:C$502)</f>
        <v/>
      </c>
      <c r="F103" s="20">
        <f>SUMPRODUCT((Expenses!E$3:E$999="GBP")*(Expenses!A$3:A$999=B103)*(Expenses!A$3:A$999&lt;&gt;"")*Expenses!D$3:D$999)</f>
        <v/>
      </c>
      <c r="G103" s="134">
        <f>C103+D103</f>
        <v/>
      </c>
      <c r="H103" s="111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68">
      <c r="A104" s="19" t="n">
        <v>15</v>
      </c>
      <c r="B104" s="146" t="n">
        <v>46124</v>
      </c>
      <c r="C104" s="20">
        <f>G103</f>
        <v/>
      </c>
      <c r="D104" s="134">
        <f>E104-F104</f>
        <v/>
      </c>
      <c r="E104" s="20">
        <f>SUMPRODUCT((Income!D$3:D$502="GBP")*(Income!A$3:A$502=B104)*(Income!A$3:A$502&lt;&gt;"")*Income!C$3:C$502)</f>
        <v/>
      </c>
      <c r="F104" s="20">
        <f>SUMPRODUCT((Expenses!E$3:E$999="GBP")*(Expenses!A$3:A$999=B104)*(Expenses!A$3:A$999&lt;&gt;"")*Expenses!D$3:D$999)</f>
        <v/>
      </c>
      <c r="G104" s="134">
        <f>C104+D104</f>
        <v/>
      </c>
      <c r="H104" s="111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68">
      <c r="A105" s="19" t="n">
        <v>16</v>
      </c>
      <c r="B105" s="146" t="n">
        <v>46125</v>
      </c>
      <c r="C105" s="20">
        <f>G104</f>
        <v/>
      </c>
      <c r="D105" s="134">
        <f>E105-F105</f>
        <v/>
      </c>
      <c r="E105" s="20">
        <f>SUMPRODUCT((Income!D$3:D$502="GBP")*(Income!A$3:A$502=B105)*(Income!A$3:A$502&lt;&gt;"")*Income!C$3:C$502)</f>
        <v/>
      </c>
      <c r="F105" s="20">
        <f>SUMPRODUCT((Expenses!E$3:E$999="GBP")*(Expenses!A$3:A$999=B105)*(Expenses!A$3:A$999&lt;&gt;"")*Expenses!D$3:D$999)</f>
        <v/>
      </c>
      <c r="G105" s="134">
        <f>C105+D105</f>
        <v/>
      </c>
      <c r="H105" s="111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68">
      <c r="A106" s="19" t="n">
        <v>16</v>
      </c>
      <c r="B106" s="146" t="n">
        <v>46126</v>
      </c>
      <c r="C106" s="20">
        <f>G105</f>
        <v/>
      </c>
      <c r="D106" s="134">
        <f>E106-F106</f>
        <v/>
      </c>
      <c r="E106" s="20">
        <f>SUMPRODUCT((Income!D$3:D$502="GBP")*(Income!A$3:A$502=B106)*(Income!A$3:A$502&lt;&gt;"")*Income!C$3:C$502)</f>
        <v/>
      </c>
      <c r="F106" s="20">
        <f>SUMPRODUCT((Expenses!E$3:E$999="GBP")*(Expenses!A$3:A$999=B106)*(Expenses!A$3:A$999&lt;&gt;"")*Expenses!D$3:D$999)</f>
        <v/>
      </c>
      <c r="G106" s="134">
        <f>C106+D106</f>
        <v/>
      </c>
      <c r="H106" s="111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68">
      <c r="A107" s="19" t="n">
        <v>16</v>
      </c>
      <c r="B107" s="146" t="n">
        <v>46127</v>
      </c>
      <c r="C107" s="20">
        <f>G106</f>
        <v/>
      </c>
      <c r="D107" s="134">
        <f>E107-F107</f>
        <v/>
      </c>
      <c r="E107" s="20">
        <f>SUMPRODUCT((Income!D$3:D$502="GBP")*(Income!A$3:A$502=B107)*(Income!A$3:A$502&lt;&gt;"")*Income!C$3:C$502)</f>
        <v/>
      </c>
      <c r="F107" s="20">
        <f>SUMPRODUCT((Expenses!E$3:E$999="GBP")*(Expenses!A$3:A$999=B107)*(Expenses!A$3:A$999&lt;&gt;"")*Expenses!D$3:D$999)</f>
        <v/>
      </c>
      <c r="G107" s="134">
        <f>C107+D107</f>
        <v/>
      </c>
      <c r="H107" s="111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68">
      <c r="A108" s="19" t="n">
        <v>16</v>
      </c>
      <c r="B108" s="146" t="n">
        <v>46128</v>
      </c>
      <c r="C108" s="20">
        <f>G107</f>
        <v/>
      </c>
      <c r="D108" s="134">
        <f>E108-F108</f>
        <v/>
      </c>
      <c r="E108" s="20">
        <f>SUMPRODUCT((Income!D$3:D$502="GBP")*(Income!A$3:A$502=B108)*(Income!A$3:A$502&lt;&gt;"")*Income!C$3:C$502)</f>
        <v/>
      </c>
      <c r="F108" s="20">
        <f>SUMPRODUCT((Expenses!E$3:E$999="GBP")*(Expenses!A$3:A$999=B108)*(Expenses!A$3:A$999&lt;&gt;"")*Expenses!D$3:D$999)</f>
        <v/>
      </c>
      <c r="G108" s="134">
        <f>C108+D108</f>
        <v/>
      </c>
      <c r="H108" s="111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68">
      <c r="A109" s="19" t="n">
        <v>16</v>
      </c>
      <c r="B109" s="146" t="n">
        <v>46129</v>
      </c>
      <c r="C109" s="20">
        <f>G108</f>
        <v/>
      </c>
      <c r="D109" s="134">
        <f>E109-F109</f>
        <v/>
      </c>
      <c r="E109" s="20">
        <f>SUMPRODUCT((Income!D$3:D$502="GBP")*(Income!A$3:A$502=B109)*(Income!A$3:A$502&lt;&gt;"")*Income!C$3:C$502)</f>
        <v/>
      </c>
      <c r="F109" s="20">
        <f>SUMPRODUCT((Expenses!E$3:E$999="GBP")*(Expenses!A$3:A$999=B109)*(Expenses!A$3:A$999&lt;&gt;"")*Expenses!D$3:D$999)</f>
        <v/>
      </c>
      <c r="G109" s="134">
        <f>C109+D109</f>
        <v/>
      </c>
      <c r="H109" s="111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68">
      <c r="A110" s="19" t="n">
        <v>16</v>
      </c>
      <c r="B110" s="146" t="n">
        <v>46130</v>
      </c>
      <c r="C110" s="20">
        <f>G109</f>
        <v/>
      </c>
      <c r="D110" s="134">
        <f>E110-F110</f>
        <v/>
      </c>
      <c r="E110" s="20">
        <f>SUMPRODUCT((Income!D$3:D$502="GBP")*(Income!A$3:A$502=B110)*(Income!A$3:A$502&lt;&gt;"")*Income!C$3:C$502)</f>
        <v/>
      </c>
      <c r="F110" s="20">
        <f>SUMPRODUCT((Expenses!E$3:E$999="GBP")*(Expenses!A$3:A$999=B110)*(Expenses!A$3:A$999&lt;&gt;"")*Expenses!D$3:D$999)</f>
        <v/>
      </c>
      <c r="G110" s="134">
        <f>C110+D110</f>
        <v/>
      </c>
      <c r="H110" s="111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68">
      <c r="A111" s="19" t="n">
        <v>16</v>
      </c>
      <c r="B111" s="146" t="n">
        <v>46131</v>
      </c>
      <c r="C111" s="20">
        <f>G110</f>
        <v/>
      </c>
      <c r="D111" s="134">
        <f>E111-F111</f>
        <v/>
      </c>
      <c r="E111" s="20">
        <f>SUMPRODUCT((Income!D$3:D$502="GBP")*(Income!A$3:A$502=B111)*(Income!A$3:A$502&lt;&gt;"")*Income!C$3:C$502)</f>
        <v/>
      </c>
      <c r="F111" s="20">
        <f>SUMPRODUCT((Expenses!E$3:E$999="GBP")*(Expenses!A$3:A$999=B111)*(Expenses!A$3:A$999&lt;&gt;"")*Expenses!D$3:D$999)</f>
        <v/>
      </c>
      <c r="G111" s="134">
        <f>C111+D111</f>
        <v/>
      </c>
      <c r="H111" s="111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68">
      <c r="A112" s="19" t="n">
        <v>17</v>
      </c>
      <c r="B112" s="146" t="n">
        <v>46132</v>
      </c>
      <c r="C112" s="20">
        <f>G111</f>
        <v/>
      </c>
      <c r="D112" s="134">
        <f>E112-F112</f>
        <v/>
      </c>
      <c r="E112" s="20">
        <f>SUMPRODUCT((Income!D$3:D$502="GBP")*(Income!A$3:A$502=B112)*(Income!A$3:A$502&lt;&gt;"")*Income!C$3:C$502)</f>
        <v/>
      </c>
      <c r="F112" s="20">
        <f>SUMPRODUCT((Expenses!E$3:E$999="GBP")*(Expenses!A$3:A$999=B112)*(Expenses!A$3:A$999&lt;&gt;"")*Expenses!D$3:D$999)</f>
        <v/>
      </c>
      <c r="G112" s="134">
        <f>C112+D112</f>
        <v/>
      </c>
      <c r="H112" s="111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68">
      <c r="A113" s="19" t="n">
        <v>17</v>
      </c>
      <c r="B113" s="146" t="n">
        <v>46133</v>
      </c>
      <c r="C113" s="20">
        <f>G112</f>
        <v/>
      </c>
      <c r="D113" s="134">
        <f>E113-F113</f>
        <v/>
      </c>
      <c r="E113" s="20">
        <f>SUMPRODUCT((Income!D$3:D$502="GBP")*(Income!A$3:A$502=B113)*(Income!A$3:A$502&lt;&gt;"")*Income!C$3:C$502)</f>
        <v/>
      </c>
      <c r="F113" s="20">
        <f>SUMPRODUCT((Expenses!E$3:E$999="GBP")*(Expenses!A$3:A$999=B113)*(Expenses!A$3:A$999&lt;&gt;"")*Expenses!D$3:D$999)</f>
        <v/>
      </c>
      <c r="G113" s="134">
        <f>C113+D113</f>
        <v/>
      </c>
      <c r="H113" s="111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68">
      <c r="A114" s="19" t="n">
        <v>17</v>
      </c>
      <c r="B114" s="146" t="n">
        <v>46134</v>
      </c>
      <c r="C114" s="20">
        <f>G113</f>
        <v/>
      </c>
      <c r="D114" s="134">
        <f>E114-F114</f>
        <v/>
      </c>
      <c r="E114" s="20">
        <f>SUMPRODUCT((Income!D$3:D$502="GBP")*(Income!A$3:A$502=B114)*(Income!A$3:A$502&lt;&gt;"")*Income!C$3:C$502)</f>
        <v/>
      </c>
      <c r="F114" s="20">
        <f>SUMPRODUCT((Expenses!E$3:E$999="GBP")*(Expenses!A$3:A$999=B114)*(Expenses!A$3:A$999&lt;&gt;"")*Expenses!D$3:D$999)</f>
        <v/>
      </c>
      <c r="G114" s="134">
        <f>C114+D114</f>
        <v/>
      </c>
      <c r="H114" s="111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68">
      <c r="A115" s="19" t="n">
        <v>17</v>
      </c>
      <c r="B115" s="146" t="n">
        <v>46135</v>
      </c>
      <c r="C115" s="20">
        <f>G114</f>
        <v/>
      </c>
      <c r="D115" s="134">
        <f>E115-F115</f>
        <v/>
      </c>
      <c r="E115" s="20">
        <f>SUMPRODUCT((Income!D$3:D$502="GBP")*(Income!A$3:A$502=B115)*(Income!A$3:A$502&lt;&gt;"")*Income!C$3:C$502)</f>
        <v/>
      </c>
      <c r="F115" s="20">
        <f>SUMPRODUCT((Expenses!E$3:E$999="GBP")*(Expenses!A$3:A$999=B115)*(Expenses!A$3:A$999&lt;&gt;"")*Expenses!D$3:D$999)</f>
        <v/>
      </c>
      <c r="G115" s="134">
        <f>C115+D115</f>
        <v/>
      </c>
      <c r="H115" s="111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68">
      <c r="A116" s="19" t="n">
        <v>17</v>
      </c>
      <c r="B116" s="146" t="n">
        <v>46136</v>
      </c>
      <c r="C116" s="20">
        <f>G115</f>
        <v/>
      </c>
      <c r="D116" s="134">
        <f>E116-F116</f>
        <v/>
      </c>
      <c r="E116" s="20">
        <f>SUMPRODUCT((Income!D$3:D$502="GBP")*(Income!A$3:A$502=B116)*(Income!A$3:A$502&lt;&gt;"")*Income!C$3:C$502)</f>
        <v/>
      </c>
      <c r="F116" s="20">
        <f>SUMPRODUCT((Expenses!E$3:E$999="GBP")*(Expenses!A$3:A$999=B116)*(Expenses!A$3:A$999&lt;&gt;"")*Expenses!D$3:D$999)</f>
        <v/>
      </c>
      <c r="G116" s="134">
        <f>C116+D116</f>
        <v/>
      </c>
      <c r="H116" s="111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68">
      <c r="A117" s="19" t="n">
        <v>17</v>
      </c>
      <c r="B117" s="146" t="n">
        <v>46137</v>
      </c>
      <c r="C117" s="20">
        <f>G116</f>
        <v/>
      </c>
      <c r="D117" s="134">
        <f>E117-F117</f>
        <v/>
      </c>
      <c r="E117" s="20">
        <f>SUMPRODUCT((Income!D$3:D$502="GBP")*(Income!A$3:A$502=B117)*(Income!A$3:A$502&lt;&gt;"")*Income!C$3:C$502)</f>
        <v/>
      </c>
      <c r="F117" s="20">
        <f>SUMPRODUCT((Expenses!E$3:E$999="GBP")*(Expenses!A$3:A$999=B117)*(Expenses!A$3:A$999&lt;&gt;"")*Expenses!D$3:D$999)</f>
        <v/>
      </c>
      <c r="G117" s="134">
        <f>C117+D117</f>
        <v/>
      </c>
      <c r="H117" s="111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68">
      <c r="A118" s="19" t="n">
        <v>17</v>
      </c>
      <c r="B118" s="146" t="n">
        <v>46138</v>
      </c>
      <c r="C118" s="20">
        <f>G117</f>
        <v/>
      </c>
      <c r="D118" s="134">
        <f>E118-F118</f>
        <v/>
      </c>
      <c r="E118" s="20">
        <f>SUMPRODUCT((Income!D$3:D$502="GBP")*(Income!A$3:A$502=B118)*(Income!A$3:A$502&lt;&gt;"")*Income!C$3:C$502)</f>
        <v/>
      </c>
      <c r="F118" s="20">
        <f>SUMPRODUCT((Expenses!E$3:E$999="GBP")*(Expenses!A$3:A$999=B118)*(Expenses!A$3:A$999&lt;&gt;"")*Expenses!D$3:D$999)</f>
        <v/>
      </c>
      <c r="G118" s="134">
        <f>C118+D118</f>
        <v/>
      </c>
      <c r="H118" s="111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68">
      <c r="A119" s="19" t="n">
        <v>18</v>
      </c>
      <c r="B119" s="146" t="n">
        <v>46139</v>
      </c>
      <c r="C119" s="20">
        <f>G118</f>
        <v/>
      </c>
      <c r="D119" s="134">
        <f>E119-F119</f>
        <v/>
      </c>
      <c r="E119" s="20">
        <f>SUMPRODUCT((Income!D$3:D$502="GBP")*(Income!A$3:A$502=B119)*(Income!A$3:A$502&lt;&gt;"")*Income!C$3:C$502)</f>
        <v/>
      </c>
      <c r="F119" s="20">
        <f>SUMPRODUCT((Expenses!E$3:E$999="GBP")*(Expenses!A$3:A$999=B119)*(Expenses!A$3:A$999&lt;&gt;"")*Expenses!D$3:D$999)</f>
        <v/>
      </c>
      <c r="G119" s="134">
        <f>C119+D119</f>
        <v/>
      </c>
      <c r="H119" s="111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68">
      <c r="A120" s="19" t="n">
        <v>18</v>
      </c>
      <c r="B120" s="146" t="n">
        <v>46140</v>
      </c>
      <c r="C120" s="20">
        <f>G119</f>
        <v/>
      </c>
      <c r="D120" s="134">
        <f>E120-F120</f>
        <v/>
      </c>
      <c r="E120" s="20">
        <f>SUMPRODUCT((Income!D$3:D$502="GBP")*(Income!A$3:A$502=B120)*(Income!A$3:A$502&lt;&gt;"")*Income!C$3:C$502)</f>
        <v/>
      </c>
      <c r="F120" s="20">
        <f>SUMPRODUCT((Expenses!E$3:E$999="GBP")*(Expenses!A$3:A$999=B120)*(Expenses!A$3:A$999&lt;&gt;"")*Expenses!D$3:D$999)</f>
        <v/>
      </c>
      <c r="G120" s="134">
        <f>C120+D120</f>
        <v/>
      </c>
      <c r="H120" s="111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68">
      <c r="A121" s="19" t="n">
        <v>18</v>
      </c>
      <c r="B121" s="146" t="n">
        <v>46141</v>
      </c>
      <c r="C121" s="20">
        <f>G120</f>
        <v/>
      </c>
      <c r="D121" s="134">
        <f>E121-F121</f>
        <v/>
      </c>
      <c r="E121" s="20">
        <f>SUMPRODUCT((Income!D$3:D$502="GBP")*(Income!A$3:A$502=B121)*(Income!A$3:A$502&lt;&gt;"")*Income!C$3:C$502)</f>
        <v/>
      </c>
      <c r="F121" s="20">
        <f>SUMPRODUCT((Expenses!E$3:E$999="GBP")*(Expenses!A$3:A$999=B121)*(Expenses!A$3:A$999&lt;&gt;"")*Expenses!D$3:D$999)</f>
        <v/>
      </c>
      <c r="G121" s="134">
        <f>C121+D121</f>
        <v/>
      </c>
      <c r="H121" s="111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68">
      <c r="A122" s="19" t="n">
        <v>18</v>
      </c>
      <c r="B122" s="146" t="n">
        <v>46142</v>
      </c>
      <c r="C122" s="20">
        <f>G121</f>
        <v/>
      </c>
      <c r="D122" s="134">
        <f>E122-F122</f>
        <v/>
      </c>
      <c r="E122" s="20">
        <f>SUMPRODUCT((Income!D$3:D$502="GBP")*(Income!A$3:A$502=B122)*(Income!A$3:A$502&lt;&gt;"")*Income!C$3:C$502)</f>
        <v/>
      </c>
      <c r="F122" s="20">
        <f>SUMPRODUCT((Expenses!E$3:E$999="GBP")*(Expenses!A$3:A$999=B122)*(Expenses!A$3:A$999&lt;&gt;"")*Expenses!D$3:D$999)</f>
        <v/>
      </c>
      <c r="G122" s="134">
        <f>C122+D122</f>
        <v/>
      </c>
      <c r="H122" s="111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68">
      <c r="A123" s="19" t="n">
        <v>18</v>
      </c>
      <c r="B123" s="146" t="n">
        <v>46143</v>
      </c>
      <c r="C123" s="20">
        <f>G122</f>
        <v/>
      </c>
      <c r="D123" s="134">
        <f>E123-F123</f>
        <v/>
      </c>
      <c r="E123" s="20">
        <f>SUMPRODUCT((Income!D$3:D$502="GBP")*(Income!A$3:A$502=B123)*(Income!A$3:A$502&lt;&gt;"")*Income!C$3:C$502)</f>
        <v/>
      </c>
      <c r="F123" s="20">
        <f>SUMPRODUCT((Expenses!E$3:E$999="GBP")*(Expenses!A$3:A$999=B123)*(Expenses!A$3:A$999&lt;&gt;"")*Expenses!D$3:D$999)</f>
        <v/>
      </c>
      <c r="G123" s="134">
        <f>C123+D123</f>
        <v/>
      </c>
      <c r="H123" s="111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68">
      <c r="A124" s="19" t="n">
        <v>18</v>
      </c>
      <c r="B124" s="146" t="n">
        <v>46144</v>
      </c>
      <c r="C124" s="20">
        <f>G123</f>
        <v/>
      </c>
      <c r="D124" s="134">
        <f>E124-F124</f>
        <v/>
      </c>
      <c r="E124" s="20">
        <f>SUMPRODUCT((Income!D$3:D$502="GBP")*(Income!A$3:A$502=B124)*(Income!A$3:A$502&lt;&gt;"")*Income!C$3:C$502)</f>
        <v/>
      </c>
      <c r="F124" s="20">
        <f>SUMPRODUCT((Expenses!E$3:E$999="GBP")*(Expenses!A$3:A$999=B124)*(Expenses!A$3:A$999&lt;&gt;"")*Expenses!D$3:D$999)</f>
        <v/>
      </c>
      <c r="G124" s="134">
        <f>C124+D124</f>
        <v/>
      </c>
      <c r="H124" s="111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68">
      <c r="A125" s="19" t="n">
        <v>18</v>
      </c>
      <c r="B125" s="146" t="n">
        <v>46145</v>
      </c>
      <c r="C125" s="20">
        <f>G124</f>
        <v/>
      </c>
      <c r="D125" s="134">
        <f>E125-F125</f>
        <v/>
      </c>
      <c r="E125" s="20">
        <f>SUMPRODUCT((Income!D$3:D$502="GBP")*(Income!A$3:A$502=B125)*(Income!A$3:A$502&lt;&gt;"")*Income!C$3:C$502)</f>
        <v/>
      </c>
      <c r="F125" s="20">
        <f>SUMPRODUCT((Expenses!E$3:E$999="GBP")*(Expenses!A$3:A$999=B125)*(Expenses!A$3:A$999&lt;&gt;"")*Expenses!D$3:D$999)</f>
        <v/>
      </c>
      <c r="G125" s="134">
        <f>C125+D125</f>
        <v/>
      </c>
      <c r="H125" s="111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68">
      <c r="A126" s="19" t="n">
        <v>19</v>
      </c>
      <c r="B126" s="146" t="n">
        <v>46146</v>
      </c>
      <c r="C126" s="20">
        <f>G125</f>
        <v/>
      </c>
      <c r="D126" s="134">
        <f>E126-F126</f>
        <v/>
      </c>
      <c r="E126" s="20">
        <f>SUMPRODUCT((Income!D$3:D$502="GBP")*(Income!A$3:A$502=B126)*(Income!A$3:A$502&lt;&gt;"")*Income!C$3:C$502)</f>
        <v/>
      </c>
      <c r="F126" s="20">
        <f>SUMPRODUCT((Expenses!E$3:E$999="GBP")*(Expenses!A$3:A$999=B126)*(Expenses!A$3:A$999&lt;&gt;"")*Expenses!D$3:D$999)</f>
        <v/>
      </c>
      <c r="G126" s="134">
        <f>C126+D126</f>
        <v/>
      </c>
      <c r="H126" s="111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68">
      <c r="A127" s="19" t="n">
        <v>19</v>
      </c>
      <c r="B127" s="146" t="n">
        <v>46147</v>
      </c>
      <c r="C127" s="20">
        <f>G126</f>
        <v/>
      </c>
      <c r="D127" s="134">
        <f>E127-F127</f>
        <v/>
      </c>
      <c r="E127" s="20">
        <f>SUMPRODUCT((Income!D$3:D$502="GBP")*(Income!A$3:A$502=B127)*(Income!A$3:A$502&lt;&gt;"")*Income!C$3:C$502)</f>
        <v/>
      </c>
      <c r="F127" s="20">
        <f>SUMPRODUCT((Expenses!E$3:E$999="GBP")*(Expenses!A$3:A$999=B127)*(Expenses!A$3:A$999&lt;&gt;"")*Expenses!D$3:D$999)</f>
        <v/>
      </c>
      <c r="G127" s="134">
        <f>C127+D127</f>
        <v/>
      </c>
      <c r="H127" s="111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68">
      <c r="A128" s="19" t="n">
        <v>19</v>
      </c>
      <c r="B128" s="146" t="n">
        <v>46148</v>
      </c>
      <c r="C128" s="20">
        <f>G127</f>
        <v/>
      </c>
      <c r="D128" s="134">
        <f>E128-F128</f>
        <v/>
      </c>
      <c r="E128" s="20">
        <f>SUMPRODUCT((Income!D$3:D$502="GBP")*(Income!A$3:A$502=B128)*(Income!A$3:A$502&lt;&gt;"")*Income!C$3:C$502)</f>
        <v/>
      </c>
      <c r="F128" s="20">
        <f>SUMPRODUCT((Expenses!E$3:E$999="GBP")*(Expenses!A$3:A$999=B128)*(Expenses!A$3:A$999&lt;&gt;"")*Expenses!D$3:D$999)</f>
        <v/>
      </c>
      <c r="G128" s="134">
        <f>C128+D128</f>
        <v/>
      </c>
      <c r="H128" s="111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68">
      <c r="A129" s="19" t="n">
        <v>19</v>
      </c>
      <c r="B129" s="146" t="n">
        <v>46149</v>
      </c>
      <c r="C129" s="20">
        <f>G128</f>
        <v/>
      </c>
      <c r="D129" s="134">
        <f>E129-F129</f>
        <v/>
      </c>
      <c r="E129" s="20">
        <f>SUMPRODUCT((Income!D$3:D$502="GBP")*(Income!A$3:A$502=B129)*(Income!A$3:A$502&lt;&gt;"")*Income!C$3:C$502)</f>
        <v/>
      </c>
      <c r="F129" s="20">
        <f>SUMPRODUCT((Expenses!E$3:E$999="GBP")*(Expenses!A$3:A$999=B129)*(Expenses!A$3:A$999&lt;&gt;"")*Expenses!D$3:D$999)</f>
        <v/>
      </c>
      <c r="G129" s="134">
        <f>C129+D129</f>
        <v/>
      </c>
      <c r="H129" s="111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68">
      <c r="A130" s="19" t="n">
        <v>19</v>
      </c>
      <c r="B130" s="146" t="n">
        <v>46150</v>
      </c>
      <c r="C130" s="20">
        <f>G129</f>
        <v/>
      </c>
      <c r="D130" s="134">
        <f>E130-F130</f>
        <v/>
      </c>
      <c r="E130" s="20">
        <f>SUMPRODUCT((Income!D$3:D$502="GBP")*(Income!A$3:A$502=B130)*(Income!A$3:A$502&lt;&gt;"")*Income!C$3:C$502)</f>
        <v/>
      </c>
      <c r="F130" s="20">
        <f>SUMPRODUCT((Expenses!E$3:E$999="GBP")*(Expenses!A$3:A$999=B130)*(Expenses!A$3:A$999&lt;&gt;"")*Expenses!D$3:D$999)</f>
        <v/>
      </c>
      <c r="G130" s="134">
        <f>C130+D130</f>
        <v/>
      </c>
      <c r="H130" s="111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68">
      <c r="A131" s="19" t="n">
        <v>19</v>
      </c>
      <c r="B131" s="146" t="n">
        <v>46151</v>
      </c>
      <c r="C131" s="20">
        <f>G130</f>
        <v/>
      </c>
      <c r="D131" s="134">
        <f>E131-F131</f>
        <v/>
      </c>
      <c r="E131" s="20">
        <f>SUMPRODUCT((Income!D$3:D$502="GBP")*(Income!A$3:A$502=B131)*(Income!A$3:A$502&lt;&gt;"")*Income!C$3:C$502)</f>
        <v/>
      </c>
      <c r="F131" s="20">
        <f>SUMPRODUCT((Expenses!E$3:E$999="GBP")*(Expenses!A$3:A$999=B131)*(Expenses!A$3:A$999&lt;&gt;"")*Expenses!D$3:D$999)</f>
        <v/>
      </c>
      <c r="G131" s="134">
        <f>C131+D131</f>
        <v/>
      </c>
      <c r="H131" s="111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68">
      <c r="A132" s="19" t="n">
        <v>19</v>
      </c>
      <c r="B132" s="146" t="n">
        <v>46152</v>
      </c>
      <c r="C132" s="20">
        <f>G131</f>
        <v/>
      </c>
      <c r="D132" s="134">
        <f>E132-F132</f>
        <v/>
      </c>
      <c r="E132" s="20">
        <f>SUMPRODUCT((Income!D$3:D$502="GBP")*(Income!A$3:A$502=B132)*(Income!A$3:A$502&lt;&gt;"")*Income!C$3:C$502)</f>
        <v/>
      </c>
      <c r="F132" s="20">
        <f>SUMPRODUCT((Expenses!E$3:E$999="GBP")*(Expenses!A$3:A$999=B132)*(Expenses!A$3:A$999&lt;&gt;"")*Expenses!D$3:D$999)</f>
        <v/>
      </c>
      <c r="G132" s="134">
        <f>C132+D132</f>
        <v/>
      </c>
      <c r="H132" s="111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68">
      <c r="A133" s="19" t="n">
        <v>20</v>
      </c>
      <c r="B133" s="146" t="n">
        <v>46153</v>
      </c>
      <c r="C133" s="20">
        <f>G132</f>
        <v/>
      </c>
      <c r="D133" s="134">
        <f>E133-F133</f>
        <v/>
      </c>
      <c r="E133" s="20">
        <f>SUMPRODUCT((Income!D$3:D$502="GBP")*(Income!A$3:A$502=B133)*(Income!A$3:A$502&lt;&gt;"")*Income!C$3:C$502)</f>
        <v/>
      </c>
      <c r="F133" s="20">
        <f>SUMPRODUCT((Expenses!E$3:E$999="GBP")*(Expenses!A$3:A$999=B133)*(Expenses!A$3:A$999&lt;&gt;"")*Expenses!D$3:D$999)</f>
        <v/>
      </c>
      <c r="G133" s="134">
        <f>C133+D133</f>
        <v/>
      </c>
      <c r="H133" s="111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68">
      <c r="A134" s="19" t="n">
        <v>20</v>
      </c>
      <c r="B134" s="146" t="n">
        <v>46154</v>
      </c>
      <c r="C134" s="20">
        <f>G133</f>
        <v/>
      </c>
      <c r="D134" s="134">
        <f>E134-F134</f>
        <v/>
      </c>
      <c r="E134" s="20">
        <f>SUMPRODUCT((Income!D$3:D$502="GBP")*(Income!A$3:A$502=B134)*(Income!A$3:A$502&lt;&gt;"")*Income!C$3:C$502)</f>
        <v/>
      </c>
      <c r="F134" s="20">
        <f>SUMPRODUCT((Expenses!E$3:E$999="GBP")*(Expenses!A$3:A$999=B134)*(Expenses!A$3:A$999&lt;&gt;"")*Expenses!D$3:D$999)</f>
        <v/>
      </c>
      <c r="G134" s="134">
        <f>C134+D134</f>
        <v/>
      </c>
      <c r="H134" s="111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68">
      <c r="A135" s="19" t="n">
        <v>20</v>
      </c>
      <c r="B135" s="146" t="n">
        <v>46155</v>
      </c>
      <c r="C135" s="20">
        <f>G134</f>
        <v/>
      </c>
      <c r="D135" s="134">
        <f>E135-F135</f>
        <v/>
      </c>
      <c r="E135" s="20">
        <f>SUMPRODUCT((Income!D$3:D$502="GBP")*(Income!A$3:A$502=B135)*(Income!A$3:A$502&lt;&gt;"")*Income!C$3:C$502)</f>
        <v/>
      </c>
      <c r="F135" s="20">
        <f>SUMPRODUCT((Expenses!E$3:E$999="GBP")*(Expenses!A$3:A$999=B135)*(Expenses!A$3:A$999&lt;&gt;"")*Expenses!D$3:D$999)</f>
        <v/>
      </c>
      <c r="G135" s="134">
        <f>C135+D135</f>
        <v/>
      </c>
      <c r="H135" s="111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68">
      <c r="A136" s="19" t="n">
        <v>20</v>
      </c>
      <c r="B136" s="146" t="n">
        <v>46156</v>
      </c>
      <c r="C136" s="20">
        <f>G135</f>
        <v/>
      </c>
      <c r="D136" s="134">
        <f>E136-F136</f>
        <v/>
      </c>
      <c r="E136" s="20">
        <f>SUMPRODUCT((Income!D$3:D$502="GBP")*(Income!A$3:A$502=B136)*(Income!A$3:A$502&lt;&gt;"")*Income!C$3:C$502)</f>
        <v/>
      </c>
      <c r="F136" s="20">
        <f>SUMPRODUCT((Expenses!E$3:E$999="GBP")*(Expenses!A$3:A$999=B136)*(Expenses!A$3:A$999&lt;&gt;"")*Expenses!D$3:D$999)</f>
        <v/>
      </c>
      <c r="G136" s="134">
        <f>C136+D136</f>
        <v/>
      </c>
      <c r="H136" s="111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68">
      <c r="A137" s="19" t="n">
        <v>20</v>
      </c>
      <c r="B137" s="146" t="n">
        <v>46157</v>
      </c>
      <c r="C137" s="20">
        <f>G136</f>
        <v/>
      </c>
      <c r="D137" s="134">
        <f>E137-F137</f>
        <v/>
      </c>
      <c r="E137" s="20">
        <f>SUMPRODUCT((Income!D$3:D$502="GBP")*(Income!A$3:A$502=B137)*(Income!A$3:A$502&lt;&gt;"")*Income!C$3:C$502)</f>
        <v/>
      </c>
      <c r="F137" s="20">
        <f>SUMPRODUCT((Expenses!E$3:E$999="GBP")*(Expenses!A$3:A$999=B137)*(Expenses!A$3:A$999&lt;&gt;"")*Expenses!D$3:D$999)</f>
        <v/>
      </c>
      <c r="G137" s="134">
        <f>C137+D137</f>
        <v/>
      </c>
      <c r="H137" s="111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68">
      <c r="A138" s="19" t="n">
        <v>20</v>
      </c>
      <c r="B138" s="146" t="n">
        <v>46158</v>
      </c>
      <c r="C138" s="20">
        <f>G137</f>
        <v/>
      </c>
      <c r="D138" s="134">
        <f>E138-F138</f>
        <v/>
      </c>
      <c r="E138" s="20">
        <f>SUMPRODUCT((Income!D$3:D$502="GBP")*(Income!A$3:A$502=B138)*(Income!A$3:A$502&lt;&gt;"")*Income!C$3:C$502)</f>
        <v/>
      </c>
      <c r="F138" s="20">
        <f>SUMPRODUCT((Expenses!E$3:E$999="GBP")*(Expenses!A$3:A$999=B138)*(Expenses!A$3:A$999&lt;&gt;"")*Expenses!D$3:D$999)</f>
        <v/>
      </c>
      <c r="G138" s="134">
        <f>C138+D138</f>
        <v/>
      </c>
      <c r="H138" s="111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68">
      <c r="A139" s="19" t="n">
        <v>20</v>
      </c>
      <c r="B139" s="146" t="n">
        <v>46159</v>
      </c>
      <c r="C139" s="20">
        <f>G138</f>
        <v/>
      </c>
      <c r="D139" s="134">
        <f>E139-F139</f>
        <v/>
      </c>
      <c r="E139" s="20">
        <f>SUMPRODUCT((Income!D$3:D$502="GBP")*(Income!A$3:A$502=B139)*(Income!A$3:A$502&lt;&gt;"")*Income!C$3:C$502)</f>
        <v/>
      </c>
      <c r="F139" s="20">
        <f>SUMPRODUCT((Expenses!E$3:E$999="GBP")*(Expenses!A$3:A$999=B139)*(Expenses!A$3:A$999&lt;&gt;"")*Expenses!D$3:D$999)</f>
        <v/>
      </c>
      <c r="G139" s="134">
        <f>C139+D139</f>
        <v/>
      </c>
      <c r="H139" s="111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68">
      <c r="A140" s="19" t="n">
        <v>21</v>
      </c>
      <c r="B140" s="146" t="n">
        <v>46160</v>
      </c>
      <c r="C140" s="20">
        <f>G139</f>
        <v/>
      </c>
      <c r="D140" s="134">
        <f>E140-F140</f>
        <v/>
      </c>
      <c r="E140" s="20">
        <f>SUMPRODUCT((Income!D$3:D$502="GBP")*(Income!A$3:A$502=B140)*(Income!A$3:A$502&lt;&gt;"")*Income!C$3:C$502)</f>
        <v/>
      </c>
      <c r="F140" s="20">
        <f>SUMPRODUCT((Expenses!E$3:E$999="GBP")*(Expenses!A$3:A$999=B140)*(Expenses!A$3:A$999&lt;&gt;"")*Expenses!D$3:D$999)</f>
        <v/>
      </c>
      <c r="G140" s="134">
        <f>C140+D140</f>
        <v/>
      </c>
      <c r="H140" s="111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68">
      <c r="A141" s="19" t="n">
        <v>21</v>
      </c>
      <c r="B141" s="146" t="n">
        <v>46161</v>
      </c>
      <c r="C141" s="20">
        <f>G140</f>
        <v/>
      </c>
      <c r="D141" s="134">
        <f>E141-F141</f>
        <v/>
      </c>
      <c r="E141" s="20">
        <f>SUMPRODUCT((Income!D$3:D$502="GBP")*(Income!A$3:A$502=B141)*(Income!A$3:A$502&lt;&gt;"")*Income!C$3:C$502)</f>
        <v/>
      </c>
      <c r="F141" s="20">
        <f>SUMPRODUCT((Expenses!E$3:E$999="GBP")*(Expenses!A$3:A$999=B141)*(Expenses!A$3:A$999&lt;&gt;"")*Expenses!D$3:D$999)</f>
        <v/>
      </c>
      <c r="G141" s="134">
        <f>C141+D141</f>
        <v/>
      </c>
      <c r="H141" s="111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68">
      <c r="A142" s="19" t="n">
        <v>21</v>
      </c>
      <c r="B142" s="146" t="n">
        <v>46162</v>
      </c>
      <c r="C142" s="20">
        <f>G141</f>
        <v/>
      </c>
      <c r="D142" s="134">
        <f>E142-F142</f>
        <v/>
      </c>
      <c r="E142" s="20">
        <f>SUMPRODUCT((Income!D$3:D$502="GBP")*(Income!A$3:A$502=B142)*(Income!A$3:A$502&lt;&gt;"")*Income!C$3:C$502)</f>
        <v/>
      </c>
      <c r="F142" s="20">
        <f>SUMPRODUCT((Expenses!E$3:E$999="GBP")*(Expenses!A$3:A$999=B142)*(Expenses!A$3:A$999&lt;&gt;"")*Expenses!D$3:D$999)</f>
        <v/>
      </c>
      <c r="G142" s="134">
        <f>C142+D142</f>
        <v/>
      </c>
      <c r="H142" s="111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68">
      <c r="A143" s="19" t="n">
        <v>21</v>
      </c>
      <c r="B143" s="146" t="n">
        <v>46163</v>
      </c>
      <c r="C143" s="20">
        <f>G142</f>
        <v/>
      </c>
      <c r="D143" s="134">
        <f>E143-F143</f>
        <v/>
      </c>
      <c r="E143" s="20">
        <f>SUMPRODUCT((Income!D$3:D$502="GBP")*(Income!A$3:A$502=B143)*(Income!A$3:A$502&lt;&gt;"")*Income!C$3:C$502)</f>
        <v/>
      </c>
      <c r="F143" s="20">
        <f>SUMPRODUCT((Expenses!E$3:E$999="GBP")*(Expenses!A$3:A$999=B143)*(Expenses!A$3:A$999&lt;&gt;"")*Expenses!D$3:D$999)</f>
        <v/>
      </c>
      <c r="G143" s="134">
        <f>C143+D143</f>
        <v/>
      </c>
      <c r="H143" s="111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68">
      <c r="A144" s="19" t="n">
        <v>21</v>
      </c>
      <c r="B144" s="146" t="n">
        <v>46164</v>
      </c>
      <c r="C144" s="20">
        <f>G143</f>
        <v/>
      </c>
      <c r="D144" s="134">
        <f>E144-F144</f>
        <v/>
      </c>
      <c r="E144" s="20">
        <f>SUMPRODUCT((Income!D$3:D$502="GBP")*(Income!A$3:A$502=B144)*(Income!A$3:A$502&lt;&gt;"")*Income!C$3:C$502)</f>
        <v/>
      </c>
      <c r="F144" s="20">
        <f>SUMPRODUCT((Expenses!E$3:E$999="GBP")*(Expenses!A$3:A$999=B144)*(Expenses!A$3:A$999&lt;&gt;"")*Expenses!D$3:D$999)</f>
        <v/>
      </c>
      <c r="G144" s="134">
        <f>C144+D144</f>
        <v/>
      </c>
      <c r="H144" s="111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68">
      <c r="A145" s="19" t="n">
        <v>21</v>
      </c>
      <c r="B145" s="146" t="n">
        <v>46165</v>
      </c>
      <c r="C145" s="20">
        <f>G144</f>
        <v/>
      </c>
      <c r="D145" s="134">
        <f>E145-F145</f>
        <v/>
      </c>
      <c r="E145" s="20">
        <f>SUMPRODUCT((Income!D$3:D$502="GBP")*(Income!A$3:A$502=B145)*(Income!A$3:A$502&lt;&gt;"")*Income!C$3:C$502)</f>
        <v/>
      </c>
      <c r="F145" s="20">
        <f>SUMPRODUCT((Expenses!E$3:E$999="GBP")*(Expenses!A$3:A$999=B145)*(Expenses!A$3:A$999&lt;&gt;"")*Expenses!D$3:D$999)</f>
        <v/>
      </c>
      <c r="G145" s="134">
        <f>C145+D145</f>
        <v/>
      </c>
      <c r="H145" s="111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68">
      <c r="A146" s="19" t="n">
        <v>21</v>
      </c>
      <c r="B146" s="146" t="n">
        <v>46166</v>
      </c>
      <c r="C146" s="20">
        <f>G145</f>
        <v/>
      </c>
      <c r="D146" s="134">
        <f>E146-F146</f>
        <v/>
      </c>
      <c r="E146" s="20">
        <f>SUMPRODUCT((Income!D$3:D$502="GBP")*(Income!A$3:A$502=B146)*(Income!A$3:A$502&lt;&gt;"")*Income!C$3:C$502)</f>
        <v/>
      </c>
      <c r="F146" s="20">
        <f>SUMPRODUCT((Expenses!E$3:E$999="GBP")*(Expenses!A$3:A$999=B146)*(Expenses!A$3:A$999&lt;&gt;"")*Expenses!D$3:D$999)</f>
        <v/>
      </c>
      <c r="G146" s="134">
        <f>C146+D146</f>
        <v/>
      </c>
      <c r="H146" s="111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68">
      <c r="A147" s="19" t="n">
        <v>22</v>
      </c>
      <c r="B147" s="146" t="n">
        <v>46167</v>
      </c>
      <c r="C147" s="20">
        <f>G146</f>
        <v/>
      </c>
      <c r="D147" s="134">
        <f>E147-F147</f>
        <v/>
      </c>
      <c r="E147" s="20">
        <f>SUMPRODUCT((Income!D$3:D$502="GBP")*(Income!A$3:A$502=B147)*(Income!A$3:A$502&lt;&gt;"")*Income!C$3:C$502)</f>
        <v/>
      </c>
      <c r="F147" s="20">
        <f>SUMPRODUCT((Expenses!E$3:E$999="GBP")*(Expenses!A$3:A$999=B147)*(Expenses!A$3:A$999&lt;&gt;"")*Expenses!D$3:D$999)</f>
        <v/>
      </c>
      <c r="G147" s="134">
        <f>C147+D147</f>
        <v/>
      </c>
      <c r="H147" s="111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68">
      <c r="A148" s="19" t="n">
        <v>22</v>
      </c>
      <c r="B148" s="146" t="n">
        <v>46168</v>
      </c>
      <c r="C148" s="20">
        <f>G147</f>
        <v/>
      </c>
      <c r="D148" s="134">
        <f>E148-F148</f>
        <v/>
      </c>
      <c r="E148" s="20">
        <f>SUMPRODUCT((Income!D$3:D$502="GBP")*(Income!A$3:A$502=B148)*(Income!A$3:A$502&lt;&gt;"")*Income!C$3:C$502)</f>
        <v/>
      </c>
      <c r="F148" s="20">
        <f>SUMPRODUCT((Expenses!E$3:E$999="GBP")*(Expenses!A$3:A$999=B148)*(Expenses!A$3:A$999&lt;&gt;"")*Expenses!D$3:D$999)</f>
        <v/>
      </c>
      <c r="G148" s="134">
        <f>C148+D148</f>
        <v/>
      </c>
      <c r="H148" s="111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68">
      <c r="A149" s="19" t="n">
        <v>22</v>
      </c>
      <c r="B149" s="146" t="n">
        <v>46169</v>
      </c>
      <c r="C149" s="20">
        <f>G148</f>
        <v/>
      </c>
      <c r="D149" s="134">
        <f>E149-F149</f>
        <v/>
      </c>
      <c r="E149" s="20">
        <f>SUMPRODUCT((Income!D$3:D$502="GBP")*(Income!A$3:A$502=B149)*(Income!A$3:A$502&lt;&gt;"")*Income!C$3:C$502)</f>
        <v/>
      </c>
      <c r="F149" s="20">
        <f>SUMPRODUCT((Expenses!E$3:E$999="GBP")*(Expenses!A$3:A$999=B149)*(Expenses!A$3:A$999&lt;&gt;"")*Expenses!D$3:D$999)</f>
        <v/>
      </c>
      <c r="G149" s="134">
        <f>C149+D149</f>
        <v/>
      </c>
      <c r="H149" s="111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68">
      <c r="A150" s="19" t="n">
        <v>22</v>
      </c>
      <c r="B150" s="146" t="n">
        <v>46170</v>
      </c>
      <c r="C150" s="20">
        <f>G149</f>
        <v/>
      </c>
      <c r="D150" s="134">
        <f>E150-F150</f>
        <v/>
      </c>
      <c r="E150" s="20">
        <f>SUMPRODUCT((Income!D$3:D$502="GBP")*(Income!A$3:A$502=B150)*(Income!A$3:A$502&lt;&gt;"")*Income!C$3:C$502)</f>
        <v/>
      </c>
      <c r="F150" s="20">
        <f>SUMPRODUCT((Expenses!E$3:E$999="GBP")*(Expenses!A$3:A$999=B150)*(Expenses!A$3:A$999&lt;&gt;"")*Expenses!D$3:D$999)</f>
        <v/>
      </c>
      <c r="G150" s="134">
        <f>C150+D150</f>
        <v/>
      </c>
      <c r="H150" s="111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68">
      <c r="A151" s="19" t="n">
        <v>22</v>
      </c>
      <c r="B151" s="146" t="n">
        <v>46171</v>
      </c>
      <c r="C151" s="20">
        <f>G150</f>
        <v/>
      </c>
      <c r="D151" s="134">
        <f>E151-F151</f>
        <v/>
      </c>
      <c r="E151" s="20">
        <f>SUMPRODUCT((Income!D$3:D$502="GBP")*(Income!A$3:A$502=B151)*(Income!A$3:A$502&lt;&gt;"")*Income!C$3:C$502)</f>
        <v/>
      </c>
      <c r="F151" s="20">
        <f>SUMPRODUCT((Expenses!E$3:E$999="GBP")*(Expenses!A$3:A$999=B151)*(Expenses!A$3:A$999&lt;&gt;"")*Expenses!D$3:D$999)</f>
        <v/>
      </c>
      <c r="G151" s="134">
        <f>C151+D151</f>
        <v/>
      </c>
      <c r="H151" s="111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68">
      <c r="A152" s="19" t="n">
        <v>22</v>
      </c>
      <c r="B152" s="146" t="n">
        <v>46172</v>
      </c>
      <c r="C152" s="20">
        <f>G151</f>
        <v/>
      </c>
      <c r="D152" s="134">
        <f>E152-F152</f>
        <v/>
      </c>
      <c r="E152" s="20">
        <f>SUMPRODUCT((Income!D$3:D$502="GBP")*(Income!A$3:A$502=B152)*(Income!A$3:A$502&lt;&gt;"")*Income!C$3:C$502)</f>
        <v/>
      </c>
      <c r="F152" s="20">
        <f>SUMPRODUCT((Expenses!E$3:E$999="GBP")*(Expenses!A$3:A$999=B152)*(Expenses!A$3:A$999&lt;&gt;"")*Expenses!D$3:D$999)</f>
        <v/>
      </c>
      <c r="G152" s="134">
        <f>C152+D152</f>
        <v/>
      </c>
      <c r="H152" s="111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68">
      <c r="A153" s="19" t="n">
        <v>22</v>
      </c>
      <c r="B153" s="146" t="n">
        <v>46173</v>
      </c>
      <c r="C153" s="20">
        <f>G152</f>
        <v/>
      </c>
      <c r="D153" s="134">
        <f>E153-F153</f>
        <v/>
      </c>
      <c r="E153" s="20">
        <f>SUMPRODUCT((Income!D$3:D$502="GBP")*(Income!A$3:A$502=B153)*(Income!A$3:A$502&lt;&gt;"")*Income!C$3:C$502)</f>
        <v/>
      </c>
      <c r="F153" s="20">
        <f>SUMPRODUCT((Expenses!E$3:E$999="GBP")*(Expenses!A$3:A$999=B153)*(Expenses!A$3:A$999&lt;&gt;"")*Expenses!D$3:D$999)</f>
        <v/>
      </c>
      <c r="G153" s="134">
        <f>C153+D153</f>
        <v/>
      </c>
      <c r="H153" s="111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68">
      <c r="A154" s="19" t="n">
        <v>23</v>
      </c>
      <c r="B154" s="146" t="n">
        <v>46174</v>
      </c>
      <c r="C154" s="20">
        <f>G153</f>
        <v/>
      </c>
      <c r="D154" s="134">
        <f>E154-F154</f>
        <v/>
      </c>
      <c r="E154" s="20">
        <f>SUMPRODUCT((Income!D$3:D$502="GBP")*(Income!A$3:A$502=B154)*(Income!A$3:A$502&lt;&gt;"")*Income!C$3:C$502)</f>
        <v/>
      </c>
      <c r="F154" s="20">
        <f>SUMPRODUCT((Expenses!E$3:E$999="GBP")*(Expenses!A$3:A$999=B154)*(Expenses!A$3:A$999&lt;&gt;"")*Expenses!D$3:D$999)</f>
        <v/>
      </c>
      <c r="G154" s="134">
        <f>C154+D154</f>
        <v/>
      </c>
      <c r="H154" s="111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68">
      <c r="A155" s="19" t="n">
        <v>23</v>
      </c>
      <c r="B155" s="146" t="n">
        <v>46175</v>
      </c>
      <c r="C155" s="20">
        <f>G154</f>
        <v/>
      </c>
      <c r="D155" s="134">
        <f>E155-F155</f>
        <v/>
      </c>
      <c r="E155" s="20">
        <f>SUMPRODUCT((Income!D$3:D$502="GBP")*(Income!A$3:A$502=B155)*(Income!A$3:A$502&lt;&gt;"")*Income!C$3:C$502)</f>
        <v/>
      </c>
      <c r="F155" s="20">
        <f>SUMPRODUCT((Expenses!E$3:E$999="GBP")*(Expenses!A$3:A$999=B155)*(Expenses!A$3:A$999&lt;&gt;"")*Expenses!D$3:D$999)</f>
        <v/>
      </c>
      <c r="G155" s="134">
        <f>C155+D155</f>
        <v/>
      </c>
      <c r="H155" s="111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68">
      <c r="A156" s="19" t="n">
        <v>23</v>
      </c>
      <c r="B156" s="146" t="n">
        <v>46176</v>
      </c>
      <c r="C156" s="20">
        <f>G155</f>
        <v/>
      </c>
      <c r="D156" s="134">
        <f>E156-F156</f>
        <v/>
      </c>
      <c r="E156" s="20">
        <f>SUMPRODUCT((Income!D$3:D$502="GBP")*(Income!A$3:A$502=B156)*(Income!A$3:A$502&lt;&gt;"")*Income!C$3:C$502)</f>
        <v/>
      </c>
      <c r="F156" s="20">
        <f>SUMPRODUCT((Expenses!E$3:E$999="GBP")*(Expenses!A$3:A$999=B156)*(Expenses!A$3:A$999&lt;&gt;"")*Expenses!D$3:D$999)</f>
        <v/>
      </c>
      <c r="G156" s="134">
        <f>C156+D156</f>
        <v/>
      </c>
      <c r="H156" s="111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68">
      <c r="A157" s="19" t="n">
        <v>23</v>
      </c>
      <c r="B157" s="146" t="n">
        <v>46177</v>
      </c>
      <c r="C157" s="20">
        <f>G156</f>
        <v/>
      </c>
      <c r="D157" s="134">
        <f>E157-F157</f>
        <v/>
      </c>
      <c r="E157" s="20">
        <f>SUMPRODUCT((Income!D$3:D$502="GBP")*(Income!A$3:A$502=B157)*(Income!A$3:A$502&lt;&gt;"")*Income!C$3:C$502)</f>
        <v/>
      </c>
      <c r="F157" s="20">
        <f>SUMPRODUCT((Expenses!E$3:E$999="GBP")*(Expenses!A$3:A$999=B157)*(Expenses!A$3:A$999&lt;&gt;"")*Expenses!D$3:D$999)</f>
        <v/>
      </c>
      <c r="G157" s="134">
        <f>C157+D157</f>
        <v/>
      </c>
      <c r="H157" s="111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68">
      <c r="A158" s="19" t="n">
        <v>23</v>
      </c>
      <c r="B158" s="146" t="n">
        <v>46178</v>
      </c>
      <c r="C158" s="20">
        <f>G157</f>
        <v/>
      </c>
      <c r="D158" s="134">
        <f>E158-F158</f>
        <v/>
      </c>
      <c r="E158" s="20">
        <f>SUMPRODUCT((Income!D$3:D$502="GBP")*(Income!A$3:A$502=B158)*(Income!A$3:A$502&lt;&gt;"")*Income!C$3:C$502)</f>
        <v/>
      </c>
      <c r="F158" s="20">
        <f>SUMPRODUCT((Expenses!E$3:E$999="GBP")*(Expenses!A$3:A$999=B158)*(Expenses!A$3:A$999&lt;&gt;"")*Expenses!D$3:D$999)</f>
        <v/>
      </c>
      <c r="G158" s="134">
        <f>C158+D158</f>
        <v/>
      </c>
      <c r="H158" s="111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68">
      <c r="A159" s="19" t="n">
        <v>23</v>
      </c>
      <c r="B159" s="146" t="n">
        <v>46179</v>
      </c>
      <c r="C159" s="20">
        <f>G158</f>
        <v/>
      </c>
      <c r="D159" s="134">
        <f>E159-F159</f>
        <v/>
      </c>
      <c r="E159" s="20">
        <f>SUMPRODUCT((Income!D$3:D$502="GBP")*(Income!A$3:A$502=B159)*(Income!A$3:A$502&lt;&gt;"")*Income!C$3:C$502)</f>
        <v/>
      </c>
      <c r="F159" s="20">
        <f>SUMPRODUCT((Expenses!E$3:E$999="GBP")*(Expenses!A$3:A$999=B159)*(Expenses!A$3:A$999&lt;&gt;"")*Expenses!D$3:D$999)</f>
        <v/>
      </c>
      <c r="G159" s="134">
        <f>C159+D159</f>
        <v/>
      </c>
      <c r="H159" s="111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68">
      <c r="A160" s="19" t="n">
        <v>23</v>
      </c>
      <c r="B160" s="146" t="n">
        <v>46180</v>
      </c>
      <c r="C160" s="20">
        <f>G159</f>
        <v/>
      </c>
      <c r="D160" s="134">
        <f>E160-F160</f>
        <v/>
      </c>
      <c r="E160" s="20">
        <f>SUMPRODUCT((Income!D$3:D$502="GBP")*(Income!A$3:A$502=B160)*(Income!A$3:A$502&lt;&gt;"")*Income!C$3:C$502)</f>
        <v/>
      </c>
      <c r="F160" s="20">
        <f>SUMPRODUCT((Expenses!E$3:E$999="GBP")*(Expenses!A$3:A$999=B160)*(Expenses!A$3:A$999&lt;&gt;"")*Expenses!D$3:D$999)</f>
        <v/>
      </c>
      <c r="G160" s="134">
        <f>C160+D160</f>
        <v/>
      </c>
      <c r="H160" s="111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68">
      <c r="A161" s="19" t="n">
        <v>24</v>
      </c>
      <c r="B161" s="146" t="n">
        <v>46181</v>
      </c>
      <c r="C161" s="20">
        <f>G160</f>
        <v/>
      </c>
      <c r="D161" s="134">
        <f>E161-F161</f>
        <v/>
      </c>
      <c r="E161" s="20">
        <f>SUMPRODUCT((Income!D$3:D$502="GBP")*(Income!A$3:A$502=B161)*(Income!A$3:A$502&lt;&gt;"")*Income!C$3:C$502)</f>
        <v/>
      </c>
      <c r="F161" s="20">
        <f>SUMPRODUCT((Expenses!E$3:E$999="GBP")*(Expenses!A$3:A$999=B161)*(Expenses!A$3:A$999&lt;&gt;"")*Expenses!D$3:D$999)</f>
        <v/>
      </c>
      <c r="G161" s="134">
        <f>C161+D161</f>
        <v/>
      </c>
      <c r="H161" s="111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68">
      <c r="A162" s="19" t="n">
        <v>24</v>
      </c>
      <c r="B162" s="146" t="n">
        <v>46182</v>
      </c>
      <c r="C162" s="20">
        <f>G161</f>
        <v/>
      </c>
      <c r="D162" s="134">
        <f>E162-F162</f>
        <v/>
      </c>
      <c r="E162" s="20">
        <f>SUMPRODUCT((Income!D$3:D$502="GBP")*(Income!A$3:A$502=B162)*(Income!A$3:A$502&lt;&gt;"")*Income!C$3:C$502)</f>
        <v/>
      </c>
      <c r="F162" s="20">
        <f>SUMPRODUCT((Expenses!E$3:E$999="GBP")*(Expenses!A$3:A$999=B162)*(Expenses!A$3:A$999&lt;&gt;"")*Expenses!D$3:D$999)</f>
        <v/>
      </c>
      <c r="G162" s="134">
        <f>C162+D162</f>
        <v/>
      </c>
      <c r="H162" s="111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68">
      <c r="A163" s="19" t="n">
        <v>24</v>
      </c>
      <c r="B163" s="146" t="n">
        <v>46183</v>
      </c>
      <c r="C163" s="20">
        <f>G162</f>
        <v/>
      </c>
      <c r="D163" s="134">
        <f>E163-F163</f>
        <v/>
      </c>
      <c r="E163" s="20">
        <f>SUMPRODUCT((Income!D$3:D$502="GBP")*(Income!A$3:A$502=B163)*(Income!A$3:A$502&lt;&gt;"")*Income!C$3:C$502)</f>
        <v/>
      </c>
      <c r="F163" s="20">
        <f>SUMPRODUCT((Expenses!E$3:E$999="GBP")*(Expenses!A$3:A$999=B163)*(Expenses!A$3:A$999&lt;&gt;"")*Expenses!D$3:D$999)</f>
        <v/>
      </c>
      <c r="G163" s="134">
        <f>C163+D163</f>
        <v/>
      </c>
      <c r="H163" s="111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68">
      <c r="A164" s="19" t="n">
        <v>24</v>
      </c>
      <c r="B164" s="146" t="n">
        <v>46184</v>
      </c>
      <c r="C164" s="20">
        <f>G163</f>
        <v/>
      </c>
      <c r="D164" s="134">
        <f>E164-F164</f>
        <v/>
      </c>
      <c r="E164" s="20">
        <f>SUMPRODUCT((Income!D$3:D$502="GBP")*(Income!A$3:A$502=B164)*(Income!A$3:A$502&lt;&gt;"")*Income!C$3:C$502)</f>
        <v/>
      </c>
      <c r="F164" s="20">
        <f>SUMPRODUCT((Expenses!E$3:E$999="GBP")*(Expenses!A$3:A$999=B164)*(Expenses!A$3:A$999&lt;&gt;"")*Expenses!D$3:D$999)</f>
        <v/>
      </c>
      <c r="G164" s="134">
        <f>C164+D164</f>
        <v/>
      </c>
      <c r="H164" s="111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68">
      <c r="A165" s="19" t="n">
        <v>24</v>
      </c>
      <c r="B165" s="146" t="n">
        <v>46185</v>
      </c>
      <c r="C165" s="20">
        <f>G164</f>
        <v/>
      </c>
      <c r="D165" s="134">
        <f>E165-F165</f>
        <v/>
      </c>
      <c r="E165" s="20">
        <f>SUMPRODUCT((Income!D$3:D$502="GBP")*(Income!A$3:A$502=B165)*(Income!A$3:A$502&lt;&gt;"")*Income!C$3:C$502)</f>
        <v/>
      </c>
      <c r="F165" s="20">
        <f>SUMPRODUCT((Expenses!E$3:E$999="GBP")*(Expenses!A$3:A$999=B165)*(Expenses!A$3:A$999&lt;&gt;"")*Expenses!D$3:D$999)</f>
        <v/>
      </c>
      <c r="G165" s="134">
        <f>C165+D165</f>
        <v/>
      </c>
      <c r="H165" s="111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68">
      <c r="A166" s="19" t="n">
        <v>24</v>
      </c>
      <c r="B166" s="146" t="n">
        <v>46186</v>
      </c>
      <c r="C166" s="20">
        <f>G165</f>
        <v/>
      </c>
      <c r="D166" s="134">
        <f>E166-F166</f>
        <v/>
      </c>
      <c r="E166" s="20">
        <f>SUMPRODUCT((Income!D$3:D$502="GBP")*(Income!A$3:A$502=B166)*(Income!A$3:A$502&lt;&gt;"")*Income!C$3:C$502)</f>
        <v/>
      </c>
      <c r="F166" s="20">
        <f>SUMPRODUCT((Expenses!E$3:E$999="GBP")*(Expenses!A$3:A$999=B166)*(Expenses!A$3:A$999&lt;&gt;"")*Expenses!D$3:D$999)</f>
        <v/>
      </c>
      <c r="G166" s="134">
        <f>C166+D166</f>
        <v/>
      </c>
      <c r="H166" s="111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68">
      <c r="A167" s="19" t="n">
        <v>24</v>
      </c>
      <c r="B167" s="146" t="n">
        <v>46187</v>
      </c>
      <c r="C167" s="20">
        <f>G166</f>
        <v/>
      </c>
      <c r="D167" s="134">
        <f>E167-F167</f>
        <v/>
      </c>
      <c r="E167" s="20">
        <f>SUMPRODUCT((Income!D$3:D$502="GBP")*(Income!A$3:A$502=B167)*(Income!A$3:A$502&lt;&gt;"")*Income!C$3:C$502)</f>
        <v/>
      </c>
      <c r="F167" s="20">
        <f>SUMPRODUCT((Expenses!E$3:E$999="GBP")*(Expenses!A$3:A$999=B167)*(Expenses!A$3:A$999&lt;&gt;"")*Expenses!D$3:D$999)</f>
        <v/>
      </c>
      <c r="G167" s="134">
        <f>C167+D167</f>
        <v/>
      </c>
      <c r="H167" s="111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68">
      <c r="A168" s="19" t="n">
        <v>25</v>
      </c>
      <c r="B168" s="146" t="n">
        <v>46188</v>
      </c>
      <c r="C168" s="20">
        <f>G167</f>
        <v/>
      </c>
      <c r="D168" s="134">
        <f>E168-F168</f>
        <v/>
      </c>
      <c r="E168" s="20">
        <f>SUMPRODUCT((Income!D$3:D$502="GBP")*(Income!A$3:A$502=B168)*(Income!A$3:A$502&lt;&gt;"")*Income!C$3:C$502)</f>
        <v/>
      </c>
      <c r="F168" s="20">
        <f>SUMPRODUCT((Expenses!E$3:E$999="GBP")*(Expenses!A$3:A$999=B168)*(Expenses!A$3:A$999&lt;&gt;"")*Expenses!D$3:D$999)</f>
        <v/>
      </c>
      <c r="G168" s="134">
        <f>C168+D168</f>
        <v/>
      </c>
      <c r="H168" s="111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68">
      <c r="A169" s="19" t="n">
        <v>25</v>
      </c>
      <c r="B169" s="146" t="n">
        <v>46189</v>
      </c>
      <c r="C169" s="20">
        <f>G168</f>
        <v/>
      </c>
      <c r="D169" s="134">
        <f>E169-F169</f>
        <v/>
      </c>
      <c r="E169" s="20">
        <f>SUMPRODUCT((Income!D$3:D$502="GBP")*(Income!A$3:A$502=B169)*(Income!A$3:A$502&lt;&gt;"")*Income!C$3:C$502)</f>
        <v/>
      </c>
      <c r="F169" s="20">
        <f>SUMPRODUCT((Expenses!E$3:E$999="GBP")*(Expenses!A$3:A$999=B169)*(Expenses!A$3:A$999&lt;&gt;"")*Expenses!D$3:D$999)</f>
        <v/>
      </c>
      <c r="G169" s="134">
        <f>C169+D169</f>
        <v/>
      </c>
      <c r="H169" s="111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68">
      <c r="A170" s="19" t="n">
        <v>25</v>
      </c>
      <c r="B170" s="146" t="n">
        <v>46190</v>
      </c>
      <c r="C170" s="20">
        <f>G169</f>
        <v/>
      </c>
      <c r="D170" s="134">
        <f>E170-F170</f>
        <v/>
      </c>
      <c r="E170" s="20">
        <f>SUMPRODUCT((Income!D$3:D$502="GBP")*(Income!A$3:A$502=B170)*(Income!A$3:A$502&lt;&gt;"")*Income!C$3:C$502)</f>
        <v/>
      </c>
      <c r="F170" s="20">
        <f>SUMPRODUCT((Expenses!E$3:E$999="GBP")*(Expenses!A$3:A$999=B170)*(Expenses!A$3:A$999&lt;&gt;"")*Expenses!D$3:D$999)</f>
        <v/>
      </c>
      <c r="G170" s="134">
        <f>C170+D170</f>
        <v/>
      </c>
      <c r="H170" s="111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68">
      <c r="A171" s="19" t="n">
        <v>25</v>
      </c>
      <c r="B171" s="146" t="n">
        <v>46191</v>
      </c>
      <c r="C171" s="20">
        <f>G170</f>
        <v/>
      </c>
      <c r="D171" s="134">
        <f>E171-F171</f>
        <v/>
      </c>
      <c r="E171" s="20">
        <f>SUMPRODUCT((Income!D$3:D$502="GBP")*(Income!A$3:A$502=B171)*(Income!A$3:A$502&lt;&gt;"")*Income!C$3:C$502)</f>
        <v/>
      </c>
      <c r="F171" s="20">
        <f>SUMPRODUCT((Expenses!E$3:E$999="GBP")*(Expenses!A$3:A$999=B171)*(Expenses!A$3:A$999&lt;&gt;"")*Expenses!D$3:D$999)</f>
        <v/>
      </c>
      <c r="G171" s="134">
        <f>C171+D171</f>
        <v/>
      </c>
      <c r="H171" s="111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68">
      <c r="A172" s="19" t="n">
        <v>25</v>
      </c>
      <c r="B172" s="146" t="n">
        <v>46192</v>
      </c>
      <c r="C172" s="20">
        <f>G171</f>
        <v/>
      </c>
      <c r="D172" s="134">
        <f>E172-F172</f>
        <v/>
      </c>
      <c r="E172" s="20">
        <f>SUMPRODUCT((Income!D$3:D$502="GBP")*(Income!A$3:A$502=B172)*(Income!A$3:A$502&lt;&gt;"")*Income!C$3:C$502)</f>
        <v/>
      </c>
      <c r="F172" s="20">
        <f>SUMPRODUCT((Expenses!E$3:E$999="GBP")*(Expenses!A$3:A$999=B172)*(Expenses!A$3:A$999&lt;&gt;"")*Expenses!D$3:D$999)</f>
        <v/>
      </c>
      <c r="G172" s="134">
        <f>C172+D172</f>
        <v/>
      </c>
      <c r="H172" s="111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68">
      <c r="A173" s="19" t="n">
        <v>25</v>
      </c>
      <c r="B173" s="146" t="n">
        <v>46193</v>
      </c>
      <c r="C173" s="20">
        <f>G172</f>
        <v/>
      </c>
      <c r="D173" s="134">
        <f>E173-F173</f>
        <v/>
      </c>
      <c r="E173" s="20">
        <f>SUMPRODUCT((Income!D$3:D$502="GBP")*(Income!A$3:A$502=B173)*(Income!A$3:A$502&lt;&gt;"")*Income!C$3:C$502)</f>
        <v/>
      </c>
      <c r="F173" s="20">
        <f>SUMPRODUCT((Expenses!E$3:E$999="GBP")*(Expenses!A$3:A$999=B173)*(Expenses!A$3:A$999&lt;&gt;"")*Expenses!D$3:D$999)</f>
        <v/>
      </c>
      <c r="G173" s="134">
        <f>C173+D173</f>
        <v/>
      </c>
      <c r="H173" s="111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68">
      <c r="A174" s="19" t="n">
        <v>25</v>
      </c>
      <c r="B174" s="146" t="n">
        <v>46194</v>
      </c>
      <c r="C174" s="20">
        <f>G173</f>
        <v/>
      </c>
      <c r="D174" s="134">
        <f>E174-F174</f>
        <v/>
      </c>
      <c r="E174" s="20">
        <f>SUMPRODUCT((Income!D$3:D$502="GBP")*(Income!A$3:A$502=B174)*(Income!A$3:A$502&lt;&gt;"")*Income!C$3:C$502)</f>
        <v/>
      </c>
      <c r="F174" s="20">
        <f>SUMPRODUCT((Expenses!E$3:E$999="GBP")*(Expenses!A$3:A$999=B174)*(Expenses!A$3:A$999&lt;&gt;"")*Expenses!D$3:D$999)</f>
        <v/>
      </c>
      <c r="G174" s="134">
        <f>C174+D174</f>
        <v/>
      </c>
      <c r="H174" s="111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68">
      <c r="A175" s="19" t="n">
        <v>26</v>
      </c>
      <c r="B175" s="146" t="n">
        <v>46195</v>
      </c>
      <c r="C175" s="20">
        <f>G174</f>
        <v/>
      </c>
      <c r="D175" s="134">
        <f>E175-F175</f>
        <v/>
      </c>
      <c r="E175" s="20">
        <f>SUMPRODUCT((Income!D$3:D$502="GBP")*(Income!A$3:A$502=B175)*(Income!A$3:A$502&lt;&gt;"")*Income!C$3:C$502)</f>
        <v/>
      </c>
      <c r="F175" s="20">
        <f>SUMPRODUCT((Expenses!E$3:E$999="GBP")*(Expenses!A$3:A$999=B175)*(Expenses!A$3:A$999&lt;&gt;"")*Expenses!D$3:D$999)</f>
        <v/>
      </c>
      <c r="G175" s="134">
        <f>C175+D175</f>
        <v/>
      </c>
      <c r="H175" s="111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68">
      <c r="A176" s="19" t="n">
        <v>26</v>
      </c>
      <c r="B176" s="146" t="n">
        <v>46196</v>
      </c>
      <c r="C176" s="20">
        <f>G175</f>
        <v/>
      </c>
      <c r="D176" s="134">
        <f>E176-F176</f>
        <v/>
      </c>
      <c r="E176" s="20">
        <f>SUMPRODUCT((Income!D$3:D$502="GBP")*(Income!A$3:A$502=B176)*(Income!A$3:A$502&lt;&gt;"")*Income!C$3:C$502)</f>
        <v/>
      </c>
      <c r="F176" s="20">
        <f>SUMPRODUCT((Expenses!E$3:E$999="GBP")*(Expenses!A$3:A$999=B176)*(Expenses!A$3:A$999&lt;&gt;"")*Expenses!D$3:D$999)</f>
        <v/>
      </c>
      <c r="G176" s="134">
        <f>C176+D176</f>
        <v/>
      </c>
      <c r="H176" s="111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68">
      <c r="A177" s="19" t="n">
        <v>26</v>
      </c>
      <c r="B177" s="146" t="n">
        <v>46197</v>
      </c>
      <c r="C177" s="20">
        <f>G176</f>
        <v/>
      </c>
      <c r="D177" s="134">
        <f>E177-F177</f>
        <v/>
      </c>
      <c r="E177" s="20">
        <f>SUMPRODUCT((Income!D$3:D$502="GBP")*(Income!A$3:A$502=B177)*(Income!A$3:A$502&lt;&gt;"")*Income!C$3:C$502)</f>
        <v/>
      </c>
      <c r="F177" s="20">
        <f>SUMPRODUCT((Expenses!E$3:E$999="GBP")*(Expenses!A$3:A$999=B177)*(Expenses!A$3:A$999&lt;&gt;"")*Expenses!D$3:D$999)</f>
        <v/>
      </c>
      <c r="G177" s="134">
        <f>C177+D177</f>
        <v/>
      </c>
      <c r="H177" s="111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68">
      <c r="A178" s="19" t="n">
        <v>26</v>
      </c>
      <c r="B178" s="146" t="n">
        <v>46198</v>
      </c>
      <c r="C178" s="20">
        <f>G177</f>
        <v/>
      </c>
      <c r="D178" s="134">
        <f>E178-F178</f>
        <v/>
      </c>
      <c r="E178" s="20">
        <f>SUMPRODUCT((Income!D$3:D$502="GBP")*(Income!A$3:A$502=B178)*(Income!A$3:A$502&lt;&gt;"")*Income!C$3:C$502)</f>
        <v/>
      </c>
      <c r="F178" s="20">
        <f>SUMPRODUCT((Expenses!E$3:E$999="GBP")*(Expenses!A$3:A$999=B178)*(Expenses!A$3:A$999&lt;&gt;"")*Expenses!D$3:D$999)</f>
        <v/>
      </c>
      <c r="G178" s="134">
        <f>C178+D178</f>
        <v/>
      </c>
      <c r="H178" s="111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68">
      <c r="A179" s="19" t="n">
        <v>26</v>
      </c>
      <c r="B179" s="146" t="n">
        <v>46199</v>
      </c>
      <c r="C179" s="20">
        <f>G178</f>
        <v/>
      </c>
      <c r="D179" s="134">
        <f>E179-F179</f>
        <v/>
      </c>
      <c r="E179" s="20">
        <f>SUMPRODUCT((Income!D$3:D$502="GBP")*(Income!A$3:A$502=B179)*(Income!A$3:A$502&lt;&gt;"")*Income!C$3:C$502)</f>
        <v/>
      </c>
      <c r="F179" s="20">
        <f>SUMPRODUCT((Expenses!E$3:E$999="GBP")*(Expenses!A$3:A$999=B179)*(Expenses!A$3:A$999&lt;&gt;"")*Expenses!D$3:D$999)</f>
        <v/>
      </c>
      <c r="G179" s="134">
        <f>C179+D179</f>
        <v/>
      </c>
      <c r="H179" s="111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68">
      <c r="A180" s="19" t="n">
        <v>26</v>
      </c>
      <c r="B180" s="146" t="n">
        <v>46200</v>
      </c>
      <c r="C180" s="20">
        <f>G179</f>
        <v/>
      </c>
      <c r="D180" s="134">
        <f>E180-F180</f>
        <v/>
      </c>
      <c r="E180" s="20">
        <f>SUMPRODUCT((Income!D$3:D$502="GBP")*(Income!A$3:A$502=B180)*(Income!A$3:A$502&lt;&gt;"")*Income!C$3:C$502)</f>
        <v/>
      </c>
      <c r="F180" s="20">
        <f>SUMPRODUCT((Expenses!E$3:E$999="GBP")*(Expenses!A$3:A$999=B180)*(Expenses!A$3:A$999&lt;&gt;"")*Expenses!D$3:D$999)</f>
        <v/>
      </c>
      <c r="G180" s="134">
        <f>C180+D180</f>
        <v/>
      </c>
      <c r="H180" s="111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68">
      <c r="A181" s="19" t="n">
        <v>26</v>
      </c>
      <c r="B181" s="146" t="n">
        <v>46201</v>
      </c>
      <c r="C181" s="20">
        <f>G180</f>
        <v/>
      </c>
      <c r="D181" s="134">
        <f>E181-F181</f>
        <v/>
      </c>
      <c r="E181" s="20">
        <f>SUMPRODUCT((Income!D$3:D$502="GBP")*(Income!A$3:A$502=B181)*(Income!A$3:A$502&lt;&gt;"")*Income!C$3:C$502)</f>
        <v/>
      </c>
      <c r="F181" s="20">
        <f>SUMPRODUCT((Expenses!E$3:E$999="GBP")*(Expenses!A$3:A$999=B181)*(Expenses!A$3:A$999&lt;&gt;"")*Expenses!D$3:D$999)</f>
        <v/>
      </c>
      <c r="G181" s="134">
        <f>C181+D181</f>
        <v/>
      </c>
      <c r="H181" s="111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68">
      <c r="A182" s="19" t="n">
        <v>27</v>
      </c>
      <c r="B182" s="146" t="n">
        <v>46202</v>
      </c>
      <c r="C182" s="20">
        <f>G181</f>
        <v/>
      </c>
      <c r="D182" s="134">
        <f>E182-F182</f>
        <v/>
      </c>
      <c r="E182" s="20">
        <f>SUMPRODUCT((Income!D$3:D$502="GBP")*(Income!A$3:A$502=B182)*(Income!A$3:A$502&lt;&gt;"")*Income!C$3:C$502)</f>
        <v/>
      </c>
      <c r="F182" s="20">
        <f>SUMPRODUCT((Expenses!E$3:E$999="GBP")*(Expenses!A$3:A$999=B182)*(Expenses!A$3:A$999&lt;&gt;"")*Expenses!D$3:D$999)</f>
        <v/>
      </c>
      <c r="G182" s="134">
        <f>C182+D182</f>
        <v/>
      </c>
      <c r="H182" s="111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68">
      <c r="A183" s="19" t="n">
        <v>27</v>
      </c>
      <c r="B183" s="146" t="n">
        <v>46203</v>
      </c>
      <c r="C183" s="20">
        <f>G182</f>
        <v/>
      </c>
      <c r="D183" s="134">
        <f>E183-F183</f>
        <v/>
      </c>
      <c r="E183" s="20">
        <f>SUMPRODUCT((Income!D$3:D$502="GBP")*(Income!A$3:A$502=B183)*(Income!A$3:A$502&lt;&gt;"")*Income!C$3:C$502)</f>
        <v/>
      </c>
      <c r="F183" s="20">
        <f>SUMPRODUCT((Expenses!E$3:E$999="GBP")*(Expenses!A$3:A$999=B183)*(Expenses!A$3:A$999&lt;&gt;"")*Expenses!D$3:D$999)</f>
        <v/>
      </c>
      <c r="G183" s="134">
        <f>C183+D183</f>
        <v/>
      </c>
      <c r="H183" s="111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68">
      <c r="A184" s="19" t="n">
        <v>27</v>
      </c>
      <c r="B184" s="146" t="n">
        <v>46204</v>
      </c>
      <c r="C184" s="20">
        <f>G183</f>
        <v/>
      </c>
      <c r="D184" s="134">
        <f>E184-F184</f>
        <v/>
      </c>
      <c r="E184" s="20">
        <f>SUMPRODUCT((Income!D$3:D$502="GBP")*(Income!A$3:A$502=B184)*(Income!A$3:A$502&lt;&gt;"")*Income!C$3:C$502)</f>
        <v/>
      </c>
      <c r="F184" s="20">
        <f>SUMPRODUCT((Expenses!E$3:E$999="GBP")*(Expenses!A$3:A$999=B184)*(Expenses!A$3:A$999&lt;&gt;"")*Expenses!D$3:D$999)</f>
        <v/>
      </c>
      <c r="G184" s="134">
        <f>C184+D184</f>
        <v/>
      </c>
      <c r="H184" s="111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68">
      <c r="A185" s="19" t="n">
        <v>27</v>
      </c>
      <c r="B185" s="146" t="n">
        <v>46205</v>
      </c>
      <c r="C185" s="20">
        <f>G184</f>
        <v/>
      </c>
      <c r="D185" s="134">
        <f>E185-F185</f>
        <v/>
      </c>
      <c r="E185" s="20">
        <f>SUMPRODUCT((Income!D$3:D$502="GBP")*(Income!A$3:A$502=B185)*(Income!A$3:A$502&lt;&gt;"")*Income!C$3:C$502)</f>
        <v/>
      </c>
      <c r="F185" s="20">
        <f>SUMPRODUCT((Expenses!E$3:E$999="GBP")*(Expenses!A$3:A$999=B185)*(Expenses!A$3:A$999&lt;&gt;"")*Expenses!D$3:D$999)</f>
        <v/>
      </c>
      <c r="G185" s="134">
        <f>C185+D185</f>
        <v/>
      </c>
      <c r="H185" s="111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68">
      <c r="A186" s="19" t="n">
        <v>27</v>
      </c>
      <c r="B186" s="146" t="n">
        <v>46206</v>
      </c>
      <c r="C186" s="20">
        <f>G185</f>
        <v/>
      </c>
      <c r="D186" s="134">
        <f>E186-F186</f>
        <v/>
      </c>
      <c r="E186" s="20">
        <f>SUMPRODUCT((Income!D$3:D$502="GBP")*(Income!A$3:A$502=B186)*(Income!A$3:A$502&lt;&gt;"")*Income!C$3:C$502)</f>
        <v/>
      </c>
      <c r="F186" s="20">
        <f>SUMPRODUCT((Expenses!E$3:E$999="GBP")*(Expenses!A$3:A$999=B186)*(Expenses!A$3:A$999&lt;&gt;"")*Expenses!D$3:D$999)</f>
        <v/>
      </c>
      <c r="G186" s="134">
        <f>C186+D186</f>
        <v/>
      </c>
      <c r="H186" s="111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68">
      <c r="A187" s="19" t="n">
        <v>27</v>
      </c>
      <c r="B187" s="146" t="n">
        <v>46207</v>
      </c>
      <c r="C187" s="20">
        <f>G186</f>
        <v/>
      </c>
      <c r="D187" s="134">
        <f>E187-F187</f>
        <v/>
      </c>
      <c r="E187" s="20">
        <f>SUMPRODUCT((Income!D$3:D$502="GBP")*(Income!A$3:A$502=B187)*(Income!A$3:A$502&lt;&gt;"")*Income!C$3:C$502)</f>
        <v/>
      </c>
      <c r="F187" s="20">
        <f>SUMPRODUCT((Expenses!E$3:E$999="GBP")*(Expenses!A$3:A$999=B187)*(Expenses!A$3:A$999&lt;&gt;"")*Expenses!D$3:D$999)</f>
        <v/>
      </c>
      <c r="G187" s="134">
        <f>C187+D187</f>
        <v/>
      </c>
      <c r="H187" s="111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68">
      <c r="A188" s="19" t="n">
        <v>27</v>
      </c>
      <c r="B188" s="146" t="n">
        <v>46208</v>
      </c>
      <c r="C188" s="20">
        <f>G187</f>
        <v/>
      </c>
      <c r="D188" s="134">
        <f>E188-F188</f>
        <v/>
      </c>
      <c r="E188" s="20">
        <f>SUMPRODUCT((Income!D$3:D$502="GBP")*(Income!A$3:A$502=B188)*(Income!A$3:A$502&lt;&gt;"")*Income!C$3:C$502)</f>
        <v/>
      </c>
      <c r="F188" s="20">
        <f>SUMPRODUCT((Expenses!E$3:E$999="GBP")*(Expenses!A$3:A$999=B188)*(Expenses!A$3:A$999&lt;&gt;"")*Expenses!D$3:D$999)</f>
        <v/>
      </c>
      <c r="G188" s="134">
        <f>C188+D188</f>
        <v/>
      </c>
      <c r="H188" s="111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68">
      <c r="A189" s="19" t="n">
        <v>28</v>
      </c>
      <c r="B189" s="146" t="n">
        <v>46209</v>
      </c>
      <c r="C189" s="20">
        <f>G188</f>
        <v/>
      </c>
      <c r="D189" s="134">
        <f>E189-F189</f>
        <v/>
      </c>
      <c r="E189" s="20">
        <f>SUMPRODUCT((Income!D$3:D$502="GBP")*(Income!A$3:A$502=B189)*(Income!A$3:A$502&lt;&gt;"")*Income!C$3:C$502)</f>
        <v/>
      </c>
      <c r="F189" s="20">
        <f>SUMPRODUCT((Expenses!E$3:E$999="GBP")*(Expenses!A$3:A$999=B189)*(Expenses!A$3:A$999&lt;&gt;"")*Expenses!D$3:D$999)</f>
        <v/>
      </c>
      <c r="G189" s="134">
        <f>C189+D189</f>
        <v/>
      </c>
      <c r="H189" s="111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68">
      <c r="A190" s="19" t="n">
        <v>28</v>
      </c>
      <c r="B190" s="146" t="n">
        <v>46210</v>
      </c>
      <c r="C190" s="20">
        <f>G189</f>
        <v/>
      </c>
      <c r="D190" s="134">
        <f>E190-F190</f>
        <v/>
      </c>
      <c r="E190" s="20">
        <f>SUMPRODUCT((Income!D$3:D$502="GBP")*(Income!A$3:A$502=B190)*(Income!A$3:A$502&lt;&gt;"")*Income!C$3:C$502)</f>
        <v/>
      </c>
      <c r="F190" s="20">
        <f>SUMPRODUCT((Expenses!E$3:E$999="GBP")*(Expenses!A$3:A$999=B190)*(Expenses!A$3:A$999&lt;&gt;"")*Expenses!D$3:D$999)</f>
        <v/>
      </c>
      <c r="G190" s="134">
        <f>C190+D190</f>
        <v/>
      </c>
      <c r="H190" s="111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68">
      <c r="A191" s="19" t="n">
        <v>28</v>
      </c>
      <c r="B191" s="146" t="n">
        <v>46211</v>
      </c>
      <c r="C191" s="20">
        <f>G190</f>
        <v/>
      </c>
      <c r="D191" s="134">
        <f>E191-F191</f>
        <v/>
      </c>
      <c r="E191" s="20">
        <f>SUMPRODUCT((Income!D$3:D$502="GBP")*(Income!A$3:A$502=B191)*(Income!A$3:A$502&lt;&gt;"")*Income!C$3:C$502)</f>
        <v/>
      </c>
      <c r="F191" s="20">
        <f>SUMPRODUCT((Expenses!E$3:E$999="GBP")*(Expenses!A$3:A$999=B191)*(Expenses!A$3:A$999&lt;&gt;"")*Expenses!D$3:D$999)</f>
        <v/>
      </c>
      <c r="G191" s="134">
        <f>C191+D191</f>
        <v/>
      </c>
      <c r="H191" s="111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68">
      <c r="A192" s="19" t="n">
        <v>28</v>
      </c>
      <c r="B192" s="146" t="n">
        <v>46212</v>
      </c>
      <c r="C192" s="20">
        <f>G191</f>
        <v/>
      </c>
      <c r="D192" s="134">
        <f>E192-F192</f>
        <v/>
      </c>
      <c r="E192" s="20">
        <f>SUMPRODUCT((Income!D$3:D$502="GBP")*(Income!A$3:A$502=B192)*(Income!A$3:A$502&lt;&gt;"")*Income!C$3:C$502)</f>
        <v/>
      </c>
      <c r="F192" s="20">
        <f>SUMPRODUCT((Expenses!E$3:E$999="GBP")*(Expenses!A$3:A$999=B192)*(Expenses!A$3:A$999&lt;&gt;"")*Expenses!D$3:D$999)</f>
        <v/>
      </c>
      <c r="G192" s="134">
        <f>C192+D192</f>
        <v/>
      </c>
      <c r="H192" s="111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68">
      <c r="A193" s="19" t="n">
        <v>28</v>
      </c>
      <c r="B193" s="146" t="n">
        <v>46213</v>
      </c>
      <c r="C193" s="20">
        <f>G192</f>
        <v/>
      </c>
      <c r="D193" s="134">
        <f>E193-F193</f>
        <v/>
      </c>
      <c r="E193" s="20">
        <f>SUMPRODUCT((Income!D$3:D$502="GBP")*(Income!A$3:A$502=B193)*(Income!A$3:A$502&lt;&gt;"")*Income!C$3:C$502)</f>
        <v/>
      </c>
      <c r="F193" s="20">
        <f>SUMPRODUCT((Expenses!E$3:E$999="GBP")*(Expenses!A$3:A$999=B193)*(Expenses!A$3:A$999&lt;&gt;"")*Expenses!D$3:D$999)</f>
        <v/>
      </c>
      <c r="G193" s="134">
        <f>C193+D193</f>
        <v/>
      </c>
      <c r="H193" s="111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68">
      <c r="A194" s="19" t="n">
        <v>28</v>
      </c>
      <c r="B194" s="146" t="n">
        <v>46214</v>
      </c>
      <c r="C194" s="20">
        <f>G193</f>
        <v/>
      </c>
      <c r="D194" s="134">
        <f>E194-F194</f>
        <v/>
      </c>
      <c r="E194" s="20">
        <f>SUMPRODUCT((Income!D$3:D$502="GBP")*(Income!A$3:A$502=B194)*(Income!A$3:A$502&lt;&gt;"")*Income!C$3:C$502)</f>
        <v/>
      </c>
      <c r="F194" s="20">
        <f>SUMPRODUCT((Expenses!E$3:E$999="GBP")*(Expenses!A$3:A$999=B194)*(Expenses!A$3:A$999&lt;&gt;"")*Expenses!D$3:D$999)</f>
        <v/>
      </c>
      <c r="G194" s="134">
        <f>C194+D194</f>
        <v/>
      </c>
      <c r="H194" s="111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68">
      <c r="A195" s="19" t="n">
        <v>28</v>
      </c>
      <c r="B195" s="146" t="n">
        <v>46215</v>
      </c>
      <c r="C195" s="20">
        <f>G194</f>
        <v/>
      </c>
      <c r="D195" s="134">
        <f>E195-F195</f>
        <v/>
      </c>
      <c r="E195" s="20">
        <f>SUMPRODUCT((Income!D$3:D$502="GBP")*(Income!A$3:A$502=B195)*(Income!A$3:A$502&lt;&gt;"")*Income!C$3:C$502)</f>
        <v/>
      </c>
      <c r="F195" s="20">
        <f>SUMPRODUCT((Expenses!E$3:E$999="GBP")*(Expenses!A$3:A$999=B195)*(Expenses!A$3:A$999&lt;&gt;"")*Expenses!D$3:D$999)</f>
        <v/>
      </c>
      <c r="G195" s="134">
        <f>C195+D195</f>
        <v/>
      </c>
      <c r="H195" s="111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68">
      <c r="A196" s="19" t="n">
        <v>29</v>
      </c>
      <c r="B196" s="146" t="n">
        <v>46216</v>
      </c>
      <c r="C196" s="20">
        <f>G195</f>
        <v/>
      </c>
      <c r="D196" s="134">
        <f>E196-F196</f>
        <v/>
      </c>
      <c r="E196" s="20">
        <f>SUMPRODUCT((Income!D$3:D$502="GBP")*(Income!A$3:A$502=B196)*(Income!A$3:A$502&lt;&gt;"")*Income!C$3:C$502)</f>
        <v/>
      </c>
      <c r="F196" s="20">
        <f>SUMPRODUCT((Expenses!E$3:E$999="GBP")*(Expenses!A$3:A$999=B196)*(Expenses!A$3:A$999&lt;&gt;"")*Expenses!D$3:D$999)</f>
        <v/>
      </c>
      <c r="G196" s="134">
        <f>C196+D196</f>
        <v/>
      </c>
      <c r="H196" s="111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68">
      <c r="A197" s="19" t="n">
        <v>29</v>
      </c>
      <c r="B197" s="146" t="n">
        <v>46217</v>
      </c>
      <c r="C197" s="20">
        <f>G196</f>
        <v/>
      </c>
      <c r="D197" s="134">
        <f>E197-F197</f>
        <v/>
      </c>
      <c r="E197" s="20">
        <f>SUMPRODUCT((Income!D$3:D$502="GBP")*(Income!A$3:A$502=B197)*(Income!A$3:A$502&lt;&gt;"")*Income!C$3:C$502)</f>
        <v/>
      </c>
      <c r="F197" s="20">
        <f>SUMPRODUCT((Expenses!E$3:E$999="GBP")*(Expenses!A$3:A$999=B197)*(Expenses!A$3:A$999&lt;&gt;"")*Expenses!D$3:D$999)</f>
        <v/>
      </c>
      <c r="G197" s="134">
        <f>C197+D197</f>
        <v/>
      </c>
      <c r="H197" s="111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68">
      <c r="A198" s="19" t="n">
        <v>29</v>
      </c>
      <c r="B198" s="146" t="n">
        <v>46218</v>
      </c>
      <c r="C198" s="20">
        <f>G197</f>
        <v/>
      </c>
      <c r="D198" s="134">
        <f>E198-F198</f>
        <v/>
      </c>
      <c r="E198" s="20">
        <f>SUMPRODUCT((Income!D$3:D$502="GBP")*(Income!A$3:A$502=B198)*(Income!A$3:A$502&lt;&gt;"")*Income!C$3:C$502)</f>
        <v/>
      </c>
      <c r="F198" s="20">
        <f>SUMPRODUCT((Expenses!E$3:E$999="GBP")*(Expenses!A$3:A$999=B198)*(Expenses!A$3:A$999&lt;&gt;"")*Expenses!D$3:D$999)</f>
        <v/>
      </c>
      <c r="G198" s="134">
        <f>C198+D198</f>
        <v/>
      </c>
      <c r="H198" s="111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68">
      <c r="A199" s="19" t="n">
        <v>29</v>
      </c>
      <c r="B199" s="146" t="n">
        <v>46219</v>
      </c>
      <c r="C199" s="20">
        <f>G198</f>
        <v/>
      </c>
      <c r="D199" s="134">
        <f>E199-F199</f>
        <v/>
      </c>
      <c r="E199" s="20">
        <f>SUMPRODUCT((Income!D$3:D$502="GBP")*(Income!A$3:A$502=B199)*(Income!A$3:A$502&lt;&gt;"")*Income!C$3:C$502)</f>
        <v/>
      </c>
      <c r="F199" s="20">
        <f>SUMPRODUCT((Expenses!E$3:E$999="GBP")*(Expenses!A$3:A$999=B199)*(Expenses!A$3:A$999&lt;&gt;"")*Expenses!D$3:D$999)</f>
        <v/>
      </c>
      <c r="G199" s="134">
        <f>C199+D199</f>
        <v/>
      </c>
      <c r="H199" s="111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68">
      <c r="A200" s="19" t="n">
        <v>29</v>
      </c>
      <c r="B200" s="146" t="n">
        <v>46220</v>
      </c>
      <c r="C200" s="20">
        <f>G199</f>
        <v/>
      </c>
      <c r="D200" s="134">
        <f>E200-F200</f>
        <v/>
      </c>
      <c r="E200" s="20">
        <f>SUMPRODUCT((Income!D$3:D$502="GBP")*(Income!A$3:A$502=B200)*(Income!A$3:A$502&lt;&gt;"")*Income!C$3:C$502)</f>
        <v/>
      </c>
      <c r="F200" s="20">
        <f>SUMPRODUCT((Expenses!E$3:E$999="GBP")*(Expenses!A$3:A$999=B200)*(Expenses!A$3:A$999&lt;&gt;"")*Expenses!D$3:D$999)</f>
        <v/>
      </c>
      <c r="G200" s="134">
        <f>C200+D200</f>
        <v/>
      </c>
      <c r="H200" s="111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68">
      <c r="A201" s="19" t="n">
        <v>29</v>
      </c>
      <c r="B201" s="146" t="n">
        <v>46221</v>
      </c>
      <c r="C201" s="20">
        <f>G200</f>
        <v/>
      </c>
      <c r="D201" s="134">
        <f>E201-F201</f>
        <v/>
      </c>
      <c r="E201" s="20">
        <f>SUMPRODUCT((Income!D$3:D$502="GBP")*(Income!A$3:A$502=B201)*(Income!A$3:A$502&lt;&gt;"")*Income!C$3:C$502)</f>
        <v/>
      </c>
      <c r="F201" s="20">
        <f>SUMPRODUCT((Expenses!E$3:E$999="GBP")*(Expenses!A$3:A$999=B201)*(Expenses!A$3:A$999&lt;&gt;"")*Expenses!D$3:D$999)</f>
        <v/>
      </c>
      <c r="G201" s="134">
        <f>C201+D201</f>
        <v/>
      </c>
      <c r="H201" s="111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68">
      <c r="A202" s="19" t="n">
        <v>29</v>
      </c>
      <c r="B202" s="146" t="n">
        <v>46222</v>
      </c>
      <c r="C202" s="20">
        <f>G201</f>
        <v/>
      </c>
      <c r="D202" s="134">
        <f>E202-F202</f>
        <v/>
      </c>
      <c r="E202" s="20">
        <f>SUMPRODUCT((Income!D$3:D$502="GBP")*(Income!A$3:A$502=B202)*(Income!A$3:A$502&lt;&gt;"")*Income!C$3:C$502)</f>
        <v/>
      </c>
      <c r="F202" s="20">
        <f>SUMPRODUCT((Expenses!E$3:E$999="GBP")*(Expenses!A$3:A$999=B202)*(Expenses!A$3:A$999&lt;&gt;"")*Expenses!D$3:D$999)</f>
        <v/>
      </c>
      <c r="G202" s="134">
        <f>C202+D202</f>
        <v/>
      </c>
      <c r="H202" s="111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68">
      <c r="A203" s="19" t="n">
        <v>30</v>
      </c>
      <c r="B203" s="146" t="n">
        <v>46223</v>
      </c>
      <c r="C203" s="20">
        <f>G202</f>
        <v/>
      </c>
      <c r="D203" s="134">
        <f>E203-F203</f>
        <v/>
      </c>
      <c r="E203" s="20">
        <f>SUMPRODUCT((Income!D$3:D$502="GBP")*(Income!A$3:A$502=B203)*(Income!A$3:A$502&lt;&gt;"")*Income!C$3:C$502)</f>
        <v/>
      </c>
      <c r="F203" s="20">
        <f>SUMPRODUCT((Expenses!E$3:E$999="GBP")*(Expenses!A$3:A$999=B203)*(Expenses!A$3:A$999&lt;&gt;"")*Expenses!D$3:D$999)</f>
        <v/>
      </c>
      <c r="G203" s="134">
        <f>C203+D203</f>
        <v/>
      </c>
      <c r="H203" s="111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68">
      <c r="A204" s="19" t="n">
        <v>30</v>
      </c>
      <c r="B204" s="146" t="n">
        <v>46224</v>
      </c>
      <c r="C204" s="20">
        <f>G203</f>
        <v/>
      </c>
      <c r="D204" s="134">
        <f>E204-F204</f>
        <v/>
      </c>
      <c r="E204" s="20">
        <f>SUMPRODUCT((Income!D$3:D$502="GBP")*(Income!A$3:A$502=B204)*(Income!A$3:A$502&lt;&gt;"")*Income!C$3:C$502)</f>
        <v/>
      </c>
      <c r="F204" s="20">
        <f>SUMPRODUCT((Expenses!E$3:E$999="GBP")*(Expenses!A$3:A$999=B204)*(Expenses!A$3:A$999&lt;&gt;"")*Expenses!D$3:D$999)</f>
        <v/>
      </c>
      <c r="G204" s="134">
        <f>C204+D204</f>
        <v/>
      </c>
      <c r="H204" s="111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68">
      <c r="A205" s="19" t="n">
        <v>30</v>
      </c>
      <c r="B205" s="146" t="n">
        <v>46225</v>
      </c>
      <c r="C205" s="20">
        <f>G204</f>
        <v/>
      </c>
      <c r="D205" s="134">
        <f>E205-F205</f>
        <v/>
      </c>
      <c r="E205" s="20">
        <f>SUMPRODUCT((Income!D$3:D$502="GBP")*(Income!A$3:A$502=B205)*(Income!A$3:A$502&lt;&gt;"")*Income!C$3:C$502)</f>
        <v/>
      </c>
      <c r="F205" s="20">
        <f>SUMPRODUCT((Expenses!E$3:E$999="GBP")*(Expenses!A$3:A$999=B205)*(Expenses!A$3:A$999&lt;&gt;"")*Expenses!D$3:D$999)</f>
        <v/>
      </c>
      <c r="G205" s="134">
        <f>C205+D205</f>
        <v/>
      </c>
      <c r="H205" s="111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68">
      <c r="A206" s="19" t="n">
        <v>30</v>
      </c>
      <c r="B206" s="146" t="n">
        <v>46226</v>
      </c>
      <c r="C206" s="20">
        <f>G205</f>
        <v/>
      </c>
      <c r="D206" s="134">
        <f>E206-F206</f>
        <v/>
      </c>
      <c r="E206" s="20">
        <f>SUMPRODUCT((Income!D$3:D$502="GBP")*(Income!A$3:A$502=B206)*(Income!A$3:A$502&lt;&gt;"")*Income!C$3:C$502)</f>
        <v/>
      </c>
      <c r="F206" s="20">
        <f>SUMPRODUCT((Expenses!E$3:E$999="GBP")*(Expenses!A$3:A$999=B206)*(Expenses!A$3:A$999&lt;&gt;"")*Expenses!D$3:D$999)</f>
        <v/>
      </c>
      <c r="G206" s="134">
        <f>C206+D206</f>
        <v/>
      </c>
      <c r="H206" s="111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68">
      <c r="A207" s="19" t="n">
        <v>30</v>
      </c>
      <c r="B207" s="146" t="n">
        <v>46227</v>
      </c>
      <c r="C207" s="20">
        <f>G206</f>
        <v/>
      </c>
      <c r="D207" s="134">
        <f>E207-F207</f>
        <v/>
      </c>
      <c r="E207" s="20">
        <f>SUMPRODUCT((Income!D$3:D$502="GBP")*(Income!A$3:A$502=B207)*(Income!A$3:A$502&lt;&gt;"")*Income!C$3:C$502)</f>
        <v/>
      </c>
      <c r="F207" s="20">
        <f>SUMPRODUCT((Expenses!E$3:E$999="GBP")*(Expenses!A$3:A$999=B207)*(Expenses!A$3:A$999&lt;&gt;"")*Expenses!D$3:D$999)</f>
        <v/>
      </c>
      <c r="G207" s="134">
        <f>C207+D207</f>
        <v/>
      </c>
      <c r="H207" s="111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68">
      <c r="A208" s="19" t="n">
        <v>30</v>
      </c>
      <c r="B208" s="146" t="n">
        <v>46228</v>
      </c>
      <c r="C208" s="20">
        <f>G207</f>
        <v/>
      </c>
      <c r="D208" s="134">
        <f>E208-F208</f>
        <v/>
      </c>
      <c r="E208" s="20">
        <f>SUMPRODUCT((Income!D$3:D$502="GBP")*(Income!A$3:A$502=B208)*(Income!A$3:A$502&lt;&gt;"")*Income!C$3:C$502)</f>
        <v/>
      </c>
      <c r="F208" s="20">
        <f>SUMPRODUCT((Expenses!E$3:E$999="GBP")*(Expenses!A$3:A$999=B208)*(Expenses!A$3:A$999&lt;&gt;"")*Expenses!D$3:D$999)</f>
        <v/>
      </c>
      <c r="G208" s="134">
        <f>C208+D208</f>
        <v/>
      </c>
      <c r="H208" s="111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68">
      <c r="A209" s="19" t="n">
        <v>30</v>
      </c>
      <c r="B209" s="146" t="n">
        <v>46229</v>
      </c>
      <c r="C209" s="20">
        <f>G208</f>
        <v/>
      </c>
      <c r="D209" s="134">
        <f>E209-F209</f>
        <v/>
      </c>
      <c r="E209" s="20">
        <f>SUMPRODUCT((Income!D$3:D$502="GBP")*(Income!A$3:A$502=B209)*(Income!A$3:A$502&lt;&gt;"")*Income!C$3:C$502)</f>
        <v/>
      </c>
      <c r="F209" s="20">
        <f>SUMPRODUCT((Expenses!E$3:E$999="GBP")*(Expenses!A$3:A$999=B209)*(Expenses!A$3:A$999&lt;&gt;"")*Expenses!D$3:D$999)</f>
        <v/>
      </c>
      <c r="G209" s="134">
        <f>C209+D209</f>
        <v/>
      </c>
      <c r="H209" s="111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68">
      <c r="A210" s="19" t="n">
        <v>31</v>
      </c>
      <c r="B210" s="146" t="n">
        <v>46230</v>
      </c>
      <c r="C210" s="20">
        <f>G209</f>
        <v/>
      </c>
      <c r="D210" s="134">
        <f>E210-F210</f>
        <v/>
      </c>
      <c r="E210" s="20">
        <f>SUMPRODUCT((Income!D$3:D$502="GBP")*(Income!A$3:A$502=B210)*(Income!A$3:A$502&lt;&gt;"")*Income!C$3:C$502)</f>
        <v/>
      </c>
      <c r="F210" s="20">
        <f>SUMPRODUCT((Expenses!E$3:E$999="GBP")*(Expenses!A$3:A$999=B210)*(Expenses!A$3:A$999&lt;&gt;"")*Expenses!D$3:D$999)</f>
        <v/>
      </c>
      <c r="G210" s="134">
        <f>C210+D210</f>
        <v/>
      </c>
      <c r="H210" s="111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68">
      <c r="A211" s="19" t="n">
        <v>31</v>
      </c>
      <c r="B211" s="146" t="n">
        <v>46231</v>
      </c>
      <c r="C211" s="20">
        <f>G210</f>
        <v/>
      </c>
      <c r="D211" s="134">
        <f>E211-F211</f>
        <v/>
      </c>
      <c r="E211" s="20">
        <f>SUMPRODUCT((Income!D$3:D$502="GBP")*(Income!A$3:A$502=B211)*(Income!A$3:A$502&lt;&gt;"")*Income!C$3:C$502)</f>
        <v/>
      </c>
      <c r="F211" s="20">
        <f>SUMPRODUCT((Expenses!E$3:E$999="GBP")*(Expenses!A$3:A$999=B211)*(Expenses!A$3:A$999&lt;&gt;"")*Expenses!D$3:D$999)</f>
        <v/>
      </c>
      <c r="G211" s="134">
        <f>C211+D211</f>
        <v/>
      </c>
      <c r="H211" s="111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68">
      <c r="A212" s="19" t="n">
        <v>31</v>
      </c>
      <c r="B212" s="146" t="n">
        <v>46232</v>
      </c>
      <c r="C212" s="20">
        <f>G211</f>
        <v/>
      </c>
      <c r="D212" s="134">
        <f>E212-F212</f>
        <v/>
      </c>
      <c r="E212" s="20">
        <f>SUMPRODUCT((Income!D$3:D$502="GBP")*(Income!A$3:A$502=B212)*(Income!A$3:A$502&lt;&gt;"")*Income!C$3:C$502)</f>
        <v/>
      </c>
      <c r="F212" s="20">
        <f>SUMPRODUCT((Expenses!E$3:E$999="GBP")*(Expenses!A$3:A$999=B212)*(Expenses!A$3:A$999&lt;&gt;"")*Expenses!D$3:D$999)</f>
        <v/>
      </c>
      <c r="G212" s="134">
        <f>C212+D212</f>
        <v/>
      </c>
      <c r="H212" s="111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68">
      <c r="A213" s="19" t="n">
        <v>31</v>
      </c>
      <c r="B213" s="146" t="n">
        <v>46233</v>
      </c>
      <c r="C213" s="20">
        <f>G212</f>
        <v/>
      </c>
      <c r="D213" s="134">
        <f>E213-F213</f>
        <v/>
      </c>
      <c r="E213" s="20">
        <f>SUMPRODUCT((Income!D$3:D$502="GBP")*(Income!A$3:A$502=B213)*(Income!A$3:A$502&lt;&gt;"")*Income!C$3:C$502)</f>
        <v/>
      </c>
      <c r="F213" s="20">
        <f>SUMPRODUCT((Expenses!E$3:E$999="GBP")*(Expenses!A$3:A$999=B213)*(Expenses!A$3:A$999&lt;&gt;"")*Expenses!D$3:D$999)</f>
        <v/>
      </c>
      <c r="G213" s="134">
        <f>C213+D213</f>
        <v/>
      </c>
      <c r="H213" s="111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68">
      <c r="A214" s="19" t="n">
        <v>31</v>
      </c>
      <c r="B214" s="146" t="n">
        <v>46234</v>
      </c>
      <c r="C214" s="20">
        <f>G213</f>
        <v/>
      </c>
      <c r="D214" s="134">
        <f>E214-F214</f>
        <v/>
      </c>
      <c r="E214" s="20">
        <f>SUMPRODUCT((Income!D$3:D$502="GBP")*(Income!A$3:A$502=B214)*(Income!A$3:A$502&lt;&gt;"")*Income!C$3:C$502)</f>
        <v/>
      </c>
      <c r="F214" s="20">
        <f>SUMPRODUCT((Expenses!E$3:E$999="GBP")*(Expenses!A$3:A$999=B214)*(Expenses!A$3:A$999&lt;&gt;"")*Expenses!D$3:D$999)</f>
        <v/>
      </c>
      <c r="G214" s="134">
        <f>C214+D214</f>
        <v/>
      </c>
      <c r="H214" s="111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68">
      <c r="A215" s="19" t="n">
        <v>31</v>
      </c>
      <c r="B215" s="146" t="n">
        <v>46235</v>
      </c>
      <c r="C215" s="20">
        <f>G214</f>
        <v/>
      </c>
      <c r="D215" s="134">
        <f>E215-F215</f>
        <v/>
      </c>
      <c r="E215" s="20">
        <f>SUMPRODUCT((Income!D$3:D$502="GBP")*(Income!A$3:A$502=B215)*(Income!A$3:A$502&lt;&gt;"")*Income!C$3:C$502)</f>
        <v/>
      </c>
      <c r="F215" s="20">
        <f>SUMPRODUCT((Expenses!E$3:E$999="GBP")*(Expenses!A$3:A$999=B215)*(Expenses!A$3:A$999&lt;&gt;"")*Expenses!D$3:D$999)</f>
        <v/>
      </c>
      <c r="G215" s="134">
        <f>C215+D215</f>
        <v/>
      </c>
      <c r="H215" s="111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68">
      <c r="A216" s="19" t="n">
        <v>31</v>
      </c>
      <c r="B216" s="146" t="n">
        <v>46236</v>
      </c>
      <c r="C216" s="20">
        <f>G215</f>
        <v/>
      </c>
      <c r="D216" s="134">
        <f>E216-F216</f>
        <v/>
      </c>
      <c r="E216" s="20">
        <f>SUMPRODUCT((Income!D$3:D$502="GBP")*(Income!A$3:A$502=B216)*(Income!A$3:A$502&lt;&gt;"")*Income!C$3:C$502)</f>
        <v/>
      </c>
      <c r="F216" s="20">
        <f>SUMPRODUCT((Expenses!E$3:E$999="GBP")*(Expenses!A$3:A$999=B216)*(Expenses!A$3:A$999&lt;&gt;"")*Expenses!D$3:D$999)</f>
        <v/>
      </c>
      <c r="G216" s="134">
        <f>C216+D216</f>
        <v/>
      </c>
      <c r="H216" s="111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68">
      <c r="A217" s="19" t="n">
        <v>32</v>
      </c>
      <c r="B217" s="146" t="n">
        <v>46237</v>
      </c>
      <c r="C217" s="20">
        <f>G216</f>
        <v/>
      </c>
      <c r="D217" s="134">
        <f>E217-F217</f>
        <v/>
      </c>
      <c r="E217" s="20">
        <f>SUMPRODUCT((Income!D$3:D$502="GBP")*(Income!A$3:A$502=B217)*(Income!A$3:A$502&lt;&gt;"")*Income!C$3:C$502)</f>
        <v/>
      </c>
      <c r="F217" s="20">
        <f>SUMPRODUCT((Expenses!E$3:E$999="GBP")*(Expenses!A$3:A$999=B217)*(Expenses!A$3:A$999&lt;&gt;"")*Expenses!D$3:D$999)</f>
        <v/>
      </c>
      <c r="G217" s="134">
        <f>C217+D217</f>
        <v/>
      </c>
      <c r="H217" s="111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68">
      <c r="A218" s="19" t="n">
        <v>32</v>
      </c>
      <c r="B218" s="146" t="n">
        <v>46238</v>
      </c>
      <c r="C218" s="20">
        <f>G217</f>
        <v/>
      </c>
      <c r="D218" s="134">
        <f>E218-F218</f>
        <v/>
      </c>
      <c r="E218" s="20">
        <f>SUMPRODUCT((Income!D$3:D$502="GBP")*(Income!A$3:A$502=B218)*(Income!A$3:A$502&lt;&gt;"")*Income!C$3:C$502)</f>
        <v/>
      </c>
      <c r="F218" s="20">
        <f>SUMPRODUCT((Expenses!E$3:E$999="GBP")*(Expenses!A$3:A$999=B218)*(Expenses!A$3:A$999&lt;&gt;"")*Expenses!D$3:D$999)</f>
        <v/>
      </c>
      <c r="G218" s="134">
        <f>C218+D218</f>
        <v/>
      </c>
      <c r="H218" s="111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68">
      <c r="A219" s="19" t="n">
        <v>32</v>
      </c>
      <c r="B219" s="146" t="n">
        <v>46239</v>
      </c>
      <c r="C219" s="20">
        <f>G218</f>
        <v/>
      </c>
      <c r="D219" s="134">
        <f>E219-F219</f>
        <v/>
      </c>
      <c r="E219" s="20">
        <f>SUMPRODUCT((Income!D$3:D$502="GBP")*(Income!A$3:A$502=B219)*(Income!A$3:A$502&lt;&gt;"")*Income!C$3:C$502)</f>
        <v/>
      </c>
      <c r="F219" s="20">
        <f>SUMPRODUCT((Expenses!E$3:E$999="GBP")*(Expenses!A$3:A$999=B219)*(Expenses!A$3:A$999&lt;&gt;"")*Expenses!D$3:D$999)</f>
        <v/>
      </c>
      <c r="G219" s="134">
        <f>C219+D219</f>
        <v/>
      </c>
      <c r="H219" s="111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68">
      <c r="A220" s="19" t="n">
        <v>32</v>
      </c>
      <c r="B220" s="146" t="n">
        <v>46240</v>
      </c>
      <c r="C220" s="20">
        <f>G219</f>
        <v/>
      </c>
      <c r="D220" s="134">
        <f>E220-F220</f>
        <v/>
      </c>
      <c r="E220" s="20">
        <f>SUMPRODUCT((Income!D$3:D$502="GBP")*(Income!A$3:A$502=B220)*(Income!A$3:A$502&lt;&gt;"")*Income!C$3:C$502)</f>
        <v/>
      </c>
      <c r="F220" s="20">
        <f>SUMPRODUCT((Expenses!E$3:E$999="GBP")*(Expenses!A$3:A$999=B220)*(Expenses!A$3:A$999&lt;&gt;"")*Expenses!D$3:D$999)</f>
        <v/>
      </c>
      <c r="G220" s="134">
        <f>C220+D220</f>
        <v/>
      </c>
      <c r="H220" s="111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68">
      <c r="A221" s="19" t="n">
        <v>32</v>
      </c>
      <c r="B221" s="146" t="n">
        <v>46241</v>
      </c>
      <c r="C221" s="20">
        <f>G220</f>
        <v/>
      </c>
      <c r="D221" s="134">
        <f>E221-F221</f>
        <v/>
      </c>
      <c r="E221" s="20">
        <f>SUMPRODUCT((Income!D$3:D$502="GBP")*(Income!A$3:A$502=B221)*(Income!A$3:A$502&lt;&gt;"")*Income!C$3:C$502)</f>
        <v/>
      </c>
      <c r="F221" s="20">
        <f>SUMPRODUCT((Expenses!E$3:E$999="GBP")*(Expenses!A$3:A$999=B221)*(Expenses!A$3:A$999&lt;&gt;"")*Expenses!D$3:D$999)</f>
        <v/>
      </c>
      <c r="G221" s="134">
        <f>C221+D221</f>
        <v/>
      </c>
      <c r="H221" s="111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68">
      <c r="A222" s="19" t="n">
        <v>32</v>
      </c>
      <c r="B222" s="146" t="n">
        <v>46242</v>
      </c>
      <c r="C222" s="20">
        <f>G221</f>
        <v/>
      </c>
      <c r="D222" s="134">
        <f>E222-F222</f>
        <v/>
      </c>
      <c r="E222" s="20">
        <f>SUMPRODUCT((Income!D$3:D$502="GBP")*(Income!A$3:A$502=B222)*(Income!A$3:A$502&lt;&gt;"")*Income!C$3:C$502)</f>
        <v/>
      </c>
      <c r="F222" s="20">
        <f>SUMPRODUCT((Expenses!E$3:E$999="GBP")*(Expenses!A$3:A$999=B222)*(Expenses!A$3:A$999&lt;&gt;"")*Expenses!D$3:D$999)</f>
        <v/>
      </c>
      <c r="G222" s="134">
        <f>C222+D222</f>
        <v/>
      </c>
      <c r="H222" s="111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68">
      <c r="A223" s="19" t="n">
        <v>32</v>
      </c>
      <c r="B223" s="146" t="n">
        <v>46243</v>
      </c>
      <c r="C223" s="20">
        <f>G222</f>
        <v/>
      </c>
      <c r="D223" s="134">
        <f>E223-F223</f>
        <v/>
      </c>
      <c r="E223" s="20">
        <f>SUMPRODUCT((Income!D$3:D$502="GBP")*(Income!A$3:A$502=B223)*(Income!A$3:A$502&lt;&gt;"")*Income!C$3:C$502)</f>
        <v/>
      </c>
      <c r="F223" s="20">
        <f>SUMPRODUCT((Expenses!E$3:E$999="GBP")*(Expenses!A$3:A$999=B223)*(Expenses!A$3:A$999&lt;&gt;"")*Expenses!D$3:D$999)</f>
        <v/>
      </c>
      <c r="G223" s="134">
        <f>C223+D223</f>
        <v/>
      </c>
      <c r="H223" s="111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68">
      <c r="A224" s="19" t="n">
        <v>33</v>
      </c>
      <c r="B224" s="146" t="n">
        <v>46244</v>
      </c>
      <c r="C224" s="20">
        <f>G223</f>
        <v/>
      </c>
      <c r="D224" s="134">
        <f>E224-F224</f>
        <v/>
      </c>
      <c r="E224" s="20">
        <f>SUMPRODUCT((Income!D$3:D$502="GBP")*(Income!A$3:A$502=B224)*(Income!A$3:A$502&lt;&gt;"")*Income!C$3:C$502)</f>
        <v/>
      </c>
      <c r="F224" s="20">
        <f>SUMPRODUCT((Expenses!E$3:E$999="GBP")*(Expenses!A$3:A$999=B224)*(Expenses!A$3:A$999&lt;&gt;"")*Expenses!D$3:D$999)</f>
        <v/>
      </c>
      <c r="G224" s="134">
        <f>C224+D224</f>
        <v/>
      </c>
      <c r="H224" s="111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68">
      <c r="A225" s="19" t="n">
        <v>33</v>
      </c>
      <c r="B225" s="146" t="n">
        <v>46245</v>
      </c>
      <c r="C225" s="20">
        <f>G224</f>
        <v/>
      </c>
      <c r="D225" s="134">
        <f>E225-F225</f>
        <v/>
      </c>
      <c r="E225" s="20">
        <f>SUMPRODUCT((Income!D$3:D$502="GBP")*(Income!A$3:A$502=B225)*(Income!A$3:A$502&lt;&gt;"")*Income!C$3:C$502)</f>
        <v/>
      </c>
      <c r="F225" s="20">
        <f>SUMPRODUCT((Expenses!E$3:E$999="GBP")*(Expenses!A$3:A$999=B225)*(Expenses!A$3:A$999&lt;&gt;"")*Expenses!D$3:D$999)</f>
        <v/>
      </c>
      <c r="G225" s="134">
        <f>C225+D225</f>
        <v/>
      </c>
      <c r="H225" s="111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68">
      <c r="A226" s="19" t="n">
        <v>33</v>
      </c>
      <c r="B226" s="146" t="n">
        <v>46246</v>
      </c>
      <c r="C226" s="20">
        <f>G225</f>
        <v/>
      </c>
      <c r="D226" s="134">
        <f>E226-F226</f>
        <v/>
      </c>
      <c r="E226" s="20">
        <f>SUMPRODUCT((Income!D$3:D$502="GBP")*(Income!A$3:A$502=B226)*(Income!A$3:A$502&lt;&gt;"")*Income!C$3:C$502)</f>
        <v/>
      </c>
      <c r="F226" s="20">
        <f>SUMPRODUCT((Expenses!E$3:E$999="GBP")*(Expenses!A$3:A$999=B226)*(Expenses!A$3:A$999&lt;&gt;"")*Expenses!D$3:D$999)</f>
        <v/>
      </c>
      <c r="G226" s="134">
        <f>C226+D226</f>
        <v/>
      </c>
      <c r="H226" s="111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68">
      <c r="A227" s="19" t="n">
        <v>33</v>
      </c>
      <c r="B227" s="146" t="n">
        <v>46247</v>
      </c>
      <c r="C227" s="20">
        <f>G226</f>
        <v/>
      </c>
      <c r="D227" s="134">
        <f>E227-F227</f>
        <v/>
      </c>
      <c r="E227" s="20">
        <f>SUMPRODUCT((Income!D$3:D$502="GBP")*(Income!A$3:A$502=B227)*(Income!A$3:A$502&lt;&gt;"")*Income!C$3:C$502)</f>
        <v/>
      </c>
      <c r="F227" s="20">
        <f>SUMPRODUCT((Expenses!E$3:E$999="GBP")*(Expenses!A$3:A$999=B227)*(Expenses!A$3:A$999&lt;&gt;"")*Expenses!D$3:D$999)</f>
        <v/>
      </c>
      <c r="G227" s="134">
        <f>C227+D227</f>
        <v/>
      </c>
      <c r="H227" s="111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68">
      <c r="A228" s="19" t="n">
        <v>33</v>
      </c>
      <c r="B228" s="146" t="n">
        <v>46248</v>
      </c>
      <c r="C228" s="20">
        <f>G227</f>
        <v/>
      </c>
      <c r="D228" s="134">
        <f>E228-F228</f>
        <v/>
      </c>
      <c r="E228" s="20">
        <f>SUMPRODUCT((Income!D$3:D$502="GBP")*(Income!A$3:A$502=B228)*(Income!A$3:A$502&lt;&gt;"")*Income!C$3:C$502)</f>
        <v/>
      </c>
      <c r="F228" s="20">
        <f>SUMPRODUCT((Expenses!E$3:E$999="GBP")*(Expenses!A$3:A$999=B228)*(Expenses!A$3:A$999&lt;&gt;"")*Expenses!D$3:D$999)</f>
        <v/>
      </c>
      <c r="G228" s="134">
        <f>C228+D228</f>
        <v/>
      </c>
      <c r="H228" s="111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68">
      <c r="A229" s="19" t="n">
        <v>33</v>
      </c>
      <c r="B229" s="146" t="n">
        <v>46249</v>
      </c>
      <c r="C229" s="20">
        <f>G228</f>
        <v/>
      </c>
      <c r="D229" s="134">
        <f>E229-F229</f>
        <v/>
      </c>
      <c r="E229" s="20">
        <f>SUMPRODUCT((Income!D$3:D$502="GBP")*(Income!A$3:A$502=B229)*(Income!A$3:A$502&lt;&gt;"")*Income!C$3:C$502)</f>
        <v/>
      </c>
      <c r="F229" s="20">
        <f>SUMPRODUCT((Expenses!E$3:E$999="GBP")*(Expenses!A$3:A$999=B229)*(Expenses!A$3:A$999&lt;&gt;"")*Expenses!D$3:D$999)</f>
        <v/>
      </c>
      <c r="G229" s="134">
        <f>C229+D229</f>
        <v/>
      </c>
      <c r="H229" s="111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68">
      <c r="A230" s="19" t="n">
        <v>33</v>
      </c>
      <c r="B230" s="146" t="n">
        <v>46250</v>
      </c>
      <c r="C230" s="20">
        <f>G229</f>
        <v/>
      </c>
      <c r="D230" s="134">
        <f>E230-F230</f>
        <v/>
      </c>
      <c r="E230" s="20">
        <f>SUMPRODUCT((Income!D$3:D$502="GBP")*(Income!A$3:A$502=B230)*(Income!A$3:A$502&lt;&gt;"")*Income!C$3:C$502)</f>
        <v/>
      </c>
      <c r="F230" s="20">
        <f>SUMPRODUCT((Expenses!E$3:E$999="GBP")*(Expenses!A$3:A$999=B230)*(Expenses!A$3:A$999&lt;&gt;"")*Expenses!D$3:D$999)</f>
        <v/>
      </c>
      <c r="G230" s="134">
        <f>C230+D230</f>
        <v/>
      </c>
      <c r="H230" s="111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68">
      <c r="A231" s="19" t="n">
        <v>34</v>
      </c>
      <c r="B231" s="146" t="n">
        <v>46251</v>
      </c>
      <c r="C231" s="20">
        <f>G230</f>
        <v/>
      </c>
      <c r="D231" s="134">
        <f>E231-F231</f>
        <v/>
      </c>
      <c r="E231" s="20">
        <f>SUMPRODUCT((Income!D$3:D$502="GBP")*(Income!A$3:A$502=B231)*(Income!A$3:A$502&lt;&gt;"")*Income!C$3:C$502)</f>
        <v/>
      </c>
      <c r="F231" s="20">
        <f>SUMPRODUCT((Expenses!E$3:E$999="GBP")*(Expenses!A$3:A$999=B231)*(Expenses!A$3:A$999&lt;&gt;"")*Expenses!D$3:D$999)</f>
        <v/>
      </c>
      <c r="G231" s="134">
        <f>C231+D231</f>
        <v/>
      </c>
      <c r="H231" s="111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68">
      <c r="A232" s="19" t="n">
        <v>34</v>
      </c>
      <c r="B232" s="146" t="n">
        <v>46252</v>
      </c>
      <c r="C232" s="20">
        <f>G231</f>
        <v/>
      </c>
      <c r="D232" s="134">
        <f>E232-F232</f>
        <v/>
      </c>
      <c r="E232" s="20">
        <f>SUMPRODUCT((Income!D$3:D$502="GBP")*(Income!A$3:A$502=B232)*(Income!A$3:A$502&lt;&gt;"")*Income!C$3:C$502)</f>
        <v/>
      </c>
      <c r="F232" s="20">
        <f>SUMPRODUCT((Expenses!E$3:E$999="GBP")*(Expenses!A$3:A$999=B232)*(Expenses!A$3:A$999&lt;&gt;"")*Expenses!D$3:D$999)</f>
        <v/>
      </c>
      <c r="G232" s="134">
        <f>C232+D232</f>
        <v/>
      </c>
      <c r="H232" s="111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68">
      <c r="A233" s="19" t="n">
        <v>34</v>
      </c>
      <c r="B233" s="146" t="n">
        <v>46253</v>
      </c>
      <c r="C233" s="20">
        <f>G232</f>
        <v/>
      </c>
      <c r="D233" s="134">
        <f>E233-F233</f>
        <v/>
      </c>
      <c r="E233" s="20">
        <f>SUMPRODUCT((Income!D$3:D$502="GBP")*(Income!A$3:A$502=B233)*(Income!A$3:A$502&lt;&gt;"")*Income!C$3:C$502)</f>
        <v/>
      </c>
      <c r="F233" s="20">
        <f>SUMPRODUCT((Expenses!E$3:E$999="GBP")*(Expenses!A$3:A$999=B233)*(Expenses!A$3:A$999&lt;&gt;"")*Expenses!D$3:D$999)</f>
        <v/>
      </c>
      <c r="G233" s="134">
        <f>C233+D233</f>
        <v/>
      </c>
      <c r="H233" s="111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68">
      <c r="A234" s="19" t="n">
        <v>34</v>
      </c>
      <c r="B234" s="146" t="n">
        <v>46254</v>
      </c>
      <c r="C234" s="20">
        <f>G233</f>
        <v/>
      </c>
      <c r="D234" s="134">
        <f>E234-F234</f>
        <v/>
      </c>
      <c r="E234" s="20">
        <f>SUMPRODUCT((Income!D$3:D$502="GBP")*(Income!A$3:A$502=B234)*(Income!A$3:A$502&lt;&gt;"")*Income!C$3:C$502)</f>
        <v/>
      </c>
      <c r="F234" s="20">
        <f>SUMPRODUCT((Expenses!E$3:E$999="GBP")*(Expenses!A$3:A$999=B234)*(Expenses!A$3:A$999&lt;&gt;"")*Expenses!D$3:D$999)</f>
        <v/>
      </c>
      <c r="G234" s="134">
        <f>C234+D234</f>
        <v/>
      </c>
      <c r="H234" s="111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68">
      <c r="A235" s="19" t="n">
        <v>34</v>
      </c>
      <c r="B235" s="146" t="n">
        <v>46255</v>
      </c>
      <c r="C235" s="20">
        <f>G234</f>
        <v/>
      </c>
      <c r="D235" s="134">
        <f>E235-F235</f>
        <v/>
      </c>
      <c r="E235" s="20">
        <f>SUMPRODUCT((Income!D$3:D$502="GBP")*(Income!A$3:A$502=B235)*(Income!A$3:A$502&lt;&gt;"")*Income!C$3:C$502)</f>
        <v/>
      </c>
      <c r="F235" s="20">
        <f>SUMPRODUCT((Expenses!E$3:E$999="GBP")*(Expenses!A$3:A$999=B235)*(Expenses!A$3:A$999&lt;&gt;"")*Expenses!D$3:D$999)</f>
        <v/>
      </c>
      <c r="G235" s="134">
        <f>C235+D235</f>
        <v/>
      </c>
      <c r="H235" s="111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68">
      <c r="A236" s="19" t="n">
        <v>34</v>
      </c>
      <c r="B236" s="146" t="n">
        <v>46256</v>
      </c>
      <c r="C236" s="20">
        <f>G235</f>
        <v/>
      </c>
      <c r="D236" s="134">
        <f>E236-F236</f>
        <v/>
      </c>
      <c r="E236" s="20">
        <f>SUMPRODUCT((Income!D$3:D$502="GBP")*(Income!A$3:A$502=B236)*(Income!A$3:A$502&lt;&gt;"")*Income!C$3:C$502)</f>
        <v/>
      </c>
      <c r="F236" s="20">
        <f>SUMPRODUCT((Expenses!E$3:E$999="GBP")*(Expenses!A$3:A$999=B236)*(Expenses!A$3:A$999&lt;&gt;"")*Expenses!D$3:D$999)</f>
        <v/>
      </c>
      <c r="G236" s="134">
        <f>C236+D236</f>
        <v/>
      </c>
      <c r="H236" s="111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68">
      <c r="A237" s="19" t="n">
        <v>34</v>
      </c>
      <c r="B237" s="146" t="n">
        <v>46257</v>
      </c>
      <c r="C237" s="20">
        <f>G236</f>
        <v/>
      </c>
      <c r="D237" s="134">
        <f>E237-F237</f>
        <v/>
      </c>
      <c r="E237" s="20">
        <f>SUMPRODUCT((Income!D$3:D$502="GBP")*(Income!A$3:A$502=B237)*(Income!A$3:A$502&lt;&gt;"")*Income!C$3:C$502)</f>
        <v/>
      </c>
      <c r="F237" s="20">
        <f>SUMPRODUCT((Expenses!E$3:E$999="GBP")*(Expenses!A$3:A$999=B237)*(Expenses!A$3:A$999&lt;&gt;"")*Expenses!D$3:D$999)</f>
        <v/>
      </c>
      <c r="G237" s="134">
        <f>C237+D237</f>
        <v/>
      </c>
      <c r="H237" s="111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68">
      <c r="A238" s="19" t="n">
        <v>35</v>
      </c>
      <c r="B238" s="146" t="n">
        <v>46258</v>
      </c>
      <c r="C238" s="20">
        <f>G237</f>
        <v/>
      </c>
      <c r="D238" s="134">
        <f>E238-F238</f>
        <v/>
      </c>
      <c r="E238" s="20">
        <f>SUMPRODUCT((Income!D$3:D$502="GBP")*(Income!A$3:A$502=B238)*(Income!A$3:A$502&lt;&gt;"")*Income!C$3:C$502)</f>
        <v/>
      </c>
      <c r="F238" s="20">
        <f>SUMPRODUCT((Expenses!E$3:E$999="GBP")*(Expenses!A$3:A$999=B238)*(Expenses!A$3:A$999&lt;&gt;"")*Expenses!D$3:D$999)</f>
        <v/>
      </c>
      <c r="G238" s="134">
        <f>C238+D238</f>
        <v/>
      </c>
      <c r="H238" s="111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68">
      <c r="A239" s="19" t="n">
        <v>35</v>
      </c>
      <c r="B239" s="146" t="n">
        <v>46259</v>
      </c>
      <c r="C239" s="20">
        <f>G238</f>
        <v/>
      </c>
      <c r="D239" s="134">
        <f>E239-F239</f>
        <v/>
      </c>
      <c r="E239" s="20">
        <f>SUMPRODUCT((Income!D$3:D$502="GBP")*(Income!A$3:A$502=B239)*(Income!A$3:A$502&lt;&gt;"")*Income!C$3:C$502)</f>
        <v/>
      </c>
      <c r="F239" s="20">
        <f>SUMPRODUCT((Expenses!E$3:E$999="GBP")*(Expenses!A$3:A$999=B239)*(Expenses!A$3:A$999&lt;&gt;"")*Expenses!D$3:D$999)</f>
        <v/>
      </c>
      <c r="G239" s="134">
        <f>C239+D239</f>
        <v/>
      </c>
      <c r="H239" s="111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68">
      <c r="A240" s="19" t="n">
        <v>35</v>
      </c>
      <c r="B240" s="146" t="n">
        <v>46260</v>
      </c>
      <c r="C240" s="20">
        <f>G239</f>
        <v/>
      </c>
      <c r="D240" s="134">
        <f>E240-F240</f>
        <v/>
      </c>
      <c r="E240" s="20">
        <f>SUMPRODUCT((Income!D$3:D$502="GBP")*(Income!A$3:A$502=B240)*(Income!A$3:A$502&lt;&gt;"")*Income!C$3:C$502)</f>
        <v/>
      </c>
      <c r="F240" s="20">
        <f>SUMPRODUCT((Expenses!E$3:E$999="GBP")*(Expenses!A$3:A$999=B240)*(Expenses!A$3:A$999&lt;&gt;"")*Expenses!D$3:D$999)</f>
        <v/>
      </c>
      <c r="G240" s="134">
        <f>C240+D240</f>
        <v/>
      </c>
      <c r="H240" s="111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68">
      <c r="A241" s="19" t="n">
        <v>35</v>
      </c>
      <c r="B241" s="146" t="n">
        <v>46261</v>
      </c>
      <c r="C241" s="20">
        <f>G240</f>
        <v/>
      </c>
      <c r="D241" s="134">
        <f>E241-F241</f>
        <v/>
      </c>
      <c r="E241" s="20">
        <f>SUMPRODUCT((Income!D$3:D$502="GBP")*(Income!A$3:A$502=B241)*(Income!A$3:A$502&lt;&gt;"")*Income!C$3:C$502)</f>
        <v/>
      </c>
      <c r="F241" s="20">
        <f>SUMPRODUCT((Expenses!E$3:E$999="GBP")*(Expenses!A$3:A$999=B241)*(Expenses!A$3:A$999&lt;&gt;"")*Expenses!D$3:D$999)</f>
        <v/>
      </c>
      <c r="G241" s="134">
        <f>C241+D241</f>
        <v/>
      </c>
      <c r="H241" s="111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68">
      <c r="A242" s="19" t="n">
        <v>35</v>
      </c>
      <c r="B242" s="146" t="n">
        <v>46262</v>
      </c>
      <c r="C242" s="20">
        <f>G241</f>
        <v/>
      </c>
      <c r="D242" s="134">
        <f>E242-F242</f>
        <v/>
      </c>
      <c r="E242" s="20">
        <f>SUMPRODUCT((Income!D$3:D$502="GBP")*(Income!A$3:A$502=B242)*(Income!A$3:A$502&lt;&gt;"")*Income!C$3:C$502)</f>
        <v/>
      </c>
      <c r="F242" s="20">
        <f>SUMPRODUCT((Expenses!E$3:E$999="GBP")*(Expenses!A$3:A$999=B242)*(Expenses!A$3:A$999&lt;&gt;"")*Expenses!D$3:D$999)</f>
        <v/>
      </c>
      <c r="G242" s="134">
        <f>C242+D242</f>
        <v/>
      </c>
      <c r="H242" s="111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68">
      <c r="A243" s="19" t="n">
        <v>35</v>
      </c>
      <c r="B243" s="146" t="n">
        <v>46263</v>
      </c>
      <c r="C243" s="20">
        <f>G242</f>
        <v/>
      </c>
      <c r="D243" s="134">
        <f>E243-F243</f>
        <v/>
      </c>
      <c r="E243" s="20">
        <f>SUMPRODUCT((Income!D$3:D$502="GBP")*(Income!A$3:A$502=B243)*(Income!A$3:A$502&lt;&gt;"")*Income!C$3:C$502)</f>
        <v/>
      </c>
      <c r="F243" s="20">
        <f>SUMPRODUCT((Expenses!E$3:E$999="GBP")*(Expenses!A$3:A$999=B243)*(Expenses!A$3:A$999&lt;&gt;"")*Expenses!D$3:D$999)</f>
        <v/>
      </c>
      <c r="G243" s="134">
        <f>C243+D243</f>
        <v/>
      </c>
      <c r="H243" s="111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68">
      <c r="A244" s="19" t="n">
        <v>35</v>
      </c>
      <c r="B244" s="146" t="n">
        <v>46264</v>
      </c>
      <c r="C244" s="20">
        <f>G243</f>
        <v/>
      </c>
      <c r="D244" s="134">
        <f>E244-F244</f>
        <v/>
      </c>
      <c r="E244" s="20">
        <f>SUMPRODUCT((Income!D$3:D$502="GBP")*(Income!A$3:A$502=B244)*(Income!A$3:A$502&lt;&gt;"")*Income!C$3:C$502)</f>
        <v/>
      </c>
      <c r="F244" s="20">
        <f>SUMPRODUCT((Expenses!E$3:E$999="GBP")*(Expenses!A$3:A$999=B244)*(Expenses!A$3:A$999&lt;&gt;"")*Expenses!D$3:D$999)</f>
        <v/>
      </c>
      <c r="G244" s="134">
        <f>C244+D244</f>
        <v/>
      </c>
      <c r="H244" s="111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68">
      <c r="A245" s="19" t="n">
        <v>36</v>
      </c>
      <c r="B245" s="146" t="n">
        <v>46265</v>
      </c>
      <c r="C245" s="20">
        <f>G244</f>
        <v/>
      </c>
      <c r="D245" s="134">
        <f>E245-F245</f>
        <v/>
      </c>
      <c r="E245" s="20">
        <f>SUMPRODUCT((Income!D$3:D$502="GBP")*(Income!A$3:A$502=B245)*(Income!A$3:A$502&lt;&gt;"")*Income!C$3:C$502)</f>
        <v/>
      </c>
      <c r="F245" s="20">
        <f>SUMPRODUCT((Expenses!E$3:E$999="GBP")*(Expenses!A$3:A$999=B245)*(Expenses!A$3:A$999&lt;&gt;"")*Expenses!D$3:D$999)</f>
        <v/>
      </c>
      <c r="G245" s="134">
        <f>C245+D245</f>
        <v/>
      </c>
      <c r="H245" s="111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68">
      <c r="A246" s="19" t="n">
        <v>36</v>
      </c>
      <c r="B246" s="146" t="n">
        <v>46266</v>
      </c>
      <c r="C246" s="20">
        <f>G245</f>
        <v/>
      </c>
      <c r="D246" s="134">
        <f>E246-F246</f>
        <v/>
      </c>
      <c r="E246" s="20">
        <f>SUMPRODUCT((Income!D$3:D$502="GBP")*(Income!A$3:A$502=B246)*(Income!A$3:A$502&lt;&gt;"")*Income!C$3:C$502)</f>
        <v/>
      </c>
      <c r="F246" s="20">
        <f>SUMPRODUCT((Expenses!E$3:E$999="GBP")*(Expenses!A$3:A$999=B246)*(Expenses!A$3:A$999&lt;&gt;"")*Expenses!D$3:D$999)</f>
        <v/>
      </c>
      <c r="G246" s="134">
        <f>C246+D246</f>
        <v/>
      </c>
      <c r="H246" s="111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68">
      <c r="A247" s="19" t="n">
        <v>36</v>
      </c>
      <c r="B247" s="146" t="n">
        <v>46267</v>
      </c>
      <c r="C247" s="20">
        <f>G246</f>
        <v/>
      </c>
      <c r="D247" s="134">
        <f>E247-F247</f>
        <v/>
      </c>
      <c r="E247" s="20">
        <f>SUMPRODUCT((Income!D$3:D$502="GBP")*(Income!A$3:A$502=B247)*(Income!A$3:A$502&lt;&gt;"")*Income!C$3:C$502)</f>
        <v/>
      </c>
      <c r="F247" s="20">
        <f>SUMPRODUCT((Expenses!E$3:E$999="GBP")*(Expenses!A$3:A$999=B247)*(Expenses!A$3:A$999&lt;&gt;"")*Expenses!D$3:D$999)</f>
        <v/>
      </c>
      <c r="G247" s="134">
        <f>C247+D247</f>
        <v/>
      </c>
      <c r="H247" s="111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68">
      <c r="A248" s="19" t="n">
        <v>36</v>
      </c>
      <c r="B248" s="146" t="n">
        <v>46268</v>
      </c>
      <c r="C248" s="20">
        <f>G247</f>
        <v/>
      </c>
      <c r="D248" s="134">
        <f>E248-F248</f>
        <v/>
      </c>
      <c r="E248" s="20">
        <f>SUMPRODUCT((Income!D$3:D$502="GBP")*(Income!A$3:A$502=B248)*(Income!A$3:A$502&lt;&gt;"")*Income!C$3:C$502)</f>
        <v/>
      </c>
      <c r="F248" s="20">
        <f>SUMPRODUCT((Expenses!E$3:E$999="GBP")*(Expenses!A$3:A$999=B248)*(Expenses!A$3:A$999&lt;&gt;"")*Expenses!D$3:D$999)</f>
        <v/>
      </c>
      <c r="G248" s="134">
        <f>C248+D248</f>
        <v/>
      </c>
      <c r="H248" s="111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68">
      <c r="A249" s="19" t="n">
        <v>36</v>
      </c>
      <c r="B249" s="146" t="n">
        <v>46269</v>
      </c>
      <c r="C249" s="20">
        <f>G248</f>
        <v/>
      </c>
      <c r="D249" s="134">
        <f>E249-F249</f>
        <v/>
      </c>
      <c r="E249" s="20">
        <f>SUMPRODUCT((Income!D$3:D$502="GBP")*(Income!A$3:A$502=B249)*(Income!A$3:A$502&lt;&gt;"")*Income!C$3:C$502)</f>
        <v/>
      </c>
      <c r="F249" s="20">
        <f>SUMPRODUCT((Expenses!E$3:E$999="GBP")*(Expenses!A$3:A$999=B249)*(Expenses!A$3:A$999&lt;&gt;"")*Expenses!D$3:D$999)</f>
        <v/>
      </c>
      <c r="G249" s="134">
        <f>C249+D249</f>
        <v/>
      </c>
      <c r="H249" s="111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68">
      <c r="A250" s="19" t="n">
        <v>36</v>
      </c>
      <c r="B250" s="146" t="n">
        <v>46270</v>
      </c>
      <c r="C250" s="20">
        <f>G249</f>
        <v/>
      </c>
      <c r="D250" s="134">
        <f>E250-F250</f>
        <v/>
      </c>
      <c r="E250" s="20">
        <f>SUMPRODUCT((Income!D$3:D$502="GBP")*(Income!A$3:A$502=B250)*(Income!A$3:A$502&lt;&gt;"")*Income!C$3:C$502)</f>
        <v/>
      </c>
      <c r="F250" s="20">
        <f>SUMPRODUCT((Expenses!E$3:E$999="GBP")*(Expenses!A$3:A$999=B250)*(Expenses!A$3:A$999&lt;&gt;"")*Expenses!D$3:D$999)</f>
        <v/>
      </c>
      <c r="G250" s="134">
        <f>C250+D250</f>
        <v/>
      </c>
      <c r="H250" s="111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68">
      <c r="A251" s="19" t="n">
        <v>36</v>
      </c>
      <c r="B251" s="146" t="n">
        <v>46271</v>
      </c>
      <c r="C251" s="20">
        <f>G250</f>
        <v/>
      </c>
      <c r="D251" s="134">
        <f>E251-F251</f>
        <v/>
      </c>
      <c r="E251" s="20">
        <f>SUMPRODUCT((Income!D$3:D$502="GBP")*(Income!A$3:A$502=B251)*(Income!A$3:A$502&lt;&gt;"")*Income!C$3:C$502)</f>
        <v/>
      </c>
      <c r="F251" s="20">
        <f>SUMPRODUCT((Expenses!E$3:E$999="GBP")*(Expenses!A$3:A$999=B251)*(Expenses!A$3:A$999&lt;&gt;"")*Expenses!D$3:D$999)</f>
        <v/>
      </c>
      <c r="G251" s="134">
        <f>C251+D251</f>
        <v/>
      </c>
      <c r="H251" s="111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68">
      <c r="A252" s="19" t="n">
        <v>37</v>
      </c>
      <c r="B252" s="146" t="n">
        <v>46272</v>
      </c>
      <c r="C252" s="20">
        <f>G251</f>
        <v/>
      </c>
      <c r="D252" s="134">
        <f>E252-F252</f>
        <v/>
      </c>
      <c r="E252" s="20">
        <f>SUMPRODUCT((Income!D$3:D$502="GBP")*(Income!A$3:A$502=B252)*(Income!A$3:A$502&lt;&gt;"")*Income!C$3:C$502)</f>
        <v/>
      </c>
      <c r="F252" s="20">
        <f>SUMPRODUCT((Expenses!E$3:E$999="GBP")*(Expenses!A$3:A$999=B252)*(Expenses!A$3:A$999&lt;&gt;"")*Expenses!D$3:D$999)</f>
        <v/>
      </c>
      <c r="G252" s="134">
        <f>C252+D252</f>
        <v/>
      </c>
      <c r="H252" s="111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68">
      <c r="A253" s="19" t="n">
        <v>37</v>
      </c>
      <c r="B253" s="146" t="n">
        <v>46273</v>
      </c>
      <c r="C253" s="20">
        <f>G252</f>
        <v/>
      </c>
      <c r="D253" s="134">
        <f>E253-F253</f>
        <v/>
      </c>
      <c r="E253" s="20">
        <f>SUMPRODUCT((Income!D$3:D$502="GBP")*(Income!A$3:A$502=B253)*(Income!A$3:A$502&lt;&gt;"")*Income!C$3:C$502)</f>
        <v/>
      </c>
      <c r="F253" s="20">
        <f>SUMPRODUCT((Expenses!E$3:E$999="GBP")*(Expenses!A$3:A$999=B253)*(Expenses!A$3:A$999&lt;&gt;"")*Expenses!D$3:D$999)</f>
        <v/>
      </c>
      <c r="G253" s="134">
        <f>C253+D253</f>
        <v/>
      </c>
      <c r="H253" s="111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68">
      <c r="A254" s="19" t="n">
        <v>37</v>
      </c>
      <c r="B254" s="146" t="n">
        <v>46274</v>
      </c>
      <c r="C254" s="20">
        <f>G253</f>
        <v/>
      </c>
      <c r="D254" s="134">
        <f>E254-F254</f>
        <v/>
      </c>
      <c r="E254" s="20">
        <f>SUMPRODUCT((Income!D$3:D$502="GBP")*(Income!A$3:A$502=B254)*(Income!A$3:A$502&lt;&gt;"")*Income!C$3:C$502)</f>
        <v/>
      </c>
      <c r="F254" s="20">
        <f>SUMPRODUCT((Expenses!E$3:E$999="GBP")*(Expenses!A$3:A$999=B254)*(Expenses!A$3:A$999&lt;&gt;"")*Expenses!D$3:D$999)</f>
        <v/>
      </c>
      <c r="G254" s="134">
        <f>C254+D254</f>
        <v/>
      </c>
      <c r="H254" s="111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68">
      <c r="A255" s="19" t="n">
        <v>37</v>
      </c>
      <c r="B255" s="146" t="n">
        <v>46275</v>
      </c>
      <c r="C255" s="20">
        <f>G254</f>
        <v/>
      </c>
      <c r="D255" s="134">
        <f>E255-F255</f>
        <v/>
      </c>
      <c r="E255" s="20">
        <f>SUMPRODUCT((Income!D$3:D$502="GBP")*(Income!A$3:A$502=B255)*(Income!A$3:A$502&lt;&gt;"")*Income!C$3:C$502)</f>
        <v/>
      </c>
      <c r="F255" s="20">
        <f>SUMPRODUCT((Expenses!E$3:E$999="GBP")*(Expenses!A$3:A$999=B255)*(Expenses!A$3:A$999&lt;&gt;"")*Expenses!D$3:D$999)</f>
        <v/>
      </c>
      <c r="G255" s="134">
        <f>C255+D255</f>
        <v/>
      </c>
      <c r="H255" s="111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68">
      <c r="A256" s="19" t="n">
        <v>37</v>
      </c>
      <c r="B256" s="146" t="n">
        <v>46276</v>
      </c>
      <c r="C256" s="20">
        <f>G255</f>
        <v/>
      </c>
      <c r="D256" s="134">
        <f>E256-F256</f>
        <v/>
      </c>
      <c r="E256" s="20">
        <f>SUMPRODUCT((Income!D$3:D$502="GBP")*(Income!A$3:A$502=B256)*(Income!A$3:A$502&lt;&gt;"")*Income!C$3:C$502)</f>
        <v/>
      </c>
      <c r="F256" s="20">
        <f>SUMPRODUCT((Expenses!E$3:E$999="GBP")*(Expenses!A$3:A$999=B256)*(Expenses!A$3:A$999&lt;&gt;"")*Expenses!D$3:D$999)</f>
        <v/>
      </c>
      <c r="G256" s="134">
        <f>C256+D256</f>
        <v/>
      </c>
      <c r="H256" s="111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68">
      <c r="A257" s="19" t="n">
        <v>37</v>
      </c>
      <c r="B257" s="146" t="n">
        <v>46277</v>
      </c>
      <c r="C257" s="20">
        <f>G256</f>
        <v/>
      </c>
      <c r="D257" s="134">
        <f>E257-F257</f>
        <v/>
      </c>
      <c r="E257" s="20">
        <f>SUMPRODUCT((Income!D$3:D$502="GBP")*(Income!A$3:A$502=B257)*(Income!A$3:A$502&lt;&gt;"")*Income!C$3:C$502)</f>
        <v/>
      </c>
      <c r="F257" s="20">
        <f>SUMPRODUCT((Expenses!E$3:E$999="GBP")*(Expenses!A$3:A$999=B257)*(Expenses!A$3:A$999&lt;&gt;"")*Expenses!D$3:D$999)</f>
        <v/>
      </c>
      <c r="G257" s="134">
        <f>C257+D257</f>
        <v/>
      </c>
      <c r="H257" s="111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68">
      <c r="A258" s="19" t="n">
        <v>37</v>
      </c>
      <c r="B258" s="146" t="n">
        <v>46278</v>
      </c>
      <c r="C258" s="20">
        <f>G257</f>
        <v/>
      </c>
      <c r="D258" s="134">
        <f>E258-F258</f>
        <v/>
      </c>
      <c r="E258" s="20">
        <f>SUMPRODUCT((Income!D$3:D$502="GBP")*(Income!A$3:A$502=B258)*(Income!A$3:A$502&lt;&gt;"")*Income!C$3:C$502)</f>
        <v/>
      </c>
      <c r="F258" s="20">
        <f>SUMPRODUCT((Expenses!E$3:E$999="GBP")*(Expenses!A$3:A$999=B258)*(Expenses!A$3:A$999&lt;&gt;"")*Expenses!D$3:D$999)</f>
        <v/>
      </c>
      <c r="G258" s="134">
        <f>C258+D258</f>
        <v/>
      </c>
      <c r="H258" s="111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68">
      <c r="A259" s="19" t="n">
        <v>38</v>
      </c>
      <c r="B259" s="146" t="n">
        <v>46279</v>
      </c>
      <c r="C259" s="20">
        <f>G258</f>
        <v/>
      </c>
      <c r="D259" s="134">
        <f>E259-F259</f>
        <v/>
      </c>
      <c r="E259" s="20">
        <f>SUMPRODUCT((Income!D$3:D$502="GBP")*(Income!A$3:A$502=B259)*(Income!A$3:A$502&lt;&gt;"")*Income!C$3:C$502)</f>
        <v/>
      </c>
      <c r="F259" s="20">
        <f>SUMPRODUCT((Expenses!E$3:E$999="GBP")*(Expenses!A$3:A$999=B259)*(Expenses!A$3:A$999&lt;&gt;"")*Expenses!D$3:D$999)</f>
        <v/>
      </c>
      <c r="G259" s="134">
        <f>C259+D259</f>
        <v/>
      </c>
      <c r="H259" s="111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68">
      <c r="A260" s="19" t="n">
        <v>38</v>
      </c>
      <c r="B260" s="146" t="n">
        <v>46280</v>
      </c>
      <c r="C260" s="20">
        <f>G259</f>
        <v/>
      </c>
      <c r="D260" s="134">
        <f>E260-F260</f>
        <v/>
      </c>
      <c r="E260" s="20">
        <f>SUMPRODUCT((Income!D$3:D$502="GBP")*(Income!A$3:A$502=B260)*(Income!A$3:A$502&lt;&gt;"")*Income!C$3:C$502)</f>
        <v/>
      </c>
      <c r="F260" s="20">
        <f>SUMPRODUCT((Expenses!E$3:E$999="GBP")*(Expenses!A$3:A$999=B260)*(Expenses!A$3:A$999&lt;&gt;"")*Expenses!D$3:D$999)</f>
        <v/>
      </c>
      <c r="G260" s="134">
        <f>C260+D260</f>
        <v/>
      </c>
      <c r="H260" s="111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68">
      <c r="A261" s="19" t="n">
        <v>38</v>
      </c>
      <c r="B261" s="146" t="n">
        <v>46281</v>
      </c>
      <c r="C261" s="20">
        <f>G260</f>
        <v/>
      </c>
      <c r="D261" s="134">
        <f>E261-F261</f>
        <v/>
      </c>
      <c r="E261" s="20">
        <f>SUMPRODUCT((Income!D$3:D$502="GBP")*(Income!A$3:A$502=B261)*(Income!A$3:A$502&lt;&gt;"")*Income!C$3:C$502)</f>
        <v/>
      </c>
      <c r="F261" s="20">
        <f>SUMPRODUCT((Expenses!E$3:E$999="GBP")*(Expenses!A$3:A$999=B261)*(Expenses!A$3:A$999&lt;&gt;"")*Expenses!D$3:D$999)</f>
        <v/>
      </c>
      <c r="G261" s="134">
        <f>C261+D261</f>
        <v/>
      </c>
      <c r="H261" s="111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68">
      <c r="A262" s="19" t="n">
        <v>38</v>
      </c>
      <c r="B262" s="146" t="n">
        <v>46282</v>
      </c>
      <c r="C262" s="20">
        <f>G261</f>
        <v/>
      </c>
      <c r="D262" s="134">
        <f>E262-F262</f>
        <v/>
      </c>
      <c r="E262" s="20">
        <f>SUMPRODUCT((Income!D$3:D$502="GBP")*(Income!A$3:A$502=B262)*(Income!A$3:A$502&lt;&gt;"")*Income!C$3:C$502)</f>
        <v/>
      </c>
      <c r="F262" s="20">
        <f>SUMPRODUCT((Expenses!E$3:E$999="GBP")*(Expenses!A$3:A$999=B262)*(Expenses!A$3:A$999&lt;&gt;"")*Expenses!D$3:D$999)</f>
        <v/>
      </c>
      <c r="G262" s="134">
        <f>C262+D262</f>
        <v/>
      </c>
      <c r="H262" s="111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68">
      <c r="A263" s="19" t="n">
        <v>38</v>
      </c>
      <c r="B263" s="146" t="n">
        <v>46283</v>
      </c>
      <c r="C263" s="20">
        <f>G262</f>
        <v/>
      </c>
      <c r="D263" s="134">
        <f>E263-F263</f>
        <v/>
      </c>
      <c r="E263" s="20">
        <f>SUMPRODUCT((Income!D$3:D$502="GBP")*(Income!A$3:A$502=B263)*(Income!A$3:A$502&lt;&gt;"")*Income!C$3:C$502)</f>
        <v/>
      </c>
      <c r="F263" s="20">
        <f>SUMPRODUCT((Expenses!E$3:E$999="GBP")*(Expenses!A$3:A$999=B263)*(Expenses!A$3:A$999&lt;&gt;"")*Expenses!D$3:D$999)</f>
        <v/>
      </c>
      <c r="G263" s="134">
        <f>C263+D263</f>
        <v/>
      </c>
      <c r="H263" s="111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68">
      <c r="A264" s="19" t="n">
        <v>38</v>
      </c>
      <c r="B264" s="146" t="n">
        <v>46284</v>
      </c>
      <c r="C264" s="20">
        <f>G263</f>
        <v/>
      </c>
      <c r="D264" s="134">
        <f>E264-F264</f>
        <v/>
      </c>
      <c r="E264" s="20">
        <f>SUMPRODUCT((Income!D$3:D$502="GBP")*(Income!A$3:A$502=B264)*(Income!A$3:A$502&lt;&gt;"")*Income!C$3:C$502)</f>
        <v/>
      </c>
      <c r="F264" s="20">
        <f>SUMPRODUCT((Expenses!E$3:E$999="GBP")*(Expenses!A$3:A$999=B264)*(Expenses!A$3:A$999&lt;&gt;"")*Expenses!D$3:D$999)</f>
        <v/>
      </c>
      <c r="G264" s="134">
        <f>C264+D264</f>
        <v/>
      </c>
      <c r="H264" s="111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68">
      <c r="A265" s="19" t="n">
        <v>38</v>
      </c>
      <c r="B265" s="146" t="n">
        <v>46285</v>
      </c>
      <c r="C265" s="20">
        <f>G264</f>
        <v/>
      </c>
      <c r="D265" s="134">
        <f>E265-F265</f>
        <v/>
      </c>
      <c r="E265" s="20">
        <f>SUMPRODUCT((Income!D$3:D$502="GBP")*(Income!A$3:A$502=B265)*(Income!A$3:A$502&lt;&gt;"")*Income!C$3:C$502)</f>
        <v/>
      </c>
      <c r="F265" s="20">
        <f>SUMPRODUCT((Expenses!E$3:E$999="GBP")*(Expenses!A$3:A$999=B265)*(Expenses!A$3:A$999&lt;&gt;"")*Expenses!D$3:D$999)</f>
        <v/>
      </c>
      <c r="G265" s="134">
        <f>C265+D265</f>
        <v/>
      </c>
      <c r="H265" s="111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68">
      <c r="A266" s="19" t="n">
        <v>39</v>
      </c>
      <c r="B266" s="146" t="n">
        <v>46286</v>
      </c>
      <c r="C266" s="20">
        <f>G265</f>
        <v/>
      </c>
      <c r="D266" s="134">
        <f>E266-F266</f>
        <v/>
      </c>
      <c r="E266" s="20">
        <f>SUMPRODUCT((Income!D$3:D$502="GBP")*(Income!A$3:A$502=B266)*(Income!A$3:A$502&lt;&gt;"")*Income!C$3:C$502)</f>
        <v/>
      </c>
      <c r="F266" s="20">
        <f>SUMPRODUCT((Expenses!E$3:E$999="GBP")*(Expenses!A$3:A$999=B266)*(Expenses!A$3:A$999&lt;&gt;"")*Expenses!D$3:D$999)</f>
        <v/>
      </c>
      <c r="G266" s="134">
        <f>C266+D266</f>
        <v/>
      </c>
      <c r="H266" s="111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68">
      <c r="A267" s="19" t="n">
        <v>39</v>
      </c>
      <c r="B267" s="146" t="n">
        <v>46287</v>
      </c>
      <c r="C267" s="20">
        <f>G266</f>
        <v/>
      </c>
      <c r="D267" s="134">
        <f>E267-F267</f>
        <v/>
      </c>
      <c r="E267" s="20">
        <f>SUMPRODUCT((Income!D$3:D$502="GBP")*(Income!A$3:A$502=B267)*(Income!A$3:A$502&lt;&gt;"")*Income!C$3:C$502)</f>
        <v/>
      </c>
      <c r="F267" s="20">
        <f>SUMPRODUCT((Expenses!E$3:E$999="GBP")*(Expenses!A$3:A$999=B267)*(Expenses!A$3:A$999&lt;&gt;"")*Expenses!D$3:D$999)</f>
        <v/>
      </c>
      <c r="G267" s="134">
        <f>C267+D267</f>
        <v/>
      </c>
      <c r="H267" s="111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68">
      <c r="A268" s="19" t="n">
        <v>39</v>
      </c>
      <c r="B268" s="146" t="n">
        <v>46288</v>
      </c>
      <c r="C268" s="20">
        <f>G267</f>
        <v/>
      </c>
      <c r="D268" s="134">
        <f>E268-F268</f>
        <v/>
      </c>
      <c r="E268" s="20">
        <f>SUMPRODUCT((Income!D$3:D$502="GBP")*(Income!A$3:A$502=B268)*(Income!A$3:A$502&lt;&gt;"")*Income!C$3:C$502)</f>
        <v/>
      </c>
      <c r="F268" s="20">
        <f>SUMPRODUCT((Expenses!E$3:E$999="GBP")*(Expenses!A$3:A$999=B268)*(Expenses!A$3:A$999&lt;&gt;"")*Expenses!D$3:D$999)</f>
        <v/>
      </c>
      <c r="G268" s="134">
        <f>C268+D268</f>
        <v/>
      </c>
      <c r="H268" s="111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68">
      <c r="A269" s="19" t="n">
        <v>39</v>
      </c>
      <c r="B269" s="146" t="n">
        <v>46289</v>
      </c>
      <c r="C269" s="20">
        <f>G268</f>
        <v/>
      </c>
      <c r="D269" s="134">
        <f>E269-F269</f>
        <v/>
      </c>
      <c r="E269" s="20">
        <f>SUMPRODUCT((Income!D$3:D$502="GBP")*(Income!A$3:A$502=B269)*(Income!A$3:A$502&lt;&gt;"")*Income!C$3:C$502)</f>
        <v/>
      </c>
      <c r="F269" s="20">
        <f>SUMPRODUCT((Expenses!E$3:E$999="GBP")*(Expenses!A$3:A$999=B269)*(Expenses!A$3:A$999&lt;&gt;"")*Expenses!D$3:D$999)</f>
        <v/>
      </c>
      <c r="G269" s="134">
        <f>C269+D269</f>
        <v/>
      </c>
      <c r="H269" s="111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68">
      <c r="A270" s="19" t="n">
        <v>39</v>
      </c>
      <c r="B270" s="146" t="n">
        <v>46290</v>
      </c>
      <c r="C270" s="20">
        <f>G269</f>
        <v/>
      </c>
      <c r="D270" s="134">
        <f>E270-F270</f>
        <v/>
      </c>
      <c r="E270" s="20">
        <f>SUMPRODUCT((Income!D$3:D$502="GBP")*(Income!A$3:A$502=B270)*(Income!A$3:A$502&lt;&gt;"")*Income!C$3:C$502)</f>
        <v/>
      </c>
      <c r="F270" s="20">
        <f>SUMPRODUCT((Expenses!E$3:E$999="GBP")*(Expenses!A$3:A$999=B270)*(Expenses!A$3:A$999&lt;&gt;"")*Expenses!D$3:D$999)</f>
        <v/>
      </c>
      <c r="G270" s="134">
        <f>C270+D270</f>
        <v/>
      </c>
      <c r="H270" s="111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68">
      <c r="A271" s="19" t="n">
        <v>39</v>
      </c>
      <c r="B271" s="146" t="n">
        <v>46291</v>
      </c>
      <c r="C271" s="20">
        <f>G270</f>
        <v/>
      </c>
      <c r="D271" s="134">
        <f>E271-F271</f>
        <v/>
      </c>
      <c r="E271" s="20">
        <f>SUMPRODUCT((Income!D$3:D$502="GBP")*(Income!A$3:A$502=B271)*(Income!A$3:A$502&lt;&gt;"")*Income!C$3:C$502)</f>
        <v/>
      </c>
      <c r="F271" s="20">
        <f>SUMPRODUCT((Expenses!E$3:E$999="GBP")*(Expenses!A$3:A$999=B271)*(Expenses!A$3:A$999&lt;&gt;"")*Expenses!D$3:D$999)</f>
        <v/>
      </c>
      <c r="G271" s="134">
        <f>C271+D271</f>
        <v/>
      </c>
      <c r="H271" s="111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68">
      <c r="A272" s="19" t="n">
        <v>39</v>
      </c>
      <c r="B272" s="146" t="n">
        <v>46292</v>
      </c>
      <c r="C272" s="20">
        <f>G271</f>
        <v/>
      </c>
      <c r="D272" s="134">
        <f>E272-F272</f>
        <v/>
      </c>
      <c r="E272" s="20">
        <f>SUMPRODUCT((Income!D$3:D$502="GBP")*(Income!A$3:A$502=B272)*(Income!A$3:A$502&lt;&gt;"")*Income!C$3:C$502)</f>
        <v/>
      </c>
      <c r="F272" s="20">
        <f>SUMPRODUCT((Expenses!E$3:E$999="GBP")*(Expenses!A$3:A$999=B272)*(Expenses!A$3:A$999&lt;&gt;"")*Expenses!D$3:D$999)</f>
        <v/>
      </c>
      <c r="G272" s="134">
        <f>C272+D272</f>
        <v/>
      </c>
      <c r="H272" s="111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68">
      <c r="A273" s="19" t="n">
        <v>40</v>
      </c>
      <c r="B273" s="146" t="n">
        <v>46293</v>
      </c>
      <c r="C273" s="20">
        <f>G272</f>
        <v/>
      </c>
      <c r="D273" s="134">
        <f>E273-F273</f>
        <v/>
      </c>
      <c r="E273" s="20">
        <f>SUMPRODUCT((Income!D$3:D$502="GBP")*(Income!A$3:A$502=B273)*(Income!A$3:A$502&lt;&gt;"")*Income!C$3:C$502)</f>
        <v/>
      </c>
      <c r="F273" s="20">
        <f>SUMPRODUCT((Expenses!E$3:E$999="GBP")*(Expenses!A$3:A$999=B273)*(Expenses!A$3:A$999&lt;&gt;"")*Expenses!D$3:D$999)</f>
        <v/>
      </c>
      <c r="G273" s="134">
        <f>C273+D273</f>
        <v/>
      </c>
      <c r="H273" s="111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68">
      <c r="A274" s="19" t="n">
        <v>40</v>
      </c>
      <c r="B274" s="146" t="n">
        <v>46294</v>
      </c>
      <c r="C274" s="20">
        <f>G273</f>
        <v/>
      </c>
      <c r="D274" s="134">
        <f>E274-F274</f>
        <v/>
      </c>
      <c r="E274" s="20">
        <f>SUMPRODUCT((Income!D$3:D$502="GBP")*(Income!A$3:A$502=B274)*(Income!A$3:A$502&lt;&gt;"")*Income!C$3:C$502)</f>
        <v/>
      </c>
      <c r="F274" s="20">
        <f>SUMPRODUCT((Expenses!E$3:E$999="GBP")*(Expenses!A$3:A$999=B274)*(Expenses!A$3:A$999&lt;&gt;"")*Expenses!D$3:D$999)</f>
        <v/>
      </c>
      <c r="G274" s="134">
        <f>C274+D274</f>
        <v/>
      </c>
      <c r="H274" s="111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68">
      <c r="A275" s="19" t="n">
        <v>40</v>
      </c>
      <c r="B275" s="146" t="n">
        <v>46295</v>
      </c>
      <c r="C275" s="20">
        <f>G274</f>
        <v/>
      </c>
      <c r="D275" s="134">
        <f>E275-F275</f>
        <v/>
      </c>
      <c r="E275" s="20">
        <f>SUMPRODUCT((Income!D$3:D$502="GBP")*(Income!A$3:A$502=B275)*(Income!A$3:A$502&lt;&gt;"")*Income!C$3:C$502)</f>
        <v/>
      </c>
      <c r="F275" s="20">
        <f>SUMPRODUCT((Expenses!E$3:E$999="GBP")*(Expenses!A$3:A$999=B275)*(Expenses!A$3:A$999&lt;&gt;"")*Expenses!D$3:D$999)</f>
        <v/>
      </c>
      <c r="G275" s="134">
        <f>C275+D275</f>
        <v/>
      </c>
      <c r="H275" s="111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68">
      <c r="A276" s="19" t="n">
        <v>40</v>
      </c>
      <c r="B276" s="146" t="n">
        <v>46296</v>
      </c>
      <c r="C276" s="20">
        <f>G275</f>
        <v/>
      </c>
      <c r="D276" s="134">
        <f>E276-F276</f>
        <v/>
      </c>
      <c r="E276" s="20">
        <f>SUMPRODUCT((Income!D$3:D$502="GBP")*(Income!A$3:A$502=B276)*(Income!A$3:A$502&lt;&gt;"")*Income!C$3:C$502)</f>
        <v/>
      </c>
      <c r="F276" s="20">
        <f>SUMPRODUCT((Expenses!E$3:E$999="GBP")*(Expenses!A$3:A$999=B276)*(Expenses!A$3:A$999&lt;&gt;"")*Expenses!D$3:D$999)</f>
        <v/>
      </c>
      <c r="G276" s="134">
        <f>C276+D276</f>
        <v/>
      </c>
      <c r="H276" s="111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68">
      <c r="A277" s="19" t="n">
        <v>40</v>
      </c>
      <c r="B277" s="146" t="n">
        <v>46297</v>
      </c>
      <c r="C277" s="20">
        <f>G276</f>
        <v/>
      </c>
      <c r="D277" s="134">
        <f>E277-F277</f>
        <v/>
      </c>
      <c r="E277" s="20">
        <f>SUMPRODUCT((Income!D$3:D$502="GBP")*(Income!A$3:A$502=B277)*(Income!A$3:A$502&lt;&gt;"")*Income!C$3:C$502)</f>
        <v/>
      </c>
      <c r="F277" s="20">
        <f>SUMPRODUCT((Expenses!E$3:E$999="GBP")*(Expenses!A$3:A$999=B277)*(Expenses!A$3:A$999&lt;&gt;"")*Expenses!D$3:D$999)</f>
        <v/>
      </c>
      <c r="G277" s="134">
        <f>C277+D277</f>
        <v/>
      </c>
      <c r="H277" s="111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68">
      <c r="A278" s="19" t="n">
        <v>40</v>
      </c>
      <c r="B278" s="146" t="n">
        <v>46298</v>
      </c>
      <c r="C278" s="20">
        <f>G277</f>
        <v/>
      </c>
      <c r="D278" s="134">
        <f>E278-F278</f>
        <v/>
      </c>
      <c r="E278" s="20">
        <f>SUMPRODUCT((Income!D$3:D$502="GBP")*(Income!A$3:A$502=B278)*(Income!A$3:A$502&lt;&gt;"")*Income!C$3:C$502)</f>
        <v/>
      </c>
      <c r="F278" s="20">
        <f>SUMPRODUCT((Expenses!E$3:E$999="GBP")*(Expenses!A$3:A$999=B278)*(Expenses!A$3:A$999&lt;&gt;"")*Expenses!D$3:D$999)</f>
        <v/>
      </c>
      <c r="G278" s="134">
        <f>C278+D278</f>
        <v/>
      </c>
      <c r="H278" s="111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68">
      <c r="A279" s="19" t="n">
        <v>40</v>
      </c>
      <c r="B279" s="146" t="n">
        <v>46299</v>
      </c>
      <c r="C279" s="20">
        <f>G278</f>
        <v/>
      </c>
      <c r="D279" s="134">
        <f>E279-F279</f>
        <v/>
      </c>
      <c r="E279" s="20">
        <f>SUMPRODUCT((Income!D$3:D$502="GBP")*(Income!A$3:A$502=B279)*(Income!A$3:A$502&lt;&gt;"")*Income!C$3:C$502)</f>
        <v/>
      </c>
      <c r="F279" s="20">
        <f>SUMPRODUCT((Expenses!E$3:E$999="GBP")*(Expenses!A$3:A$999=B279)*(Expenses!A$3:A$999&lt;&gt;"")*Expenses!D$3:D$999)</f>
        <v/>
      </c>
      <c r="G279" s="134">
        <f>C279+D279</f>
        <v/>
      </c>
      <c r="H279" s="111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68">
      <c r="A280" s="19" t="n">
        <v>41</v>
      </c>
      <c r="B280" s="146" t="n">
        <v>46300</v>
      </c>
      <c r="C280" s="20">
        <f>G279</f>
        <v/>
      </c>
      <c r="D280" s="134">
        <f>E280-F280</f>
        <v/>
      </c>
      <c r="E280" s="20">
        <f>SUMPRODUCT((Income!D$3:D$502="GBP")*(Income!A$3:A$502=B280)*(Income!A$3:A$502&lt;&gt;"")*Income!C$3:C$502)</f>
        <v/>
      </c>
      <c r="F280" s="20">
        <f>SUMPRODUCT((Expenses!E$3:E$999="GBP")*(Expenses!A$3:A$999=B280)*(Expenses!A$3:A$999&lt;&gt;"")*Expenses!D$3:D$999)</f>
        <v/>
      </c>
      <c r="G280" s="134">
        <f>C280+D280</f>
        <v/>
      </c>
      <c r="H280" s="111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68">
      <c r="A281" s="19" t="n">
        <v>41</v>
      </c>
      <c r="B281" s="146" t="n">
        <v>46301</v>
      </c>
      <c r="C281" s="20">
        <f>G280</f>
        <v/>
      </c>
      <c r="D281" s="134">
        <f>E281-F281</f>
        <v/>
      </c>
      <c r="E281" s="20">
        <f>SUMPRODUCT((Income!D$3:D$502="GBP")*(Income!A$3:A$502=B281)*(Income!A$3:A$502&lt;&gt;"")*Income!C$3:C$502)</f>
        <v/>
      </c>
      <c r="F281" s="20">
        <f>SUMPRODUCT((Expenses!E$3:E$999="GBP")*(Expenses!A$3:A$999=B281)*(Expenses!A$3:A$999&lt;&gt;"")*Expenses!D$3:D$999)</f>
        <v/>
      </c>
      <c r="G281" s="134">
        <f>C281+D281</f>
        <v/>
      </c>
      <c r="H281" s="111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68">
      <c r="A282" s="19" t="n">
        <v>41</v>
      </c>
      <c r="B282" s="146" t="n">
        <v>46302</v>
      </c>
      <c r="C282" s="20">
        <f>G281</f>
        <v/>
      </c>
      <c r="D282" s="134">
        <f>E282-F282</f>
        <v/>
      </c>
      <c r="E282" s="20">
        <f>SUMPRODUCT((Income!D$3:D$502="GBP")*(Income!A$3:A$502=B282)*(Income!A$3:A$502&lt;&gt;"")*Income!C$3:C$502)</f>
        <v/>
      </c>
      <c r="F282" s="20">
        <f>SUMPRODUCT((Expenses!E$3:E$999="GBP")*(Expenses!A$3:A$999=B282)*(Expenses!A$3:A$999&lt;&gt;"")*Expenses!D$3:D$999)</f>
        <v/>
      </c>
      <c r="G282" s="134">
        <f>C282+D282</f>
        <v/>
      </c>
      <c r="H282" s="111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68">
      <c r="A283" s="19" t="n">
        <v>41</v>
      </c>
      <c r="B283" s="146" t="n">
        <v>46303</v>
      </c>
      <c r="C283" s="20">
        <f>G282</f>
        <v/>
      </c>
      <c r="D283" s="134">
        <f>E283-F283</f>
        <v/>
      </c>
      <c r="E283" s="20">
        <f>SUMPRODUCT((Income!D$3:D$502="GBP")*(Income!A$3:A$502=B283)*(Income!A$3:A$502&lt;&gt;"")*Income!C$3:C$502)</f>
        <v/>
      </c>
      <c r="F283" s="20">
        <f>SUMPRODUCT((Expenses!E$3:E$999="GBP")*(Expenses!A$3:A$999=B283)*(Expenses!A$3:A$999&lt;&gt;"")*Expenses!D$3:D$999)</f>
        <v/>
      </c>
      <c r="G283" s="134">
        <f>C283+D283</f>
        <v/>
      </c>
      <c r="H283" s="111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68">
      <c r="A284" s="19" t="n">
        <v>41</v>
      </c>
      <c r="B284" s="146" t="n">
        <v>46304</v>
      </c>
      <c r="C284" s="20">
        <f>G283</f>
        <v/>
      </c>
      <c r="D284" s="134">
        <f>E284-F284</f>
        <v/>
      </c>
      <c r="E284" s="20">
        <f>SUMPRODUCT((Income!D$3:D$502="GBP")*(Income!A$3:A$502=B284)*(Income!A$3:A$502&lt;&gt;"")*Income!C$3:C$502)</f>
        <v/>
      </c>
      <c r="F284" s="20">
        <f>SUMPRODUCT((Expenses!E$3:E$999="GBP")*(Expenses!A$3:A$999=B284)*(Expenses!A$3:A$999&lt;&gt;"")*Expenses!D$3:D$999)</f>
        <v/>
      </c>
      <c r="G284" s="134">
        <f>C284+D284</f>
        <v/>
      </c>
      <c r="H284" s="111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68">
      <c r="A285" s="19" t="n">
        <v>41</v>
      </c>
      <c r="B285" s="146" t="n">
        <v>46305</v>
      </c>
      <c r="C285" s="20">
        <f>G284</f>
        <v/>
      </c>
      <c r="D285" s="134">
        <f>E285-F285</f>
        <v/>
      </c>
      <c r="E285" s="20">
        <f>SUMPRODUCT((Income!D$3:D$502="GBP")*(Income!A$3:A$502=B285)*(Income!A$3:A$502&lt;&gt;"")*Income!C$3:C$502)</f>
        <v/>
      </c>
      <c r="F285" s="20">
        <f>SUMPRODUCT((Expenses!E$3:E$999="GBP")*(Expenses!A$3:A$999=B285)*(Expenses!A$3:A$999&lt;&gt;"")*Expenses!D$3:D$999)</f>
        <v/>
      </c>
      <c r="G285" s="134">
        <f>C285+D285</f>
        <v/>
      </c>
      <c r="H285" s="111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68">
      <c r="A286" s="19" t="n">
        <v>41</v>
      </c>
      <c r="B286" s="146" t="n">
        <v>46306</v>
      </c>
      <c r="C286" s="20">
        <f>G285</f>
        <v/>
      </c>
      <c r="D286" s="134">
        <f>E286-F286</f>
        <v/>
      </c>
      <c r="E286" s="20">
        <f>SUMPRODUCT((Income!D$3:D$502="GBP")*(Income!A$3:A$502=B286)*(Income!A$3:A$502&lt;&gt;"")*Income!C$3:C$502)</f>
        <v/>
      </c>
      <c r="F286" s="20">
        <f>SUMPRODUCT((Expenses!E$3:E$999="GBP")*(Expenses!A$3:A$999=B286)*(Expenses!A$3:A$999&lt;&gt;"")*Expenses!D$3:D$999)</f>
        <v/>
      </c>
      <c r="G286" s="134">
        <f>C286+D286</f>
        <v/>
      </c>
      <c r="H286" s="111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68">
      <c r="A287" s="19" t="n">
        <v>42</v>
      </c>
      <c r="B287" s="146" t="n">
        <v>46307</v>
      </c>
      <c r="C287" s="20">
        <f>G286</f>
        <v/>
      </c>
      <c r="D287" s="134">
        <f>E287-F287</f>
        <v/>
      </c>
      <c r="E287" s="20">
        <f>SUMPRODUCT((Income!D$3:D$502="GBP")*(Income!A$3:A$502=B287)*(Income!A$3:A$502&lt;&gt;"")*Income!C$3:C$502)</f>
        <v/>
      </c>
      <c r="F287" s="20">
        <f>SUMPRODUCT((Expenses!E$3:E$999="GBP")*(Expenses!A$3:A$999=B287)*(Expenses!A$3:A$999&lt;&gt;"")*Expenses!D$3:D$999)</f>
        <v/>
      </c>
      <c r="G287" s="134">
        <f>C287+D287</f>
        <v/>
      </c>
      <c r="H287" s="111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68">
      <c r="A288" s="19" t="n">
        <v>42</v>
      </c>
      <c r="B288" s="146" t="n">
        <v>46308</v>
      </c>
      <c r="C288" s="20">
        <f>G287</f>
        <v/>
      </c>
      <c r="D288" s="134">
        <f>E288-F288</f>
        <v/>
      </c>
      <c r="E288" s="20">
        <f>SUMPRODUCT((Income!D$3:D$502="GBP")*(Income!A$3:A$502=B288)*(Income!A$3:A$502&lt;&gt;"")*Income!C$3:C$502)</f>
        <v/>
      </c>
      <c r="F288" s="20">
        <f>SUMPRODUCT((Expenses!E$3:E$999="GBP")*(Expenses!A$3:A$999=B288)*(Expenses!A$3:A$999&lt;&gt;"")*Expenses!D$3:D$999)</f>
        <v/>
      </c>
      <c r="G288" s="134">
        <f>C288+D288</f>
        <v/>
      </c>
      <c r="H288" s="111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68">
      <c r="A289" s="19" t="n">
        <v>42</v>
      </c>
      <c r="B289" s="146" t="n">
        <v>46309</v>
      </c>
      <c r="C289" s="20">
        <f>G288</f>
        <v/>
      </c>
      <c r="D289" s="134">
        <f>E289-F289</f>
        <v/>
      </c>
      <c r="E289" s="20">
        <f>SUMPRODUCT((Income!D$3:D$502="GBP")*(Income!A$3:A$502=B289)*(Income!A$3:A$502&lt;&gt;"")*Income!C$3:C$502)</f>
        <v/>
      </c>
      <c r="F289" s="20">
        <f>SUMPRODUCT((Expenses!E$3:E$999="GBP")*(Expenses!A$3:A$999=B289)*(Expenses!A$3:A$999&lt;&gt;"")*Expenses!D$3:D$999)</f>
        <v/>
      </c>
      <c r="G289" s="134">
        <f>C289+D289</f>
        <v/>
      </c>
      <c r="H289" s="111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68">
      <c r="A290" s="19" t="n">
        <v>42</v>
      </c>
      <c r="B290" s="146" t="n">
        <v>46310</v>
      </c>
      <c r="C290" s="20">
        <f>G289</f>
        <v/>
      </c>
      <c r="D290" s="134">
        <f>E290-F290</f>
        <v/>
      </c>
      <c r="E290" s="20">
        <f>SUMPRODUCT((Income!D$3:D$502="GBP")*(Income!A$3:A$502=B290)*(Income!A$3:A$502&lt;&gt;"")*Income!C$3:C$502)</f>
        <v/>
      </c>
      <c r="F290" s="20">
        <f>SUMPRODUCT((Expenses!E$3:E$999="GBP")*(Expenses!A$3:A$999=B290)*(Expenses!A$3:A$999&lt;&gt;"")*Expenses!D$3:D$999)</f>
        <v/>
      </c>
      <c r="G290" s="134">
        <f>C290+D290</f>
        <v/>
      </c>
      <c r="H290" s="111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68">
      <c r="A291" s="19" t="n">
        <v>42</v>
      </c>
      <c r="B291" s="146" t="n">
        <v>46311</v>
      </c>
      <c r="C291" s="20">
        <f>G290</f>
        <v/>
      </c>
      <c r="D291" s="134">
        <f>E291-F291</f>
        <v/>
      </c>
      <c r="E291" s="20">
        <f>SUMPRODUCT((Income!D$3:D$502="GBP")*(Income!A$3:A$502=B291)*(Income!A$3:A$502&lt;&gt;"")*Income!C$3:C$502)</f>
        <v/>
      </c>
      <c r="F291" s="20">
        <f>SUMPRODUCT((Expenses!E$3:E$999="GBP")*(Expenses!A$3:A$999=B291)*(Expenses!A$3:A$999&lt;&gt;"")*Expenses!D$3:D$999)</f>
        <v/>
      </c>
      <c r="G291" s="134">
        <f>C291+D291</f>
        <v/>
      </c>
      <c r="H291" s="111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68">
      <c r="A292" s="19" t="n">
        <v>42</v>
      </c>
      <c r="B292" s="146" t="n">
        <v>46312</v>
      </c>
      <c r="C292" s="20">
        <f>G291</f>
        <v/>
      </c>
      <c r="D292" s="134">
        <f>E292-F292</f>
        <v/>
      </c>
      <c r="E292" s="20">
        <f>SUMPRODUCT((Income!D$3:D$502="GBP")*(Income!A$3:A$502=B292)*(Income!A$3:A$502&lt;&gt;"")*Income!C$3:C$502)</f>
        <v/>
      </c>
      <c r="F292" s="20">
        <f>SUMPRODUCT((Expenses!E$3:E$999="GBP")*(Expenses!A$3:A$999=B292)*(Expenses!A$3:A$999&lt;&gt;"")*Expenses!D$3:D$999)</f>
        <v/>
      </c>
      <c r="G292" s="134">
        <f>C292+D292</f>
        <v/>
      </c>
      <c r="H292" s="111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68">
      <c r="A293" s="19" t="n">
        <v>42</v>
      </c>
      <c r="B293" s="146" t="n">
        <v>46313</v>
      </c>
      <c r="C293" s="20">
        <f>G292</f>
        <v/>
      </c>
      <c r="D293" s="134">
        <f>E293-F293</f>
        <v/>
      </c>
      <c r="E293" s="20">
        <f>SUMPRODUCT((Income!D$3:D$502="GBP")*(Income!A$3:A$502=B293)*(Income!A$3:A$502&lt;&gt;"")*Income!C$3:C$502)</f>
        <v/>
      </c>
      <c r="F293" s="20">
        <f>SUMPRODUCT((Expenses!E$3:E$999="GBP")*(Expenses!A$3:A$999=B293)*(Expenses!A$3:A$999&lt;&gt;"")*Expenses!D$3:D$999)</f>
        <v/>
      </c>
      <c r="G293" s="134">
        <f>C293+D293</f>
        <v/>
      </c>
      <c r="H293" s="111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68">
      <c r="A294" s="19" t="n">
        <v>43</v>
      </c>
      <c r="B294" s="146" t="n">
        <v>46314</v>
      </c>
      <c r="C294" s="20">
        <f>G293</f>
        <v/>
      </c>
      <c r="D294" s="134">
        <f>E294-F294</f>
        <v/>
      </c>
      <c r="E294" s="20">
        <f>SUMPRODUCT((Income!D$3:D$502="GBP")*(Income!A$3:A$502=B294)*(Income!A$3:A$502&lt;&gt;"")*Income!C$3:C$502)</f>
        <v/>
      </c>
      <c r="F294" s="20">
        <f>SUMPRODUCT((Expenses!E$3:E$999="GBP")*(Expenses!A$3:A$999=B294)*(Expenses!A$3:A$999&lt;&gt;"")*Expenses!D$3:D$999)</f>
        <v/>
      </c>
      <c r="G294" s="134">
        <f>C294+D294</f>
        <v/>
      </c>
      <c r="H294" s="111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68">
      <c r="A295" s="19" t="n">
        <v>43</v>
      </c>
      <c r="B295" s="146" t="n">
        <v>46315</v>
      </c>
      <c r="C295" s="20">
        <f>G294</f>
        <v/>
      </c>
      <c r="D295" s="134">
        <f>E295-F295</f>
        <v/>
      </c>
      <c r="E295" s="20">
        <f>SUMPRODUCT((Income!D$3:D$502="GBP")*(Income!A$3:A$502=B295)*(Income!A$3:A$502&lt;&gt;"")*Income!C$3:C$502)</f>
        <v/>
      </c>
      <c r="F295" s="20">
        <f>SUMPRODUCT((Expenses!E$3:E$999="GBP")*(Expenses!A$3:A$999=B295)*(Expenses!A$3:A$999&lt;&gt;"")*Expenses!D$3:D$999)</f>
        <v/>
      </c>
      <c r="G295" s="134">
        <f>C295+D295</f>
        <v/>
      </c>
      <c r="H295" s="111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68">
      <c r="A296" s="19" t="n">
        <v>43</v>
      </c>
      <c r="B296" s="146" t="n">
        <v>46316</v>
      </c>
      <c r="C296" s="20">
        <f>G295</f>
        <v/>
      </c>
      <c r="D296" s="134">
        <f>E296-F296</f>
        <v/>
      </c>
      <c r="E296" s="20">
        <f>SUMPRODUCT((Income!D$3:D$502="GBP")*(Income!A$3:A$502=B296)*(Income!A$3:A$502&lt;&gt;"")*Income!C$3:C$502)</f>
        <v/>
      </c>
      <c r="F296" s="20">
        <f>SUMPRODUCT((Expenses!E$3:E$999="GBP")*(Expenses!A$3:A$999=B296)*(Expenses!A$3:A$999&lt;&gt;"")*Expenses!D$3:D$999)</f>
        <v/>
      </c>
      <c r="G296" s="134">
        <f>C296+D296</f>
        <v/>
      </c>
      <c r="H296" s="111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68">
      <c r="A297" s="19" t="n">
        <v>43</v>
      </c>
      <c r="B297" s="146" t="n">
        <v>46317</v>
      </c>
      <c r="C297" s="20">
        <f>G296</f>
        <v/>
      </c>
      <c r="D297" s="134">
        <f>E297-F297</f>
        <v/>
      </c>
      <c r="E297" s="20">
        <f>SUMPRODUCT((Income!D$3:D$502="GBP")*(Income!A$3:A$502=B297)*(Income!A$3:A$502&lt;&gt;"")*Income!C$3:C$502)</f>
        <v/>
      </c>
      <c r="F297" s="20">
        <f>SUMPRODUCT((Expenses!E$3:E$999="GBP")*(Expenses!A$3:A$999=B297)*(Expenses!A$3:A$999&lt;&gt;"")*Expenses!D$3:D$999)</f>
        <v/>
      </c>
      <c r="G297" s="134">
        <f>C297+D297</f>
        <v/>
      </c>
      <c r="H297" s="111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68">
      <c r="A298" s="19" t="n">
        <v>43</v>
      </c>
      <c r="B298" s="146" t="n">
        <v>46318</v>
      </c>
      <c r="C298" s="20">
        <f>G297</f>
        <v/>
      </c>
      <c r="D298" s="134">
        <f>E298-F298</f>
        <v/>
      </c>
      <c r="E298" s="20">
        <f>SUMPRODUCT((Income!D$3:D$502="GBP")*(Income!A$3:A$502=B298)*(Income!A$3:A$502&lt;&gt;"")*Income!C$3:C$502)</f>
        <v/>
      </c>
      <c r="F298" s="20">
        <f>SUMPRODUCT((Expenses!E$3:E$999="GBP")*(Expenses!A$3:A$999=B298)*(Expenses!A$3:A$999&lt;&gt;"")*Expenses!D$3:D$999)</f>
        <v/>
      </c>
      <c r="G298" s="134">
        <f>C298+D298</f>
        <v/>
      </c>
      <c r="H298" s="111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68">
      <c r="A299" s="19" t="n">
        <v>43</v>
      </c>
      <c r="B299" s="146" t="n">
        <v>46319</v>
      </c>
      <c r="C299" s="20">
        <f>G298</f>
        <v/>
      </c>
      <c r="D299" s="134">
        <f>E299-F299</f>
        <v/>
      </c>
      <c r="E299" s="20">
        <f>SUMPRODUCT((Income!D$3:D$502="GBP")*(Income!A$3:A$502=B299)*(Income!A$3:A$502&lt;&gt;"")*Income!C$3:C$502)</f>
        <v/>
      </c>
      <c r="F299" s="20">
        <f>SUMPRODUCT((Expenses!E$3:E$999="GBP")*(Expenses!A$3:A$999=B299)*(Expenses!A$3:A$999&lt;&gt;"")*Expenses!D$3:D$999)</f>
        <v/>
      </c>
      <c r="G299" s="134">
        <f>C299+D299</f>
        <v/>
      </c>
      <c r="H299" s="111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68">
      <c r="A300" s="19" t="n">
        <v>43</v>
      </c>
      <c r="B300" s="146" t="n">
        <v>46320</v>
      </c>
      <c r="C300" s="20">
        <f>G299</f>
        <v/>
      </c>
      <c r="D300" s="134">
        <f>E300-F300</f>
        <v/>
      </c>
      <c r="E300" s="20">
        <f>SUMPRODUCT((Income!D$3:D$502="GBP")*(Income!A$3:A$502=B300)*(Income!A$3:A$502&lt;&gt;"")*Income!C$3:C$502)</f>
        <v/>
      </c>
      <c r="F300" s="20">
        <f>SUMPRODUCT((Expenses!E$3:E$999="GBP")*(Expenses!A$3:A$999=B300)*(Expenses!A$3:A$999&lt;&gt;"")*Expenses!D$3:D$999)</f>
        <v/>
      </c>
      <c r="G300" s="134">
        <f>C300+D300</f>
        <v/>
      </c>
      <c r="H300" s="111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68">
      <c r="A301" s="19" t="n">
        <v>44</v>
      </c>
      <c r="B301" s="146" t="n">
        <v>46321</v>
      </c>
      <c r="C301" s="20">
        <f>G300</f>
        <v/>
      </c>
      <c r="D301" s="134">
        <f>E301-F301</f>
        <v/>
      </c>
      <c r="E301" s="20">
        <f>SUMPRODUCT((Income!D$3:D$502="GBP")*(Income!A$3:A$502=B301)*(Income!A$3:A$502&lt;&gt;"")*Income!C$3:C$502)</f>
        <v/>
      </c>
      <c r="F301" s="20">
        <f>SUMPRODUCT((Expenses!E$3:E$999="GBP")*(Expenses!A$3:A$999=B301)*(Expenses!A$3:A$999&lt;&gt;"")*Expenses!D$3:D$999)</f>
        <v/>
      </c>
      <c r="G301" s="134">
        <f>C301+D301</f>
        <v/>
      </c>
      <c r="H301" s="111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68">
      <c r="A302" s="19" t="n">
        <v>44</v>
      </c>
      <c r="B302" s="146" t="n">
        <v>46322</v>
      </c>
      <c r="C302" s="20">
        <f>G301</f>
        <v/>
      </c>
      <c r="D302" s="134">
        <f>E302-F302</f>
        <v/>
      </c>
      <c r="E302" s="20">
        <f>SUMPRODUCT((Income!D$3:D$502="GBP")*(Income!A$3:A$502=B302)*(Income!A$3:A$502&lt;&gt;"")*Income!C$3:C$502)</f>
        <v/>
      </c>
      <c r="F302" s="20">
        <f>SUMPRODUCT((Expenses!E$3:E$999="GBP")*(Expenses!A$3:A$999=B302)*(Expenses!A$3:A$999&lt;&gt;"")*Expenses!D$3:D$999)</f>
        <v/>
      </c>
      <c r="G302" s="134">
        <f>C302+D302</f>
        <v/>
      </c>
      <c r="H302" s="111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68">
      <c r="A303" s="19" t="n">
        <v>44</v>
      </c>
      <c r="B303" s="146" t="n">
        <v>46323</v>
      </c>
      <c r="C303" s="20">
        <f>G302</f>
        <v/>
      </c>
      <c r="D303" s="134">
        <f>E303-F303</f>
        <v/>
      </c>
      <c r="E303" s="20">
        <f>SUMPRODUCT((Income!D$3:D$502="GBP")*(Income!A$3:A$502=B303)*(Income!A$3:A$502&lt;&gt;"")*Income!C$3:C$502)</f>
        <v/>
      </c>
      <c r="F303" s="20">
        <f>SUMPRODUCT((Expenses!E$3:E$999="GBP")*(Expenses!A$3:A$999=B303)*(Expenses!A$3:A$999&lt;&gt;"")*Expenses!D$3:D$999)</f>
        <v/>
      </c>
      <c r="G303" s="134">
        <f>C303+D303</f>
        <v/>
      </c>
      <c r="H303" s="111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68">
      <c r="A304" s="19" t="n">
        <v>44</v>
      </c>
      <c r="B304" s="146" t="n">
        <v>46324</v>
      </c>
      <c r="C304" s="20">
        <f>G303</f>
        <v/>
      </c>
      <c r="D304" s="134">
        <f>E304-F304</f>
        <v/>
      </c>
      <c r="E304" s="20">
        <f>SUMPRODUCT((Income!D$3:D$502="GBP")*(Income!A$3:A$502=B304)*(Income!A$3:A$502&lt;&gt;"")*Income!C$3:C$502)</f>
        <v/>
      </c>
      <c r="F304" s="20">
        <f>SUMPRODUCT((Expenses!E$3:E$999="GBP")*(Expenses!A$3:A$999=B304)*(Expenses!A$3:A$999&lt;&gt;"")*Expenses!D$3:D$999)</f>
        <v/>
      </c>
      <c r="G304" s="134">
        <f>C304+D304</f>
        <v/>
      </c>
      <c r="H304" s="111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68">
      <c r="A305" s="19" t="n">
        <v>44</v>
      </c>
      <c r="B305" s="146" t="n">
        <v>46325</v>
      </c>
      <c r="C305" s="20">
        <f>G304</f>
        <v/>
      </c>
      <c r="D305" s="134">
        <f>E305-F305</f>
        <v/>
      </c>
      <c r="E305" s="20">
        <f>SUMPRODUCT((Income!D$3:D$502="GBP")*(Income!A$3:A$502=B305)*(Income!A$3:A$502&lt;&gt;"")*Income!C$3:C$502)</f>
        <v/>
      </c>
      <c r="F305" s="20">
        <f>SUMPRODUCT((Expenses!E$3:E$999="GBP")*(Expenses!A$3:A$999=B305)*(Expenses!A$3:A$999&lt;&gt;"")*Expenses!D$3:D$999)</f>
        <v/>
      </c>
      <c r="G305" s="134">
        <f>C305+D305</f>
        <v/>
      </c>
      <c r="H305" s="111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68">
      <c r="A306" s="19" t="n">
        <v>44</v>
      </c>
      <c r="B306" s="146" t="n">
        <v>46326</v>
      </c>
      <c r="C306" s="20">
        <f>G305</f>
        <v/>
      </c>
      <c r="D306" s="134">
        <f>E306-F306</f>
        <v/>
      </c>
      <c r="E306" s="20">
        <f>SUMPRODUCT((Income!D$3:D$502="GBP")*(Income!A$3:A$502=B306)*(Income!A$3:A$502&lt;&gt;"")*Income!C$3:C$502)</f>
        <v/>
      </c>
      <c r="F306" s="20">
        <f>SUMPRODUCT((Expenses!E$3:E$999="GBP")*(Expenses!A$3:A$999=B306)*(Expenses!A$3:A$999&lt;&gt;"")*Expenses!D$3:D$999)</f>
        <v/>
      </c>
      <c r="G306" s="134">
        <f>C306+D306</f>
        <v/>
      </c>
      <c r="H306" s="111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68">
      <c r="A307" s="19" t="n">
        <v>44</v>
      </c>
      <c r="B307" s="146" t="n">
        <v>46327</v>
      </c>
      <c r="C307" s="20">
        <f>G306</f>
        <v/>
      </c>
      <c r="D307" s="134">
        <f>E307-F307</f>
        <v/>
      </c>
      <c r="E307" s="20">
        <f>SUMPRODUCT((Income!D$3:D$502="GBP")*(Income!A$3:A$502=B307)*(Income!A$3:A$502&lt;&gt;"")*Income!C$3:C$502)</f>
        <v/>
      </c>
      <c r="F307" s="20">
        <f>SUMPRODUCT((Expenses!E$3:E$999="GBP")*(Expenses!A$3:A$999=B307)*(Expenses!A$3:A$999&lt;&gt;"")*Expenses!D$3:D$999)</f>
        <v/>
      </c>
      <c r="G307" s="134">
        <f>C307+D307</f>
        <v/>
      </c>
      <c r="H307" s="111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68">
      <c r="A308" s="19" t="n">
        <v>45</v>
      </c>
      <c r="B308" s="146" t="n">
        <v>46328</v>
      </c>
      <c r="C308" s="20">
        <f>G307</f>
        <v/>
      </c>
      <c r="D308" s="134">
        <f>E308-F308</f>
        <v/>
      </c>
      <c r="E308" s="20">
        <f>SUMPRODUCT((Income!D$3:D$502="GBP")*(Income!A$3:A$502=B308)*(Income!A$3:A$502&lt;&gt;"")*Income!C$3:C$502)</f>
        <v/>
      </c>
      <c r="F308" s="20">
        <f>SUMPRODUCT((Expenses!E$3:E$999="GBP")*(Expenses!A$3:A$999=B308)*(Expenses!A$3:A$999&lt;&gt;"")*Expenses!D$3:D$999)</f>
        <v/>
      </c>
      <c r="G308" s="134">
        <f>C308+D308</f>
        <v/>
      </c>
      <c r="H308" s="111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68">
      <c r="A309" s="19" t="n">
        <v>45</v>
      </c>
      <c r="B309" s="146" t="n">
        <v>46329</v>
      </c>
      <c r="C309" s="20">
        <f>G308</f>
        <v/>
      </c>
      <c r="D309" s="134">
        <f>E309-F309</f>
        <v/>
      </c>
      <c r="E309" s="20">
        <f>SUMPRODUCT((Income!D$3:D$502="GBP")*(Income!A$3:A$502=B309)*(Income!A$3:A$502&lt;&gt;"")*Income!C$3:C$502)</f>
        <v/>
      </c>
      <c r="F309" s="20">
        <f>SUMPRODUCT((Expenses!E$3:E$999="GBP")*(Expenses!A$3:A$999=B309)*(Expenses!A$3:A$999&lt;&gt;"")*Expenses!D$3:D$999)</f>
        <v/>
      </c>
      <c r="G309" s="134">
        <f>C309+D309</f>
        <v/>
      </c>
      <c r="H309" s="111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68">
      <c r="A310" s="19" t="n">
        <v>45</v>
      </c>
      <c r="B310" s="146" t="n">
        <v>46330</v>
      </c>
      <c r="C310" s="20">
        <f>G309</f>
        <v/>
      </c>
      <c r="D310" s="134">
        <f>E310-F310</f>
        <v/>
      </c>
      <c r="E310" s="20">
        <f>SUMPRODUCT((Income!D$3:D$502="GBP")*(Income!A$3:A$502=B310)*(Income!A$3:A$502&lt;&gt;"")*Income!C$3:C$502)</f>
        <v/>
      </c>
      <c r="F310" s="20">
        <f>SUMPRODUCT((Expenses!E$3:E$999="GBP")*(Expenses!A$3:A$999=B310)*(Expenses!A$3:A$999&lt;&gt;"")*Expenses!D$3:D$999)</f>
        <v/>
      </c>
      <c r="G310" s="134">
        <f>C310+D310</f>
        <v/>
      </c>
      <c r="H310" s="111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68">
      <c r="A311" s="19" t="n">
        <v>45</v>
      </c>
      <c r="B311" s="146" t="n">
        <v>46331</v>
      </c>
      <c r="C311" s="20">
        <f>G310</f>
        <v/>
      </c>
      <c r="D311" s="134">
        <f>E311-F311</f>
        <v/>
      </c>
      <c r="E311" s="20">
        <f>SUMPRODUCT((Income!D$3:D$502="GBP")*(Income!A$3:A$502=B311)*(Income!A$3:A$502&lt;&gt;"")*Income!C$3:C$502)</f>
        <v/>
      </c>
      <c r="F311" s="20">
        <f>SUMPRODUCT((Expenses!E$3:E$999="GBP")*(Expenses!A$3:A$999=B311)*(Expenses!A$3:A$999&lt;&gt;"")*Expenses!D$3:D$999)</f>
        <v/>
      </c>
      <c r="G311" s="134">
        <f>C311+D311</f>
        <v/>
      </c>
      <c r="H311" s="111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68">
      <c r="A312" s="19" t="n">
        <v>45</v>
      </c>
      <c r="B312" s="146" t="n">
        <v>46332</v>
      </c>
      <c r="C312" s="20">
        <f>G311</f>
        <v/>
      </c>
      <c r="D312" s="134">
        <f>E312-F312</f>
        <v/>
      </c>
      <c r="E312" s="20">
        <f>SUMPRODUCT((Income!D$3:D$502="GBP")*(Income!A$3:A$502=B312)*(Income!A$3:A$502&lt;&gt;"")*Income!C$3:C$502)</f>
        <v/>
      </c>
      <c r="F312" s="20">
        <f>SUMPRODUCT((Expenses!E$3:E$999="GBP")*(Expenses!A$3:A$999=B312)*(Expenses!A$3:A$999&lt;&gt;"")*Expenses!D$3:D$999)</f>
        <v/>
      </c>
      <c r="G312" s="134">
        <f>C312+D312</f>
        <v/>
      </c>
      <c r="H312" s="111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68">
      <c r="A313" s="19" t="n">
        <v>45</v>
      </c>
      <c r="B313" s="146" t="n">
        <v>46333</v>
      </c>
      <c r="C313" s="20">
        <f>G312</f>
        <v/>
      </c>
      <c r="D313" s="134">
        <f>E313-F313</f>
        <v/>
      </c>
      <c r="E313" s="20">
        <f>SUMPRODUCT((Income!D$3:D$502="GBP")*(Income!A$3:A$502=B313)*(Income!A$3:A$502&lt;&gt;"")*Income!C$3:C$502)</f>
        <v/>
      </c>
      <c r="F313" s="20">
        <f>SUMPRODUCT((Expenses!E$3:E$999="GBP")*(Expenses!A$3:A$999=B313)*(Expenses!A$3:A$999&lt;&gt;"")*Expenses!D$3:D$999)</f>
        <v/>
      </c>
      <c r="G313" s="134">
        <f>C313+D313</f>
        <v/>
      </c>
      <c r="H313" s="111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68">
      <c r="A314" s="19" t="n">
        <v>45</v>
      </c>
      <c r="B314" s="146" t="n">
        <v>46334</v>
      </c>
      <c r="C314" s="20">
        <f>G313</f>
        <v/>
      </c>
      <c r="D314" s="134">
        <f>E314-F314</f>
        <v/>
      </c>
      <c r="E314" s="20">
        <f>SUMPRODUCT((Income!D$3:D$502="GBP")*(Income!A$3:A$502=B314)*(Income!A$3:A$502&lt;&gt;"")*Income!C$3:C$502)</f>
        <v/>
      </c>
      <c r="F314" s="20">
        <f>SUMPRODUCT((Expenses!E$3:E$999="GBP")*(Expenses!A$3:A$999=B314)*(Expenses!A$3:A$999&lt;&gt;"")*Expenses!D$3:D$999)</f>
        <v/>
      </c>
      <c r="G314" s="134">
        <f>C314+D314</f>
        <v/>
      </c>
      <c r="H314" s="111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68">
      <c r="A315" s="19" t="n">
        <v>46</v>
      </c>
      <c r="B315" s="146" t="n">
        <v>46335</v>
      </c>
      <c r="C315" s="20">
        <f>G314</f>
        <v/>
      </c>
      <c r="D315" s="134">
        <f>E315-F315</f>
        <v/>
      </c>
      <c r="E315" s="20">
        <f>SUMPRODUCT((Income!D$3:D$502="GBP")*(Income!A$3:A$502=B315)*(Income!A$3:A$502&lt;&gt;"")*Income!C$3:C$502)</f>
        <v/>
      </c>
      <c r="F315" s="20">
        <f>SUMPRODUCT((Expenses!E$3:E$999="GBP")*(Expenses!A$3:A$999=B315)*(Expenses!A$3:A$999&lt;&gt;"")*Expenses!D$3:D$999)</f>
        <v/>
      </c>
      <c r="G315" s="134">
        <f>C315+D315</f>
        <v/>
      </c>
      <c r="H315" s="111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68">
      <c r="A316" s="19" t="n">
        <v>46</v>
      </c>
      <c r="B316" s="146" t="n">
        <v>46336</v>
      </c>
      <c r="C316" s="20">
        <f>G315</f>
        <v/>
      </c>
      <c r="D316" s="134">
        <f>E316-F316</f>
        <v/>
      </c>
      <c r="E316" s="20">
        <f>SUMPRODUCT((Income!D$3:D$502="GBP")*(Income!A$3:A$502=B316)*(Income!A$3:A$502&lt;&gt;"")*Income!C$3:C$502)</f>
        <v/>
      </c>
      <c r="F316" s="20">
        <f>SUMPRODUCT((Expenses!E$3:E$999="GBP")*(Expenses!A$3:A$999=B316)*(Expenses!A$3:A$999&lt;&gt;"")*Expenses!D$3:D$999)</f>
        <v/>
      </c>
      <c r="G316" s="134">
        <f>C316+D316</f>
        <v/>
      </c>
      <c r="H316" s="111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68">
      <c r="A317" s="19" t="n">
        <v>46</v>
      </c>
      <c r="B317" s="146" t="n">
        <v>46337</v>
      </c>
      <c r="C317" s="20">
        <f>G316</f>
        <v/>
      </c>
      <c r="D317" s="134">
        <f>E317-F317</f>
        <v/>
      </c>
      <c r="E317" s="20">
        <f>SUMPRODUCT((Income!D$3:D$502="GBP")*(Income!A$3:A$502=B317)*(Income!A$3:A$502&lt;&gt;"")*Income!C$3:C$502)</f>
        <v/>
      </c>
      <c r="F317" s="20">
        <f>SUMPRODUCT((Expenses!E$3:E$999="GBP")*(Expenses!A$3:A$999=B317)*(Expenses!A$3:A$999&lt;&gt;"")*Expenses!D$3:D$999)</f>
        <v/>
      </c>
      <c r="G317" s="134">
        <f>C317+D317</f>
        <v/>
      </c>
      <c r="H317" s="111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68">
      <c r="A318" s="19" t="n">
        <v>46</v>
      </c>
      <c r="B318" s="146" t="n">
        <v>46338</v>
      </c>
      <c r="C318" s="20">
        <f>G317</f>
        <v/>
      </c>
      <c r="D318" s="134">
        <f>E318-F318</f>
        <v/>
      </c>
      <c r="E318" s="20">
        <f>SUMPRODUCT((Income!D$3:D$502="GBP")*(Income!A$3:A$502=B318)*(Income!A$3:A$502&lt;&gt;"")*Income!C$3:C$502)</f>
        <v/>
      </c>
      <c r="F318" s="20">
        <f>SUMPRODUCT((Expenses!E$3:E$999="GBP")*(Expenses!A$3:A$999=B318)*(Expenses!A$3:A$999&lt;&gt;"")*Expenses!D$3:D$999)</f>
        <v/>
      </c>
      <c r="G318" s="134">
        <f>C318+D318</f>
        <v/>
      </c>
      <c r="H318" s="111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68">
      <c r="A319" s="19" t="n">
        <v>46</v>
      </c>
      <c r="B319" s="146" t="n">
        <v>46339</v>
      </c>
      <c r="C319" s="20">
        <f>G318</f>
        <v/>
      </c>
      <c r="D319" s="134">
        <f>E319-F319</f>
        <v/>
      </c>
      <c r="E319" s="20">
        <f>SUMPRODUCT((Income!D$3:D$502="GBP")*(Income!A$3:A$502=B319)*(Income!A$3:A$502&lt;&gt;"")*Income!C$3:C$502)</f>
        <v/>
      </c>
      <c r="F319" s="20">
        <f>SUMPRODUCT((Expenses!E$3:E$999="GBP")*(Expenses!A$3:A$999=B319)*(Expenses!A$3:A$999&lt;&gt;"")*Expenses!D$3:D$999)</f>
        <v/>
      </c>
      <c r="G319" s="134">
        <f>C319+D319</f>
        <v/>
      </c>
      <c r="H319" s="111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68">
      <c r="A320" s="19" t="n">
        <v>46</v>
      </c>
      <c r="B320" s="146" t="n">
        <v>46340</v>
      </c>
      <c r="C320" s="20">
        <f>G319</f>
        <v/>
      </c>
      <c r="D320" s="134">
        <f>E320-F320</f>
        <v/>
      </c>
      <c r="E320" s="20">
        <f>SUMPRODUCT((Income!D$3:D$502="GBP")*(Income!A$3:A$502=B320)*(Income!A$3:A$502&lt;&gt;"")*Income!C$3:C$502)</f>
        <v/>
      </c>
      <c r="F320" s="20">
        <f>SUMPRODUCT((Expenses!E$3:E$999="GBP")*(Expenses!A$3:A$999=B320)*(Expenses!A$3:A$999&lt;&gt;"")*Expenses!D$3:D$999)</f>
        <v/>
      </c>
      <c r="G320" s="134">
        <f>C320+D320</f>
        <v/>
      </c>
      <c r="H320" s="111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68">
      <c r="A321" s="19" t="n">
        <v>46</v>
      </c>
      <c r="B321" s="146" t="n">
        <v>46341</v>
      </c>
      <c r="C321" s="20">
        <f>G320</f>
        <v/>
      </c>
      <c r="D321" s="134">
        <f>E321-F321</f>
        <v/>
      </c>
      <c r="E321" s="20">
        <f>SUMPRODUCT((Income!D$3:D$502="GBP")*(Income!A$3:A$502=B321)*(Income!A$3:A$502&lt;&gt;"")*Income!C$3:C$502)</f>
        <v/>
      </c>
      <c r="F321" s="20">
        <f>SUMPRODUCT((Expenses!E$3:E$999="GBP")*(Expenses!A$3:A$999=B321)*(Expenses!A$3:A$999&lt;&gt;"")*Expenses!D$3:D$999)</f>
        <v/>
      </c>
      <c r="G321" s="134">
        <f>C321+D321</f>
        <v/>
      </c>
      <c r="H321" s="111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68">
      <c r="A322" s="19" t="n">
        <v>47</v>
      </c>
      <c r="B322" s="146" t="n">
        <v>46342</v>
      </c>
      <c r="C322" s="20">
        <f>G321</f>
        <v/>
      </c>
      <c r="D322" s="134">
        <f>E322-F322</f>
        <v/>
      </c>
      <c r="E322" s="20">
        <f>SUMPRODUCT((Income!D$3:D$502="GBP")*(Income!A$3:A$502=B322)*(Income!A$3:A$502&lt;&gt;"")*Income!C$3:C$502)</f>
        <v/>
      </c>
      <c r="F322" s="20">
        <f>SUMPRODUCT((Expenses!E$3:E$999="GBP")*(Expenses!A$3:A$999=B322)*(Expenses!A$3:A$999&lt;&gt;"")*Expenses!D$3:D$999)</f>
        <v/>
      </c>
      <c r="G322" s="134">
        <f>C322+D322</f>
        <v/>
      </c>
      <c r="H322" s="111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68">
      <c r="A323" s="19" t="n">
        <v>47</v>
      </c>
      <c r="B323" s="146" t="n">
        <v>46343</v>
      </c>
      <c r="C323" s="20">
        <f>G322</f>
        <v/>
      </c>
      <c r="D323" s="134">
        <f>E323-F323</f>
        <v/>
      </c>
      <c r="E323" s="20">
        <f>SUMPRODUCT((Income!D$3:D$502="GBP")*(Income!A$3:A$502=B323)*(Income!A$3:A$502&lt;&gt;"")*Income!C$3:C$502)</f>
        <v/>
      </c>
      <c r="F323" s="20">
        <f>SUMPRODUCT((Expenses!E$3:E$999="GBP")*(Expenses!A$3:A$999=B323)*(Expenses!A$3:A$999&lt;&gt;"")*Expenses!D$3:D$999)</f>
        <v/>
      </c>
      <c r="G323" s="134">
        <f>C323+D323</f>
        <v/>
      </c>
      <c r="H323" s="111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68">
      <c r="A324" s="19" t="n">
        <v>47</v>
      </c>
      <c r="B324" s="146" t="n">
        <v>46344</v>
      </c>
      <c r="C324" s="20">
        <f>G323</f>
        <v/>
      </c>
      <c r="D324" s="134">
        <f>E324-F324</f>
        <v/>
      </c>
      <c r="E324" s="20">
        <f>SUMPRODUCT((Income!D$3:D$502="GBP")*(Income!A$3:A$502=B324)*(Income!A$3:A$502&lt;&gt;"")*Income!C$3:C$502)</f>
        <v/>
      </c>
      <c r="F324" s="20">
        <f>SUMPRODUCT((Expenses!E$3:E$999="GBP")*(Expenses!A$3:A$999=B324)*(Expenses!A$3:A$999&lt;&gt;"")*Expenses!D$3:D$999)</f>
        <v/>
      </c>
      <c r="G324" s="134">
        <f>C324+D324</f>
        <v/>
      </c>
      <c r="H324" s="111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68">
      <c r="A325" s="19" t="n">
        <v>47</v>
      </c>
      <c r="B325" s="146" t="n">
        <v>46345</v>
      </c>
      <c r="C325" s="20">
        <f>G324</f>
        <v/>
      </c>
      <c r="D325" s="134">
        <f>E325-F325</f>
        <v/>
      </c>
      <c r="E325" s="20">
        <f>SUMPRODUCT((Income!D$3:D$502="GBP")*(Income!A$3:A$502=B325)*(Income!A$3:A$502&lt;&gt;"")*Income!C$3:C$502)</f>
        <v/>
      </c>
      <c r="F325" s="20">
        <f>SUMPRODUCT((Expenses!E$3:E$999="GBP")*(Expenses!A$3:A$999=B325)*(Expenses!A$3:A$999&lt;&gt;"")*Expenses!D$3:D$999)</f>
        <v/>
      </c>
      <c r="G325" s="134">
        <f>C325+D325</f>
        <v/>
      </c>
      <c r="H325" s="111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68">
      <c r="A326" s="19" t="n">
        <v>47</v>
      </c>
      <c r="B326" s="146" t="n">
        <v>46346</v>
      </c>
      <c r="C326" s="20">
        <f>G325</f>
        <v/>
      </c>
      <c r="D326" s="134">
        <f>E326-F326</f>
        <v/>
      </c>
      <c r="E326" s="20">
        <f>SUMPRODUCT((Income!D$3:D$502="GBP")*(Income!A$3:A$502=B326)*(Income!A$3:A$502&lt;&gt;"")*Income!C$3:C$502)</f>
        <v/>
      </c>
      <c r="F326" s="20">
        <f>SUMPRODUCT((Expenses!E$3:E$999="GBP")*(Expenses!A$3:A$999=B326)*(Expenses!A$3:A$999&lt;&gt;"")*Expenses!D$3:D$999)</f>
        <v/>
      </c>
      <c r="G326" s="134">
        <f>C326+D326</f>
        <v/>
      </c>
      <c r="H326" s="111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68">
      <c r="A327" s="19" t="n">
        <v>47</v>
      </c>
      <c r="B327" s="146" t="n">
        <v>46347</v>
      </c>
      <c r="C327" s="20">
        <f>G326</f>
        <v/>
      </c>
      <c r="D327" s="134">
        <f>E327-F327</f>
        <v/>
      </c>
      <c r="E327" s="20">
        <f>SUMPRODUCT((Income!D$3:D$502="GBP")*(Income!A$3:A$502=B327)*(Income!A$3:A$502&lt;&gt;"")*Income!C$3:C$502)</f>
        <v/>
      </c>
      <c r="F327" s="20">
        <f>SUMPRODUCT((Expenses!E$3:E$999="GBP")*(Expenses!A$3:A$999=B327)*(Expenses!A$3:A$999&lt;&gt;"")*Expenses!D$3:D$999)</f>
        <v/>
      </c>
      <c r="G327" s="134">
        <f>C327+D327</f>
        <v/>
      </c>
      <c r="H327" s="111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68">
      <c r="A328" s="19" t="n">
        <v>47</v>
      </c>
      <c r="B328" s="146" t="n">
        <v>46348</v>
      </c>
      <c r="C328" s="20">
        <f>G327</f>
        <v/>
      </c>
      <c r="D328" s="134">
        <f>E328-F328</f>
        <v/>
      </c>
      <c r="E328" s="20">
        <f>SUMPRODUCT((Income!D$3:D$502="GBP")*(Income!A$3:A$502=B328)*(Income!A$3:A$502&lt;&gt;"")*Income!C$3:C$502)</f>
        <v/>
      </c>
      <c r="F328" s="20">
        <f>SUMPRODUCT((Expenses!E$3:E$999="GBP")*(Expenses!A$3:A$999=B328)*(Expenses!A$3:A$999&lt;&gt;"")*Expenses!D$3:D$999)</f>
        <v/>
      </c>
      <c r="G328" s="134">
        <f>C328+D328</f>
        <v/>
      </c>
      <c r="H328" s="111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68">
      <c r="A329" s="19" t="n">
        <v>48</v>
      </c>
      <c r="B329" s="146" t="n">
        <v>46349</v>
      </c>
      <c r="C329" s="20">
        <f>G328</f>
        <v/>
      </c>
      <c r="D329" s="134">
        <f>E329-F329</f>
        <v/>
      </c>
      <c r="E329" s="20">
        <f>SUMPRODUCT((Income!D$3:D$502="GBP")*(Income!A$3:A$502=B329)*(Income!A$3:A$502&lt;&gt;"")*Income!C$3:C$502)</f>
        <v/>
      </c>
      <c r="F329" s="20">
        <f>SUMPRODUCT((Expenses!E$3:E$999="GBP")*(Expenses!A$3:A$999=B329)*(Expenses!A$3:A$999&lt;&gt;"")*Expenses!D$3:D$999)</f>
        <v/>
      </c>
      <c r="G329" s="134">
        <f>C329+D329</f>
        <v/>
      </c>
      <c r="H329" s="111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68">
      <c r="A330" s="19" t="n">
        <v>48</v>
      </c>
      <c r="B330" s="146" t="n">
        <v>46350</v>
      </c>
      <c r="C330" s="20">
        <f>G329</f>
        <v/>
      </c>
      <c r="D330" s="134">
        <f>E330-F330</f>
        <v/>
      </c>
      <c r="E330" s="20">
        <f>SUMPRODUCT((Income!D$3:D$502="GBP")*(Income!A$3:A$502=B330)*(Income!A$3:A$502&lt;&gt;"")*Income!C$3:C$502)</f>
        <v/>
      </c>
      <c r="F330" s="20">
        <f>SUMPRODUCT((Expenses!E$3:E$999="GBP")*(Expenses!A$3:A$999=B330)*(Expenses!A$3:A$999&lt;&gt;"")*Expenses!D$3:D$999)</f>
        <v/>
      </c>
      <c r="G330" s="134">
        <f>C330+D330</f>
        <v/>
      </c>
      <c r="H330" s="111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68">
      <c r="A331" s="19" t="n">
        <v>48</v>
      </c>
      <c r="B331" s="146" t="n">
        <v>46351</v>
      </c>
      <c r="C331" s="20">
        <f>G330</f>
        <v/>
      </c>
      <c r="D331" s="134">
        <f>E331-F331</f>
        <v/>
      </c>
      <c r="E331" s="20">
        <f>SUMPRODUCT((Income!D$3:D$502="GBP")*(Income!A$3:A$502=B331)*(Income!A$3:A$502&lt;&gt;"")*Income!C$3:C$502)</f>
        <v/>
      </c>
      <c r="F331" s="20">
        <f>SUMPRODUCT((Expenses!E$3:E$999="GBP")*(Expenses!A$3:A$999=B331)*(Expenses!A$3:A$999&lt;&gt;"")*Expenses!D$3:D$999)</f>
        <v/>
      </c>
      <c r="G331" s="134">
        <f>C331+D331</f>
        <v/>
      </c>
      <c r="H331" s="111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68">
      <c r="A332" s="19" t="n">
        <v>48</v>
      </c>
      <c r="B332" s="146" t="n">
        <v>46352</v>
      </c>
      <c r="C332" s="20">
        <f>G331</f>
        <v/>
      </c>
      <c r="D332" s="134">
        <f>E332-F332</f>
        <v/>
      </c>
      <c r="E332" s="20">
        <f>SUMPRODUCT((Income!D$3:D$502="GBP")*(Income!A$3:A$502=B332)*(Income!A$3:A$502&lt;&gt;"")*Income!C$3:C$502)</f>
        <v/>
      </c>
      <c r="F332" s="20">
        <f>SUMPRODUCT((Expenses!E$3:E$999="GBP")*(Expenses!A$3:A$999=B332)*(Expenses!A$3:A$999&lt;&gt;"")*Expenses!D$3:D$999)</f>
        <v/>
      </c>
      <c r="G332" s="134">
        <f>C332+D332</f>
        <v/>
      </c>
      <c r="H332" s="111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68">
      <c r="A333" s="19" t="n">
        <v>48</v>
      </c>
      <c r="B333" s="146" t="n">
        <v>46353</v>
      </c>
      <c r="C333" s="20">
        <f>G332</f>
        <v/>
      </c>
      <c r="D333" s="134">
        <f>E333-F333</f>
        <v/>
      </c>
      <c r="E333" s="20">
        <f>SUMPRODUCT((Income!D$3:D$502="GBP")*(Income!A$3:A$502=B333)*(Income!A$3:A$502&lt;&gt;"")*Income!C$3:C$502)</f>
        <v/>
      </c>
      <c r="F333" s="20">
        <f>SUMPRODUCT((Expenses!E$3:E$999="GBP")*(Expenses!A$3:A$999=B333)*(Expenses!A$3:A$999&lt;&gt;"")*Expenses!D$3:D$999)</f>
        <v/>
      </c>
      <c r="G333" s="134">
        <f>C333+D333</f>
        <v/>
      </c>
      <c r="H333" s="111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68">
      <c r="A334" s="19" t="n">
        <v>48</v>
      </c>
      <c r="B334" s="146" t="n">
        <v>46354</v>
      </c>
      <c r="C334" s="20">
        <f>G333</f>
        <v/>
      </c>
      <c r="D334" s="134">
        <f>E334-F334</f>
        <v/>
      </c>
      <c r="E334" s="20">
        <f>SUMPRODUCT((Income!D$3:D$502="GBP")*(Income!A$3:A$502=B334)*(Income!A$3:A$502&lt;&gt;"")*Income!C$3:C$502)</f>
        <v/>
      </c>
      <c r="F334" s="20">
        <f>SUMPRODUCT((Expenses!E$3:E$999="GBP")*(Expenses!A$3:A$999=B334)*(Expenses!A$3:A$999&lt;&gt;"")*Expenses!D$3:D$999)</f>
        <v/>
      </c>
      <c r="G334" s="134">
        <f>C334+D334</f>
        <v/>
      </c>
      <c r="H334" s="111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68">
      <c r="A335" s="19" t="n">
        <v>48</v>
      </c>
      <c r="B335" s="146" t="n">
        <v>46355</v>
      </c>
      <c r="C335" s="20">
        <f>G334</f>
        <v/>
      </c>
      <c r="D335" s="134">
        <f>E335-F335</f>
        <v/>
      </c>
      <c r="E335" s="20">
        <f>SUMPRODUCT((Income!D$3:D$502="GBP")*(Income!A$3:A$502=B335)*(Income!A$3:A$502&lt;&gt;"")*Income!C$3:C$502)</f>
        <v/>
      </c>
      <c r="F335" s="20">
        <f>SUMPRODUCT((Expenses!E$3:E$999="GBP")*(Expenses!A$3:A$999=B335)*(Expenses!A$3:A$999&lt;&gt;"")*Expenses!D$3:D$999)</f>
        <v/>
      </c>
      <c r="G335" s="134">
        <f>C335+D335</f>
        <v/>
      </c>
      <c r="H335" s="111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68">
      <c r="A336" s="19" t="n">
        <v>49</v>
      </c>
      <c r="B336" s="146" t="n">
        <v>46356</v>
      </c>
      <c r="C336" s="20">
        <f>G335</f>
        <v/>
      </c>
      <c r="D336" s="134">
        <f>E336-F336</f>
        <v/>
      </c>
      <c r="E336" s="20">
        <f>SUMPRODUCT((Income!D$3:D$502="GBP")*(Income!A$3:A$502=B336)*(Income!A$3:A$502&lt;&gt;"")*Income!C$3:C$502)</f>
        <v/>
      </c>
      <c r="F336" s="20">
        <f>SUMPRODUCT((Expenses!E$3:E$999="GBP")*(Expenses!A$3:A$999=B336)*(Expenses!A$3:A$999&lt;&gt;"")*Expenses!D$3:D$999)</f>
        <v/>
      </c>
      <c r="G336" s="134">
        <f>C336+D336</f>
        <v/>
      </c>
      <c r="H336" s="111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68">
      <c r="A337" s="19" t="n">
        <v>49</v>
      </c>
      <c r="B337" s="146" t="n">
        <v>46357</v>
      </c>
      <c r="C337" s="20">
        <f>G336</f>
        <v/>
      </c>
      <c r="D337" s="134">
        <f>E337-F337</f>
        <v/>
      </c>
      <c r="E337" s="20">
        <f>SUMPRODUCT((Income!D$3:D$502="GBP")*(Income!A$3:A$502=B337)*(Income!A$3:A$502&lt;&gt;"")*Income!C$3:C$502)</f>
        <v/>
      </c>
      <c r="F337" s="20">
        <f>SUMPRODUCT((Expenses!E$3:E$999="GBP")*(Expenses!A$3:A$999=B337)*(Expenses!A$3:A$999&lt;&gt;"")*Expenses!D$3:D$999)</f>
        <v/>
      </c>
      <c r="G337" s="134">
        <f>C337+D337</f>
        <v/>
      </c>
      <c r="H337" s="111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68">
      <c r="A338" s="19" t="n">
        <v>49</v>
      </c>
      <c r="B338" s="146" t="n">
        <v>46358</v>
      </c>
      <c r="C338" s="20">
        <f>G337</f>
        <v/>
      </c>
      <c r="D338" s="134">
        <f>E338-F338</f>
        <v/>
      </c>
      <c r="E338" s="20">
        <f>SUMPRODUCT((Income!D$3:D$502="GBP")*(Income!A$3:A$502=B338)*(Income!A$3:A$502&lt;&gt;"")*Income!C$3:C$502)</f>
        <v/>
      </c>
      <c r="F338" s="20">
        <f>SUMPRODUCT((Expenses!E$3:E$999="GBP")*(Expenses!A$3:A$999=B338)*(Expenses!A$3:A$999&lt;&gt;"")*Expenses!D$3:D$999)</f>
        <v/>
      </c>
      <c r="G338" s="134">
        <f>C338+D338</f>
        <v/>
      </c>
      <c r="H338" s="111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68">
      <c r="A339" s="19" t="n">
        <v>49</v>
      </c>
      <c r="B339" s="146" t="n">
        <v>46359</v>
      </c>
      <c r="C339" s="20">
        <f>G338</f>
        <v/>
      </c>
      <c r="D339" s="134">
        <f>E339-F339</f>
        <v/>
      </c>
      <c r="E339" s="20">
        <f>SUMPRODUCT((Income!D$3:D$502="GBP")*(Income!A$3:A$502=B339)*(Income!A$3:A$502&lt;&gt;"")*Income!C$3:C$502)</f>
        <v/>
      </c>
      <c r="F339" s="20">
        <f>SUMPRODUCT((Expenses!E$3:E$999="GBP")*(Expenses!A$3:A$999=B339)*(Expenses!A$3:A$999&lt;&gt;"")*Expenses!D$3:D$999)</f>
        <v/>
      </c>
      <c r="G339" s="134">
        <f>C339+D339</f>
        <v/>
      </c>
      <c r="H339" s="111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68">
      <c r="A340" s="19" t="n">
        <v>49</v>
      </c>
      <c r="B340" s="146" t="n">
        <v>46360</v>
      </c>
      <c r="C340" s="20">
        <f>G339</f>
        <v/>
      </c>
      <c r="D340" s="134">
        <f>E340-F340</f>
        <v/>
      </c>
      <c r="E340" s="20">
        <f>SUMPRODUCT((Income!D$3:D$502="GBP")*(Income!A$3:A$502=B340)*(Income!A$3:A$502&lt;&gt;"")*Income!C$3:C$502)</f>
        <v/>
      </c>
      <c r="F340" s="20">
        <f>SUMPRODUCT((Expenses!E$3:E$999="GBP")*(Expenses!A$3:A$999=B340)*(Expenses!A$3:A$999&lt;&gt;"")*Expenses!D$3:D$999)</f>
        <v/>
      </c>
      <c r="G340" s="134">
        <f>C340+D340</f>
        <v/>
      </c>
      <c r="H340" s="111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68">
      <c r="A341" s="19" t="n">
        <v>49</v>
      </c>
      <c r="B341" s="146" t="n">
        <v>46361</v>
      </c>
      <c r="C341" s="20">
        <f>G340</f>
        <v/>
      </c>
      <c r="D341" s="134">
        <f>E341-F341</f>
        <v/>
      </c>
      <c r="E341" s="20">
        <f>SUMPRODUCT((Income!D$3:D$502="GBP")*(Income!A$3:A$502=B341)*(Income!A$3:A$502&lt;&gt;"")*Income!C$3:C$502)</f>
        <v/>
      </c>
      <c r="F341" s="20">
        <f>SUMPRODUCT((Expenses!E$3:E$999="GBP")*(Expenses!A$3:A$999=B341)*(Expenses!A$3:A$999&lt;&gt;"")*Expenses!D$3:D$999)</f>
        <v/>
      </c>
      <c r="G341" s="134">
        <f>C341+D341</f>
        <v/>
      </c>
      <c r="H341" s="111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68">
      <c r="A342" s="19" t="n">
        <v>49</v>
      </c>
      <c r="B342" s="146" t="n">
        <v>46362</v>
      </c>
      <c r="C342" s="20">
        <f>G341</f>
        <v/>
      </c>
      <c r="D342" s="134">
        <f>E342-F342</f>
        <v/>
      </c>
      <c r="E342" s="20">
        <f>SUMPRODUCT((Income!D$3:D$502="GBP")*(Income!A$3:A$502=B342)*(Income!A$3:A$502&lt;&gt;"")*Income!C$3:C$502)</f>
        <v/>
      </c>
      <c r="F342" s="20">
        <f>SUMPRODUCT((Expenses!E$3:E$999="GBP")*(Expenses!A$3:A$999=B342)*(Expenses!A$3:A$999&lt;&gt;"")*Expenses!D$3:D$999)</f>
        <v/>
      </c>
      <c r="G342" s="134">
        <f>C342+D342</f>
        <v/>
      </c>
      <c r="H342" s="111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68">
      <c r="A343" s="19" t="n">
        <v>50</v>
      </c>
      <c r="B343" s="146" t="n">
        <v>46363</v>
      </c>
      <c r="C343" s="20">
        <f>G342</f>
        <v/>
      </c>
      <c r="D343" s="134">
        <f>E343-F343</f>
        <v/>
      </c>
      <c r="E343" s="20">
        <f>SUMPRODUCT((Income!D$3:D$502="GBP")*(Income!A$3:A$502=B343)*(Income!A$3:A$502&lt;&gt;"")*Income!C$3:C$502)</f>
        <v/>
      </c>
      <c r="F343" s="20">
        <f>SUMPRODUCT((Expenses!E$3:E$999="GBP")*(Expenses!A$3:A$999=B343)*(Expenses!A$3:A$999&lt;&gt;"")*Expenses!D$3:D$999)</f>
        <v/>
      </c>
      <c r="G343" s="134">
        <f>C343+D343</f>
        <v/>
      </c>
      <c r="H343" s="111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68">
      <c r="A344" s="19" t="n">
        <v>50</v>
      </c>
      <c r="B344" s="146" t="n">
        <v>46364</v>
      </c>
      <c r="C344" s="20">
        <f>G343</f>
        <v/>
      </c>
      <c r="D344" s="134">
        <f>E344-F344</f>
        <v/>
      </c>
      <c r="E344" s="20">
        <f>SUMPRODUCT((Income!D$3:D$502="GBP")*(Income!A$3:A$502=B344)*(Income!A$3:A$502&lt;&gt;"")*Income!C$3:C$502)</f>
        <v/>
      </c>
      <c r="F344" s="20">
        <f>SUMPRODUCT((Expenses!E$3:E$999="GBP")*(Expenses!A$3:A$999=B344)*(Expenses!A$3:A$999&lt;&gt;"")*Expenses!D$3:D$999)</f>
        <v/>
      </c>
      <c r="G344" s="134">
        <f>C344+D344</f>
        <v/>
      </c>
      <c r="H344" s="111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68">
      <c r="A345" s="19" t="n">
        <v>50</v>
      </c>
      <c r="B345" s="146" t="n">
        <v>46365</v>
      </c>
      <c r="C345" s="20">
        <f>G344</f>
        <v/>
      </c>
      <c r="D345" s="134">
        <f>E345-F345</f>
        <v/>
      </c>
      <c r="E345" s="20">
        <f>SUMPRODUCT((Income!D$3:D$502="GBP")*(Income!A$3:A$502=B345)*(Income!A$3:A$502&lt;&gt;"")*Income!C$3:C$502)</f>
        <v/>
      </c>
      <c r="F345" s="20">
        <f>SUMPRODUCT((Expenses!E$3:E$999="GBP")*(Expenses!A$3:A$999=B345)*(Expenses!A$3:A$999&lt;&gt;"")*Expenses!D$3:D$999)</f>
        <v/>
      </c>
      <c r="G345" s="134">
        <f>C345+D345</f>
        <v/>
      </c>
      <c r="H345" s="111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68">
      <c r="A346" s="19" t="n">
        <v>50</v>
      </c>
      <c r="B346" s="146" t="n">
        <v>46366</v>
      </c>
      <c r="C346" s="20">
        <f>G345</f>
        <v/>
      </c>
      <c r="D346" s="134">
        <f>E346-F346</f>
        <v/>
      </c>
      <c r="E346" s="20">
        <f>SUMPRODUCT((Income!D$3:D$502="GBP")*(Income!A$3:A$502=B346)*(Income!A$3:A$502&lt;&gt;"")*Income!C$3:C$502)</f>
        <v/>
      </c>
      <c r="F346" s="20">
        <f>SUMPRODUCT((Expenses!E$3:E$999="GBP")*(Expenses!A$3:A$999=B346)*(Expenses!A$3:A$999&lt;&gt;"")*Expenses!D$3:D$999)</f>
        <v/>
      </c>
      <c r="G346" s="134">
        <f>C346+D346</f>
        <v/>
      </c>
      <c r="H346" s="111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68">
      <c r="A347" s="19" t="n">
        <v>50</v>
      </c>
      <c r="B347" s="146" t="n">
        <v>46367</v>
      </c>
      <c r="C347" s="20">
        <f>G346</f>
        <v/>
      </c>
      <c r="D347" s="134">
        <f>E347-F347</f>
        <v/>
      </c>
      <c r="E347" s="20">
        <f>SUMPRODUCT((Income!D$3:D$502="GBP")*(Income!A$3:A$502=B347)*(Income!A$3:A$502&lt;&gt;"")*Income!C$3:C$502)</f>
        <v/>
      </c>
      <c r="F347" s="20">
        <f>SUMPRODUCT((Expenses!E$3:E$999="GBP")*(Expenses!A$3:A$999=B347)*(Expenses!A$3:A$999&lt;&gt;"")*Expenses!D$3:D$999)</f>
        <v/>
      </c>
      <c r="G347" s="134">
        <f>C347+D347</f>
        <v/>
      </c>
      <c r="H347" s="111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68">
      <c r="A348" s="19" t="n">
        <v>50</v>
      </c>
      <c r="B348" s="146" t="n">
        <v>46368</v>
      </c>
      <c r="C348" s="20">
        <f>G347</f>
        <v/>
      </c>
      <c r="D348" s="134">
        <f>E348-F348</f>
        <v/>
      </c>
      <c r="E348" s="20">
        <f>SUMPRODUCT((Income!D$3:D$502="GBP")*(Income!A$3:A$502=B348)*(Income!A$3:A$502&lt;&gt;"")*Income!C$3:C$502)</f>
        <v/>
      </c>
      <c r="F348" s="20">
        <f>SUMPRODUCT((Expenses!E$3:E$999="GBP")*(Expenses!A$3:A$999=B348)*(Expenses!A$3:A$999&lt;&gt;"")*Expenses!D$3:D$999)</f>
        <v/>
      </c>
      <c r="G348" s="134">
        <f>C348+D348</f>
        <v/>
      </c>
      <c r="H348" s="111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68">
      <c r="A349" s="19" t="n">
        <v>50</v>
      </c>
      <c r="B349" s="146" t="n">
        <v>46369</v>
      </c>
      <c r="C349" s="20">
        <f>G348</f>
        <v/>
      </c>
      <c r="D349" s="134">
        <f>E349-F349</f>
        <v/>
      </c>
      <c r="E349" s="20">
        <f>SUMPRODUCT((Income!D$3:D$502="GBP")*(Income!A$3:A$502=B349)*(Income!A$3:A$502&lt;&gt;"")*Income!C$3:C$502)</f>
        <v/>
      </c>
      <c r="F349" s="20">
        <f>SUMPRODUCT((Expenses!E$3:E$999="GBP")*(Expenses!A$3:A$999=B349)*(Expenses!A$3:A$999&lt;&gt;"")*Expenses!D$3:D$999)</f>
        <v/>
      </c>
      <c r="G349" s="134">
        <f>C349+D349</f>
        <v/>
      </c>
      <c r="H349" s="111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68">
      <c r="A350" s="19" t="n">
        <v>51</v>
      </c>
      <c r="B350" s="146" t="n">
        <v>46370</v>
      </c>
      <c r="C350" s="20">
        <f>G349</f>
        <v/>
      </c>
      <c r="D350" s="134">
        <f>E350-F350</f>
        <v/>
      </c>
      <c r="E350" s="20">
        <f>SUMPRODUCT((Income!D$3:D$502="GBP")*(Income!A$3:A$502=B350)*(Income!A$3:A$502&lt;&gt;"")*Income!C$3:C$502)</f>
        <v/>
      </c>
      <c r="F350" s="20">
        <f>SUMPRODUCT((Expenses!E$3:E$999="GBP")*(Expenses!A$3:A$999=B350)*(Expenses!A$3:A$999&lt;&gt;"")*Expenses!D$3:D$999)</f>
        <v/>
      </c>
      <c r="G350" s="134">
        <f>C350+D350</f>
        <v/>
      </c>
      <c r="H350" s="111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68">
      <c r="A351" s="19" t="n">
        <v>51</v>
      </c>
      <c r="B351" s="146" t="n">
        <v>46371</v>
      </c>
      <c r="C351" s="20">
        <f>G350</f>
        <v/>
      </c>
      <c r="D351" s="134">
        <f>E351-F351</f>
        <v/>
      </c>
      <c r="E351" s="20">
        <f>SUMPRODUCT((Income!D$3:D$502="GBP")*(Income!A$3:A$502=B351)*(Income!A$3:A$502&lt;&gt;"")*Income!C$3:C$502)</f>
        <v/>
      </c>
      <c r="F351" s="20">
        <f>SUMPRODUCT((Expenses!E$3:E$999="GBP")*(Expenses!A$3:A$999=B351)*(Expenses!A$3:A$999&lt;&gt;"")*Expenses!D$3:D$999)</f>
        <v/>
      </c>
      <c r="G351" s="134">
        <f>C351+D351</f>
        <v/>
      </c>
      <c r="H351" s="111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68">
      <c r="A352" s="19" t="n">
        <v>51</v>
      </c>
      <c r="B352" s="146" t="n">
        <v>46372</v>
      </c>
      <c r="C352" s="20">
        <f>G351</f>
        <v/>
      </c>
      <c r="D352" s="134">
        <f>E352-F352</f>
        <v/>
      </c>
      <c r="E352" s="20">
        <f>SUMPRODUCT((Income!D$3:D$502="GBP")*(Income!A$3:A$502=B352)*(Income!A$3:A$502&lt;&gt;"")*Income!C$3:C$502)</f>
        <v/>
      </c>
      <c r="F352" s="20">
        <f>SUMPRODUCT((Expenses!E$3:E$999="GBP")*(Expenses!A$3:A$999=B352)*(Expenses!A$3:A$999&lt;&gt;"")*Expenses!D$3:D$999)</f>
        <v/>
      </c>
      <c r="G352" s="134">
        <f>C352+D352</f>
        <v/>
      </c>
      <c r="H352" s="111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68">
      <c r="A353" s="19" t="n">
        <v>51</v>
      </c>
      <c r="B353" s="146" t="n">
        <v>46373</v>
      </c>
      <c r="C353" s="20">
        <f>G352</f>
        <v/>
      </c>
      <c r="D353" s="134">
        <f>E353-F353</f>
        <v/>
      </c>
      <c r="E353" s="20">
        <f>SUMPRODUCT((Income!D$3:D$502="GBP")*(Income!A$3:A$502=B353)*(Income!A$3:A$502&lt;&gt;"")*Income!C$3:C$502)</f>
        <v/>
      </c>
      <c r="F353" s="20">
        <f>SUMPRODUCT((Expenses!E$3:E$999="GBP")*(Expenses!A$3:A$999=B353)*(Expenses!A$3:A$999&lt;&gt;"")*Expenses!D$3:D$999)</f>
        <v/>
      </c>
      <c r="G353" s="134">
        <f>C353+D353</f>
        <v/>
      </c>
      <c r="H353" s="111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68">
      <c r="A354" s="19" t="n">
        <v>51</v>
      </c>
      <c r="B354" s="146" t="n">
        <v>46374</v>
      </c>
      <c r="C354" s="20">
        <f>G353</f>
        <v/>
      </c>
      <c r="D354" s="134">
        <f>E354-F354</f>
        <v/>
      </c>
      <c r="E354" s="20">
        <f>SUMPRODUCT((Income!D$3:D$502="GBP")*(Income!A$3:A$502=B354)*(Income!A$3:A$502&lt;&gt;"")*Income!C$3:C$502)</f>
        <v/>
      </c>
      <c r="F354" s="20">
        <f>SUMPRODUCT((Expenses!E$3:E$999="GBP")*(Expenses!A$3:A$999=B354)*(Expenses!A$3:A$999&lt;&gt;"")*Expenses!D$3:D$999)</f>
        <v/>
      </c>
      <c r="G354" s="134">
        <f>C354+D354</f>
        <v/>
      </c>
      <c r="H354" s="111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68">
      <c r="A355" s="19" t="n">
        <v>51</v>
      </c>
      <c r="B355" s="146" t="n">
        <v>46375</v>
      </c>
      <c r="C355" s="20">
        <f>G354</f>
        <v/>
      </c>
      <c r="D355" s="134">
        <f>E355-F355</f>
        <v/>
      </c>
      <c r="E355" s="20">
        <f>SUMPRODUCT((Income!D$3:D$502="GBP")*(Income!A$3:A$502=B355)*(Income!A$3:A$502&lt;&gt;"")*Income!C$3:C$502)</f>
        <v/>
      </c>
      <c r="F355" s="20">
        <f>SUMPRODUCT((Expenses!E$3:E$999="GBP")*(Expenses!A$3:A$999=B355)*(Expenses!A$3:A$999&lt;&gt;"")*Expenses!D$3:D$999)</f>
        <v/>
      </c>
      <c r="G355" s="134">
        <f>C355+D355</f>
        <v/>
      </c>
      <c r="H355" s="111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68">
      <c r="A356" s="19" t="n">
        <v>51</v>
      </c>
      <c r="B356" s="146" t="n">
        <v>46376</v>
      </c>
      <c r="C356" s="20">
        <f>G355</f>
        <v/>
      </c>
      <c r="D356" s="134">
        <f>E356-F356</f>
        <v/>
      </c>
      <c r="E356" s="20">
        <f>SUMPRODUCT((Income!D$3:D$502="GBP")*(Income!A$3:A$502=B356)*(Income!A$3:A$502&lt;&gt;"")*Income!C$3:C$502)</f>
        <v/>
      </c>
      <c r="F356" s="20">
        <f>SUMPRODUCT((Expenses!E$3:E$999="GBP")*(Expenses!A$3:A$999=B356)*(Expenses!A$3:A$999&lt;&gt;"")*Expenses!D$3:D$999)</f>
        <v/>
      </c>
      <c r="G356" s="134">
        <f>C356+D356</f>
        <v/>
      </c>
      <c r="H356" s="111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68">
      <c r="A357" s="19" t="n">
        <v>52</v>
      </c>
      <c r="B357" s="146" t="n">
        <v>46377</v>
      </c>
      <c r="C357" s="20">
        <f>G356</f>
        <v/>
      </c>
      <c r="D357" s="134">
        <f>E357-F357</f>
        <v/>
      </c>
      <c r="E357" s="20">
        <f>SUMPRODUCT((Income!D$3:D$502="GBP")*(Income!A$3:A$502=B357)*(Income!A$3:A$502&lt;&gt;"")*Income!C$3:C$502)</f>
        <v/>
      </c>
      <c r="F357" s="20">
        <f>SUMPRODUCT((Expenses!E$3:E$999="GBP")*(Expenses!A$3:A$999=B357)*(Expenses!A$3:A$999&lt;&gt;"")*Expenses!D$3:D$999)</f>
        <v/>
      </c>
      <c r="G357" s="134">
        <f>C357+D357</f>
        <v/>
      </c>
      <c r="H357" s="111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68">
      <c r="A358" s="19" t="n">
        <v>52</v>
      </c>
      <c r="B358" s="146" t="n">
        <v>46378</v>
      </c>
      <c r="C358" s="20">
        <f>G357</f>
        <v/>
      </c>
      <c r="D358" s="134">
        <f>E358-F358</f>
        <v/>
      </c>
      <c r="E358" s="20">
        <f>SUMPRODUCT((Income!D$3:D$502="GBP")*(Income!A$3:A$502=B358)*(Income!A$3:A$502&lt;&gt;"")*Income!C$3:C$502)</f>
        <v/>
      </c>
      <c r="F358" s="20">
        <f>SUMPRODUCT((Expenses!E$3:E$999="GBP")*(Expenses!A$3:A$999=B358)*(Expenses!A$3:A$999&lt;&gt;"")*Expenses!D$3:D$999)</f>
        <v/>
      </c>
      <c r="G358" s="134">
        <f>C358+D358</f>
        <v/>
      </c>
      <c r="H358" s="111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68">
      <c r="A359" s="19" t="n">
        <v>52</v>
      </c>
      <c r="B359" s="146" t="n">
        <v>46379</v>
      </c>
      <c r="C359" s="20">
        <f>G358</f>
        <v/>
      </c>
      <c r="D359" s="134">
        <f>E359-F359</f>
        <v/>
      </c>
      <c r="E359" s="20">
        <f>SUMPRODUCT((Income!D$3:D$502="GBP")*(Income!A$3:A$502=B359)*(Income!A$3:A$502&lt;&gt;"")*Income!C$3:C$502)</f>
        <v/>
      </c>
      <c r="F359" s="20">
        <f>SUMPRODUCT((Expenses!E$3:E$999="GBP")*(Expenses!A$3:A$999=B359)*(Expenses!A$3:A$999&lt;&gt;"")*Expenses!D$3:D$999)</f>
        <v/>
      </c>
      <c r="G359" s="134">
        <f>C359+D359</f>
        <v/>
      </c>
      <c r="H359" s="111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68">
      <c r="A360" s="19" t="n">
        <v>52</v>
      </c>
      <c r="B360" s="146" t="n">
        <v>46380</v>
      </c>
      <c r="C360" s="20">
        <f>G359</f>
        <v/>
      </c>
      <c r="D360" s="134">
        <f>E360-F360</f>
        <v/>
      </c>
      <c r="E360" s="20">
        <f>SUMPRODUCT((Income!D$3:D$502="GBP")*(Income!A$3:A$502=B360)*(Income!A$3:A$502&lt;&gt;"")*Income!C$3:C$502)</f>
        <v/>
      </c>
      <c r="F360" s="20">
        <f>SUMPRODUCT((Expenses!E$3:E$999="GBP")*(Expenses!A$3:A$999=B360)*(Expenses!A$3:A$999&lt;&gt;"")*Expenses!D$3:D$999)</f>
        <v/>
      </c>
      <c r="G360" s="134">
        <f>C360+D360</f>
        <v/>
      </c>
      <c r="H360" s="111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68">
      <c r="A361" s="19" t="n">
        <v>52</v>
      </c>
      <c r="B361" s="146" t="n">
        <v>46381</v>
      </c>
      <c r="C361" s="20">
        <f>G360</f>
        <v/>
      </c>
      <c r="D361" s="134">
        <f>E361-F361</f>
        <v/>
      </c>
      <c r="E361" s="20">
        <f>SUMPRODUCT((Income!D$3:D$502="GBP")*(Income!A$3:A$502=B361)*(Income!A$3:A$502&lt;&gt;"")*Income!C$3:C$502)</f>
        <v/>
      </c>
      <c r="F361" s="20">
        <f>SUMPRODUCT((Expenses!E$3:E$999="GBP")*(Expenses!A$3:A$999=B361)*(Expenses!A$3:A$999&lt;&gt;"")*Expenses!D$3:D$999)</f>
        <v/>
      </c>
      <c r="G361" s="134">
        <f>C361+D361</f>
        <v/>
      </c>
      <c r="H361" s="111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68">
      <c r="A362" s="19" t="n">
        <v>52</v>
      </c>
      <c r="B362" s="146" t="n">
        <v>46382</v>
      </c>
      <c r="C362" s="20">
        <f>G361</f>
        <v/>
      </c>
      <c r="D362" s="134">
        <f>E362-F362</f>
        <v/>
      </c>
      <c r="E362" s="20">
        <f>SUMPRODUCT((Income!D$3:D$502="GBP")*(Income!A$3:A$502=B362)*(Income!A$3:A$502&lt;&gt;"")*Income!C$3:C$502)</f>
        <v/>
      </c>
      <c r="F362" s="20">
        <f>SUMPRODUCT((Expenses!E$3:E$999="GBP")*(Expenses!A$3:A$999=B362)*(Expenses!A$3:A$999&lt;&gt;"")*Expenses!D$3:D$999)</f>
        <v/>
      </c>
      <c r="G362" s="134">
        <f>C362+D362</f>
        <v/>
      </c>
      <c r="H362" s="111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68">
      <c r="A363" s="19" t="n">
        <v>52</v>
      </c>
      <c r="B363" s="146" t="n">
        <v>46383</v>
      </c>
      <c r="C363" s="20">
        <f>G362</f>
        <v/>
      </c>
      <c r="D363" s="134">
        <f>E363-F363</f>
        <v/>
      </c>
      <c r="E363" s="20">
        <f>SUMPRODUCT((Income!D$3:D$502="GBP")*(Income!A$3:A$502=B363)*(Income!A$3:A$502&lt;&gt;"")*Income!C$3:C$502)</f>
        <v/>
      </c>
      <c r="F363" s="20">
        <f>SUMPRODUCT((Expenses!E$3:E$999="GBP")*(Expenses!A$3:A$999=B363)*(Expenses!A$3:A$999&lt;&gt;"")*Expenses!D$3:D$999)</f>
        <v/>
      </c>
      <c r="G363" s="134">
        <f>C363+D363</f>
        <v/>
      </c>
      <c r="H363" s="111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68">
      <c r="A364" s="19" t="n">
        <v>53</v>
      </c>
      <c r="B364" s="146" t="n">
        <v>46384</v>
      </c>
      <c r="C364" s="20">
        <f>G363</f>
        <v/>
      </c>
      <c r="D364" s="134">
        <f>E364-F364</f>
        <v/>
      </c>
      <c r="E364" s="20">
        <f>SUMPRODUCT((Income!D$3:D$502="GBP")*(Income!A$3:A$502=B364)*(Income!A$3:A$502&lt;&gt;"")*Income!C$3:C$502)</f>
        <v/>
      </c>
      <c r="F364" s="20">
        <f>SUMPRODUCT((Expenses!E$3:E$999="GBP")*(Expenses!A$3:A$999=B364)*(Expenses!A$3:A$999&lt;&gt;"")*Expenses!D$3:D$999)</f>
        <v/>
      </c>
      <c r="G364" s="134">
        <f>C364+D364</f>
        <v/>
      </c>
      <c r="H364" s="111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68">
      <c r="A365" s="19" t="n">
        <v>53</v>
      </c>
      <c r="B365" s="146" t="n">
        <v>46385</v>
      </c>
      <c r="C365" s="20">
        <f>G364</f>
        <v/>
      </c>
      <c r="D365" s="134">
        <f>E365-F365</f>
        <v/>
      </c>
      <c r="E365" s="20">
        <f>SUMPRODUCT((Income!D$3:D$502="GBP")*(Income!A$3:A$502=B365)*(Income!A$3:A$502&lt;&gt;"")*Income!C$3:C$502)</f>
        <v/>
      </c>
      <c r="F365" s="20">
        <f>SUMPRODUCT((Expenses!E$3:E$999="GBP")*(Expenses!A$3:A$999=B365)*(Expenses!A$3:A$999&lt;&gt;"")*Expenses!D$3:D$999)</f>
        <v/>
      </c>
      <c r="G365" s="134">
        <f>C365+D365</f>
        <v/>
      </c>
      <c r="H365" s="111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68">
      <c r="A366" s="19" t="n">
        <v>53</v>
      </c>
      <c r="B366" s="146" t="n">
        <v>46386</v>
      </c>
      <c r="C366" s="20">
        <f>G365</f>
        <v/>
      </c>
      <c r="D366" s="134">
        <f>E366-F366</f>
        <v/>
      </c>
      <c r="E366" s="20">
        <f>SUMPRODUCT((Income!D$3:D$502="GBP")*(Income!A$3:A$502=B366)*(Income!A$3:A$502&lt;&gt;"")*Income!C$3:C$502)</f>
        <v/>
      </c>
      <c r="F366" s="20">
        <f>SUMPRODUCT((Expenses!E$3:E$999="GBP")*(Expenses!A$3:A$999=B366)*(Expenses!A$3:A$999&lt;&gt;"")*Expenses!D$3:D$999)</f>
        <v/>
      </c>
      <c r="G366" s="134">
        <f>C366+D366</f>
        <v/>
      </c>
      <c r="H366" s="111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68">
      <c r="A367" s="19" t="n">
        <v>53</v>
      </c>
      <c r="B367" s="146" t="n">
        <v>46387</v>
      </c>
      <c r="C367" s="20">
        <f>G366</f>
        <v/>
      </c>
      <c r="D367" s="134">
        <f>E367-F367</f>
        <v/>
      </c>
      <c r="E367" s="20">
        <f>SUMPRODUCT((Income!D$3:D$502="GBP")*(Income!A$3:A$502=B367)*(Income!A$3:A$502&lt;&gt;"")*Income!C$3:C$502)</f>
        <v/>
      </c>
      <c r="F367" s="20">
        <f>SUMPRODUCT((Expenses!E$3:E$999="GBP")*(Expenses!A$3:A$999=B367)*(Expenses!A$3:A$999&lt;&gt;"")*Expenses!D$3:D$999)</f>
        <v/>
      </c>
      <c r="G367" s="134">
        <f>C367+D367</f>
        <v/>
      </c>
      <c r="H367" s="111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6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6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6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6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6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6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6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6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6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6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6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6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6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6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6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6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6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6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6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6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6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6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6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6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6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6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6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6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6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6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6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6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6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6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6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6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6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6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6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6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6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6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6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6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6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6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6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6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6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6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6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6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6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6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6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6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6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6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6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6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6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6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6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6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6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6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6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6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6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6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6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6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6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6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6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6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6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6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6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6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6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6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6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6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6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6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6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6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6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6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6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6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6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6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6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6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6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6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6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6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6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6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6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6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6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6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6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6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6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6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6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6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6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6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6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6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6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6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6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6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6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6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6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6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6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6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6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6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6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6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6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6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6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6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6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6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6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6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6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6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6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6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6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6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6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6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6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6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6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6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6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6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6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6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6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6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6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6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6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6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6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6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6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6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6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6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6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6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6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6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6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6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6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6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6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6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6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6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6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6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6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6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6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6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6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6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6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6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6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6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6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6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6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6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6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6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6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6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6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6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6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6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6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6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6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6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6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6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6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6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6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6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6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6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6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6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6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6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6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6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6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6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6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6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6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6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6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6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6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6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6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6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6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6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6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6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6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6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6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6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6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6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6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6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6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6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6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6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6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6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6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6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6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6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6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6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6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6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6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6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6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6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6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6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6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6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6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6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6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6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6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6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6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6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6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6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6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6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6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6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6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6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6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6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6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6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6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6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6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6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6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6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6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6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6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6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6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6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6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6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6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6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6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6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6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6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6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6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6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6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6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6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6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6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6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6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6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6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6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6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6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6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6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6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6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6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6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6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6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6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6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6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6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6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6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6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6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6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6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6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6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6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6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6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6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6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6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6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6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6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6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6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6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6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6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6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6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6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6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6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6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6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6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6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6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6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6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6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6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6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6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6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6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6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6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6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6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6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6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6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6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6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6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6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6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6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6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6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6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6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6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6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6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6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6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6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6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6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6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6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6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6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6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6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6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6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6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6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6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6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6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6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6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6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6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6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6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6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6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6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6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6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6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6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6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6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6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6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6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6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6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6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6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6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6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6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6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6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6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6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6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6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6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6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6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6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6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6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6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6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6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6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6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6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6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6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6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6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6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6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6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6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6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6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6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6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6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6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6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6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6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6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6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6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6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6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6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6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6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6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6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6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6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6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6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6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6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6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6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6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6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6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6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6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6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6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6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6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6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6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6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6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6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6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6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6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6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6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6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6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6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6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6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6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6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6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6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6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6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6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6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6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6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6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6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6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6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6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6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6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6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6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6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6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6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6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6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6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6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6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6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6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6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6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6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6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6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6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6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6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6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6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6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6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6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6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6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6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6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6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6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6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6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6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6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6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6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6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6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6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6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6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6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6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6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6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6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6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6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6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6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6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6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6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6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6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6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6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6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6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6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6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6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6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6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6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6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6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6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6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6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6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6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6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6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6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6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6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6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6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6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6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6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6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6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6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6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6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6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6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6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6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6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6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6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6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">
    <mergeCell ref="A1:H1"/>
  </mergeCells>
  <conditionalFormatting sqref="D3:D367">
    <cfRule type="cellIs" priority="1" operator="lessThan" dxfId="7">
      <formula>0</formula>
    </cfRule>
    <cfRule type="cellIs" priority="2" operator="greaterThanOrEqual" dxfId="6">
      <formula>0</formula>
    </cfRule>
  </conditionalFormatting>
  <pageMargins left="0.75" right="0.75" top="1" bottom="1" header="0" footer="0"/>
  <pageSetup orientation="portrait" paperSize="9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FFFF660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168" min="1" max="1"/>
    <col width="14" customWidth="1" style="168" min="2" max="2"/>
    <col width="18" customWidth="1" style="168" min="3" max="3"/>
    <col width="16" customWidth="1" style="168" min="4" max="4"/>
    <col width="14" customWidth="1" style="168" min="5" max="6"/>
    <col width="18" customWidth="1" style="168" min="7" max="7"/>
    <col width="20" customWidth="1" style="168" min="8" max="8"/>
  </cols>
  <sheetData>
    <row r="1">
      <c r="A1" s="101" t="inlineStr">
        <is>
          <t>CASHFLOW (INR) - Daily Running Balance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35" t="inlineStr">
        <is>
          <t>Week</t>
        </is>
      </c>
      <c r="B2" s="135" t="inlineStr">
        <is>
          <t>Date</t>
        </is>
      </c>
      <c r="C2" s="135" t="inlineStr">
        <is>
          <t>Starting Balance</t>
        </is>
      </c>
      <c r="D2" s="135" t="inlineStr">
        <is>
          <t>Day Total +/-</t>
        </is>
      </c>
      <c r="E2" s="135" t="inlineStr">
        <is>
          <t>Income (+)</t>
        </is>
      </c>
      <c r="F2" s="135" t="inlineStr">
        <is>
          <t>Expenses (-)</t>
        </is>
      </c>
      <c r="G2" s="135" t="inlineStr">
        <is>
          <t>Ending Balance</t>
        </is>
      </c>
      <c r="H2" s="135" t="inlineStr">
        <is>
          <t>Notes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9" t="n">
        <v>1</v>
      </c>
      <c r="B3" s="146" t="n">
        <v>46023</v>
      </c>
      <c r="C3" s="144" t="n"/>
      <c r="D3" s="142">
        <f>E3-F3</f>
        <v/>
      </c>
      <c r="E3" s="141">
        <f>SUMPRODUCT((Income!D$3:D$502="INR")*(Income!A$3:A$502=B3)*(Income!A$3:A$502&lt;&gt;"")*Income!C$3:C$502)</f>
        <v/>
      </c>
      <c r="F3" s="141">
        <f>SUMPRODUCT((Expenses!E$3:E$999="INR")*(Expenses!A$3:A$999=B3)*(Expenses!A$3:A$999&lt;&gt;"")*Expenses!D$3:D$999)</f>
        <v/>
      </c>
      <c r="G3" s="142">
        <f>C3+D3</f>
        <v/>
      </c>
      <c r="H3" s="111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9" t="n">
        <v>1</v>
      </c>
      <c r="B4" s="146" t="n">
        <v>46024</v>
      </c>
      <c r="C4" s="141">
        <f>G3</f>
        <v/>
      </c>
      <c r="D4" s="142">
        <f>E4-F4</f>
        <v/>
      </c>
      <c r="E4" s="141">
        <f>SUMPRODUCT((Income!D$3:D$502="INR")*(Income!A$3:A$502=B4)*(Income!A$3:A$502&lt;&gt;"")*Income!C$3:C$502)</f>
        <v/>
      </c>
      <c r="F4" s="141">
        <f>SUMPRODUCT((Expenses!E$3:E$999="INR")*(Expenses!A$3:A$999=B4)*(Expenses!A$3:A$999&lt;&gt;"")*Expenses!D$3:D$999)</f>
        <v/>
      </c>
      <c r="G4" s="142">
        <f>C4+D4</f>
        <v/>
      </c>
      <c r="H4" s="111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9" t="n">
        <v>1</v>
      </c>
      <c r="B5" s="146" t="n">
        <v>46025</v>
      </c>
      <c r="C5" s="141">
        <f>G4</f>
        <v/>
      </c>
      <c r="D5" s="142">
        <f>E5-F5</f>
        <v/>
      </c>
      <c r="E5" s="141">
        <f>SUMPRODUCT((Income!D$3:D$502="INR")*(Income!A$3:A$502=B5)*(Income!A$3:A$502&lt;&gt;"")*Income!C$3:C$502)</f>
        <v/>
      </c>
      <c r="F5" s="141">
        <f>SUMPRODUCT((Expenses!E$3:E$999="INR")*(Expenses!A$3:A$999=B5)*(Expenses!A$3:A$999&lt;&gt;"")*Expenses!D$3:D$999)</f>
        <v/>
      </c>
      <c r="G5" s="142">
        <f>C5+D5</f>
        <v/>
      </c>
      <c r="H5" s="111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9" t="n">
        <v>1</v>
      </c>
      <c r="B6" s="146" t="n">
        <v>46026</v>
      </c>
      <c r="C6" s="141">
        <f>G5</f>
        <v/>
      </c>
      <c r="D6" s="142">
        <f>E6-F6</f>
        <v/>
      </c>
      <c r="E6" s="141">
        <f>SUMPRODUCT((Income!D$3:D$502="INR")*(Income!A$3:A$502=B6)*(Income!A$3:A$502&lt;&gt;"")*Income!C$3:C$502)</f>
        <v/>
      </c>
      <c r="F6" s="141">
        <f>SUMPRODUCT((Expenses!E$3:E$999="INR")*(Expenses!A$3:A$999=B6)*(Expenses!A$3:A$999&lt;&gt;"")*Expenses!D$3:D$999)</f>
        <v/>
      </c>
      <c r="G6" s="142">
        <f>C6+D6</f>
        <v/>
      </c>
      <c r="H6" s="111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19" t="n">
        <v>2</v>
      </c>
      <c r="B7" s="146" t="n">
        <v>46027</v>
      </c>
      <c r="C7" s="141">
        <f>G6</f>
        <v/>
      </c>
      <c r="D7" s="142">
        <f>E7-F7</f>
        <v/>
      </c>
      <c r="E7" s="141">
        <f>SUMPRODUCT((Income!D$3:D$502="INR")*(Income!A$3:A$502=B7)*(Income!A$3:A$502&lt;&gt;"")*Income!C$3:C$502)</f>
        <v/>
      </c>
      <c r="F7" s="141">
        <f>SUMPRODUCT((Expenses!E$3:E$999="INR")*(Expenses!A$3:A$999=B7)*(Expenses!A$3:A$999&lt;&gt;"")*Expenses!D$3:D$999)</f>
        <v/>
      </c>
      <c r="G7" s="142">
        <f>C7+D7</f>
        <v/>
      </c>
      <c r="H7" s="111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9" t="n">
        <v>2</v>
      </c>
      <c r="B8" s="146" t="n">
        <v>46028</v>
      </c>
      <c r="C8" s="141">
        <f>G7</f>
        <v/>
      </c>
      <c r="D8" s="142">
        <f>E8-F8</f>
        <v/>
      </c>
      <c r="E8" s="141">
        <f>SUMPRODUCT((Income!D$3:D$502="INR")*(Income!A$3:A$502=B8)*(Income!A$3:A$502&lt;&gt;"")*Income!C$3:C$502)</f>
        <v/>
      </c>
      <c r="F8" s="141">
        <f>SUMPRODUCT((Expenses!E$3:E$999="INR")*(Expenses!A$3:A$999=B8)*(Expenses!A$3:A$999&lt;&gt;"")*Expenses!D$3:D$999)</f>
        <v/>
      </c>
      <c r="G8" s="142">
        <f>C8+D8</f>
        <v/>
      </c>
      <c r="H8" s="111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9" t="n">
        <v>2</v>
      </c>
      <c r="B9" s="146" t="n">
        <v>46029</v>
      </c>
      <c r="C9" s="141">
        <f>G8</f>
        <v/>
      </c>
      <c r="D9" s="142">
        <f>E9-F9</f>
        <v/>
      </c>
      <c r="E9" s="141">
        <f>SUMPRODUCT((Income!D$3:D$502="INR")*(Income!A$3:A$502=B9)*(Income!A$3:A$502&lt;&gt;"")*Income!C$3:C$502)</f>
        <v/>
      </c>
      <c r="F9" s="141">
        <f>SUMPRODUCT((Expenses!E$3:E$999="INR")*(Expenses!A$3:A$999=B9)*(Expenses!A$3:A$999&lt;&gt;"")*Expenses!D$3:D$999)</f>
        <v/>
      </c>
      <c r="G9" s="142">
        <f>C9+D9</f>
        <v/>
      </c>
      <c r="H9" s="111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19" t="n">
        <v>2</v>
      </c>
      <c r="B10" s="146" t="n">
        <v>46030</v>
      </c>
      <c r="C10" s="141">
        <f>G9</f>
        <v/>
      </c>
      <c r="D10" s="142">
        <f>E10-F10</f>
        <v/>
      </c>
      <c r="E10" s="141">
        <f>SUMPRODUCT((Income!D$3:D$502="INR")*(Income!A$3:A$502=B10)*(Income!A$3:A$502&lt;&gt;"")*Income!C$3:C$502)</f>
        <v/>
      </c>
      <c r="F10" s="141">
        <f>SUMPRODUCT((Expenses!E$3:E$999="INR")*(Expenses!A$3:A$999=B10)*(Expenses!A$3:A$999&lt;&gt;"")*Expenses!D$3:D$999)</f>
        <v/>
      </c>
      <c r="G10" s="142">
        <f>C10+D10</f>
        <v/>
      </c>
      <c r="H10" s="111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19" t="n">
        <v>2</v>
      </c>
      <c r="B11" s="146" t="n">
        <v>46031</v>
      </c>
      <c r="C11" s="141">
        <f>G10</f>
        <v/>
      </c>
      <c r="D11" s="142">
        <f>E11-F11</f>
        <v/>
      </c>
      <c r="E11" s="141">
        <f>SUMPRODUCT((Income!D$3:D$502="INR")*(Income!A$3:A$502=B11)*(Income!A$3:A$502&lt;&gt;"")*Income!C$3:C$502)</f>
        <v/>
      </c>
      <c r="F11" s="141">
        <f>SUMPRODUCT((Expenses!E$3:E$999="INR")*(Expenses!A$3:A$999=B11)*(Expenses!A$3:A$999&lt;&gt;"")*Expenses!D$3:D$999)</f>
        <v/>
      </c>
      <c r="G11" s="142">
        <f>C11+D11</f>
        <v/>
      </c>
      <c r="H11" s="111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9" t="n">
        <v>2</v>
      </c>
      <c r="B12" s="146" t="n">
        <v>46032</v>
      </c>
      <c r="C12" s="141">
        <f>G11</f>
        <v/>
      </c>
      <c r="D12" s="142">
        <f>E12-F12</f>
        <v/>
      </c>
      <c r="E12" s="141">
        <f>SUMPRODUCT((Income!D$3:D$502="INR")*(Income!A$3:A$502=B12)*(Income!A$3:A$502&lt;&gt;"")*Income!C$3:C$502)</f>
        <v/>
      </c>
      <c r="F12" s="141">
        <f>SUMPRODUCT((Expenses!E$3:E$999="INR")*(Expenses!A$3:A$999=B12)*(Expenses!A$3:A$999&lt;&gt;"")*Expenses!D$3:D$999)</f>
        <v/>
      </c>
      <c r="G12" s="142">
        <f>C12+D12</f>
        <v/>
      </c>
      <c r="H12" s="111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19" t="n">
        <v>2</v>
      </c>
      <c r="B13" s="146" t="n">
        <v>46033</v>
      </c>
      <c r="C13" s="141">
        <f>G12</f>
        <v/>
      </c>
      <c r="D13" s="142">
        <f>E13-F13</f>
        <v/>
      </c>
      <c r="E13" s="141">
        <f>SUMPRODUCT((Income!D$3:D$502="INR")*(Income!A$3:A$502=B13)*(Income!A$3:A$502&lt;&gt;"")*Income!C$3:C$502)</f>
        <v/>
      </c>
      <c r="F13" s="141">
        <f>SUMPRODUCT((Expenses!E$3:E$999="INR")*(Expenses!A$3:A$999=B13)*(Expenses!A$3:A$999&lt;&gt;"")*Expenses!D$3:D$999)</f>
        <v/>
      </c>
      <c r="G13" s="142">
        <f>C13+D13</f>
        <v/>
      </c>
      <c r="H13" s="111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19" t="n">
        <v>3</v>
      </c>
      <c r="B14" s="146" t="n">
        <v>46034</v>
      </c>
      <c r="C14" s="141">
        <f>G13</f>
        <v/>
      </c>
      <c r="D14" s="142">
        <f>E14-F14</f>
        <v/>
      </c>
      <c r="E14" s="141">
        <f>SUMPRODUCT((Income!D$3:D$502="INR")*(Income!A$3:A$502=B14)*(Income!A$3:A$502&lt;&gt;"")*Income!C$3:C$502)</f>
        <v/>
      </c>
      <c r="F14" s="141">
        <f>SUMPRODUCT((Expenses!E$3:E$999="INR")*(Expenses!A$3:A$999=B14)*(Expenses!A$3:A$999&lt;&gt;"")*Expenses!D$3:D$999)</f>
        <v/>
      </c>
      <c r="G14" s="142">
        <f>C14+D14</f>
        <v/>
      </c>
      <c r="H14" s="111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19" t="n">
        <v>3</v>
      </c>
      <c r="B15" s="146" t="n">
        <v>46035</v>
      </c>
      <c r="C15" s="141">
        <f>G14</f>
        <v/>
      </c>
      <c r="D15" s="142">
        <f>E15-F15</f>
        <v/>
      </c>
      <c r="E15" s="141">
        <f>SUMPRODUCT((Income!D$3:D$502="INR")*(Income!A$3:A$502=B15)*(Income!A$3:A$502&lt;&gt;"")*Income!C$3:C$502)</f>
        <v/>
      </c>
      <c r="F15" s="141">
        <f>SUMPRODUCT((Expenses!E$3:E$999="INR")*(Expenses!A$3:A$999=B15)*(Expenses!A$3:A$999&lt;&gt;"")*Expenses!D$3:D$999)</f>
        <v/>
      </c>
      <c r="G15" s="142">
        <f>C15+D15</f>
        <v/>
      </c>
      <c r="H15" s="111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19" t="n">
        <v>3</v>
      </c>
      <c r="B16" s="146" t="n">
        <v>46036</v>
      </c>
      <c r="C16" s="141">
        <f>G15</f>
        <v/>
      </c>
      <c r="D16" s="142">
        <f>E16-F16</f>
        <v/>
      </c>
      <c r="E16" s="141">
        <f>SUMPRODUCT((Income!D$3:D$502="INR")*(Income!A$3:A$502=B16)*(Income!A$3:A$502&lt;&gt;"")*Income!C$3:C$502)</f>
        <v/>
      </c>
      <c r="F16" s="141">
        <f>SUMPRODUCT((Expenses!E$3:E$999="INR")*(Expenses!A$3:A$999=B16)*(Expenses!A$3:A$999&lt;&gt;"")*Expenses!D$3:D$999)</f>
        <v/>
      </c>
      <c r="G16" s="142">
        <f>C16+D16</f>
        <v/>
      </c>
      <c r="H16" s="111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19" t="n">
        <v>3</v>
      </c>
      <c r="B17" s="146" t="n">
        <v>46037</v>
      </c>
      <c r="C17" s="141">
        <f>G16</f>
        <v/>
      </c>
      <c r="D17" s="142">
        <f>E17-F17</f>
        <v/>
      </c>
      <c r="E17" s="141">
        <f>SUMPRODUCT((Income!D$3:D$502="INR")*(Income!A$3:A$502=B17)*(Income!A$3:A$502&lt;&gt;"")*Income!C$3:C$502)</f>
        <v/>
      </c>
      <c r="F17" s="141">
        <f>SUMPRODUCT((Expenses!E$3:E$999="INR")*(Expenses!A$3:A$999=B17)*(Expenses!A$3:A$999&lt;&gt;"")*Expenses!D$3:D$999)</f>
        <v/>
      </c>
      <c r="G17" s="142">
        <f>C17+D17</f>
        <v/>
      </c>
      <c r="H17" s="111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19" t="n">
        <v>3</v>
      </c>
      <c r="B18" s="146" t="n">
        <v>46038</v>
      </c>
      <c r="C18" s="141">
        <f>G17</f>
        <v/>
      </c>
      <c r="D18" s="142">
        <f>E18-F18</f>
        <v/>
      </c>
      <c r="E18" s="141">
        <f>SUMPRODUCT((Income!D$3:D$502="INR")*(Income!A$3:A$502=B18)*(Income!A$3:A$502&lt;&gt;"")*Income!C$3:C$502)</f>
        <v/>
      </c>
      <c r="F18" s="141">
        <f>SUMPRODUCT((Expenses!E$3:E$999="INR")*(Expenses!A$3:A$999=B18)*(Expenses!A$3:A$999&lt;&gt;"")*Expenses!D$3:D$999)</f>
        <v/>
      </c>
      <c r="G18" s="142">
        <f>C18+D18</f>
        <v/>
      </c>
      <c r="H18" s="111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19" t="n">
        <v>3</v>
      </c>
      <c r="B19" s="146" t="n">
        <v>46039</v>
      </c>
      <c r="C19" s="141">
        <f>G18</f>
        <v/>
      </c>
      <c r="D19" s="142">
        <f>E19-F19</f>
        <v/>
      </c>
      <c r="E19" s="141">
        <f>SUMPRODUCT((Income!D$3:D$502="INR")*(Income!A$3:A$502=B19)*(Income!A$3:A$502&lt;&gt;"")*Income!C$3:C$502)</f>
        <v/>
      </c>
      <c r="F19" s="141">
        <f>SUMPRODUCT((Expenses!E$3:E$999="INR")*(Expenses!A$3:A$999=B19)*(Expenses!A$3:A$999&lt;&gt;"")*Expenses!D$3:D$999)</f>
        <v/>
      </c>
      <c r="G19" s="142">
        <f>C19+D19</f>
        <v/>
      </c>
      <c r="H19" s="111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19" t="n">
        <v>3</v>
      </c>
      <c r="B20" s="146" t="n">
        <v>46040</v>
      </c>
      <c r="C20" s="141">
        <f>G19</f>
        <v/>
      </c>
      <c r="D20" s="142">
        <f>E20-F20</f>
        <v/>
      </c>
      <c r="E20" s="141">
        <f>SUMPRODUCT((Income!D$3:D$502="INR")*(Income!A$3:A$502=B20)*(Income!A$3:A$502&lt;&gt;"")*Income!C$3:C$502)</f>
        <v/>
      </c>
      <c r="F20" s="141">
        <f>SUMPRODUCT((Expenses!E$3:E$999="INR")*(Expenses!A$3:A$999=B20)*(Expenses!A$3:A$999&lt;&gt;"")*Expenses!D$3:D$999)</f>
        <v/>
      </c>
      <c r="G20" s="142">
        <f>C20+D20</f>
        <v/>
      </c>
      <c r="H20" s="111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68">
      <c r="A21" s="19" t="n">
        <v>4</v>
      </c>
      <c r="B21" s="146" t="n">
        <v>46041</v>
      </c>
      <c r="C21" s="141">
        <f>G20</f>
        <v/>
      </c>
      <c r="D21" s="142">
        <f>E21-F21</f>
        <v/>
      </c>
      <c r="E21" s="141">
        <f>SUMPRODUCT((Income!D$3:D$502="INR")*(Income!A$3:A$502=B21)*(Income!A$3:A$502&lt;&gt;"")*Income!C$3:C$502)</f>
        <v/>
      </c>
      <c r="F21" s="141">
        <f>SUMPRODUCT((Expenses!E$3:E$999="INR")*(Expenses!A$3:A$999=B21)*(Expenses!A$3:A$999&lt;&gt;"")*Expenses!D$3:D$999)</f>
        <v/>
      </c>
      <c r="G21" s="142">
        <f>C21+D21</f>
        <v/>
      </c>
      <c r="H21" s="111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68">
      <c r="A22" s="19" t="n">
        <v>4</v>
      </c>
      <c r="B22" s="146" t="n">
        <v>46042</v>
      </c>
      <c r="C22" s="141">
        <f>G21</f>
        <v/>
      </c>
      <c r="D22" s="142">
        <f>E22-F22</f>
        <v/>
      </c>
      <c r="E22" s="141">
        <f>SUMPRODUCT((Income!D$3:D$502="INR")*(Income!A$3:A$502=B22)*(Income!A$3:A$502&lt;&gt;"")*Income!C$3:C$502)</f>
        <v/>
      </c>
      <c r="F22" s="141">
        <f>SUMPRODUCT((Expenses!E$3:E$999="INR")*(Expenses!A$3:A$999=B22)*(Expenses!A$3:A$999&lt;&gt;"")*Expenses!D$3:D$999)</f>
        <v/>
      </c>
      <c r="G22" s="142">
        <f>C22+D22</f>
        <v/>
      </c>
      <c r="H22" s="111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68">
      <c r="A23" s="19" t="n">
        <v>4</v>
      </c>
      <c r="B23" s="146" t="n">
        <v>46043</v>
      </c>
      <c r="C23" s="141">
        <f>G22</f>
        <v/>
      </c>
      <c r="D23" s="142">
        <f>E23-F23</f>
        <v/>
      </c>
      <c r="E23" s="141">
        <f>SUMPRODUCT((Income!D$3:D$502="INR")*(Income!A$3:A$502=B23)*(Income!A$3:A$502&lt;&gt;"")*Income!C$3:C$502)</f>
        <v/>
      </c>
      <c r="F23" s="141">
        <f>SUMPRODUCT((Expenses!E$3:E$999="INR")*(Expenses!A$3:A$999=B23)*(Expenses!A$3:A$999&lt;&gt;"")*Expenses!D$3:D$999)</f>
        <v/>
      </c>
      <c r="G23" s="142">
        <f>C23+D23</f>
        <v/>
      </c>
      <c r="H23" s="111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68">
      <c r="A24" s="19" t="n">
        <v>4</v>
      </c>
      <c r="B24" s="146" t="n">
        <v>46044</v>
      </c>
      <c r="C24" s="141">
        <f>G23</f>
        <v/>
      </c>
      <c r="D24" s="142">
        <f>E24-F24</f>
        <v/>
      </c>
      <c r="E24" s="141">
        <f>SUMPRODUCT((Income!D$3:D$502="INR")*(Income!A$3:A$502=B24)*(Income!A$3:A$502&lt;&gt;"")*Income!C$3:C$502)</f>
        <v/>
      </c>
      <c r="F24" s="141">
        <f>SUMPRODUCT((Expenses!E$3:E$999="INR")*(Expenses!A$3:A$999=B24)*(Expenses!A$3:A$999&lt;&gt;"")*Expenses!D$3:D$999)</f>
        <v/>
      </c>
      <c r="G24" s="142">
        <f>C24+D24</f>
        <v/>
      </c>
      <c r="H24" s="111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68">
      <c r="A25" s="19" t="n">
        <v>4</v>
      </c>
      <c r="B25" s="146" t="n">
        <v>46045</v>
      </c>
      <c r="C25" s="141">
        <f>G24</f>
        <v/>
      </c>
      <c r="D25" s="142">
        <f>E25-F25</f>
        <v/>
      </c>
      <c r="E25" s="141">
        <f>SUMPRODUCT((Income!D$3:D$502="INR")*(Income!A$3:A$502=B25)*(Income!A$3:A$502&lt;&gt;"")*Income!C$3:C$502)</f>
        <v/>
      </c>
      <c r="F25" s="141">
        <f>SUMPRODUCT((Expenses!E$3:E$999="INR")*(Expenses!A$3:A$999=B25)*(Expenses!A$3:A$999&lt;&gt;"")*Expenses!D$3:D$999)</f>
        <v/>
      </c>
      <c r="G25" s="142">
        <f>C25+D25</f>
        <v/>
      </c>
      <c r="H25" s="111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68">
      <c r="A26" s="19" t="n">
        <v>4</v>
      </c>
      <c r="B26" s="146" t="n">
        <v>46046</v>
      </c>
      <c r="C26" s="141">
        <f>G25</f>
        <v/>
      </c>
      <c r="D26" s="142">
        <f>E26-F26</f>
        <v/>
      </c>
      <c r="E26" s="141">
        <f>SUMPRODUCT((Income!D$3:D$502="INR")*(Income!A$3:A$502=B26)*(Income!A$3:A$502&lt;&gt;"")*Income!C$3:C$502)</f>
        <v/>
      </c>
      <c r="F26" s="141">
        <f>SUMPRODUCT((Expenses!E$3:E$999="INR")*(Expenses!A$3:A$999=B26)*(Expenses!A$3:A$999&lt;&gt;"")*Expenses!D$3:D$999)</f>
        <v/>
      </c>
      <c r="G26" s="142">
        <f>C26+D26</f>
        <v/>
      </c>
      <c r="H26" s="111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68">
      <c r="A27" s="19" t="n">
        <v>4</v>
      </c>
      <c r="B27" s="146" t="n">
        <v>46047</v>
      </c>
      <c r="C27" s="141">
        <f>G26</f>
        <v/>
      </c>
      <c r="D27" s="142">
        <f>E27-F27</f>
        <v/>
      </c>
      <c r="E27" s="141">
        <f>SUMPRODUCT((Income!D$3:D$502="INR")*(Income!A$3:A$502=B27)*(Income!A$3:A$502&lt;&gt;"")*Income!C$3:C$502)</f>
        <v/>
      </c>
      <c r="F27" s="141">
        <f>SUMPRODUCT((Expenses!E$3:E$999="INR")*(Expenses!A$3:A$999=B27)*(Expenses!A$3:A$999&lt;&gt;"")*Expenses!D$3:D$999)</f>
        <v/>
      </c>
      <c r="G27" s="142">
        <f>C27+D27</f>
        <v/>
      </c>
      <c r="H27" s="111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68">
      <c r="A28" s="19" t="n">
        <v>5</v>
      </c>
      <c r="B28" s="146" t="n">
        <v>46048</v>
      </c>
      <c r="C28" s="141">
        <f>G27</f>
        <v/>
      </c>
      <c r="D28" s="142">
        <f>E28-F28</f>
        <v/>
      </c>
      <c r="E28" s="141">
        <f>SUMPRODUCT((Income!D$3:D$502="INR")*(Income!A$3:A$502=B28)*(Income!A$3:A$502&lt;&gt;"")*Income!C$3:C$502)</f>
        <v/>
      </c>
      <c r="F28" s="141">
        <f>SUMPRODUCT((Expenses!E$3:E$999="INR")*(Expenses!A$3:A$999=B28)*(Expenses!A$3:A$999&lt;&gt;"")*Expenses!D$3:D$999)</f>
        <v/>
      </c>
      <c r="G28" s="142">
        <f>C28+D28</f>
        <v/>
      </c>
      <c r="H28" s="111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68">
      <c r="A29" s="19" t="n">
        <v>5</v>
      </c>
      <c r="B29" s="146" t="n">
        <v>46049</v>
      </c>
      <c r="C29" s="141">
        <f>G28</f>
        <v/>
      </c>
      <c r="D29" s="142">
        <f>E29-F29</f>
        <v/>
      </c>
      <c r="E29" s="141">
        <f>SUMPRODUCT((Income!D$3:D$502="INR")*(Income!A$3:A$502=B29)*(Income!A$3:A$502&lt;&gt;"")*Income!C$3:C$502)</f>
        <v/>
      </c>
      <c r="F29" s="141">
        <f>SUMPRODUCT((Expenses!E$3:E$999="INR")*(Expenses!A$3:A$999=B29)*(Expenses!A$3:A$999&lt;&gt;"")*Expenses!D$3:D$999)</f>
        <v/>
      </c>
      <c r="G29" s="142">
        <f>C29+D29</f>
        <v/>
      </c>
      <c r="H29" s="111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68">
      <c r="A30" s="19" t="n">
        <v>5</v>
      </c>
      <c r="B30" s="146" t="n">
        <v>46050</v>
      </c>
      <c r="C30" s="141">
        <f>G29</f>
        <v/>
      </c>
      <c r="D30" s="142">
        <f>E30-F30</f>
        <v/>
      </c>
      <c r="E30" s="141">
        <f>SUMPRODUCT((Income!D$3:D$502="INR")*(Income!A$3:A$502=B30)*(Income!A$3:A$502&lt;&gt;"")*Income!C$3:C$502)</f>
        <v/>
      </c>
      <c r="F30" s="141">
        <f>SUMPRODUCT((Expenses!E$3:E$999="INR")*(Expenses!A$3:A$999=B30)*(Expenses!A$3:A$999&lt;&gt;"")*Expenses!D$3:D$999)</f>
        <v/>
      </c>
      <c r="G30" s="142">
        <f>C30+D30</f>
        <v/>
      </c>
      <c r="H30" s="111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68">
      <c r="A31" s="19" t="n">
        <v>5</v>
      </c>
      <c r="B31" s="146" t="n">
        <v>46051</v>
      </c>
      <c r="C31" s="141">
        <f>G30</f>
        <v/>
      </c>
      <c r="D31" s="142">
        <f>E31-F31</f>
        <v/>
      </c>
      <c r="E31" s="141">
        <f>SUMPRODUCT((Income!D$3:D$502="INR")*(Income!A$3:A$502=B31)*(Income!A$3:A$502&lt;&gt;"")*Income!C$3:C$502)</f>
        <v/>
      </c>
      <c r="F31" s="141">
        <f>SUMPRODUCT((Expenses!E$3:E$999="INR")*(Expenses!A$3:A$999=B31)*(Expenses!A$3:A$999&lt;&gt;"")*Expenses!D$3:D$999)</f>
        <v/>
      </c>
      <c r="G31" s="142">
        <f>C31+D31</f>
        <v/>
      </c>
      <c r="H31" s="111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68">
      <c r="A32" s="19" t="n">
        <v>5</v>
      </c>
      <c r="B32" s="146" t="n">
        <v>46052</v>
      </c>
      <c r="C32" s="141">
        <f>G31</f>
        <v/>
      </c>
      <c r="D32" s="142">
        <f>E32-F32</f>
        <v/>
      </c>
      <c r="E32" s="141">
        <f>SUMPRODUCT((Income!D$3:D$502="INR")*(Income!A$3:A$502=B32)*(Income!A$3:A$502&lt;&gt;"")*Income!C$3:C$502)</f>
        <v/>
      </c>
      <c r="F32" s="141">
        <f>SUMPRODUCT((Expenses!E$3:E$999="INR")*(Expenses!A$3:A$999=B32)*(Expenses!A$3:A$999&lt;&gt;"")*Expenses!D$3:D$999)</f>
        <v/>
      </c>
      <c r="G32" s="142">
        <f>C32+D32</f>
        <v/>
      </c>
      <c r="H32" s="111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68">
      <c r="A33" s="19" t="n">
        <v>5</v>
      </c>
      <c r="B33" s="146" t="n">
        <v>46053</v>
      </c>
      <c r="C33" s="141">
        <f>G32</f>
        <v/>
      </c>
      <c r="D33" s="142">
        <f>E33-F33</f>
        <v/>
      </c>
      <c r="E33" s="141">
        <f>SUMPRODUCT((Income!D$3:D$502="INR")*(Income!A$3:A$502=B33)*(Income!A$3:A$502&lt;&gt;"")*Income!C$3:C$502)</f>
        <v/>
      </c>
      <c r="F33" s="141">
        <f>SUMPRODUCT((Expenses!E$3:E$999="INR")*(Expenses!A$3:A$999=B33)*(Expenses!A$3:A$999&lt;&gt;"")*Expenses!D$3:D$999)</f>
        <v/>
      </c>
      <c r="G33" s="142">
        <f>C33+D33</f>
        <v/>
      </c>
      <c r="H33" s="111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68">
      <c r="A34" s="19" t="n">
        <v>5</v>
      </c>
      <c r="B34" s="146" t="n">
        <v>46054</v>
      </c>
      <c r="C34" s="141">
        <f>G33</f>
        <v/>
      </c>
      <c r="D34" s="142">
        <f>E34-F34</f>
        <v/>
      </c>
      <c r="E34" s="141">
        <f>SUMPRODUCT((Income!D$3:D$502="INR")*(Income!A$3:A$502=B34)*(Income!A$3:A$502&lt;&gt;"")*Income!C$3:C$502)</f>
        <v/>
      </c>
      <c r="F34" s="141">
        <f>SUMPRODUCT((Expenses!E$3:E$999="INR")*(Expenses!A$3:A$999=B34)*(Expenses!A$3:A$999&lt;&gt;"")*Expenses!D$3:D$999)</f>
        <v/>
      </c>
      <c r="G34" s="142">
        <f>C34+D34</f>
        <v/>
      </c>
      <c r="H34" s="111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68">
      <c r="A35" s="19" t="n">
        <v>6</v>
      </c>
      <c r="B35" s="146" t="n">
        <v>46055</v>
      </c>
      <c r="C35" s="141">
        <f>G34</f>
        <v/>
      </c>
      <c r="D35" s="142">
        <f>E35-F35</f>
        <v/>
      </c>
      <c r="E35" s="141">
        <f>SUMPRODUCT((Income!D$3:D$502="INR")*(Income!A$3:A$502=B35)*(Income!A$3:A$502&lt;&gt;"")*Income!C$3:C$502)</f>
        <v/>
      </c>
      <c r="F35" s="141">
        <f>SUMPRODUCT((Expenses!E$3:E$999="INR")*(Expenses!A$3:A$999=B35)*(Expenses!A$3:A$999&lt;&gt;"")*Expenses!D$3:D$999)</f>
        <v/>
      </c>
      <c r="G35" s="142">
        <f>C35+D35</f>
        <v/>
      </c>
      <c r="H35" s="111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68">
      <c r="A36" s="19" t="n">
        <v>6</v>
      </c>
      <c r="B36" s="146" t="n">
        <v>46056</v>
      </c>
      <c r="C36" s="141">
        <f>G35</f>
        <v/>
      </c>
      <c r="D36" s="142">
        <f>E36-F36</f>
        <v/>
      </c>
      <c r="E36" s="141">
        <f>SUMPRODUCT((Income!D$3:D$502="INR")*(Income!A$3:A$502=B36)*(Income!A$3:A$502&lt;&gt;"")*Income!C$3:C$502)</f>
        <v/>
      </c>
      <c r="F36" s="141">
        <f>SUMPRODUCT((Expenses!E$3:E$999="INR")*(Expenses!A$3:A$999=B36)*(Expenses!A$3:A$999&lt;&gt;"")*Expenses!D$3:D$999)</f>
        <v/>
      </c>
      <c r="G36" s="142">
        <f>C36+D36</f>
        <v/>
      </c>
      <c r="H36" s="111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68">
      <c r="A37" s="19" t="n">
        <v>6</v>
      </c>
      <c r="B37" s="146" t="n">
        <v>46057</v>
      </c>
      <c r="C37" s="141">
        <f>G36</f>
        <v/>
      </c>
      <c r="D37" s="142">
        <f>E37-F37</f>
        <v/>
      </c>
      <c r="E37" s="141">
        <f>SUMPRODUCT((Income!D$3:D$502="INR")*(Income!A$3:A$502=B37)*(Income!A$3:A$502&lt;&gt;"")*Income!C$3:C$502)</f>
        <v/>
      </c>
      <c r="F37" s="141">
        <f>SUMPRODUCT((Expenses!E$3:E$999="INR")*(Expenses!A$3:A$999=B37)*(Expenses!A$3:A$999&lt;&gt;"")*Expenses!D$3:D$999)</f>
        <v/>
      </c>
      <c r="G37" s="142">
        <f>C37+D37</f>
        <v/>
      </c>
      <c r="H37" s="111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68">
      <c r="A38" s="19" t="n">
        <v>6</v>
      </c>
      <c r="B38" s="146" t="n">
        <v>46058</v>
      </c>
      <c r="C38" s="141">
        <f>G37</f>
        <v/>
      </c>
      <c r="D38" s="142">
        <f>E38-F38</f>
        <v/>
      </c>
      <c r="E38" s="141">
        <f>SUMPRODUCT((Income!D$3:D$502="INR")*(Income!A$3:A$502=B38)*(Income!A$3:A$502&lt;&gt;"")*Income!C$3:C$502)</f>
        <v/>
      </c>
      <c r="F38" s="141">
        <f>SUMPRODUCT((Expenses!E$3:E$999="INR")*(Expenses!A$3:A$999=B38)*(Expenses!A$3:A$999&lt;&gt;"")*Expenses!D$3:D$999)</f>
        <v/>
      </c>
      <c r="G38" s="142">
        <f>C38+D38</f>
        <v/>
      </c>
      <c r="H38" s="111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68">
      <c r="A39" s="19" t="n">
        <v>6</v>
      </c>
      <c r="B39" s="146" t="n">
        <v>46059</v>
      </c>
      <c r="C39" s="141">
        <f>G38</f>
        <v/>
      </c>
      <c r="D39" s="142">
        <f>E39-F39</f>
        <v/>
      </c>
      <c r="E39" s="141">
        <f>SUMPRODUCT((Income!D$3:D$502="INR")*(Income!A$3:A$502=B39)*(Income!A$3:A$502&lt;&gt;"")*Income!C$3:C$502)</f>
        <v/>
      </c>
      <c r="F39" s="141">
        <f>SUMPRODUCT((Expenses!E$3:E$999="INR")*(Expenses!A$3:A$999=B39)*(Expenses!A$3:A$999&lt;&gt;"")*Expenses!D$3:D$999)</f>
        <v/>
      </c>
      <c r="G39" s="142">
        <f>C39+D39</f>
        <v/>
      </c>
      <c r="H39" s="111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68">
      <c r="A40" s="19" t="n">
        <v>6</v>
      </c>
      <c r="B40" s="146" t="n">
        <v>46060</v>
      </c>
      <c r="C40" s="141">
        <f>G39</f>
        <v/>
      </c>
      <c r="D40" s="142">
        <f>E40-F40</f>
        <v/>
      </c>
      <c r="E40" s="141">
        <f>SUMPRODUCT((Income!D$3:D$502="INR")*(Income!A$3:A$502=B40)*(Income!A$3:A$502&lt;&gt;"")*Income!C$3:C$502)</f>
        <v/>
      </c>
      <c r="F40" s="141">
        <f>SUMPRODUCT((Expenses!E$3:E$999="INR")*(Expenses!A$3:A$999=B40)*(Expenses!A$3:A$999&lt;&gt;"")*Expenses!D$3:D$999)</f>
        <v/>
      </c>
      <c r="G40" s="142">
        <f>C40+D40</f>
        <v/>
      </c>
      <c r="H40" s="111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68">
      <c r="A41" s="19" t="n">
        <v>6</v>
      </c>
      <c r="B41" s="146" t="n">
        <v>46061</v>
      </c>
      <c r="C41" s="141">
        <f>G40</f>
        <v/>
      </c>
      <c r="D41" s="142">
        <f>E41-F41</f>
        <v/>
      </c>
      <c r="E41" s="141">
        <f>SUMPRODUCT((Income!D$3:D$502="INR")*(Income!A$3:A$502=B41)*(Income!A$3:A$502&lt;&gt;"")*Income!C$3:C$502)</f>
        <v/>
      </c>
      <c r="F41" s="141">
        <f>SUMPRODUCT((Expenses!E$3:E$999="INR")*(Expenses!A$3:A$999=B41)*(Expenses!A$3:A$999&lt;&gt;"")*Expenses!D$3:D$999)</f>
        <v/>
      </c>
      <c r="G41" s="142">
        <f>C41+D41</f>
        <v/>
      </c>
      <c r="H41" s="111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68">
      <c r="A42" s="19" t="n">
        <v>7</v>
      </c>
      <c r="B42" s="146" t="n">
        <v>46062</v>
      </c>
      <c r="C42" s="141">
        <f>G41</f>
        <v/>
      </c>
      <c r="D42" s="142">
        <f>E42-F42</f>
        <v/>
      </c>
      <c r="E42" s="141">
        <f>SUMPRODUCT((Income!D$3:D$502="INR")*(Income!A$3:A$502=B42)*(Income!A$3:A$502&lt;&gt;"")*Income!C$3:C$502)</f>
        <v/>
      </c>
      <c r="F42" s="141">
        <f>SUMPRODUCT((Expenses!E$3:E$999="INR")*(Expenses!A$3:A$999=B42)*(Expenses!A$3:A$999&lt;&gt;"")*Expenses!D$3:D$999)</f>
        <v/>
      </c>
      <c r="G42" s="142">
        <f>C42+D42</f>
        <v/>
      </c>
      <c r="H42" s="111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68">
      <c r="A43" s="19" t="n">
        <v>7</v>
      </c>
      <c r="B43" s="146" t="n">
        <v>46063</v>
      </c>
      <c r="C43" s="141">
        <f>G42</f>
        <v/>
      </c>
      <c r="D43" s="142">
        <f>E43-F43</f>
        <v/>
      </c>
      <c r="E43" s="141">
        <f>SUMPRODUCT((Income!D$3:D$502="INR")*(Income!A$3:A$502=B43)*(Income!A$3:A$502&lt;&gt;"")*Income!C$3:C$502)</f>
        <v/>
      </c>
      <c r="F43" s="141">
        <f>SUMPRODUCT((Expenses!E$3:E$999="INR")*(Expenses!A$3:A$999=B43)*(Expenses!A$3:A$999&lt;&gt;"")*Expenses!D$3:D$999)</f>
        <v/>
      </c>
      <c r="G43" s="142">
        <f>C43+D43</f>
        <v/>
      </c>
      <c r="H43" s="111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68">
      <c r="A44" s="19" t="n">
        <v>7</v>
      </c>
      <c r="B44" s="146" t="n">
        <v>46064</v>
      </c>
      <c r="C44" s="141">
        <f>G43</f>
        <v/>
      </c>
      <c r="D44" s="142">
        <f>E44-F44</f>
        <v/>
      </c>
      <c r="E44" s="141">
        <f>SUMPRODUCT((Income!D$3:D$502="INR")*(Income!A$3:A$502=B44)*(Income!A$3:A$502&lt;&gt;"")*Income!C$3:C$502)</f>
        <v/>
      </c>
      <c r="F44" s="141">
        <f>SUMPRODUCT((Expenses!E$3:E$999="INR")*(Expenses!A$3:A$999=B44)*(Expenses!A$3:A$999&lt;&gt;"")*Expenses!D$3:D$999)</f>
        <v/>
      </c>
      <c r="G44" s="142">
        <f>C44+D44</f>
        <v/>
      </c>
      <c r="H44" s="111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68">
      <c r="A45" s="19" t="n">
        <v>7</v>
      </c>
      <c r="B45" s="146" t="n">
        <v>46065</v>
      </c>
      <c r="C45" s="141">
        <f>G44</f>
        <v/>
      </c>
      <c r="D45" s="142">
        <f>E45-F45</f>
        <v/>
      </c>
      <c r="E45" s="141">
        <f>SUMPRODUCT((Income!D$3:D$502="INR")*(Income!A$3:A$502=B45)*(Income!A$3:A$502&lt;&gt;"")*Income!C$3:C$502)</f>
        <v/>
      </c>
      <c r="F45" s="141">
        <f>SUMPRODUCT((Expenses!E$3:E$999="INR")*(Expenses!A$3:A$999=B45)*(Expenses!A$3:A$999&lt;&gt;"")*Expenses!D$3:D$999)</f>
        <v/>
      </c>
      <c r="G45" s="142">
        <f>C45+D45</f>
        <v/>
      </c>
      <c r="H45" s="111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68">
      <c r="A46" s="19" t="n">
        <v>7</v>
      </c>
      <c r="B46" s="146" t="n">
        <v>46066</v>
      </c>
      <c r="C46" s="141">
        <f>G45</f>
        <v/>
      </c>
      <c r="D46" s="142">
        <f>E46-F46</f>
        <v/>
      </c>
      <c r="E46" s="141">
        <f>SUMPRODUCT((Income!D$3:D$502="INR")*(Income!A$3:A$502=B46)*(Income!A$3:A$502&lt;&gt;"")*Income!C$3:C$502)</f>
        <v/>
      </c>
      <c r="F46" s="141">
        <f>SUMPRODUCT((Expenses!E$3:E$999="INR")*(Expenses!A$3:A$999=B46)*(Expenses!A$3:A$999&lt;&gt;"")*Expenses!D$3:D$999)</f>
        <v/>
      </c>
      <c r="G46" s="142">
        <f>C46+D46</f>
        <v/>
      </c>
      <c r="H46" s="111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68">
      <c r="A47" s="19" t="n">
        <v>7</v>
      </c>
      <c r="B47" s="146" t="n">
        <v>46067</v>
      </c>
      <c r="C47" s="141">
        <f>G46</f>
        <v/>
      </c>
      <c r="D47" s="142">
        <f>E47-F47</f>
        <v/>
      </c>
      <c r="E47" s="141">
        <f>SUMPRODUCT((Income!D$3:D$502="INR")*(Income!A$3:A$502=B47)*(Income!A$3:A$502&lt;&gt;"")*Income!C$3:C$502)</f>
        <v/>
      </c>
      <c r="F47" s="141">
        <f>SUMPRODUCT((Expenses!E$3:E$999="INR")*(Expenses!A$3:A$999=B47)*(Expenses!A$3:A$999&lt;&gt;"")*Expenses!D$3:D$999)</f>
        <v/>
      </c>
      <c r="G47" s="142">
        <f>C47+D47</f>
        <v/>
      </c>
      <c r="H47" s="111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68">
      <c r="A48" s="19" t="n">
        <v>7</v>
      </c>
      <c r="B48" s="146" t="n">
        <v>46068</v>
      </c>
      <c r="C48" s="141">
        <f>G47</f>
        <v/>
      </c>
      <c r="D48" s="142">
        <f>E48-F48</f>
        <v/>
      </c>
      <c r="E48" s="141">
        <f>SUMPRODUCT((Income!D$3:D$502="INR")*(Income!A$3:A$502=B48)*(Income!A$3:A$502&lt;&gt;"")*Income!C$3:C$502)</f>
        <v/>
      </c>
      <c r="F48" s="141">
        <f>SUMPRODUCT((Expenses!E$3:E$999="INR")*(Expenses!A$3:A$999=B48)*(Expenses!A$3:A$999&lt;&gt;"")*Expenses!D$3:D$999)</f>
        <v/>
      </c>
      <c r="G48" s="142">
        <f>C48+D48</f>
        <v/>
      </c>
      <c r="H48" s="111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68">
      <c r="A49" s="19" t="n">
        <v>8</v>
      </c>
      <c r="B49" s="146" t="n">
        <v>46069</v>
      </c>
      <c r="C49" s="141">
        <f>G48</f>
        <v/>
      </c>
      <c r="D49" s="142">
        <f>E49-F49</f>
        <v/>
      </c>
      <c r="E49" s="141">
        <f>SUMPRODUCT((Income!D$3:D$502="INR")*(Income!A$3:A$502=B49)*(Income!A$3:A$502&lt;&gt;"")*Income!C$3:C$502)</f>
        <v/>
      </c>
      <c r="F49" s="141">
        <f>SUMPRODUCT((Expenses!E$3:E$999="INR")*(Expenses!A$3:A$999=B49)*(Expenses!A$3:A$999&lt;&gt;"")*Expenses!D$3:D$999)</f>
        <v/>
      </c>
      <c r="G49" s="142">
        <f>C49+D49</f>
        <v/>
      </c>
      <c r="H49" s="111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68">
      <c r="A50" s="19" t="n">
        <v>8</v>
      </c>
      <c r="B50" s="146" t="n">
        <v>46070</v>
      </c>
      <c r="C50" s="141">
        <f>G49</f>
        <v/>
      </c>
      <c r="D50" s="142">
        <f>E50-F50</f>
        <v/>
      </c>
      <c r="E50" s="141">
        <f>SUMPRODUCT((Income!D$3:D$502="INR")*(Income!A$3:A$502=B50)*(Income!A$3:A$502&lt;&gt;"")*Income!C$3:C$502)</f>
        <v/>
      </c>
      <c r="F50" s="141">
        <f>SUMPRODUCT((Expenses!E$3:E$999="INR")*(Expenses!A$3:A$999=B50)*(Expenses!A$3:A$999&lt;&gt;"")*Expenses!D$3:D$999)</f>
        <v/>
      </c>
      <c r="G50" s="142">
        <f>C50+D50</f>
        <v/>
      </c>
      <c r="H50" s="111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68">
      <c r="A51" s="19" t="n">
        <v>8</v>
      </c>
      <c r="B51" s="146" t="n">
        <v>46071</v>
      </c>
      <c r="C51" s="141">
        <f>G50</f>
        <v/>
      </c>
      <c r="D51" s="142">
        <f>E51-F51</f>
        <v/>
      </c>
      <c r="E51" s="141">
        <f>SUMPRODUCT((Income!D$3:D$502="INR")*(Income!A$3:A$502=B51)*(Income!A$3:A$502&lt;&gt;"")*Income!C$3:C$502)</f>
        <v/>
      </c>
      <c r="F51" s="141">
        <f>SUMPRODUCT((Expenses!E$3:E$999="INR")*(Expenses!A$3:A$999=B51)*(Expenses!A$3:A$999&lt;&gt;"")*Expenses!D$3:D$999)</f>
        <v/>
      </c>
      <c r="G51" s="142">
        <f>C51+D51</f>
        <v/>
      </c>
      <c r="H51" s="111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68">
      <c r="A52" s="19" t="n">
        <v>8</v>
      </c>
      <c r="B52" s="146" t="n">
        <v>46072</v>
      </c>
      <c r="C52" s="141">
        <f>G51</f>
        <v/>
      </c>
      <c r="D52" s="142">
        <f>E52-F52</f>
        <v/>
      </c>
      <c r="E52" s="141">
        <f>SUMPRODUCT((Income!D$3:D$502="INR")*(Income!A$3:A$502=B52)*(Income!A$3:A$502&lt;&gt;"")*Income!C$3:C$502)</f>
        <v/>
      </c>
      <c r="F52" s="141">
        <f>SUMPRODUCT((Expenses!E$3:E$999="INR")*(Expenses!A$3:A$999=B52)*(Expenses!A$3:A$999&lt;&gt;"")*Expenses!D$3:D$999)</f>
        <v/>
      </c>
      <c r="G52" s="142">
        <f>C52+D52</f>
        <v/>
      </c>
      <c r="H52" s="111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68">
      <c r="A53" s="19" t="n">
        <v>8</v>
      </c>
      <c r="B53" s="146" t="n">
        <v>46073</v>
      </c>
      <c r="C53" s="141">
        <f>G52</f>
        <v/>
      </c>
      <c r="D53" s="142">
        <f>E53-F53</f>
        <v/>
      </c>
      <c r="E53" s="141">
        <f>SUMPRODUCT((Income!D$3:D$502="INR")*(Income!A$3:A$502=B53)*(Income!A$3:A$502&lt;&gt;"")*Income!C$3:C$502)</f>
        <v/>
      </c>
      <c r="F53" s="141">
        <f>SUMPRODUCT((Expenses!E$3:E$999="INR")*(Expenses!A$3:A$999=B53)*(Expenses!A$3:A$999&lt;&gt;"")*Expenses!D$3:D$999)</f>
        <v/>
      </c>
      <c r="G53" s="142">
        <f>C53+D53</f>
        <v/>
      </c>
      <c r="H53" s="111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68">
      <c r="A54" s="19" t="n">
        <v>8</v>
      </c>
      <c r="B54" s="146" t="n">
        <v>46074</v>
      </c>
      <c r="C54" s="141">
        <f>G53</f>
        <v/>
      </c>
      <c r="D54" s="142">
        <f>E54-F54</f>
        <v/>
      </c>
      <c r="E54" s="141">
        <f>SUMPRODUCT((Income!D$3:D$502="INR")*(Income!A$3:A$502=B54)*(Income!A$3:A$502&lt;&gt;"")*Income!C$3:C$502)</f>
        <v/>
      </c>
      <c r="F54" s="141">
        <f>SUMPRODUCT((Expenses!E$3:E$999="INR")*(Expenses!A$3:A$999=B54)*(Expenses!A$3:A$999&lt;&gt;"")*Expenses!D$3:D$999)</f>
        <v/>
      </c>
      <c r="G54" s="142">
        <f>C54+D54</f>
        <v/>
      </c>
      <c r="H54" s="111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68">
      <c r="A55" s="19" t="n">
        <v>8</v>
      </c>
      <c r="B55" s="146" t="n">
        <v>46075</v>
      </c>
      <c r="C55" s="141">
        <f>G54</f>
        <v/>
      </c>
      <c r="D55" s="142">
        <f>E55-F55</f>
        <v/>
      </c>
      <c r="E55" s="141">
        <f>SUMPRODUCT((Income!D$3:D$502="INR")*(Income!A$3:A$502=B55)*(Income!A$3:A$502&lt;&gt;"")*Income!C$3:C$502)</f>
        <v/>
      </c>
      <c r="F55" s="141">
        <f>SUMPRODUCT((Expenses!E$3:E$999="INR")*(Expenses!A$3:A$999=B55)*(Expenses!A$3:A$999&lt;&gt;"")*Expenses!D$3:D$999)</f>
        <v/>
      </c>
      <c r="G55" s="142">
        <f>C55+D55</f>
        <v/>
      </c>
      <c r="H55" s="111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68">
      <c r="A56" s="19" t="n">
        <v>9</v>
      </c>
      <c r="B56" s="146" t="n">
        <v>46076</v>
      </c>
      <c r="C56" s="141">
        <f>G55</f>
        <v/>
      </c>
      <c r="D56" s="142">
        <f>E56-F56</f>
        <v/>
      </c>
      <c r="E56" s="141">
        <f>SUMPRODUCT((Income!D$3:D$502="INR")*(Income!A$3:A$502=B56)*(Income!A$3:A$502&lt;&gt;"")*Income!C$3:C$502)</f>
        <v/>
      </c>
      <c r="F56" s="141">
        <f>SUMPRODUCT((Expenses!E$3:E$999="INR")*(Expenses!A$3:A$999=B56)*(Expenses!A$3:A$999&lt;&gt;"")*Expenses!D$3:D$999)</f>
        <v/>
      </c>
      <c r="G56" s="142">
        <f>C56+D56</f>
        <v/>
      </c>
      <c r="H56" s="111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68">
      <c r="A57" s="19" t="n">
        <v>9</v>
      </c>
      <c r="B57" s="146" t="n">
        <v>46077</v>
      </c>
      <c r="C57" s="141">
        <f>G56</f>
        <v/>
      </c>
      <c r="D57" s="142">
        <f>E57-F57</f>
        <v/>
      </c>
      <c r="E57" s="141">
        <f>SUMPRODUCT((Income!D$3:D$502="INR")*(Income!A$3:A$502=B57)*(Income!A$3:A$502&lt;&gt;"")*Income!C$3:C$502)</f>
        <v/>
      </c>
      <c r="F57" s="141">
        <f>SUMPRODUCT((Expenses!E$3:E$999="INR")*(Expenses!A$3:A$999=B57)*(Expenses!A$3:A$999&lt;&gt;"")*Expenses!D$3:D$999)</f>
        <v/>
      </c>
      <c r="G57" s="142">
        <f>C57+D57</f>
        <v/>
      </c>
      <c r="H57" s="111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68">
      <c r="A58" s="19" t="n">
        <v>9</v>
      </c>
      <c r="B58" s="146" t="n">
        <v>46078</v>
      </c>
      <c r="C58" s="141">
        <f>G57</f>
        <v/>
      </c>
      <c r="D58" s="142">
        <f>E58-F58</f>
        <v/>
      </c>
      <c r="E58" s="141">
        <f>SUMPRODUCT((Income!D$3:D$502="INR")*(Income!A$3:A$502=B58)*(Income!A$3:A$502&lt;&gt;"")*Income!C$3:C$502)</f>
        <v/>
      </c>
      <c r="F58" s="141">
        <f>SUMPRODUCT((Expenses!E$3:E$999="INR")*(Expenses!A$3:A$999=B58)*(Expenses!A$3:A$999&lt;&gt;"")*Expenses!D$3:D$999)</f>
        <v/>
      </c>
      <c r="G58" s="142">
        <f>C58+D58</f>
        <v/>
      </c>
      <c r="H58" s="111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68">
      <c r="A59" s="19" t="n">
        <v>9</v>
      </c>
      <c r="B59" s="146" t="n">
        <v>46079</v>
      </c>
      <c r="C59" s="141">
        <f>G58</f>
        <v/>
      </c>
      <c r="D59" s="142">
        <f>E59-F59</f>
        <v/>
      </c>
      <c r="E59" s="141">
        <f>SUMPRODUCT((Income!D$3:D$502="INR")*(Income!A$3:A$502=B59)*(Income!A$3:A$502&lt;&gt;"")*Income!C$3:C$502)</f>
        <v/>
      </c>
      <c r="F59" s="141">
        <f>SUMPRODUCT((Expenses!E$3:E$999="INR")*(Expenses!A$3:A$999=B59)*(Expenses!A$3:A$999&lt;&gt;"")*Expenses!D$3:D$999)</f>
        <v/>
      </c>
      <c r="G59" s="142">
        <f>C59+D59</f>
        <v/>
      </c>
      <c r="H59" s="111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68">
      <c r="A60" s="19" t="n">
        <v>9</v>
      </c>
      <c r="B60" s="146" t="n">
        <v>46080</v>
      </c>
      <c r="C60" s="141">
        <f>G59</f>
        <v/>
      </c>
      <c r="D60" s="142">
        <f>E60-F60</f>
        <v/>
      </c>
      <c r="E60" s="141">
        <f>SUMPRODUCT((Income!D$3:D$502="INR")*(Income!A$3:A$502=B60)*(Income!A$3:A$502&lt;&gt;"")*Income!C$3:C$502)</f>
        <v/>
      </c>
      <c r="F60" s="141">
        <f>SUMPRODUCT((Expenses!E$3:E$999="INR")*(Expenses!A$3:A$999=B60)*(Expenses!A$3:A$999&lt;&gt;"")*Expenses!D$3:D$999)</f>
        <v/>
      </c>
      <c r="G60" s="142">
        <f>C60+D60</f>
        <v/>
      </c>
      <c r="H60" s="111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68">
      <c r="A61" s="19" t="n">
        <v>9</v>
      </c>
      <c r="B61" s="146" t="n">
        <v>46081</v>
      </c>
      <c r="C61" s="141">
        <f>G60</f>
        <v/>
      </c>
      <c r="D61" s="142">
        <f>E61-F61</f>
        <v/>
      </c>
      <c r="E61" s="141">
        <f>SUMPRODUCT((Income!D$3:D$502="INR")*(Income!A$3:A$502=B61)*(Income!A$3:A$502&lt;&gt;"")*Income!C$3:C$502)</f>
        <v/>
      </c>
      <c r="F61" s="141">
        <f>SUMPRODUCT((Expenses!E$3:E$999="INR")*(Expenses!A$3:A$999=B61)*(Expenses!A$3:A$999&lt;&gt;"")*Expenses!D$3:D$999)</f>
        <v/>
      </c>
      <c r="G61" s="142">
        <f>C61+D61</f>
        <v/>
      </c>
      <c r="H61" s="111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68">
      <c r="A62" s="19" t="n">
        <v>9</v>
      </c>
      <c r="B62" s="146" t="n">
        <v>46082</v>
      </c>
      <c r="C62" s="141">
        <f>G61</f>
        <v/>
      </c>
      <c r="D62" s="142">
        <f>E62-F62</f>
        <v/>
      </c>
      <c r="E62" s="141">
        <f>SUMPRODUCT((Income!D$3:D$502="INR")*(Income!A$3:A$502=B62)*(Income!A$3:A$502&lt;&gt;"")*Income!C$3:C$502)</f>
        <v/>
      </c>
      <c r="F62" s="141">
        <f>SUMPRODUCT((Expenses!E$3:E$999="INR")*(Expenses!A$3:A$999=B62)*(Expenses!A$3:A$999&lt;&gt;"")*Expenses!D$3:D$999)</f>
        <v/>
      </c>
      <c r="G62" s="142">
        <f>C62+D62</f>
        <v/>
      </c>
      <c r="H62" s="111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68">
      <c r="A63" s="19" t="n">
        <v>10</v>
      </c>
      <c r="B63" s="146" t="n">
        <v>46083</v>
      </c>
      <c r="C63" s="141">
        <f>G62</f>
        <v/>
      </c>
      <c r="D63" s="142">
        <f>E63-F63</f>
        <v/>
      </c>
      <c r="E63" s="141">
        <f>SUMPRODUCT((Income!D$3:D$502="INR")*(Income!A$3:A$502=B63)*(Income!A$3:A$502&lt;&gt;"")*Income!C$3:C$502)</f>
        <v/>
      </c>
      <c r="F63" s="141">
        <f>SUMPRODUCT((Expenses!E$3:E$999="INR")*(Expenses!A$3:A$999=B63)*(Expenses!A$3:A$999&lt;&gt;"")*Expenses!D$3:D$999)</f>
        <v/>
      </c>
      <c r="G63" s="142">
        <f>C63+D63</f>
        <v/>
      </c>
      <c r="H63" s="111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68">
      <c r="A64" s="19" t="n">
        <v>10</v>
      </c>
      <c r="B64" s="146" t="n">
        <v>46084</v>
      </c>
      <c r="C64" s="141">
        <f>G63</f>
        <v/>
      </c>
      <c r="D64" s="142">
        <f>E64-F64</f>
        <v/>
      </c>
      <c r="E64" s="141">
        <f>SUMPRODUCT((Income!D$3:D$502="INR")*(Income!A$3:A$502=B64)*(Income!A$3:A$502&lt;&gt;"")*Income!C$3:C$502)</f>
        <v/>
      </c>
      <c r="F64" s="141">
        <f>SUMPRODUCT((Expenses!E$3:E$999="INR")*(Expenses!A$3:A$999=B64)*(Expenses!A$3:A$999&lt;&gt;"")*Expenses!D$3:D$999)</f>
        <v/>
      </c>
      <c r="G64" s="142">
        <f>C64+D64</f>
        <v/>
      </c>
      <c r="H64" s="111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68">
      <c r="A65" s="19" t="n">
        <v>10</v>
      </c>
      <c r="B65" s="146" t="n">
        <v>46085</v>
      </c>
      <c r="C65" s="141">
        <f>G64</f>
        <v/>
      </c>
      <c r="D65" s="142">
        <f>E65-F65</f>
        <v/>
      </c>
      <c r="E65" s="141">
        <f>SUMPRODUCT((Income!D$3:D$502="INR")*(Income!A$3:A$502=B65)*(Income!A$3:A$502&lt;&gt;"")*Income!C$3:C$502)</f>
        <v/>
      </c>
      <c r="F65" s="141">
        <f>SUMPRODUCT((Expenses!E$3:E$999="INR")*(Expenses!A$3:A$999=B65)*(Expenses!A$3:A$999&lt;&gt;"")*Expenses!D$3:D$999)</f>
        <v/>
      </c>
      <c r="G65" s="142">
        <f>C65+D65</f>
        <v/>
      </c>
      <c r="H65" s="111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68">
      <c r="A66" s="19" t="n">
        <v>10</v>
      </c>
      <c r="B66" s="146" t="n">
        <v>46086</v>
      </c>
      <c r="C66" s="141">
        <f>G65</f>
        <v/>
      </c>
      <c r="D66" s="142">
        <f>E66-F66</f>
        <v/>
      </c>
      <c r="E66" s="141">
        <f>SUMPRODUCT((Income!D$3:D$502="INR")*(Income!A$3:A$502=B66)*(Income!A$3:A$502&lt;&gt;"")*Income!C$3:C$502)</f>
        <v/>
      </c>
      <c r="F66" s="141">
        <f>SUMPRODUCT((Expenses!E$3:E$999="INR")*(Expenses!A$3:A$999=B66)*(Expenses!A$3:A$999&lt;&gt;"")*Expenses!D$3:D$999)</f>
        <v/>
      </c>
      <c r="G66" s="142">
        <f>C66+D66</f>
        <v/>
      </c>
      <c r="H66" s="111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68">
      <c r="A67" s="19" t="n">
        <v>10</v>
      </c>
      <c r="B67" s="146" t="n">
        <v>46087</v>
      </c>
      <c r="C67" s="141">
        <f>G66</f>
        <v/>
      </c>
      <c r="D67" s="142">
        <f>E67-F67</f>
        <v/>
      </c>
      <c r="E67" s="141">
        <f>SUMPRODUCT((Income!D$3:D$502="INR")*(Income!A$3:A$502=B67)*(Income!A$3:A$502&lt;&gt;"")*Income!C$3:C$502)</f>
        <v/>
      </c>
      <c r="F67" s="141">
        <f>SUMPRODUCT((Expenses!E$3:E$999="INR")*(Expenses!A$3:A$999=B67)*(Expenses!A$3:A$999&lt;&gt;"")*Expenses!D$3:D$999)</f>
        <v/>
      </c>
      <c r="G67" s="142">
        <f>C67+D67</f>
        <v/>
      </c>
      <c r="H67" s="111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68">
      <c r="A68" s="19" t="n">
        <v>10</v>
      </c>
      <c r="B68" s="146" t="n">
        <v>46088</v>
      </c>
      <c r="C68" s="141">
        <f>G67</f>
        <v/>
      </c>
      <c r="D68" s="142">
        <f>E68-F68</f>
        <v/>
      </c>
      <c r="E68" s="141">
        <f>SUMPRODUCT((Income!D$3:D$502="INR")*(Income!A$3:A$502=B68)*(Income!A$3:A$502&lt;&gt;"")*Income!C$3:C$502)</f>
        <v/>
      </c>
      <c r="F68" s="141">
        <f>SUMPRODUCT((Expenses!E$3:E$999="INR")*(Expenses!A$3:A$999=B68)*(Expenses!A$3:A$999&lt;&gt;"")*Expenses!D$3:D$999)</f>
        <v/>
      </c>
      <c r="G68" s="142">
        <f>C68+D68</f>
        <v/>
      </c>
      <c r="H68" s="111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68">
      <c r="A69" s="19" t="n">
        <v>10</v>
      </c>
      <c r="B69" s="146" t="n">
        <v>46089</v>
      </c>
      <c r="C69" s="141">
        <f>G68</f>
        <v/>
      </c>
      <c r="D69" s="142">
        <f>E69-F69</f>
        <v/>
      </c>
      <c r="E69" s="141">
        <f>SUMPRODUCT((Income!D$3:D$502="INR")*(Income!A$3:A$502=B69)*(Income!A$3:A$502&lt;&gt;"")*Income!C$3:C$502)</f>
        <v/>
      </c>
      <c r="F69" s="141">
        <f>SUMPRODUCT((Expenses!E$3:E$999="INR")*(Expenses!A$3:A$999=B69)*(Expenses!A$3:A$999&lt;&gt;"")*Expenses!D$3:D$999)</f>
        <v/>
      </c>
      <c r="G69" s="142">
        <f>C69+D69</f>
        <v/>
      </c>
      <c r="H69" s="111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68">
      <c r="A70" s="19" t="n">
        <v>11</v>
      </c>
      <c r="B70" s="146" t="n">
        <v>46090</v>
      </c>
      <c r="C70" s="141">
        <f>G69</f>
        <v/>
      </c>
      <c r="D70" s="142">
        <f>E70-F70</f>
        <v/>
      </c>
      <c r="E70" s="141">
        <f>SUMPRODUCT((Income!D$3:D$502="INR")*(Income!A$3:A$502=B70)*(Income!A$3:A$502&lt;&gt;"")*Income!C$3:C$502)</f>
        <v/>
      </c>
      <c r="F70" s="141">
        <f>SUMPRODUCT((Expenses!E$3:E$999="INR")*(Expenses!A$3:A$999=B70)*(Expenses!A$3:A$999&lt;&gt;"")*Expenses!D$3:D$999)</f>
        <v/>
      </c>
      <c r="G70" s="142">
        <f>C70+D70</f>
        <v/>
      </c>
      <c r="H70" s="111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68">
      <c r="A71" s="19" t="n">
        <v>11</v>
      </c>
      <c r="B71" s="146" t="n">
        <v>46091</v>
      </c>
      <c r="C71" s="141">
        <f>G70</f>
        <v/>
      </c>
      <c r="D71" s="142">
        <f>E71-F71</f>
        <v/>
      </c>
      <c r="E71" s="141">
        <f>SUMPRODUCT((Income!D$3:D$502="INR")*(Income!A$3:A$502=B71)*(Income!A$3:A$502&lt;&gt;"")*Income!C$3:C$502)</f>
        <v/>
      </c>
      <c r="F71" s="141">
        <f>SUMPRODUCT((Expenses!E$3:E$999="INR")*(Expenses!A$3:A$999=B71)*(Expenses!A$3:A$999&lt;&gt;"")*Expenses!D$3:D$999)</f>
        <v/>
      </c>
      <c r="G71" s="142">
        <f>C71+D71</f>
        <v/>
      </c>
      <c r="H71" s="111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68">
      <c r="A72" s="19" t="n">
        <v>11</v>
      </c>
      <c r="B72" s="146" t="n">
        <v>46092</v>
      </c>
      <c r="C72" s="141">
        <f>G71</f>
        <v/>
      </c>
      <c r="D72" s="142">
        <f>E72-F72</f>
        <v/>
      </c>
      <c r="E72" s="141">
        <f>SUMPRODUCT((Income!D$3:D$502="INR")*(Income!A$3:A$502=B72)*(Income!A$3:A$502&lt;&gt;"")*Income!C$3:C$502)</f>
        <v/>
      </c>
      <c r="F72" s="141">
        <f>SUMPRODUCT((Expenses!E$3:E$999="INR")*(Expenses!A$3:A$999=B72)*(Expenses!A$3:A$999&lt;&gt;"")*Expenses!D$3:D$999)</f>
        <v/>
      </c>
      <c r="G72" s="142">
        <f>C72+D72</f>
        <v/>
      </c>
      <c r="H72" s="111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68">
      <c r="A73" s="19" t="n">
        <v>11</v>
      </c>
      <c r="B73" s="146" t="n">
        <v>46093</v>
      </c>
      <c r="C73" s="141">
        <f>G72</f>
        <v/>
      </c>
      <c r="D73" s="142">
        <f>E73-F73</f>
        <v/>
      </c>
      <c r="E73" s="141">
        <f>SUMPRODUCT((Income!D$3:D$502="INR")*(Income!A$3:A$502=B73)*(Income!A$3:A$502&lt;&gt;"")*Income!C$3:C$502)</f>
        <v/>
      </c>
      <c r="F73" s="141">
        <f>SUMPRODUCT((Expenses!E$3:E$999="INR")*(Expenses!A$3:A$999=B73)*(Expenses!A$3:A$999&lt;&gt;"")*Expenses!D$3:D$999)</f>
        <v/>
      </c>
      <c r="G73" s="142">
        <f>C73+D73</f>
        <v/>
      </c>
      <c r="H73" s="111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68">
      <c r="A74" s="19" t="n">
        <v>11</v>
      </c>
      <c r="B74" s="146" t="n">
        <v>46094</v>
      </c>
      <c r="C74" s="141">
        <f>G73</f>
        <v/>
      </c>
      <c r="D74" s="142">
        <f>E74-F74</f>
        <v/>
      </c>
      <c r="E74" s="141">
        <f>SUMPRODUCT((Income!D$3:D$502="INR")*(Income!A$3:A$502=B74)*(Income!A$3:A$502&lt;&gt;"")*Income!C$3:C$502)</f>
        <v/>
      </c>
      <c r="F74" s="141">
        <f>SUMPRODUCT((Expenses!E$3:E$999="INR")*(Expenses!A$3:A$999=B74)*(Expenses!A$3:A$999&lt;&gt;"")*Expenses!D$3:D$999)</f>
        <v/>
      </c>
      <c r="G74" s="142">
        <f>C74+D74</f>
        <v/>
      </c>
      <c r="H74" s="111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68">
      <c r="A75" s="19" t="n">
        <v>11</v>
      </c>
      <c r="B75" s="146" t="n">
        <v>46095</v>
      </c>
      <c r="C75" s="141">
        <f>G74</f>
        <v/>
      </c>
      <c r="D75" s="142">
        <f>E75-F75</f>
        <v/>
      </c>
      <c r="E75" s="141">
        <f>SUMPRODUCT((Income!D$3:D$502="INR")*(Income!A$3:A$502=B75)*(Income!A$3:A$502&lt;&gt;"")*Income!C$3:C$502)</f>
        <v/>
      </c>
      <c r="F75" s="141">
        <f>SUMPRODUCT((Expenses!E$3:E$999="INR")*(Expenses!A$3:A$999=B75)*(Expenses!A$3:A$999&lt;&gt;"")*Expenses!D$3:D$999)</f>
        <v/>
      </c>
      <c r="G75" s="142">
        <f>C75+D75</f>
        <v/>
      </c>
      <c r="H75" s="111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68">
      <c r="A76" s="19" t="n">
        <v>11</v>
      </c>
      <c r="B76" s="146" t="n">
        <v>46096</v>
      </c>
      <c r="C76" s="141">
        <f>G75</f>
        <v/>
      </c>
      <c r="D76" s="142">
        <f>E76-F76</f>
        <v/>
      </c>
      <c r="E76" s="141">
        <f>SUMPRODUCT((Income!D$3:D$502="INR")*(Income!A$3:A$502=B76)*(Income!A$3:A$502&lt;&gt;"")*Income!C$3:C$502)</f>
        <v/>
      </c>
      <c r="F76" s="141">
        <f>SUMPRODUCT((Expenses!E$3:E$999="INR")*(Expenses!A$3:A$999=B76)*(Expenses!A$3:A$999&lt;&gt;"")*Expenses!D$3:D$999)</f>
        <v/>
      </c>
      <c r="G76" s="142">
        <f>C76+D76</f>
        <v/>
      </c>
      <c r="H76" s="111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68">
      <c r="A77" s="19" t="n">
        <v>12</v>
      </c>
      <c r="B77" s="146" t="n">
        <v>46097</v>
      </c>
      <c r="C77" s="141">
        <f>G76</f>
        <v/>
      </c>
      <c r="D77" s="142">
        <f>E77-F77</f>
        <v/>
      </c>
      <c r="E77" s="141">
        <f>SUMPRODUCT((Income!D$3:D$502="INR")*(Income!A$3:A$502=B77)*(Income!A$3:A$502&lt;&gt;"")*Income!C$3:C$502)</f>
        <v/>
      </c>
      <c r="F77" s="141">
        <f>SUMPRODUCT((Expenses!E$3:E$999="INR")*(Expenses!A$3:A$999=B77)*(Expenses!A$3:A$999&lt;&gt;"")*Expenses!D$3:D$999)</f>
        <v/>
      </c>
      <c r="G77" s="142">
        <f>C77+D77</f>
        <v/>
      </c>
      <c r="H77" s="111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68">
      <c r="A78" s="19" t="n">
        <v>12</v>
      </c>
      <c r="B78" s="146" t="n">
        <v>46098</v>
      </c>
      <c r="C78" s="141">
        <f>G77</f>
        <v/>
      </c>
      <c r="D78" s="142">
        <f>E78-F78</f>
        <v/>
      </c>
      <c r="E78" s="141">
        <f>SUMPRODUCT((Income!D$3:D$502="INR")*(Income!A$3:A$502=B78)*(Income!A$3:A$502&lt;&gt;"")*Income!C$3:C$502)</f>
        <v/>
      </c>
      <c r="F78" s="141">
        <f>SUMPRODUCT((Expenses!E$3:E$999="INR")*(Expenses!A$3:A$999=B78)*(Expenses!A$3:A$999&lt;&gt;"")*Expenses!D$3:D$999)</f>
        <v/>
      </c>
      <c r="G78" s="142">
        <f>C78+D78</f>
        <v/>
      </c>
      <c r="H78" s="111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68">
      <c r="A79" s="19" t="n">
        <v>12</v>
      </c>
      <c r="B79" s="146" t="n">
        <v>46099</v>
      </c>
      <c r="C79" s="141">
        <f>G78</f>
        <v/>
      </c>
      <c r="D79" s="142">
        <f>E79-F79</f>
        <v/>
      </c>
      <c r="E79" s="141">
        <f>SUMPRODUCT((Income!D$3:D$502="INR")*(Income!A$3:A$502=B79)*(Income!A$3:A$502&lt;&gt;"")*Income!C$3:C$502)</f>
        <v/>
      </c>
      <c r="F79" s="141">
        <f>SUMPRODUCT((Expenses!E$3:E$999="INR")*(Expenses!A$3:A$999=B79)*(Expenses!A$3:A$999&lt;&gt;"")*Expenses!D$3:D$999)</f>
        <v/>
      </c>
      <c r="G79" s="142">
        <f>C79+D79</f>
        <v/>
      </c>
      <c r="H79" s="111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68">
      <c r="A80" s="19" t="n">
        <v>12</v>
      </c>
      <c r="B80" s="146" t="n">
        <v>46100</v>
      </c>
      <c r="C80" s="141">
        <f>G79</f>
        <v/>
      </c>
      <c r="D80" s="142">
        <f>E80-F80</f>
        <v/>
      </c>
      <c r="E80" s="141">
        <f>SUMPRODUCT((Income!D$3:D$502="INR")*(Income!A$3:A$502=B80)*(Income!A$3:A$502&lt;&gt;"")*Income!C$3:C$502)</f>
        <v/>
      </c>
      <c r="F80" s="141">
        <f>SUMPRODUCT((Expenses!E$3:E$999="INR")*(Expenses!A$3:A$999=B80)*(Expenses!A$3:A$999&lt;&gt;"")*Expenses!D$3:D$999)</f>
        <v/>
      </c>
      <c r="G80" s="142">
        <f>C80+D80</f>
        <v/>
      </c>
      <c r="H80" s="111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68">
      <c r="A81" s="19" t="n">
        <v>12</v>
      </c>
      <c r="B81" s="146" t="n">
        <v>46101</v>
      </c>
      <c r="C81" s="141">
        <f>G80</f>
        <v/>
      </c>
      <c r="D81" s="142">
        <f>E81-F81</f>
        <v/>
      </c>
      <c r="E81" s="141">
        <f>SUMPRODUCT((Income!D$3:D$502="INR")*(Income!A$3:A$502=B81)*(Income!A$3:A$502&lt;&gt;"")*Income!C$3:C$502)</f>
        <v/>
      </c>
      <c r="F81" s="141">
        <f>SUMPRODUCT((Expenses!E$3:E$999="INR")*(Expenses!A$3:A$999=B81)*(Expenses!A$3:A$999&lt;&gt;"")*Expenses!D$3:D$999)</f>
        <v/>
      </c>
      <c r="G81" s="142">
        <f>C81+D81</f>
        <v/>
      </c>
      <c r="H81" s="111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68">
      <c r="A82" s="19" t="n">
        <v>12</v>
      </c>
      <c r="B82" s="146" t="n">
        <v>46102</v>
      </c>
      <c r="C82" s="141">
        <f>G81</f>
        <v/>
      </c>
      <c r="D82" s="142">
        <f>E82-F82</f>
        <v/>
      </c>
      <c r="E82" s="141">
        <f>SUMPRODUCT((Income!D$3:D$502="INR")*(Income!A$3:A$502=B82)*(Income!A$3:A$502&lt;&gt;"")*Income!C$3:C$502)</f>
        <v/>
      </c>
      <c r="F82" s="141">
        <f>SUMPRODUCT((Expenses!E$3:E$999="INR")*(Expenses!A$3:A$999=B82)*(Expenses!A$3:A$999&lt;&gt;"")*Expenses!D$3:D$999)</f>
        <v/>
      </c>
      <c r="G82" s="142">
        <f>C82+D82</f>
        <v/>
      </c>
      <c r="H82" s="111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68">
      <c r="A83" s="19" t="n">
        <v>12</v>
      </c>
      <c r="B83" s="146" t="n">
        <v>46103</v>
      </c>
      <c r="C83" s="141">
        <f>G82</f>
        <v/>
      </c>
      <c r="D83" s="142">
        <f>E83-F83</f>
        <v/>
      </c>
      <c r="E83" s="141">
        <f>SUMPRODUCT((Income!D$3:D$502="INR")*(Income!A$3:A$502=B83)*(Income!A$3:A$502&lt;&gt;"")*Income!C$3:C$502)</f>
        <v/>
      </c>
      <c r="F83" s="141">
        <f>SUMPRODUCT((Expenses!E$3:E$999="INR")*(Expenses!A$3:A$999=B83)*(Expenses!A$3:A$999&lt;&gt;"")*Expenses!D$3:D$999)</f>
        <v/>
      </c>
      <c r="G83" s="142">
        <f>C83+D83</f>
        <v/>
      </c>
      <c r="H83" s="111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68">
      <c r="A84" s="19" t="n">
        <v>13</v>
      </c>
      <c r="B84" s="146" t="n">
        <v>46104</v>
      </c>
      <c r="C84" s="141">
        <f>G83</f>
        <v/>
      </c>
      <c r="D84" s="142">
        <f>E84-F84</f>
        <v/>
      </c>
      <c r="E84" s="141">
        <f>SUMPRODUCT((Income!D$3:D$502="INR")*(Income!A$3:A$502=B84)*(Income!A$3:A$502&lt;&gt;"")*Income!C$3:C$502)</f>
        <v/>
      </c>
      <c r="F84" s="141">
        <f>SUMPRODUCT((Expenses!E$3:E$999="INR")*(Expenses!A$3:A$999=B84)*(Expenses!A$3:A$999&lt;&gt;"")*Expenses!D$3:D$999)</f>
        <v/>
      </c>
      <c r="G84" s="142">
        <f>C84+D84</f>
        <v/>
      </c>
      <c r="H84" s="111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68">
      <c r="A85" s="19" t="n">
        <v>13</v>
      </c>
      <c r="B85" s="146" t="n">
        <v>46105</v>
      </c>
      <c r="C85" s="141">
        <f>G84</f>
        <v/>
      </c>
      <c r="D85" s="142">
        <f>E85-F85</f>
        <v/>
      </c>
      <c r="E85" s="141">
        <f>SUMPRODUCT((Income!D$3:D$502="INR")*(Income!A$3:A$502=B85)*(Income!A$3:A$502&lt;&gt;"")*Income!C$3:C$502)</f>
        <v/>
      </c>
      <c r="F85" s="141">
        <f>SUMPRODUCT((Expenses!E$3:E$999="INR")*(Expenses!A$3:A$999=B85)*(Expenses!A$3:A$999&lt;&gt;"")*Expenses!D$3:D$999)</f>
        <v/>
      </c>
      <c r="G85" s="142">
        <f>C85+D85</f>
        <v/>
      </c>
      <c r="H85" s="111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68">
      <c r="A86" s="19" t="n">
        <v>13</v>
      </c>
      <c r="B86" s="146" t="n">
        <v>46106</v>
      </c>
      <c r="C86" s="141">
        <f>G85</f>
        <v/>
      </c>
      <c r="D86" s="142">
        <f>E86-F86</f>
        <v/>
      </c>
      <c r="E86" s="141">
        <f>SUMPRODUCT((Income!D$3:D$502="INR")*(Income!A$3:A$502=B86)*(Income!A$3:A$502&lt;&gt;"")*Income!C$3:C$502)</f>
        <v/>
      </c>
      <c r="F86" s="141">
        <f>SUMPRODUCT((Expenses!E$3:E$999="INR")*(Expenses!A$3:A$999=B86)*(Expenses!A$3:A$999&lt;&gt;"")*Expenses!D$3:D$999)</f>
        <v/>
      </c>
      <c r="G86" s="142">
        <f>C86+D86</f>
        <v/>
      </c>
      <c r="H86" s="111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68">
      <c r="A87" s="19" t="n">
        <v>13</v>
      </c>
      <c r="B87" s="146" t="n">
        <v>46107</v>
      </c>
      <c r="C87" s="141">
        <f>G86</f>
        <v/>
      </c>
      <c r="D87" s="142">
        <f>E87-F87</f>
        <v/>
      </c>
      <c r="E87" s="141">
        <f>SUMPRODUCT((Income!D$3:D$502="INR")*(Income!A$3:A$502=B87)*(Income!A$3:A$502&lt;&gt;"")*Income!C$3:C$502)</f>
        <v/>
      </c>
      <c r="F87" s="141">
        <f>SUMPRODUCT((Expenses!E$3:E$999="INR")*(Expenses!A$3:A$999=B87)*(Expenses!A$3:A$999&lt;&gt;"")*Expenses!D$3:D$999)</f>
        <v/>
      </c>
      <c r="G87" s="142">
        <f>C87+D87</f>
        <v/>
      </c>
      <c r="H87" s="111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68">
      <c r="A88" s="19" t="n">
        <v>13</v>
      </c>
      <c r="B88" s="146" t="n">
        <v>46108</v>
      </c>
      <c r="C88" s="141">
        <f>G87</f>
        <v/>
      </c>
      <c r="D88" s="142">
        <f>E88-F88</f>
        <v/>
      </c>
      <c r="E88" s="141">
        <f>SUMPRODUCT((Income!D$3:D$502="INR")*(Income!A$3:A$502=B88)*(Income!A$3:A$502&lt;&gt;"")*Income!C$3:C$502)</f>
        <v/>
      </c>
      <c r="F88" s="141">
        <f>SUMPRODUCT((Expenses!E$3:E$999="INR")*(Expenses!A$3:A$999=B88)*(Expenses!A$3:A$999&lt;&gt;"")*Expenses!D$3:D$999)</f>
        <v/>
      </c>
      <c r="G88" s="142">
        <f>C88+D88</f>
        <v/>
      </c>
      <c r="H88" s="111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68">
      <c r="A89" s="19" t="n">
        <v>13</v>
      </c>
      <c r="B89" s="146" t="n">
        <v>46109</v>
      </c>
      <c r="C89" s="141">
        <f>G88</f>
        <v/>
      </c>
      <c r="D89" s="142">
        <f>E89-F89</f>
        <v/>
      </c>
      <c r="E89" s="141">
        <f>SUMPRODUCT((Income!D$3:D$502="INR")*(Income!A$3:A$502=B89)*(Income!A$3:A$502&lt;&gt;"")*Income!C$3:C$502)</f>
        <v/>
      </c>
      <c r="F89" s="141">
        <f>SUMPRODUCT((Expenses!E$3:E$999="INR")*(Expenses!A$3:A$999=B89)*(Expenses!A$3:A$999&lt;&gt;"")*Expenses!D$3:D$999)</f>
        <v/>
      </c>
      <c r="G89" s="142">
        <f>C89+D89</f>
        <v/>
      </c>
      <c r="H89" s="111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68">
      <c r="A90" s="19" t="n">
        <v>13</v>
      </c>
      <c r="B90" s="146" t="n">
        <v>46110</v>
      </c>
      <c r="C90" s="141">
        <f>G89</f>
        <v/>
      </c>
      <c r="D90" s="142">
        <f>E90-F90</f>
        <v/>
      </c>
      <c r="E90" s="141">
        <f>SUMPRODUCT((Income!D$3:D$502="INR")*(Income!A$3:A$502=B90)*(Income!A$3:A$502&lt;&gt;"")*Income!C$3:C$502)</f>
        <v/>
      </c>
      <c r="F90" s="141">
        <f>SUMPRODUCT((Expenses!E$3:E$999="INR")*(Expenses!A$3:A$999=B90)*(Expenses!A$3:A$999&lt;&gt;"")*Expenses!D$3:D$999)</f>
        <v/>
      </c>
      <c r="G90" s="142">
        <f>C90+D90</f>
        <v/>
      </c>
      <c r="H90" s="111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68">
      <c r="A91" s="19" t="n">
        <v>14</v>
      </c>
      <c r="B91" s="146" t="n">
        <v>46111</v>
      </c>
      <c r="C91" s="141">
        <f>G90</f>
        <v/>
      </c>
      <c r="D91" s="142">
        <f>E91-F91</f>
        <v/>
      </c>
      <c r="E91" s="141">
        <f>SUMPRODUCT((Income!D$3:D$502="INR")*(Income!A$3:A$502=B91)*(Income!A$3:A$502&lt;&gt;"")*Income!C$3:C$502)</f>
        <v/>
      </c>
      <c r="F91" s="141">
        <f>SUMPRODUCT((Expenses!E$3:E$999="INR")*(Expenses!A$3:A$999=B91)*(Expenses!A$3:A$999&lt;&gt;"")*Expenses!D$3:D$999)</f>
        <v/>
      </c>
      <c r="G91" s="142">
        <f>C91+D91</f>
        <v/>
      </c>
      <c r="H91" s="111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68">
      <c r="A92" s="19" t="n">
        <v>14</v>
      </c>
      <c r="B92" s="146" t="n">
        <v>46112</v>
      </c>
      <c r="C92" s="141">
        <f>G91</f>
        <v/>
      </c>
      <c r="D92" s="142">
        <f>E92-F92</f>
        <v/>
      </c>
      <c r="E92" s="141">
        <f>SUMPRODUCT((Income!D$3:D$502="INR")*(Income!A$3:A$502=B92)*(Income!A$3:A$502&lt;&gt;"")*Income!C$3:C$502)</f>
        <v/>
      </c>
      <c r="F92" s="141">
        <f>SUMPRODUCT((Expenses!E$3:E$999="INR")*(Expenses!A$3:A$999=B92)*(Expenses!A$3:A$999&lt;&gt;"")*Expenses!D$3:D$999)</f>
        <v/>
      </c>
      <c r="G92" s="142">
        <f>C92+D92</f>
        <v/>
      </c>
      <c r="H92" s="111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68">
      <c r="A93" s="19" t="n">
        <v>14</v>
      </c>
      <c r="B93" s="146" t="n">
        <v>46113</v>
      </c>
      <c r="C93" s="141">
        <f>G92</f>
        <v/>
      </c>
      <c r="D93" s="142">
        <f>E93-F93</f>
        <v/>
      </c>
      <c r="E93" s="141">
        <f>SUMPRODUCT((Income!D$3:D$502="INR")*(Income!A$3:A$502=B93)*(Income!A$3:A$502&lt;&gt;"")*Income!C$3:C$502)</f>
        <v/>
      </c>
      <c r="F93" s="141">
        <f>SUMPRODUCT((Expenses!E$3:E$999="INR")*(Expenses!A$3:A$999=B93)*(Expenses!A$3:A$999&lt;&gt;"")*Expenses!D$3:D$999)</f>
        <v/>
      </c>
      <c r="G93" s="142">
        <f>C93+D93</f>
        <v/>
      </c>
      <c r="H93" s="111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68">
      <c r="A94" s="19" t="n">
        <v>14</v>
      </c>
      <c r="B94" s="146" t="n">
        <v>46114</v>
      </c>
      <c r="C94" s="141">
        <f>G93</f>
        <v/>
      </c>
      <c r="D94" s="142">
        <f>E94-F94</f>
        <v/>
      </c>
      <c r="E94" s="141">
        <f>SUMPRODUCT((Income!D$3:D$502="INR")*(Income!A$3:A$502=B94)*(Income!A$3:A$502&lt;&gt;"")*Income!C$3:C$502)</f>
        <v/>
      </c>
      <c r="F94" s="141">
        <f>SUMPRODUCT((Expenses!E$3:E$999="INR")*(Expenses!A$3:A$999=B94)*(Expenses!A$3:A$999&lt;&gt;"")*Expenses!D$3:D$999)</f>
        <v/>
      </c>
      <c r="G94" s="142">
        <f>C94+D94</f>
        <v/>
      </c>
      <c r="H94" s="111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68">
      <c r="A95" s="19" t="n">
        <v>14</v>
      </c>
      <c r="B95" s="146" t="n">
        <v>46115</v>
      </c>
      <c r="C95" s="141">
        <f>G94</f>
        <v/>
      </c>
      <c r="D95" s="142">
        <f>E95-F95</f>
        <v/>
      </c>
      <c r="E95" s="141">
        <f>SUMPRODUCT((Income!D$3:D$502="INR")*(Income!A$3:A$502=B95)*(Income!A$3:A$502&lt;&gt;"")*Income!C$3:C$502)</f>
        <v/>
      </c>
      <c r="F95" s="141">
        <f>SUMPRODUCT((Expenses!E$3:E$999="INR")*(Expenses!A$3:A$999=B95)*(Expenses!A$3:A$999&lt;&gt;"")*Expenses!D$3:D$999)</f>
        <v/>
      </c>
      <c r="G95" s="142">
        <f>C95+D95</f>
        <v/>
      </c>
      <c r="H95" s="111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68">
      <c r="A96" s="19" t="n">
        <v>14</v>
      </c>
      <c r="B96" s="146" t="n">
        <v>46116</v>
      </c>
      <c r="C96" s="141">
        <f>G95</f>
        <v/>
      </c>
      <c r="D96" s="142">
        <f>E96-F96</f>
        <v/>
      </c>
      <c r="E96" s="141">
        <f>SUMPRODUCT((Income!D$3:D$502="INR")*(Income!A$3:A$502=B96)*(Income!A$3:A$502&lt;&gt;"")*Income!C$3:C$502)</f>
        <v/>
      </c>
      <c r="F96" s="141">
        <f>SUMPRODUCT((Expenses!E$3:E$999="INR")*(Expenses!A$3:A$999=B96)*(Expenses!A$3:A$999&lt;&gt;"")*Expenses!D$3:D$999)</f>
        <v/>
      </c>
      <c r="G96" s="142">
        <f>C96+D96</f>
        <v/>
      </c>
      <c r="H96" s="111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68">
      <c r="A97" s="19" t="n">
        <v>14</v>
      </c>
      <c r="B97" s="146" t="n">
        <v>46117</v>
      </c>
      <c r="C97" s="141">
        <f>G96</f>
        <v/>
      </c>
      <c r="D97" s="142">
        <f>E97-F97</f>
        <v/>
      </c>
      <c r="E97" s="141">
        <f>SUMPRODUCT((Income!D$3:D$502="INR")*(Income!A$3:A$502=B97)*(Income!A$3:A$502&lt;&gt;"")*Income!C$3:C$502)</f>
        <v/>
      </c>
      <c r="F97" s="141">
        <f>SUMPRODUCT((Expenses!E$3:E$999="INR")*(Expenses!A$3:A$999=B97)*(Expenses!A$3:A$999&lt;&gt;"")*Expenses!D$3:D$999)</f>
        <v/>
      </c>
      <c r="G97" s="142">
        <f>C97+D97</f>
        <v/>
      </c>
      <c r="H97" s="111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68">
      <c r="A98" s="19" t="n">
        <v>15</v>
      </c>
      <c r="B98" s="146" t="n">
        <v>46118</v>
      </c>
      <c r="C98" s="141">
        <f>G97</f>
        <v/>
      </c>
      <c r="D98" s="142">
        <f>E98-F98</f>
        <v/>
      </c>
      <c r="E98" s="141">
        <f>SUMPRODUCT((Income!D$3:D$502="INR")*(Income!A$3:A$502=B98)*(Income!A$3:A$502&lt;&gt;"")*Income!C$3:C$502)</f>
        <v/>
      </c>
      <c r="F98" s="141">
        <f>SUMPRODUCT((Expenses!E$3:E$999="INR")*(Expenses!A$3:A$999=B98)*(Expenses!A$3:A$999&lt;&gt;"")*Expenses!D$3:D$999)</f>
        <v/>
      </c>
      <c r="G98" s="142">
        <f>C98+D98</f>
        <v/>
      </c>
      <c r="H98" s="111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68">
      <c r="A99" s="19" t="n">
        <v>15</v>
      </c>
      <c r="B99" s="146" t="n">
        <v>46119</v>
      </c>
      <c r="C99" s="141">
        <f>G98</f>
        <v/>
      </c>
      <c r="D99" s="142">
        <f>E99-F99</f>
        <v/>
      </c>
      <c r="E99" s="141">
        <f>SUMPRODUCT((Income!D$3:D$502="INR")*(Income!A$3:A$502=B99)*(Income!A$3:A$502&lt;&gt;"")*Income!C$3:C$502)</f>
        <v/>
      </c>
      <c r="F99" s="141">
        <f>SUMPRODUCT((Expenses!E$3:E$999="INR")*(Expenses!A$3:A$999=B99)*(Expenses!A$3:A$999&lt;&gt;"")*Expenses!D$3:D$999)</f>
        <v/>
      </c>
      <c r="G99" s="142">
        <f>C99+D99</f>
        <v/>
      </c>
      <c r="H99" s="111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68">
      <c r="A100" s="19" t="n">
        <v>15</v>
      </c>
      <c r="B100" s="146" t="n">
        <v>46120</v>
      </c>
      <c r="C100" s="141">
        <f>G99</f>
        <v/>
      </c>
      <c r="D100" s="142">
        <f>E100-F100</f>
        <v/>
      </c>
      <c r="E100" s="141">
        <f>SUMPRODUCT((Income!D$3:D$502="INR")*(Income!A$3:A$502=B100)*(Income!A$3:A$502&lt;&gt;"")*Income!C$3:C$502)</f>
        <v/>
      </c>
      <c r="F100" s="141">
        <f>SUMPRODUCT((Expenses!E$3:E$999="INR")*(Expenses!A$3:A$999=B100)*(Expenses!A$3:A$999&lt;&gt;"")*Expenses!D$3:D$999)</f>
        <v/>
      </c>
      <c r="G100" s="142">
        <f>C100+D100</f>
        <v/>
      </c>
      <c r="H100" s="111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68">
      <c r="A101" s="19" t="n">
        <v>15</v>
      </c>
      <c r="B101" s="146" t="n">
        <v>46121</v>
      </c>
      <c r="C101" s="141">
        <f>G100</f>
        <v/>
      </c>
      <c r="D101" s="142">
        <f>E101-F101</f>
        <v/>
      </c>
      <c r="E101" s="141">
        <f>SUMPRODUCT((Income!D$3:D$502="INR")*(Income!A$3:A$502=B101)*(Income!A$3:A$502&lt;&gt;"")*Income!C$3:C$502)</f>
        <v/>
      </c>
      <c r="F101" s="141">
        <f>SUMPRODUCT((Expenses!E$3:E$999="INR")*(Expenses!A$3:A$999=B101)*(Expenses!A$3:A$999&lt;&gt;"")*Expenses!D$3:D$999)</f>
        <v/>
      </c>
      <c r="G101" s="142">
        <f>C101+D101</f>
        <v/>
      </c>
      <c r="H101" s="111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68">
      <c r="A102" s="19" t="n">
        <v>15</v>
      </c>
      <c r="B102" s="146" t="n">
        <v>46122</v>
      </c>
      <c r="C102" s="141">
        <f>G101</f>
        <v/>
      </c>
      <c r="D102" s="142">
        <f>E102-F102</f>
        <v/>
      </c>
      <c r="E102" s="141">
        <f>SUMPRODUCT((Income!D$3:D$502="INR")*(Income!A$3:A$502=B102)*(Income!A$3:A$502&lt;&gt;"")*Income!C$3:C$502)</f>
        <v/>
      </c>
      <c r="F102" s="141">
        <f>SUMPRODUCT((Expenses!E$3:E$999="INR")*(Expenses!A$3:A$999=B102)*(Expenses!A$3:A$999&lt;&gt;"")*Expenses!D$3:D$999)</f>
        <v/>
      </c>
      <c r="G102" s="142">
        <f>C102+D102</f>
        <v/>
      </c>
      <c r="H102" s="111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68">
      <c r="A103" s="19" t="n">
        <v>15</v>
      </c>
      <c r="B103" s="146" t="n">
        <v>46123</v>
      </c>
      <c r="C103" s="141">
        <f>G102</f>
        <v/>
      </c>
      <c r="D103" s="142">
        <f>E103-F103</f>
        <v/>
      </c>
      <c r="E103" s="141">
        <f>SUMPRODUCT((Income!D$3:D$502="INR")*(Income!A$3:A$502=B103)*(Income!A$3:A$502&lt;&gt;"")*Income!C$3:C$502)</f>
        <v/>
      </c>
      <c r="F103" s="141">
        <f>SUMPRODUCT((Expenses!E$3:E$999="INR")*(Expenses!A$3:A$999=B103)*(Expenses!A$3:A$999&lt;&gt;"")*Expenses!D$3:D$999)</f>
        <v/>
      </c>
      <c r="G103" s="142">
        <f>C103+D103</f>
        <v/>
      </c>
      <c r="H103" s="111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68">
      <c r="A104" s="19" t="n">
        <v>15</v>
      </c>
      <c r="B104" s="146" t="n">
        <v>46124</v>
      </c>
      <c r="C104" s="141">
        <f>G103</f>
        <v/>
      </c>
      <c r="D104" s="142">
        <f>E104-F104</f>
        <v/>
      </c>
      <c r="E104" s="141">
        <f>SUMPRODUCT((Income!D$3:D$502="INR")*(Income!A$3:A$502=B104)*(Income!A$3:A$502&lt;&gt;"")*Income!C$3:C$502)</f>
        <v/>
      </c>
      <c r="F104" s="141">
        <f>SUMPRODUCT((Expenses!E$3:E$999="INR")*(Expenses!A$3:A$999=B104)*(Expenses!A$3:A$999&lt;&gt;"")*Expenses!D$3:D$999)</f>
        <v/>
      </c>
      <c r="G104" s="142">
        <f>C104+D104</f>
        <v/>
      </c>
      <c r="H104" s="111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68">
      <c r="A105" s="19" t="n">
        <v>16</v>
      </c>
      <c r="B105" s="146" t="n">
        <v>46125</v>
      </c>
      <c r="C105" s="141">
        <f>G104</f>
        <v/>
      </c>
      <c r="D105" s="142">
        <f>E105-F105</f>
        <v/>
      </c>
      <c r="E105" s="141">
        <f>SUMPRODUCT((Income!D$3:D$502="INR")*(Income!A$3:A$502=B105)*(Income!A$3:A$502&lt;&gt;"")*Income!C$3:C$502)</f>
        <v/>
      </c>
      <c r="F105" s="141">
        <f>SUMPRODUCT((Expenses!E$3:E$999="INR")*(Expenses!A$3:A$999=B105)*(Expenses!A$3:A$999&lt;&gt;"")*Expenses!D$3:D$999)</f>
        <v/>
      </c>
      <c r="G105" s="142">
        <f>C105+D105</f>
        <v/>
      </c>
      <c r="H105" s="111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68">
      <c r="A106" s="19" t="n">
        <v>16</v>
      </c>
      <c r="B106" s="146" t="n">
        <v>46126</v>
      </c>
      <c r="C106" s="141">
        <f>G105</f>
        <v/>
      </c>
      <c r="D106" s="142">
        <f>E106-F106</f>
        <v/>
      </c>
      <c r="E106" s="141">
        <f>SUMPRODUCT((Income!D$3:D$502="INR")*(Income!A$3:A$502=B106)*(Income!A$3:A$502&lt;&gt;"")*Income!C$3:C$502)</f>
        <v/>
      </c>
      <c r="F106" s="141">
        <f>SUMPRODUCT((Expenses!E$3:E$999="INR")*(Expenses!A$3:A$999=B106)*(Expenses!A$3:A$999&lt;&gt;"")*Expenses!D$3:D$999)</f>
        <v/>
      </c>
      <c r="G106" s="142">
        <f>C106+D106</f>
        <v/>
      </c>
      <c r="H106" s="111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68">
      <c r="A107" s="19" t="n">
        <v>16</v>
      </c>
      <c r="B107" s="146" t="n">
        <v>46127</v>
      </c>
      <c r="C107" s="141">
        <f>G106</f>
        <v/>
      </c>
      <c r="D107" s="142">
        <f>E107-F107</f>
        <v/>
      </c>
      <c r="E107" s="141">
        <f>SUMPRODUCT((Income!D$3:D$502="INR")*(Income!A$3:A$502=B107)*(Income!A$3:A$502&lt;&gt;"")*Income!C$3:C$502)</f>
        <v/>
      </c>
      <c r="F107" s="141">
        <f>SUMPRODUCT((Expenses!E$3:E$999="INR")*(Expenses!A$3:A$999=B107)*(Expenses!A$3:A$999&lt;&gt;"")*Expenses!D$3:D$999)</f>
        <v/>
      </c>
      <c r="G107" s="142">
        <f>C107+D107</f>
        <v/>
      </c>
      <c r="H107" s="111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68">
      <c r="A108" s="19" t="n">
        <v>16</v>
      </c>
      <c r="B108" s="146" t="n">
        <v>46128</v>
      </c>
      <c r="C108" s="141">
        <f>G107</f>
        <v/>
      </c>
      <c r="D108" s="142">
        <f>E108-F108</f>
        <v/>
      </c>
      <c r="E108" s="141">
        <f>SUMPRODUCT((Income!D$3:D$502="INR")*(Income!A$3:A$502=B108)*(Income!A$3:A$502&lt;&gt;"")*Income!C$3:C$502)</f>
        <v/>
      </c>
      <c r="F108" s="141">
        <f>SUMPRODUCT((Expenses!E$3:E$999="INR")*(Expenses!A$3:A$999=B108)*(Expenses!A$3:A$999&lt;&gt;"")*Expenses!D$3:D$999)</f>
        <v/>
      </c>
      <c r="G108" s="142">
        <f>C108+D108</f>
        <v/>
      </c>
      <c r="H108" s="111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68">
      <c r="A109" s="19" t="n">
        <v>16</v>
      </c>
      <c r="B109" s="146" t="n">
        <v>46129</v>
      </c>
      <c r="C109" s="141">
        <f>G108</f>
        <v/>
      </c>
      <c r="D109" s="142">
        <f>E109-F109</f>
        <v/>
      </c>
      <c r="E109" s="141">
        <f>SUMPRODUCT((Income!D$3:D$502="INR")*(Income!A$3:A$502=B109)*(Income!A$3:A$502&lt;&gt;"")*Income!C$3:C$502)</f>
        <v/>
      </c>
      <c r="F109" s="141">
        <f>SUMPRODUCT((Expenses!E$3:E$999="INR")*(Expenses!A$3:A$999=B109)*(Expenses!A$3:A$999&lt;&gt;"")*Expenses!D$3:D$999)</f>
        <v/>
      </c>
      <c r="G109" s="142">
        <f>C109+D109</f>
        <v/>
      </c>
      <c r="H109" s="111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68">
      <c r="A110" s="19" t="n">
        <v>16</v>
      </c>
      <c r="B110" s="146" t="n">
        <v>46130</v>
      </c>
      <c r="C110" s="141">
        <f>G109</f>
        <v/>
      </c>
      <c r="D110" s="142">
        <f>E110-F110</f>
        <v/>
      </c>
      <c r="E110" s="141">
        <f>SUMPRODUCT((Income!D$3:D$502="INR")*(Income!A$3:A$502=B110)*(Income!A$3:A$502&lt;&gt;"")*Income!C$3:C$502)</f>
        <v/>
      </c>
      <c r="F110" s="141">
        <f>SUMPRODUCT((Expenses!E$3:E$999="INR")*(Expenses!A$3:A$999=B110)*(Expenses!A$3:A$999&lt;&gt;"")*Expenses!D$3:D$999)</f>
        <v/>
      </c>
      <c r="G110" s="142">
        <f>C110+D110</f>
        <v/>
      </c>
      <c r="H110" s="111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68">
      <c r="A111" s="19" t="n">
        <v>16</v>
      </c>
      <c r="B111" s="146" t="n">
        <v>46131</v>
      </c>
      <c r="C111" s="141">
        <f>G110</f>
        <v/>
      </c>
      <c r="D111" s="142">
        <f>E111-F111</f>
        <v/>
      </c>
      <c r="E111" s="141">
        <f>SUMPRODUCT((Income!D$3:D$502="INR")*(Income!A$3:A$502=B111)*(Income!A$3:A$502&lt;&gt;"")*Income!C$3:C$502)</f>
        <v/>
      </c>
      <c r="F111" s="141">
        <f>SUMPRODUCT((Expenses!E$3:E$999="INR")*(Expenses!A$3:A$999=B111)*(Expenses!A$3:A$999&lt;&gt;"")*Expenses!D$3:D$999)</f>
        <v/>
      </c>
      <c r="G111" s="142">
        <f>C111+D111</f>
        <v/>
      </c>
      <c r="H111" s="111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68">
      <c r="A112" s="19" t="n">
        <v>17</v>
      </c>
      <c r="B112" s="146" t="n">
        <v>46132</v>
      </c>
      <c r="C112" s="141">
        <f>G111</f>
        <v/>
      </c>
      <c r="D112" s="142">
        <f>E112-F112</f>
        <v/>
      </c>
      <c r="E112" s="141">
        <f>SUMPRODUCT((Income!D$3:D$502="INR")*(Income!A$3:A$502=B112)*(Income!A$3:A$502&lt;&gt;"")*Income!C$3:C$502)</f>
        <v/>
      </c>
      <c r="F112" s="141">
        <f>SUMPRODUCT((Expenses!E$3:E$999="INR")*(Expenses!A$3:A$999=B112)*(Expenses!A$3:A$999&lt;&gt;"")*Expenses!D$3:D$999)</f>
        <v/>
      </c>
      <c r="G112" s="142">
        <f>C112+D112</f>
        <v/>
      </c>
      <c r="H112" s="111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68">
      <c r="A113" s="19" t="n">
        <v>17</v>
      </c>
      <c r="B113" s="146" t="n">
        <v>46133</v>
      </c>
      <c r="C113" s="141">
        <f>G112</f>
        <v/>
      </c>
      <c r="D113" s="142">
        <f>E113-F113</f>
        <v/>
      </c>
      <c r="E113" s="141">
        <f>SUMPRODUCT((Income!D$3:D$502="INR")*(Income!A$3:A$502=B113)*(Income!A$3:A$502&lt;&gt;"")*Income!C$3:C$502)</f>
        <v/>
      </c>
      <c r="F113" s="141">
        <f>SUMPRODUCT((Expenses!E$3:E$999="INR")*(Expenses!A$3:A$999=B113)*(Expenses!A$3:A$999&lt;&gt;"")*Expenses!D$3:D$999)</f>
        <v/>
      </c>
      <c r="G113" s="142">
        <f>C113+D113</f>
        <v/>
      </c>
      <c r="H113" s="111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68">
      <c r="A114" s="19" t="n">
        <v>17</v>
      </c>
      <c r="B114" s="146" t="n">
        <v>46134</v>
      </c>
      <c r="C114" s="141">
        <f>G113</f>
        <v/>
      </c>
      <c r="D114" s="142">
        <f>E114-F114</f>
        <v/>
      </c>
      <c r="E114" s="141">
        <f>SUMPRODUCT((Income!D$3:D$502="INR")*(Income!A$3:A$502=B114)*(Income!A$3:A$502&lt;&gt;"")*Income!C$3:C$502)</f>
        <v/>
      </c>
      <c r="F114" s="141">
        <f>SUMPRODUCT((Expenses!E$3:E$999="INR")*(Expenses!A$3:A$999=B114)*(Expenses!A$3:A$999&lt;&gt;"")*Expenses!D$3:D$999)</f>
        <v/>
      </c>
      <c r="G114" s="142">
        <f>C114+D114</f>
        <v/>
      </c>
      <c r="H114" s="111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68">
      <c r="A115" s="19" t="n">
        <v>17</v>
      </c>
      <c r="B115" s="146" t="n">
        <v>46135</v>
      </c>
      <c r="C115" s="141">
        <f>G114</f>
        <v/>
      </c>
      <c r="D115" s="142">
        <f>E115-F115</f>
        <v/>
      </c>
      <c r="E115" s="141">
        <f>SUMPRODUCT((Income!D$3:D$502="INR")*(Income!A$3:A$502=B115)*(Income!A$3:A$502&lt;&gt;"")*Income!C$3:C$502)</f>
        <v/>
      </c>
      <c r="F115" s="141">
        <f>SUMPRODUCT((Expenses!E$3:E$999="INR")*(Expenses!A$3:A$999=B115)*(Expenses!A$3:A$999&lt;&gt;"")*Expenses!D$3:D$999)</f>
        <v/>
      </c>
      <c r="G115" s="142">
        <f>C115+D115</f>
        <v/>
      </c>
      <c r="H115" s="111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68">
      <c r="A116" s="19" t="n">
        <v>17</v>
      </c>
      <c r="B116" s="146" t="n">
        <v>46136</v>
      </c>
      <c r="C116" s="141">
        <f>G115</f>
        <v/>
      </c>
      <c r="D116" s="142">
        <f>E116-F116</f>
        <v/>
      </c>
      <c r="E116" s="141">
        <f>SUMPRODUCT((Income!D$3:D$502="INR")*(Income!A$3:A$502=B116)*(Income!A$3:A$502&lt;&gt;"")*Income!C$3:C$502)</f>
        <v/>
      </c>
      <c r="F116" s="141">
        <f>SUMPRODUCT((Expenses!E$3:E$999="INR")*(Expenses!A$3:A$999=B116)*(Expenses!A$3:A$999&lt;&gt;"")*Expenses!D$3:D$999)</f>
        <v/>
      </c>
      <c r="G116" s="142">
        <f>C116+D116</f>
        <v/>
      </c>
      <c r="H116" s="111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68">
      <c r="A117" s="19" t="n">
        <v>17</v>
      </c>
      <c r="B117" s="146" t="n">
        <v>46137</v>
      </c>
      <c r="C117" s="141">
        <f>G116</f>
        <v/>
      </c>
      <c r="D117" s="142">
        <f>E117-F117</f>
        <v/>
      </c>
      <c r="E117" s="141">
        <f>SUMPRODUCT((Income!D$3:D$502="INR")*(Income!A$3:A$502=B117)*(Income!A$3:A$502&lt;&gt;"")*Income!C$3:C$502)</f>
        <v/>
      </c>
      <c r="F117" s="141">
        <f>SUMPRODUCT((Expenses!E$3:E$999="INR")*(Expenses!A$3:A$999=B117)*(Expenses!A$3:A$999&lt;&gt;"")*Expenses!D$3:D$999)</f>
        <v/>
      </c>
      <c r="G117" s="142">
        <f>C117+D117</f>
        <v/>
      </c>
      <c r="H117" s="111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68">
      <c r="A118" s="19" t="n">
        <v>17</v>
      </c>
      <c r="B118" s="146" t="n">
        <v>46138</v>
      </c>
      <c r="C118" s="141">
        <f>G117</f>
        <v/>
      </c>
      <c r="D118" s="142">
        <f>E118-F118</f>
        <v/>
      </c>
      <c r="E118" s="141">
        <f>SUMPRODUCT((Income!D$3:D$502="INR")*(Income!A$3:A$502=B118)*(Income!A$3:A$502&lt;&gt;"")*Income!C$3:C$502)</f>
        <v/>
      </c>
      <c r="F118" s="141">
        <f>SUMPRODUCT((Expenses!E$3:E$999="INR")*(Expenses!A$3:A$999=B118)*(Expenses!A$3:A$999&lt;&gt;"")*Expenses!D$3:D$999)</f>
        <v/>
      </c>
      <c r="G118" s="142">
        <f>C118+D118</f>
        <v/>
      </c>
      <c r="H118" s="111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68">
      <c r="A119" s="19" t="n">
        <v>18</v>
      </c>
      <c r="B119" s="146" t="n">
        <v>46139</v>
      </c>
      <c r="C119" s="141">
        <f>G118</f>
        <v/>
      </c>
      <c r="D119" s="142">
        <f>E119-F119</f>
        <v/>
      </c>
      <c r="E119" s="141">
        <f>SUMPRODUCT((Income!D$3:D$502="INR")*(Income!A$3:A$502=B119)*(Income!A$3:A$502&lt;&gt;"")*Income!C$3:C$502)</f>
        <v/>
      </c>
      <c r="F119" s="141">
        <f>SUMPRODUCT((Expenses!E$3:E$999="INR")*(Expenses!A$3:A$999=B119)*(Expenses!A$3:A$999&lt;&gt;"")*Expenses!D$3:D$999)</f>
        <v/>
      </c>
      <c r="G119" s="142">
        <f>C119+D119</f>
        <v/>
      </c>
      <c r="H119" s="111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68">
      <c r="A120" s="19" t="n">
        <v>18</v>
      </c>
      <c r="B120" s="146" t="n">
        <v>46140</v>
      </c>
      <c r="C120" s="141">
        <f>G119</f>
        <v/>
      </c>
      <c r="D120" s="142">
        <f>E120-F120</f>
        <v/>
      </c>
      <c r="E120" s="141">
        <f>SUMPRODUCT((Income!D$3:D$502="INR")*(Income!A$3:A$502=B120)*(Income!A$3:A$502&lt;&gt;"")*Income!C$3:C$502)</f>
        <v/>
      </c>
      <c r="F120" s="141">
        <f>SUMPRODUCT((Expenses!E$3:E$999="INR")*(Expenses!A$3:A$999=B120)*(Expenses!A$3:A$999&lt;&gt;"")*Expenses!D$3:D$999)</f>
        <v/>
      </c>
      <c r="G120" s="142">
        <f>C120+D120</f>
        <v/>
      </c>
      <c r="H120" s="111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68">
      <c r="A121" s="19" t="n">
        <v>18</v>
      </c>
      <c r="B121" s="146" t="n">
        <v>46141</v>
      </c>
      <c r="C121" s="141">
        <f>G120</f>
        <v/>
      </c>
      <c r="D121" s="142">
        <f>E121-F121</f>
        <v/>
      </c>
      <c r="E121" s="141">
        <f>SUMPRODUCT((Income!D$3:D$502="INR")*(Income!A$3:A$502=B121)*(Income!A$3:A$502&lt;&gt;"")*Income!C$3:C$502)</f>
        <v/>
      </c>
      <c r="F121" s="141">
        <f>SUMPRODUCT((Expenses!E$3:E$999="INR")*(Expenses!A$3:A$999=B121)*(Expenses!A$3:A$999&lt;&gt;"")*Expenses!D$3:D$999)</f>
        <v/>
      </c>
      <c r="G121" s="142">
        <f>C121+D121</f>
        <v/>
      </c>
      <c r="H121" s="111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68">
      <c r="A122" s="19" t="n">
        <v>18</v>
      </c>
      <c r="B122" s="146" t="n">
        <v>46142</v>
      </c>
      <c r="C122" s="141">
        <f>G121</f>
        <v/>
      </c>
      <c r="D122" s="142">
        <f>E122-F122</f>
        <v/>
      </c>
      <c r="E122" s="141">
        <f>SUMPRODUCT((Income!D$3:D$502="INR")*(Income!A$3:A$502=B122)*(Income!A$3:A$502&lt;&gt;"")*Income!C$3:C$502)</f>
        <v/>
      </c>
      <c r="F122" s="141">
        <f>SUMPRODUCT((Expenses!E$3:E$999="INR")*(Expenses!A$3:A$999=B122)*(Expenses!A$3:A$999&lt;&gt;"")*Expenses!D$3:D$999)</f>
        <v/>
      </c>
      <c r="G122" s="142">
        <f>C122+D122</f>
        <v/>
      </c>
      <c r="H122" s="111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68">
      <c r="A123" s="19" t="n">
        <v>18</v>
      </c>
      <c r="B123" s="146" t="n">
        <v>46143</v>
      </c>
      <c r="C123" s="141">
        <f>G122</f>
        <v/>
      </c>
      <c r="D123" s="142">
        <f>E123-F123</f>
        <v/>
      </c>
      <c r="E123" s="141">
        <f>SUMPRODUCT((Income!D$3:D$502="INR")*(Income!A$3:A$502=B123)*(Income!A$3:A$502&lt;&gt;"")*Income!C$3:C$502)</f>
        <v/>
      </c>
      <c r="F123" s="141">
        <f>SUMPRODUCT((Expenses!E$3:E$999="INR")*(Expenses!A$3:A$999=B123)*(Expenses!A$3:A$999&lt;&gt;"")*Expenses!D$3:D$999)</f>
        <v/>
      </c>
      <c r="G123" s="142">
        <f>C123+D123</f>
        <v/>
      </c>
      <c r="H123" s="111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68">
      <c r="A124" s="19" t="n">
        <v>18</v>
      </c>
      <c r="B124" s="146" t="n">
        <v>46144</v>
      </c>
      <c r="C124" s="141">
        <f>G123</f>
        <v/>
      </c>
      <c r="D124" s="142">
        <f>E124-F124</f>
        <v/>
      </c>
      <c r="E124" s="141">
        <f>SUMPRODUCT((Income!D$3:D$502="INR")*(Income!A$3:A$502=B124)*(Income!A$3:A$502&lt;&gt;"")*Income!C$3:C$502)</f>
        <v/>
      </c>
      <c r="F124" s="141">
        <f>SUMPRODUCT((Expenses!E$3:E$999="INR")*(Expenses!A$3:A$999=B124)*(Expenses!A$3:A$999&lt;&gt;"")*Expenses!D$3:D$999)</f>
        <v/>
      </c>
      <c r="G124" s="142">
        <f>C124+D124</f>
        <v/>
      </c>
      <c r="H124" s="111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68">
      <c r="A125" s="19" t="n">
        <v>18</v>
      </c>
      <c r="B125" s="146" t="n">
        <v>46145</v>
      </c>
      <c r="C125" s="141">
        <f>G124</f>
        <v/>
      </c>
      <c r="D125" s="142">
        <f>E125-F125</f>
        <v/>
      </c>
      <c r="E125" s="141">
        <f>SUMPRODUCT((Income!D$3:D$502="INR")*(Income!A$3:A$502=B125)*(Income!A$3:A$502&lt;&gt;"")*Income!C$3:C$502)</f>
        <v/>
      </c>
      <c r="F125" s="141">
        <f>SUMPRODUCT((Expenses!E$3:E$999="INR")*(Expenses!A$3:A$999=B125)*(Expenses!A$3:A$999&lt;&gt;"")*Expenses!D$3:D$999)</f>
        <v/>
      </c>
      <c r="G125" s="142">
        <f>C125+D125</f>
        <v/>
      </c>
      <c r="H125" s="111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68">
      <c r="A126" s="19" t="n">
        <v>19</v>
      </c>
      <c r="B126" s="146" t="n">
        <v>46146</v>
      </c>
      <c r="C126" s="141">
        <f>G125</f>
        <v/>
      </c>
      <c r="D126" s="142">
        <f>E126-F126</f>
        <v/>
      </c>
      <c r="E126" s="141">
        <f>SUMPRODUCT((Income!D$3:D$502="INR")*(Income!A$3:A$502=B126)*(Income!A$3:A$502&lt;&gt;"")*Income!C$3:C$502)</f>
        <v/>
      </c>
      <c r="F126" s="141">
        <f>SUMPRODUCT((Expenses!E$3:E$999="INR")*(Expenses!A$3:A$999=B126)*(Expenses!A$3:A$999&lt;&gt;"")*Expenses!D$3:D$999)</f>
        <v/>
      </c>
      <c r="G126" s="142">
        <f>C126+D126</f>
        <v/>
      </c>
      <c r="H126" s="111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68">
      <c r="A127" s="19" t="n">
        <v>19</v>
      </c>
      <c r="B127" s="146" t="n">
        <v>46147</v>
      </c>
      <c r="C127" s="141">
        <f>G126</f>
        <v/>
      </c>
      <c r="D127" s="142">
        <f>E127-F127</f>
        <v/>
      </c>
      <c r="E127" s="141">
        <f>SUMPRODUCT((Income!D$3:D$502="INR")*(Income!A$3:A$502=B127)*(Income!A$3:A$502&lt;&gt;"")*Income!C$3:C$502)</f>
        <v/>
      </c>
      <c r="F127" s="141">
        <f>SUMPRODUCT((Expenses!E$3:E$999="INR")*(Expenses!A$3:A$999=B127)*(Expenses!A$3:A$999&lt;&gt;"")*Expenses!D$3:D$999)</f>
        <v/>
      </c>
      <c r="G127" s="142">
        <f>C127+D127</f>
        <v/>
      </c>
      <c r="H127" s="111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68">
      <c r="A128" s="19" t="n">
        <v>19</v>
      </c>
      <c r="B128" s="146" t="n">
        <v>46148</v>
      </c>
      <c r="C128" s="141">
        <f>G127</f>
        <v/>
      </c>
      <c r="D128" s="142">
        <f>E128-F128</f>
        <v/>
      </c>
      <c r="E128" s="141">
        <f>SUMPRODUCT((Income!D$3:D$502="INR")*(Income!A$3:A$502=B128)*(Income!A$3:A$502&lt;&gt;"")*Income!C$3:C$502)</f>
        <v/>
      </c>
      <c r="F128" s="141">
        <f>SUMPRODUCT((Expenses!E$3:E$999="INR")*(Expenses!A$3:A$999=B128)*(Expenses!A$3:A$999&lt;&gt;"")*Expenses!D$3:D$999)</f>
        <v/>
      </c>
      <c r="G128" s="142">
        <f>C128+D128</f>
        <v/>
      </c>
      <c r="H128" s="111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68">
      <c r="A129" s="19" t="n">
        <v>19</v>
      </c>
      <c r="B129" s="146" t="n">
        <v>46149</v>
      </c>
      <c r="C129" s="141">
        <f>G128</f>
        <v/>
      </c>
      <c r="D129" s="142">
        <f>E129-F129</f>
        <v/>
      </c>
      <c r="E129" s="141">
        <f>SUMPRODUCT((Income!D$3:D$502="INR")*(Income!A$3:A$502=B129)*(Income!A$3:A$502&lt;&gt;"")*Income!C$3:C$502)</f>
        <v/>
      </c>
      <c r="F129" s="141">
        <f>SUMPRODUCT((Expenses!E$3:E$999="INR")*(Expenses!A$3:A$999=B129)*(Expenses!A$3:A$999&lt;&gt;"")*Expenses!D$3:D$999)</f>
        <v/>
      </c>
      <c r="G129" s="142">
        <f>C129+D129</f>
        <v/>
      </c>
      <c r="H129" s="111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68">
      <c r="A130" s="19" t="n">
        <v>19</v>
      </c>
      <c r="B130" s="146" t="n">
        <v>46150</v>
      </c>
      <c r="C130" s="141">
        <f>G129</f>
        <v/>
      </c>
      <c r="D130" s="142">
        <f>E130-F130</f>
        <v/>
      </c>
      <c r="E130" s="141">
        <f>SUMPRODUCT((Income!D$3:D$502="INR")*(Income!A$3:A$502=B130)*(Income!A$3:A$502&lt;&gt;"")*Income!C$3:C$502)</f>
        <v/>
      </c>
      <c r="F130" s="141">
        <f>SUMPRODUCT((Expenses!E$3:E$999="INR")*(Expenses!A$3:A$999=B130)*(Expenses!A$3:A$999&lt;&gt;"")*Expenses!D$3:D$999)</f>
        <v/>
      </c>
      <c r="G130" s="142">
        <f>C130+D130</f>
        <v/>
      </c>
      <c r="H130" s="111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68">
      <c r="A131" s="19" t="n">
        <v>19</v>
      </c>
      <c r="B131" s="146" t="n">
        <v>46151</v>
      </c>
      <c r="C131" s="141">
        <f>G130</f>
        <v/>
      </c>
      <c r="D131" s="142">
        <f>E131-F131</f>
        <v/>
      </c>
      <c r="E131" s="141">
        <f>SUMPRODUCT((Income!D$3:D$502="INR")*(Income!A$3:A$502=B131)*(Income!A$3:A$502&lt;&gt;"")*Income!C$3:C$502)</f>
        <v/>
      </c>
      <c r="F131" s="141">
        <f>SUMPRODUCT((Expenses!E$3:E$999="INR")*(Expenses!A$3:A$999=B131)*(Expenses!A$3:A$999&lt;&gt;"")*Expenses!D$3:D$999)</f>
        <v/>
      </c>
      <c r="G131" s="142">
        <f>C131+D131</f>
        <v/>
      </c>
      <c r="H131" s="111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68">
      <c r="A132" s="19" t="n">
        <v>19</v>
      </c>
      <c r="B132" s="146" t="n">
        <v>46152</v>
      </c>
      <c r="C132" s="141">
        <f>G131</f>
        <v/>
      </c>
      <c r="D132" s="142">
        <f>E132-F132</f>
        <v/>
      </c>
      <c r="E132" s="141">
        <f>SUMPRODUCT((Income!D$3:D$502="INR")*(Income!A$3:A$502=B132)*(Income!A$3:A$502&lt;&gt;"")*Income!C$3:C$502)</f>
        <v/>
      </c>
      <c r="F132" s="141">
        <f>SUMPRODUCT((Expenses!E$3:E$999="INR")*(Expenses!A$3:A$999=B132)*(Expenses!A$3:A$999&lt;&gt;"")*Expenses!D$3:D$999)</f>
        <v/>
      </c>
      <c r="G132" s="142">
        <f>C132+D132</f>
        <v/>
      </c>
      <c r="H132" s="111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68">
      <c r="A133" s="19" t="n">
        <v>20</v>
      </c>
      <c r="B133" s="146" t="n">
        <v>46153</v>
      </c>
      <c r="C133" s="141">
        <f>G132</f>
        <v/>
      </c>
      <c r="D133" s="142">
        <f>E133-F133</f>
        <v/>
      </c>
      <c r="E133" s="141">
        <f>SUMPRODUCT((Income!D$3:D$502="INR")*(Income!A$3:A$502=B133)*(Income!A$3:A$502&lt;&gt;"")*Income!C$3:C$502)</f>
        <v/>
      </c>
      <c r="F133" s="141">
        <f>SUMPRODUCT((Expenses!E$3:E$999="INR")*(Expenses!A$3:A$999=B133)*(Expenses!A$3:A$999&lt;&gt;"")*Expenses!D$3:D$999)</f>
        <v/>
      </c>
      <c r="G133" s="142">
        <f>C133+D133</f>
        <v/>
      </c>
      <c r="H133" s="111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68">
      <c r="A134" s="19" t="n">
        <v>20</v>
      </c>
      <c r="B134" s="146" t="n">
        <v>46154</v>
      </c>
      <c r="C134" s="141">
        <f>G133</f>
        <v/>
      </c>
      <c r="D134" s="142">
        <f>E134-F134</f>
        <v/>
      </c>
      <c r="E134" s="141">
        <f>SUMPRODUCT((Income!D$3:D$502="INR")*(Income!A$3:A$502=B134)*(Income!A$3:A$502&lt;&gt;"")*Income!C$3:C$502)</f>
        <v/>
      </c>
      <c r="F134" s="141">
        <f>SUMPRODUCT((Expenses!E$3:E$999="INR")*(Expenses!A$3:A$999=B134)*(Expenses!A$3:A$999&lt;&gt;"")*Expenses!D$3:D$999)</f>
        <v/>
      </c>
      <c r="G134" s="142">
        <f>C134+D134</f>
        <v/>
      </c>
      <c r="H134" s="111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68">
      <c r="A135" s="19" t="n">
        <v>20</v>
      </c>
      <c r="B135" s="146" t="n">
        <v>46155</v>
      </c>
      <c r="C135" s="141">
        <f>G134</f>
        <v/>
      </c>
      <c r="D135" s="142">
        <f>E135-F135</f>
        <v/>
      </c>
      <c r="E135" s="141">
        <f>SUMPRODUCT((Income!D$3:D$502="INR")*(Income!A$3:A$502=B135)*(Income!A$3:A$502&lt;&gt;"")*Income!C$3:C$502)</f>
        <v/>
      </c>
      <c r="F135" s="141">
        <f>SUMPRODUCT((Expenses!E$3:E$999="INR")*(Expenses!A$3:A$999=B135)*(Expenses!A$3:A$999&lt;&gt;"")*Expenses!D$3:D$999)</f>
        <v/>
      </c>
      <c r="G135" s="142">
        <f>C135+D135</f>
        <v/>
      </c>
      <c r="H135" s="111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68">
      <c r="A136" s="19" t="n">
        <v>20</v>
      </c>
      <c r="B136" s="146" t="n">
        <v>46156</v>
      </c>
      <c r="C136" s="141">
        <f>G135</f>
        <v/>
      </c>
      <c r="D136" s="142">
        <f>E136-F136</f>
        <v/>
      </c>
      <c r="E136" s="141">
        <f>SUMPRODUCT((Income!D$3:D$502="INR")*(Income!A$3:A$502=B136)*(Income!A$3:A$502&lt;&gt;"")*Income!C$3:C$502)</f>
        <v/>
      </c>
      <c r="F136" s="141">
        <f>SUMPRODUCT((Expenses!E$3:E$999="INR")*(Expenses!A$3:A$999=B136)*(Expenses!A$3:A$999&lt;&gt;"")*Expenses!D$3:D$999)</f>
        <v/>
      </c>
      <c r="G136" s="142">
        <f>C136+D136</f>
        <v/>
      </c>
      <c r="H136" s="111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68">
      <c r="A137" s="19" t="n">
        <v>20</v>
      </c>
      <c r="B137" s="146" t="n">
        <v>46157</v>
      </c>
      <c r="C137" s="141">
        <f>G136</f>
        <v/>
      </c>
      <c r="D137" s="142">
        <f>E137-F137</f>
        <v/>
      </c>
      <c r="E137" s="141">
        <f>SUMPRODUCT((Income!D$3:D$502="INR")*(Income!A$3:A$502=B137)*(Income!A$3:A$502&lt;&gt;"")*Income!C$3:C$502)</f>
        <v/>
      </c>
      <c r="F137" s="141">
        <f>SUMPRODUCT((Expenses!E$3:E$999="INR")*(Expenses!A$3:A$999=B137)*(Expenses!A$3:A$999&lt;&gt;"")*Expenses!D$3:D$999)</f>
        <v/>
      </c>
      <c r="G137" s="142">
        <f>C137+D137</f>
        <v/>
      </c>
      <c r="H137" s="111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68">
      <c r="A138" s="19" t="n">
        <v>20</v>
      </c>
      <c r="B138" s="146" t="n">
        <v>46158</v>
      </c>
      <c r="C138" s="141">
        <f>G137</f>
        <v/>
      </c>
      <c r="D138" s="142">
        <f>E138-F138</f>
        <v/>
      </c>
      <c r="E138" s="141">
        <f>SUMPRODUCT((Income!D$3:D$502="INR")*(Income!A$3:A$502=B138)*(Income!A$3:A$502&lt;&gt;"")*Income!C$3:C$502)</f>
        <v/>
      </c>
      <c r="F138" s="141">
        <f>SUMPRODUCT((Expenses!E$3:E$999="INR")*(Expenses!A$3:A$999=B138)*(Expenses!A$3:A$999&lt;&gt;"")*Expenses!D$3:D$999)</f>
        <v/>
      </c>
      <c r="G138" s="142">
        <f>C138+D138</f>
        <v/>
      </c>
      <c r="H138" s="111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68">
      <c r="A139" s="19" t="n">
        <v>20</v>
      </c>
      <c r="B139" s="146" t="n">
        <v>46159</v>
      </c>
      <c r="C139" s="141">
        <f>G138</f>
        <v/>
      </c>
      <c r="D139" s="142">
        <f>E139-F139</f>
        <v/>
      </c>
      <c r="E139" s="141">
        <f>SUMPRODUCT((Income!D$3:D$502="INR")*(Income!A$3:A$502=B139)*(Income!A$3:A$502&lt;&gt;"")*Income!C$3:C$502)</f>
        <v/>
      </c>
      <c r="F139" s="141">
        <f>SUMPRODUCT((Expenses!E$3:E$999="INR")*(Expenses!A$3:A$999=B139)*(Expenses!A$3:A$999&lt;&gt;"")*Expenses!D$3:D$999)</f>
        <v/>
      </c>
      <c r="G139" s="142">
        <f>C139+D139</f>
        <v/>
      </c>
      <c r="H139" s="111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68">
      <c r="A140" s="19" t="n">
        <v>21</v>
      </c>
      <c r="B140" s="146" t="n">
        <v>46160</v>
      </c>
      <c r="C140" s="141">
        <f>G139</f>
        <v/>
      </c>
      <c r="D140" s="142">
        <f>E140-F140</f>
        <v/>
      </c>
      <c r="E140" s="141">
        <f>SUMPRODUCT((Income!D$3:D$502="INR")*(Income!A$3:A$502=B140)*(Income!A$3:A$502&lt;&gt;"")*Income!C$3:C$502)</f>
        <v/>
      </c>
      <c r="F140" s="141">
        <f>SUMPRODUCT((Expenses!E$3:E$999="INR")*(Expenses!A$3:A$999=B140)*(Expenses!A$3:A$999&lt;&gt;"")*Expenses!D$3:D$999)</f>
        <v/>
      </c>
      <c r="G140" s="142">
        <f>C140+D140</f>
        <v/>
      </c>
      <c r="H140" s="111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68">
      <c r="A141" s="19" t="n">
        <v>21</v>
      </c>
      <c r="B141" s="146" t="n">
        <v>46161</v>
      </c>
      <c r="C141" s="141">
        <f>G140</f>
        <v/>
      </c>
      <c r="D141" s="142">
        <f>E141-F141</f>
        <v/>
      </c>
      <c r="E141" s="141">
        <f>SUMPRODUCT((Income!D$3:D$502="INR")*(Income!A$3:A$502=B141)*(Income!A$3:A$502&lt;&gt;"")*Income!C$3:C$502)</f>
        <v/>
      </c>
      <c r="F141" s="141">
        <f>SUMPRODUCT((Expenses!E$3:E$999="INR")*(Expenses!A$3:A$999=B141)*(Expenses!A$3:A$999&lt;&gt;"")*Expenses!D$3:D$999)</f>
        <v/>
      </c>
      <c r="G141" s="142">
        <f>C141+D141</f>
        <v/>
      </c>
      <c r="H141" s="111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68">
      <c r="A142" s="19" t="n">
        <v>21</v>
      </c>
      <c r="B142" s="146" t="n">
        <v>46162</v>
      </c>
      <c r="C142" s="141">
        <f>G141</f>
        <v/>
      </c>
      <c r="D142" s="142">
        <f>E142-F142</f>
        <v/>
      </c>
      <c r="E142" s="141">
        <f>SUMPRODUCT((Income!D$3:D$502="INR")*(Income!A$3:A$502=B142)*(Income!A$3:A$502&lt;&gt;"")*Income!C$3:C$502)</f>
        <v/>
      </c>
      <c r="F142" s="141">
        <f>SUMPRODUCT((Expenses!E$3:E$999="INR")*(Expenses!A$3:A$999=B142)*(Expenses!A$3:A$999&lt;&gt;"")*Expenses!D$3:D$999)</f>
        <v/>
      </c>
      <c r="G142" s="142">
        <f>C142+D142</f>
        <v/>
      </c>
      <c r="H142" s="111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68">
      <c r="A143" s="19" t="n">
        <v>21</v>
      </c>
      <c r="B143" s="146" t="n">
        <v>46163</v>
      </c>
      <c r="C143" s="141">
        <f>G142</f>
        <v/>
      </c>
      <c r="D143" s="142">
        <f>E143-F143</f>
        <v/>
      </c>
      <c r="E143" s="141">
        <f>SUMPRODUCT((Income!D$3:D$502="INR")*(Income!A$3:A$502=B143)*(Income!A$3:A$502&lt;&gt;"")*Income!C$3:C$502)</f>
        <v/>
      </c>
      <c r="F143" s="141">
        <f>SUMPRODUCT((Expenses!E$3:E$999="INR")*(Expenses!A$3:A$999=B143)*(Expenses!A$3:A$999&lt;&gt;"")*Expenses!D$3:D$999)</f>
        <v/>
      </c>
      <c r="G143" s="142">
        <f>C143+D143</f>
        <v/>
      </c>
      <c r="H143" s="111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68">
      <c r="A144" s="19" t="n">
        <v>21</v>
      </c>
      <c r="B144" s="146" t="n">
        <v>46164</v>
      </c>
      <c r="C144" s="141">
        <f>G143</f>
        <v/>
      </c>
      <c r="D144" s="142">
        <f>E144-F144</f>
        <v/>
      </c>
      <c r="E144" s="141">
        <f>SUMPRODUCT((Income!D$3:D$502="INR")*(Income!A$3:A$502=B144)*(Income!A$3:A$502&lt;&gt;"")*Income!C$3:C$502)</f>
        <v/>
      </c>
      <c r="F144" s="141">
        <f>SUMPRODUCT((Expenses!E$3:E$999="INR")*(Expenses!A$3:A$999=B144)*(Expenses!A$3:A$999&lt;&gt;"")*Expenses!D$3:D$999)</f>
        <v/>
      </c>
      <c r="G144" s="142">
        <f>C144+D144</f>
        <v/>
      </c>
      <c r="H144" s="111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68">
      <c r="A145" s="19" t="n">
        <v>21</v>
      </c>
      <c r="B145" s="146" t="n">
        <v>46165</v>
      </c>
      <c r="C145" s="141">
        <f>G144</f>
        <v/>
      </c>
      <c r="D145" s="142">
        <f>E145-F145</f>
        <v/>
      </c>
      <c r="E145" s="141">
        <f>SUMPRODUCT((Income!D$3:D$502="INR")*(Income!A$3:A$502=B145)*(Income!A$3:A$502&lt;&gt;"")*Income!C$3:C$502)</f>
        <v/>
      </c>
      <c r="F145" s="141">
        <f>SUMPRODUCT((Expenses!E$3:E$999="INR")*(Expenses!A$3:A$999=B145)*(Expenses!A$3:A$999&lt;&gt;"")*Expenses!D$3:D$999)</f>
        <v/>
      </c>
      <c r="G145" s="142">
        <f>C145+D145</f>
        <v/>
      </c>
      <c r="H145" s="111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68">
      <c r="A146" s="19" t="n">
        <v>21</v>
      </c>
      <c r="B146" s="146" t="n">
        <v>46166</v>
      </c>
      <c r="C146" s="141">
        <f>G145</f>
        <v/>
      </c>
      <c r="D146" s="142">
        <f>E146-F146</f>
        <v/>
      </c>
      <c r="E146" s="141">
        <f>SUMPRODUCT((Income!D$3:D$502="INR")*(Income!A$3:A$502=B146)*(Income!A$3:A$502&lt;&gt;"")*Income!C$3:C$502)</f>
        <v/>
      </c>
      <c r="F146" s="141">
        <f>SUMPRODUCT((Expenses!E$3:E$999="INR")*(Expenses!A$3:A$999=B146)*(Expenses!A$3:A$999&lt;&gt;"")*Expenses!D$3:D$999)</f>
        <v/>
      </c>
      <c r="G146" s="142">
        <f>C146+D146</f>
        <v/>
      </c>
      <c r="H146" s="111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68">
      <c r="A147" s="19" t="n">
        <v>22</v>
      </c>
      <c r="B147" s="146" t="n">
        <v>46167</v>
      </c>
      <c r="C147" s="141">
        <f>G146</f>
        <v/>
      </c>
      <c r="D147" s="142">
        <f>E147-F147</f>
        <v/>
      </c>
      <c r="E147" s="141">
        <f>SUMPRODUCT((Income!D$3:D$502="INR")*(Income!A$3:A$502=B147)*(Income!A$3:A$502&lt;&gt;"")*Income!C$3:C$502)</f>
        <v/>
      </c>
      <c r="F147" s="141">
        <f>SUMPRODUCT((Expenses!E$3:E$999="INR")*(Expenses!A$3:A$999=B147)*(Expenses!A$3:A$999&lt;&gt;"")*Expenses!D$3:D$999)</f>
        <v/>
      </c>
      <c r="G147" s="142">
        <f>C147+D147</f>
        <v/>
      </c>
      <c r="H147" s="111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68">
      <c r="A148" s="19" t="n">
        <v>22</v>
      </c>
      <c r="B148" s="146" t="n">
        <v>46168</v>
      </c>
      <c r="C148" s="141">
        <f>G147</f>
        <v/>
      </c>
      <c r="D148" s="142">
        <f>E148-F148</f>
        <v/>
      </c>
      <c r="E148" s="141">
        <f>SUMPRODUCT((Income!D$3:D$502="INR")*(Income!A$3:A$502=B148)*(Income!A$3:A$502&lt;&gt;"")*Income!C$3:C$502)</f>
        <v/>
      </c>
      <c r="F148" s="141">
        <f>SUMPRODUCT((Expenses!E$3:E$999="INR")*(Expenses!A$3:A$999=B148)*(Expenses!A$3:A$999&lt;&gt;"")*Expenses!D$3:D$999)</f>
        <v/>
      </c>
      <c r="G148" s="142">
        <f>C148+D148</f>
        <v/>
      </c>
      <c r="H148" s="111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68">
      <c r="A149" s="19" t="n">
        <v>22</v>
      </c>
      <c r="B149" s="146" t="n">
        <v>46169</v>
      </c>
      <c r="C149" s="141">
        <f>G148</f>
        <v/>
      </c>
      <c r="D149" s="142">
        <f>E149-F149</f>
        <v/>
      </c>
      <c r="E149" s="141">
        <f>SUMPRODUCT((Income!D$3:D$502="INR")*(Income!A$3:A$502=B149)*(Income!A$3:A$502&lt;&gt;"")*Income!C$3:C$502)</f>
        <v/>
      </c>
      <c r="F149" s="141">
        <f>SUMPRODUCT((Expenses!E$3:E$999="INR")*(Expenses!A$3:A$999=B149)*(Expenses!A$3:A$999&lt;&gt;"")*Expenses!D$3:D$999)</f>
        <v/>
      </c>
      <c r="G149" s="142">
        <f>C149+D149</f>
        <v/>
      </c>
      <c r="H149" s="111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68">
      <c r="A150" s="19" t="n">
        <v>22</v>
      </c>
      <c r="B150" s="146" t="n">
        <v>46170</v>
      </c>
      <c r="C150" s="141">
        <f>G149</f>
        <v/>
      </c>
      <c r="D150" s="142">
        <f>E150-F150</f>
        <v/>
      </c>
      <c r="E150" s="141">
        <f>SUMPRODUCT((Income!D$3:D$502="INR")*(Income!A$3:A$502=B150)*(Income!A$3:A$502&lt;&gt;"")*Income!C$3:C$502)</f>
        <v/>
      </c>
      <c r="F150" s="141">
        <f>SUMPRODUCT((Expenses!E$3:E$999="INR")*(Expenses!A$3:A$999=B150)*(Expenses!A$3:A$999&lt;&gt;"")*Expenses!D$3:D$999)</f>
        <v/>
      </c>
      <c r="G150" s="142">
        <f>C150+D150</f>
        <v/>
      </c>
      <c r="H150" s="111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68">
      <c r="A151" s="19" t="n">
        <v>22</v>
      </c>
      <c r="B151" s="146" t="n">
        <v>46171</v>
      </c>
      <c r="C151" s="141">
        <f>G150</f>
        <v/>
      </c>
      <c r="D151" s="142">
        <f>E151-F151</f>
        <v/>
      </c>
      <c r="E151" s="141">
        <f>SUMPRODUCT((Income!D$3:D$502="INR")*(Income!A$3:A$502=B151)*(Income!A$3:A$502&lt;&gt;"")*Income!C$3:C$502)</f>
        <v/>
      </c>
      <c r="F151" s="141">
        <f>SUMPRODUCT((Expenses!E$3:E$999="INR")*(Expenses!A$3:A$999=B151)*(Expenses!A$3:A$999&lt;&gt;"")*Expenses!D$3:D$999)</f>
        <v/>
      </c>
      <c r="G151" s="142">
        <f>C151+D151</f>
        <v/>
      </c>
      <c r="H151" s="111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68">
      <c r="A152" s="19" t="n">
        <v>22</v>
      </c>
      <c r="B152" s="146" t="n">
        <v>46172</v>
      </c>
      <c r="C152" s="141">
        <f>G151</f>
        <v/>
      </c>
      <c r="D152" s="142">
        <f>E152-F152</f>
        <v/>
      </c>
      <c r="E152" s="141">
        <f>SUMPRODUCT((Income!D$3:D$502="INR")*(Income!A$3:A$502=B152)*(Income!A$3:A$502&lt;&gt;"")*Income!C$3:C$502)</f>
        <v/>
      </c>
      <c r="F152" s="141">
        <f>SUMPRODUCT((Expenses!E$3:E$999="INR")*(Expenses!A$3:A$999=B152)*(Expenses!A$3:A$999&lt;&gt;"")*Expenses!D$3:D$999)</f>
        <v/>
      </c>
      <c r="G152" s="142">
        <f>C152+D152</f>
        <v/>
      </c>
      <c r="H152" s="111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68">
      <c r="A153" s="19" t="n">
        <v>22</v>
      </c>
      <c r="B153" s="146" t="n">
        <v>46173</v>
      </c>
      <c r="C153" s="141">
        <f>G152</f>
        <v/>
      </c>
      <c r="D153" s="142">
        <f>E153-F153</f>
        <v/>
      </c>
      <c r="E153" s="141">
        <f>SUMPRODUCT((Income!D$3:D$502="INR")*(Income!A$3:A$502=B153)*(Income!A$3:A$502&lt;&gt;"")*Income!C$3:C$502)</f>
        <v/>
      </c>
      <c r="F153" s="141">
        <f>SUMPRODUCT((Expenses!E$3:E$999="INR")*(Expenses!A$3:A$999=B153)*(Expenses!A$3:A$999&lt;&gt;"")*Expenses!D$3:D$999)</f>
        <v/>
      </c>
      <c r="G153" s="142">
        <f>C153+D153</f>
        <v/>
      </c>
      <c r="H153" s="111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68">
      <c r="A154" s="19" t="n">
        <v>23</v>
      </c>
      <c r="B154" s="146" t="n">
        <v>46174</v>
      </c>
      <c r="C154" s="141">
        <f>G153</f>
        <v/>
      </c>
      <c r="D154" s="142">
        <f>E154-F154</f>
        <v/>
      </c>
      <c r="E154" s="141">
        <f>SUMPRODUCT((Income!D$3:D$502="INR")*(Income!A$3:A$502=B154)*(Income!A$3:A$502&lt;&gt;"")*Income!C$3:C$502)</f>
        <v/>
      </c>
      <c r="F154" s="141">
        <f>SUMPRODUCT((Expenses!E$3:E$999="INR")*(Expenses!A$3:A$999=B154)*(Expenses!A$3:A$999&lt;&gt;"")*Expenses!D$3:D$999)</f>
        <v/>
      </c>
      <c r="G154" s="142">
        <f>C154+D154</f>
        <v/>
      </c>
      <c r="H154" s="111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68">
      <c r="A155" s="19" t="n">
        <v>23</v>
      </c>
      <c r="B155" s="146" t="n">
        <v>46175</v>
      </c>
      <c r="C155" s="141">
        <f>G154</f>
        <v/>
      </c>
      <c r="D155" s="142">
        <f>E155-F155</f>
        <v/>
      </c>
      <c r="E155" s="141">
        <f>SUMPRODUCT((Income!D$3:D$502="INR")*(Income!A$3:A$502=B155)*(Income!A$3:A$502&lt;&gt;"")*Income!C$3:C$502)</f>
        <v/>
      </c>
      <c r="F155" s="141">
        <f>SUMPRODUCT((Expenses!E$3:E$999="INR")*(Expenses!A$3:A$999=B155)*(Expenses!A$3:A$999&lt;&gt;"")*Expenses!D$3:D$999)</f>
        <v/>
      </c>
      <c r="G155" s="142">
        <f>C155+D155</f>
        <v/>
      </c>
      <c r="H155" s="111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68">
      <c r="A156" s="19" t="n">
        <v>23</v>
      </c>
      <c r="B156" s="146" t="n">
        <v>46176</v>
      </c>
      <c r="C156" s="141">
        <f>G155</f>
        <v/>
      </c>
      <c r="D156" s="142">
        <f>E156-F156</f>
        <v/>
      </c>
      <c r="E156" s="141">
        <f>SUMPRODUCT((Income!D$3:D$502="INR")*(Income!A$3:A$502=B156)*(Income!A$3:A$502&lt;&gt;"")*Income!C$3:C$502)</f>
        <v/>
      </c>
      <c r="F156" s="141">
        <f>SUMPRODUCT((Expenses!E$3:E$999="INR")*(Expenses!A$3:A$999=B156)*(Expenses!A$3:A$999&lt;&gt;"")*Expenses!D$3:D$999)</f>
        <v/>
      </c>
      <c r="G156" s="142">
        <f>C156+D156</f>
        <v/>
      </c>
      <c r="H156" s="111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68">
      <c r="A157" s="19" t="n">
        <v>23</v>
      </c>
      <c r="B157" s="146" t="n">
        <v>46177</v>
      </c>
      <c r="C157" s="141">
        <f>G156</f>
        <v/>
      </c>
      <c r="D157" s="142">
        <f>E157-F157</f>
        <v/>
      </c>
      <c r="E157" s="141">
        <f>SUMPRODUCT((Income!D$3:D$502="INR")*(Income!A$3:A$502=B157)*(Income!A$3:A$502&lt;&gt;"")*Income!C$3:C$502)</f>
        <v/>
      </c>
      <c r="F157" s="141">
        <f>SUMPRODUCT((Expenses!E$3:E$999="INR")*(Expenses!A$3:A$999=B157)*(Expenses!A$3:A$999&lt;&gt;"")*Expenses!D$3:D$999)</f>
        <v/>
      </c>
      <c r="G157" s="142">
        <f>C157+D157</f>
        <v/>
      </c>
      <c r="H157" s="111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68">
      <c r="A158" s="19" t="n">
        <v>23</v>
      </c>
      <c r="B158" s="146" t="n">
        <v>46178</v>
      </c>
      <c r="C158" s="141">
        <f>G157</f>
        <v/>
      </c>
      <c r="D158" s="142">
        <f>E158-F158</f>
        <v/>
      </c>
      <c r="E158" s="141">
        <f>SUMPRODUCT((Income!D$3:D$502="INR")*(Income!A$3:A$502=B158)*(Income!A$3:A$502&lt;&gt;"")*Income!C$3:C$502)</f>
        <v/>
      </c>
      <c r="F158" s="141">
        <f>SUMPRODUCT((Expenses!E$3:E$999="INR")*(Expenses!A$3:A$999=B158)*(Expenses!A$3:A$999&lt;&gt;"")*Expenses!D$3:D$999)</f>
        <v/>
      </c>
      <c r="G158" s="142">
        <f>C158+D158</f>
        <v/>
      </c>
      <c r="H158" s="111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68">
      <c r="A159" s="19" t="n">
        <v>23</v>
      </c>
      <c r="B159" s="146" t="n">
        <v>46179</v>
      </c>
      <c r="C159" s="141">
        <f>G158</f>
        <v/>
      </c>
      <c r="D159" s="142">
        <f>E159-F159</f>
        <v/>
      </c>
      <c r="E159" s="141">
        <f>SUMPRODUCT((Income!D$3:D$502="INR")*(Income!A$3:A$502=B159)*(Income!A$3:A$502&lt;&gt;"")*Income!C$3:C$502)</f>
        <v/>
      </c>
      <c r="F159" s="141">
        <f>SUMPRODUCT((Expenses!E$3:E$999="INR")*(Expenses!A$3:A$999=B159)*(Expenses!A$3:A$999&lt;&gt;"")*Expenses!D$3:D$999)</f>
        <v/>
      </c>
      <c r="G159" s="142">
        <f>C159+D159</f>
        <v/>
      </c>
      <c r="H159" s="111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68">
      <c r="A160" s="19" t="n">
        <v>23</v>
      </c>
      <c r="B160" s="146" t="n">
        <v>46180</v>
      </c>
      <c r="C160" s="141">
        <f>G159</f>
        <v/>
      </c>
      <c r="D160" s="142">
        <f>E160-F160</f>
        <v/>
      </c>
      <c r="E160" s="141">
        <f>SUMPRODUCT((Income!D$3:D$502="INR")*(Income!A$3:A$502=B160)*(Income!A$3:A$502&lt;&gt;"")*Income!C$3:C$502)</f>
        <v/>
      </c>
      <c r="F160" s="141">
        <f>SUMPRODUCT((Expenses!E$3:E$999="INR")*(Expenses!A$3:A$999=B160)*(Expenses!A$3:A$999&lt;&gt;"")*Expenses!D$3:D$999)</f>
        <v/>
      </c>
      <c r="G160" s="142">
        <f>C160+D160</f>
        <v/>
      </c>
      <c r="H160" s="111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68">
      <c r="A161" s="19" t="n">
        <v>24</v>
      </c>
      <c r="B161" s="146" t="n">
        <v>46181</v>
      </c>
      <c r="C161" s="141">
        <f>G160</f>
        <v/>
      </c>
      <c r="D161" s="142">
        <f>E161-F161</f>
        <v/>
      </c>
      <c r="E161" s="141">
        <f>SUMPRODUCT((Income!D$3:D$502="INR")*(Income!A$3:A$502=B161)*(Income!A$3:A$502&lt;&gt;"")*Income!C$3:C$502)</f>
        <v/>
      </c>
      <c r="F161" s="141">
        <f>SUMPRODUCT((Expenses!E$3:E$999="INR")*(Expenses!A$3:A$999=B161)*(Expenses!A$3:A$999&lt;&gt;"")*Expenses!D$3:D$999)</f>
        <v/>
      </c>
      <c r="G161" s="142">
        <f>C161+D161</f>
        <v/>
      </c>
      <c r="H161" s="111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68">
      <c r="A162" s="19" t="n">
        <v>24</v>
      </c>
      <c r="B162" s="146" t="n">
        <v>46182</v>
      </c>
      <c r="C162" s="141">
        <f>G161</f>
        <v/>
      </c>
      <c r="D162" s="142">
        <f>E162-F162</f>
        <v/>
      </c>
      <c r="E162" s="141">
        <f>SUMPRODUCT((Income!D$3:D$502="INR")*(Income!A$3:A$502=B162)*(Income!A$3:A$502&lt;&gt;"")*Income!C$3:C$502)</f>
        <v/>
      </c>
      <c r="F162" s="141">
        <f>SUMPRODUCT((Expenses!E$3:E$999="INR")*(Expenses!A$3:A$999=B162)*(Expenses!A$3:A$999&lt;&gt;"")*Expenses!D$3:D$999)</f>
        <v/>
      </c>
      <c r="G162" s="142">
        <f>C162+D162</f>
        <v/>
      </c>
      <c r="H162" s="111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68">
      <c r="A163" s="19" t="n">
        <v>24</v>
      </c>
      <c r="B163" s="146" t="n">
        <v>46183</v>
      </c>
      <c r="C163" s="141">
        <f>G162</f>
        <v/>
      </c>
      <c r="D163" s="142">
        <f>E163-F163</f>
        <v/>
      </c>
      <c r="E163" s="141">
        <f>SUMPRODUCT((Income!D$3:D$502="INR")*(Income!A$3:A$502=B163)*(Income!A$3:A$502&lt;&gt;"")*Income!C$3:C$502)</f>
        <v/>
      </c>
      <c r="F163" s="141">
        <f>SUMPRODUCT((Expenses!E$3:E$999="INR")*(Expenses!A$3:A$999=B163)*(Expenses!A$3:A$999&lt;&gt;"")*Expenses!D$3:D$999)</f>
        <v/>
      </c>
      <c r="G163" s="142">
        <f>C163+D163</f>
        <v/>
      </c>
      <c r="H163" s="111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68">
      <c r="A164" s="19" t="n">
        <v>24</v>
      </c>
      <c r="B164" s="146" t="n">
        <v>46184</v>
      </c>
      <c r="C164" s="141">
        <f>G163</f>
        <v/>
      </c>
      <c r="D164" s="142">
        <f>E164-F164</f>
        <v/>
      </c>
      <c r="E164" s="141">
        <f>SUMPRODUCT((Income!D$3:D$502="INR")*(Income!A$3:A$502=B164)*(Income!A$3:A$502&lt;&gt;"")*Income!C$3:C$502)</f>
        <v/>
      </c>
      <c r="F164" s="141">
        <f>SUMPRODUCT((Expenses!E$3:E$999="INR")*(Expenses!A$3:A$999=B164)*(Expenses!A$3:A$999&lt;&gt;"")*Expenses!D$3:D$999)</f>
        <v/>
      </c>
      <c r="G164" s="142">
        <f>C164+D164</f>
        <v/>
      </c>
      <c r="H164" s="111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68">
      <c r="A165" s="19" t="n">
        <v>24</v>
      </c>
      <c r="B165" s="146" t="n">
        <v>46185</v>
      </c>
      <c r="C165" s="141">
        <f>G164</f>
        <v/>
      </c>
      <c r="D165" s="142">
        <f>E165-F165</f>
        <v/>
      </c>
      <c r="E165" s="141">
        <f>SUMPRODUCT((Income!D$3:D$502="INR")*(Income!A$3:A$502=B165)*(Income!A$3:A$502&lt;&gt;"")*Income!C$3:C$502)</f>
        <v/>
      </c>
      <c r="F165" s="141">
        <f>SUMPRODUCT((Expenses!E$3:E$999="INR")*(Expenses!A$3:A$999=B165)*(Expenses!A$3:A$999&lt;&gt;"")*Expenses!D$3:D$999)</f>
        <v/>
      </c>
      <c r="G165" s="142">
        <f>C165+D165</f>
        <v/>
      </c>
      <c r="H165" s="111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68">
      <c r="A166" s="19" t="n">
        <v>24</v>
      </c>
      <c r="B166" s="146" t="n">
        <v>46186</v>
      </c>
      <c r="C166" s="141">
        <f>G165</f>
        <v/>
      </c>
      <c r="D166" s="142">
        <f>E166-F166</f>
        <v/>
      </c>
      <c r="E166" s="141">
        <f>SUMPRODUCT((Income!D$3:D$502="INR")*(Income!A$3:A$502=B166)*(Income!A$3:A$502&lt;&gt;"")*Income!C$3:C$502)</f>
        <v/>
      </c>
      <c r="F166" s="141">
        <f>SUMPRODUCT((Expenses!E$3:E$999="INR")*(Expenses!A$3:A$999=B166)*(Expenses!A$3:A$999&lt;&gt;"")*Expenses!D$3:D$999)</f>
        <v/>
      </c>
      <c r="G166" s="142">
        <f>C166+D166</f>
        <v/>
      </c>
      <c r="H166" s="111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68">
      <c r="A167" s="19" t="n">
        <v>24</v>
      </c>
      <c r="B167" s="146" t="n">
        <v>46187</v>
      </c>
      <c r="C167" s="141">
        <f>G166</f>
        <v/>
      </c>
      <c r="D167" s="142">
        <f>E167-F167</f>
        <v/>
      </c>
      <c r="E167" s="141">
        <f>SUMPRODUCT((Income!D$3:D$502="INR")*(Income!A$3:A$502=B167)*(Income!A$3:A$502&lt;&gt;"")*Income!C$3:C$502)</f>
        <v/>
      </c>
      <c r="F167" s="141">
        <f>SUMPRODUCT((Expenses!E$3:E$999="INR")*(Expenses!A$3:A$999=B167)*(Expenses!A$3:A$999&lt;&gt;"")*Expenses!D$3:D$999)</f>
        <v/>
      </c>
      <c r="G167" s="142">
        <f>C167+D167</f>
        <v/>
      </c>
      <c r="H167" s="111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68">
      <c r="A168" s="19" t="n">
        <v>25</v>
      </c>
      <c r="B168" s="146" t="n">
        <v>46188</v>
      </c>
      <c r="C168" s="141">
        <f>G167</f>
        <v/>
      </c>
      <c r="D168" s="142">
        <f>E168-F168</f>
        <v/>
      </c>
      <c r="E168" s="141">
        <f>SUMPRODUCT((Income!D$3:D$502="INR")*(Income!A$3:A$502=B168)*(Income!A$3:A$502&lt;&gt;"")*Income!C$3:C$502)</f>
        <v/>
      </c>
      <c r="F168" s="141">
        <f>SUMPRODUCT((Expenses!E$3:E$999="INR")*(Expenses!A$3:A$999=B168)*(Expenses!A$3:A$999&lt;&gt;"")*Expenses!D$3:D$999)</f>
        <v/>
      </c>
      <c r="G168" s="142">
        <f>C168+D168</f>
        <v/>
      </c>
      <c r="H168" s="111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68">
      <c r="A169" s="19" t="n">
        <v>25</v>
      </c>
      <c r="B169" s="146" t="n">
        <v>46189</v>
      </c>
      <c r="C169" s="141">
        <f>G168</f>
        <v/>
      </c>
      <c r="D169" s="142">
        <f>E169-F169</f>
        <v/>
      </c>
      <c r="E169" s="141">
        <f>SUMPRODUCT((Income!D$3:D$502="INR")*(Income!A$3:A$502=B169)*(Income!A$3:A$502&lt;&gt;"")*Income!C$3:C$502)</f>
        <v/>
      </c>
      <c r="F169" s="141">
        <f>SUMPRODUCT((Expenses!E$3:E$999="INR")*(Expenses!A$3:A$999=B169)*(Expenses!A$3:A$999&lt;&gt;"")*Expenses!D$3:D$999)</f>
        <v/>
      </c>
      <c r="G169" s="142">
        <f>C169+D169</f>
        <v/>
      </c>
      <c r="H169" s="111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68">
      <c r="A170" s="19" t="n">
        <v>25</v>
      </c>
      <c r="B170" s="146" t="n">
        <v>46190</v>
      </c>
      <c r="C170" s="141">
        <f>G169</f>
        <v/>
      </c>
      <c r="D170" s="142">
        <f>E170-F170</f>
        <v/>
      </c>
      <c r="E170" s="141">
        <f>SUMPRODUCT((Income!D$3:D$502="INR")*(Income!A$3:A$502=B170)*(Income!A$3:A$502&lt;&gt;"")*Income!C$3:C$502)</f>
        <v/>
      </c>
      <c r="F170" s="141">
        <f>SUMPRODUCT((Expenses!E$3:E$999="INR")*(Expenses!A$3:A$999=B170)*(Expenses!A$3:A$999&lt;&gt;"")*Expenses!D$3:D$999)</f>
        <v/>
      </c>
      <c r="G170" s="142">
        <f>C170+D170</f>
        <v/>
      </c>
      <c r="H170" s="111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68">
      <c r="A171" s="19" t="n">
        <v>25</v>
      </c>
      <c r="B171" s="146" t="n">
        <v>46191</v>
      </c>
      <c r="C171" s="141">
        <f>G170</f>
        <v/>
      </c>
      <c r="D171" s="142">
        <f>E171-F171</f>
        <v/>
      </c>
      <c r="E171" s="141">
        <f>SUMPRODUCT((Income!D$3:D$502="INR")*(Income!A$3:A$502=B171)*(Income!A$3:A$502&lt;&gt;"")*Income!C$3:C$502)</f>
        <v/>
      </c>
      <c r="F171" s="141">
        <f>SUMPRODUCT((Expenses!E$3:E$999="INR")*(Expenses!A$3:A$999=B171)*(Expenses!A$3:A$999&lt;&gt;"")*Expenses!D$3:D$999)</f>
        <v/>
      </c>
      <c r="G171" s="142">
        <f>C171+D171</f>
        <v/>
      </c>
      <c r="H171" s="111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68">
      <c r="A172" s="19" t="n">
        <v>25</v>
      </c>
      <c r="B172" s="146" t="n">
        <v>46192</v>
      </c>
      <c r="C172" s="141">
        <f>G171</f>
        <v/>
      </c>
      <c r="D172" s="142">
        <f>E172-F172</f>
        <v/>
      </c>
      <c r="E172" s="141">
        <f>SUMPRODUCT((Income!D$3:D$502="INR")*(Income!A$3:A$502=B172)*(Income!A$3:A$502&lt;&gt;"")*Income!C$3:C$502)</f>
        <v/>
      </c>
      <c r="F172" s="141">
        <f>SUMPRODUCT((Expenses!E$3:E$999="INR")*(Expenses!A$3:A$999=B172)*(Expenses!A$3:A$999&lt;&gt;"")*Expenses!D$3:D$999)</f>
        <v/>
      </c>
      <c r="G172" s="142">
        <f>C172+D172</f>
        <v/>
      </c>
      <c r="H172" s="111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68">
      <c r="A173" s="19" t="n">
        <v>25</v>
      </c>
      <c r="B173" s="146" t="n">
        <v>46193</v>
      </c>
      <c r="C173" s="141">
        <f>G172</f>
        <v/>
      </c>
      <c r="D173" s="142">
        <f>E173-F173</f>
        <v/>
      </c>
      <c r="E173" s="141">
        <f>SUMPRODUCT((Income!D$3:D$502="INR")*(Income!A$3:A$502=B173)*(Income!A$3:A$502&lt;&gt;"")*Income!C$3:C$502)</f>
        <v/>
      </c>
      <c r="F173" s="141">
        <f>SUMPRODUCT((Expenses!E$3:E$999="INR")*(Expenses!A$3:A$999=B173)*(Expenses!A$3:A$999&lt;&gt;"")*Expenses!D$3:D$999)</f>
        <v/>
      </c>
      <c r="G173" s="142">
        <f>C173+D173</f>
        <v/>
      </c>
      <c r="H173" s="111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68">
      <c r="A174" s="19" t="n">
        <v>25</v>
      </c>
      <c r="B174" s="146" t="n">
        <v>46194</v>
      </c>
      <c r="C174" s="141">
        <f>G173</f>
        <v/>
      </c>
      <c r="D174" s="142">
        <f>E174-F174</f>
        <v/>
      </c>
      <c r="E174" s="141">
        <f>SUMPRODUCT((Income!D$3:D$502="INR")*(Income!A$3:A$502=B174)*(Income!A$3:A$502&lt;&gt;"")*Income!C$3:C$502)</f>
        <v/>
      </c>
      <c r="F174" s="141">
        <f>SUMPRODUCT((Expenses!E$3:E$999="INR")*(Expenses!A$3:A$999=B174)*(Expenses!A$3:A$999&lt;&gt;"")*Expenses!D$3:D$999)</f>
        <v/>
      </c>
      <c r="G174" s="142">
        <f>C174+D174</f>
        <v/>
      </c>
      <c r="H174" s="111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68">
      <c r="A175" s="19" t="n">
        <v>26</v>
      </c>
      <c r="B175" s="146" t="n">
        <v>46195</v>
      </c>
      <c r="C175" s="141">
        <f>G174</f>
        <v/>
      </c>
      <c r="D175" s="142">
        <f>E175-F175</f>
        <v/>
      </c>
      <c r="E175" s="141">
        <f>SUMPRODUCT((Income!D$3:D$502="INR")*(Income!A$3:A$502=B175)*(Income!A$3:A$502&lt;&gt;"")*Income!C$3:C$502)</f>
        <v/>
      </c>
      <c r="F175" s="141">
        <f>SUMPRODUCT((Expenses!E$3:E$999="INR")*(Expenses!A$3:A$999=B175)*(Expenses!A$3:A$999&lt;&gt;"")*Expenses!D$3:D$999)</f>
        <v/>
      </c>
      <c r="G175" s="142">
        <f>C175+D175</f>
        <v/>
      </c>
      <c r="H175" s="111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68">
      <c r="A176" s="19" t="n">
        <v>26</v>
      </c>
      <c r="B176" s="146" t="n">
        <v>46196</v>
      </c>
      <c r="C176" s="141">
        <f>G175</f>
        <v/>
      </c>
      <c r="D176" s="142">
        <f>E176-F176</f>
        <v/>
      </c>
      <c r="E176" s="141">
        <f>SUMPRODUCT((Income!D$3:D$502="INR")*(Income!A$3:A$502=B176)*(Income!A$3:A$502&lt;&gt;"")*Income!C$3:C$502)</f>
        <v/>
      </c>
      <c r="F176" s="141">
        <f>SUMPRODUCT((Expenses!E$3:E$999="INR")*(Expenses!A$3:A$999=B176)*(Expenses!A$3:A$999&lt;&gt;"")*Expenses!D$3:D$999)</f>
        <v/>
      </c>
      <c r="G176" s="142">
        <f>C176+D176</f>
        <v/>
      </c>
      <c r="H176" s="111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68">
      <c r="A177" s="19" t="n">
        <v>26</v>
      </c>
      <c r="B177" s="146" t="n">
        <v>46197</v>
      </c>
      <c r="C177" s="141">
        <f>G176</f>
        <v/>
      </c>
      <c r="D177" s="142">
        <f>E177-F177</f>
        <v/>
      </c>
      <c r="E177" s="141">
        <f>SUMPRODUCT((Income!D$3:D$502="INR")*(Income!A$3:A$502=B177)*(Income!A$3:A$502&lt;&gt;"")*Income!C$3:C$502)</f>
        <v/>
      </c>
      <c r="F177" s="141">
        <f>SUMPRODUCT((Expenses!E$3:E$999="INR")*(Expenses!A$3:A$999=B177)*(Expenses!A$3:A$999&lt;&gt;"")*Expenses!D$3:D$999)</f>
        <v/>
      </c>
      <c r="G177" s="142">
        <f>C177+D177</f>
        <v/>
      </c>
      <c r="H177" s="111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68">
      <c r="A178" s="19" t="n">
        <v>26</v>
      </c>
      <c r="B178" s="146" t="n">
        <v>46198</v>
      </c>
      <c r="C178" s="141">
        <f>G177</f>
        <v/>
      </c>
      <c r="D178" s="142">
        <f>E178-F178</f>
        <v/>
      </c>
      <c r="E178" s="141">
        <f>SUMPRODUCT((Income!D$3:D$502="INR")*(Income!A$3:A$502=B178)*(Income!A$3:A$502&lt;&gt;"")*Income!C$3:C$502)</f>
        <v/>
      </c>
      <c r="F178" s="141">
        <f>SUMPRODUCT((Expenses!E$3:E$999="INR")*(Expenses!A$3:A$999=B178)*(Expenses!A$3:A$999&lt;&gt;"")*Expenses!D$3:D$999)</f>
        <v/>
      </c>
      <c r="G178" s="142">
        <f>C178+D178</f>
        <v/>
      </c>
      <c r="H178" s="111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68">
      <c r="A179" s="19" t="n">
        <v>26</v>
      </c>
      <c r="B179" s="146" t="n">
        <v>46199</v>
      </c>
      <c r="C179" s="141">
        <f>G178</f>
        <v/>
      </c>
      <c r="D179" s="142">
        <f>E179-F179</f>
        <v/>
      </c>
      <c r="E179" s="141">
        <f>SUMPRODUCT((Income!D$3:D$502="INR")*(Income!A$3:A$502=B179)*(Income!A$3:A$502&lt;&gt;"")*Income!C$3:C$502)</f>
        <v/>
      </c>
      <c r="F179" s="141">
        <f>SUMPRODUCT((Expenses!E$3:E$999="INR")*(Expenses!A$3:A$999=B179)*(Expenses!A$3:A$999&lt;&gt;"")*Expenses!D$3:D$999)</f>
        <v/>
      </c>
      <c r="G179" s="142">
        <f>C179+D179</f>
        <v/>
      </c>
      <c r="H179" s="111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68">
      <c r="A180" s="19" t="n">
        <v>26</v>
      </c>
      <c r="B180" s="146" t="n">
        <v>46200</v>
      </c>
      <c r="C180" s="141">
        <f>G179</f>
        <v/>
      </c>
      <c r="D180" s="142">
        <f>E180-F180</f>
        <v/>
      </c>
      <c r="E180" s="141">
        <f>SUMPRODUCT((Income!D$3:D$502="INR")*(Income!A$3:A$502=B180)*(Income!A$3:A$502&lt;&gt;"")*Income!C$3:C$502)</f>
        <v/>
      </c>
      <c r="F180" s="141">
        <f>SUMPRODUCT((Expenses!E$3:E$999="INR")*(Expenses!A$3:A$999=B180)*(Expenses!A$3:A$999&lt;&gt;"")*Expenses!D$3:D$999)</f>
        <v/>
      </c>
      <c r="G180" s="142">
        <f>C180+D180</f>
        <v/>
      </c>
      <c r="H180" s="111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68">
      <c r="A181" s="19" t="n">
        <v>26</v>
      </c>
      <c r="B181" s="146" t="n">
        <v>46201</v>
      </c>
      <c r="C181" s="141">
        <f>G180</f>
        <v/>
      </c>
      <c r="D181" s="142">
        <f>E181-F181</f>
        <v/>
      </c>
      <c r="E181" s="141">
        <f>SUMPRODUCT((Income!D$3:D$502="INR")*(Income!A$3:A$502=B181)*(Income!A$3:A$502&lt;&gt;"")*Income!C$3:C$502)</f>
        <v/>
      </c>
      <c r="F181" s="141">
        <f>SUMPRODUCT((Expenses!E$3:E$999="INR")*(Expenses!A$3:A$999=B181)*(Expenses!A$3:A$999&lt;&gt;"")*Expenses!D$3:D$999)</f>
        <v/>
      </c>
      <c r="G181" s="142">
        <f>C181+D181</f>
        <v/>
      </c>
      <c r="H181" s="111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68">
      <c r="A182" s="19" t="n">
        <v>27</v>
      </c>
      <c r="B182" s="146" t="n">
        <v>46202</v>
      </c>
      <c r="C182" s="141">
        <f>G181</f>
        <v/>
      </c>
      <c r="D182" s="142">
        <f>E182-F182</f>
        <v/>
      </c>
      <c r="E182" s="141">
        <f>SUMPRODUCT((Income!D$3:D$502="INR")*(Income!A$3:A$502=B182)*(Income!A$3:A$502&lt;&gt;"")*Income!C$3:C$502)</f>
        <v/>
      </c>
      <c r="F182" s="141">
        <f>SUMPRODUCT((Expenses!E$3:E$999="INR")*(Expenses!A$3:A$999=B182)*(Expenses!A$3:A$999&lt;&gt;"")*Expenses!D$3:D$999)</f>
        <v/>
      </c>
      <c r="G182" s="142">
        <f>C182+D182</f>
        <v/>
      </c>
      <c r="H182" s="111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68">
      <c r="A183" s="19" t="n">
        <v>27</v>
      </c>
      <c r="B183" s="146" t="n">
        <v>46203</v>
      </c>
      <c r="C183" s="141">
        <f>G182</f>
        <v/>
      </c>
      <c r="D183" s="142">
        <f>E183-F183</f>
        <v/>
      </c>
      <c r="E183" s="141">
        <f>SUMPRODUCT((Income!D$3:D$502="INR")*(Income!A$3:A$502=B183)*(Income!A$3:A$502&lt;&gt;"")*Income!C$3:C$502)</f>
        <v/>
      </c>
      <c r="F183" s="141">
        <f>SUMPRODUCT((Expenses!E$3:E$999="INR")*(Expenses!A$3:A$999=B183)*(Expenses!A$3:A$999&lt;&gt;"")*Expenses!D$3:D$999)</f>
        <v/>
      </c>
      <c r="G183" s="142">
        <f>C183+D183</f>
        <v/>
      </c>
      <c r="H183" s="111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68">
      <c r="A184" s="19" t="n">
        <v>27</v>
      </c>
      <c r="B184" s="146" t="n">
        <v>46204</v>
      </c>
      <c r="C184" s="141">
        <f>G183</f>
        <v/>
      </c>
      <c r="D184" s="142">
        <f>E184-F184</f>
        <v/>
      </c>
      <c r="E184" s="141">
        <f>SUMPRODUCT((Income!D$3:D$502="INR")*(Income!A$3:A$502=B184)*(Income!A$3:A$502&lt;&gt;"")*Income!C$3:C$502)</f>
        <v/>
      </c>
      <c r="F184" s="141">
        <f>SUMPRODUCT((Expenses!E$3:E$999="INR")*(Expenses!A$3:A$999=B184)*(Expenses!A$3:A$999&lt;&gt;"")*Expenses!D$3:D$999)</f>
        <v/>
      </c>
      <c r="G184" s="142">
        <f>C184+D184</f>
        <v/>
      </c>
      <c r="H184" s="111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68">
      <c r="A185" s="19" t="n">
        <v>27</v>
      </c>
      <c r="B185" s="146" t="n">
        <v>46205</v>
      </c>
      <c r="C185" s="141">
        <f>G184</f>
        <v/>
      </c>
      <c r="D185" s="142">
        <f>E185-F185</f>
        <v/>
      </c>
      <c r="E185" s="141">
        <f>SUMPRODUCT((Income!D$3:D$502="INR")*(Income!A$3:A$502=B185)*(Income!A$3:A$502&lt;&gt;"")*Income!C$3:C$502)</f>
        <v/>
      </c>
      <c r="F185" s="141">
        <f>SUMPRODUCT((Expenses!E$3:E$999="INR")*(Expenses!A$3:A$999=B185)*(Expenses!A$3:A$999&lt;&gt;"")*Expenses!D$3:D$999)</f>
        <v/>
      </c>
      <c r="G185" s="142">
        <f>C185+D185</f>
        <v/>
      </c>
      <c r="H185" s="111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68">
      <c r="A186" s="19" t="n">
        <v>27</v>
      </c>
      <c r="B186" s="146" t="n">
        <v>46206</v>
      </c>
      <c r="C186" s="141">
        <f>G185</f>
        <v/>
      </c>
      <c r="D186" s="142">
        <f>E186-F186</f>
        <v/>
      </c>
      <c r="E186" s="141">
        <f>SUMPRODUCT((Income!D$3:D$502="INR")*(Income!A$3:A$502=B186)*(Income!A$3:A$502&lt;&gt;"")*Income!C$3:C$502)</f>
        <v/>
      </c>
      <c r="F186" s="141">
        <f>SUMPRODUCT((Expenses!E$3:E$999="INR")*(Expenses!A$3:A$999=B186)*(Expenses!A$3:A$999&lt;&gt;"")*Expenses!D$3:D$999)</f>
        <v/>
      </c>
      <c r="G186" s="142">
        <f>C186+D186</f>
        <v/>
      </c>
      <c r="H186" s="111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68">
      <c r="A187" s="19" t="n">
        <v>27</v>
      </c>
      <c r="B187" s="146" t="n">
        <v>46207</v>
      </c>
      <c r="C187" s="141">
        <f>G186</f>
        <v/>
      </c>
      <c r="D187" s="142">
        <f>E187-F187</f>
        <v/>
      </c>
      <c r="E187" s="141">
        <f>SUMPRODUCT((Income!D$3:D$502="INR")*(Income!A$3:A$502=B187)*(Income!A$3:A$502&lt;&gt;"")*Income!C$3:C$502)</f>
        <v/>
      </c>
      <c r="F187" s="141">
        <f>SUMPRODUCT((Expenses!E$3:E$999="INR")*(Expenses!A$3:A$999=B187)*(Expenses!A$3:A$999&lt;&gt;"")*Expenses!D$3:D$999)</f>
        <v/>
      </c>
      <c r="G187" s="142">
        <f>C187+D187</f>
        <v/>
      </c>
      <c r="H187" s="111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68">
      <c r="A188" s="19" t="n">
        <v>27</v>
      </c>
      <c r="B188" s="146" t="n">
        <v>46208</v>
      </c>
      <c r="C188" s="141">
        <f>G187</f>
        <v/>
      </c>
      <c r="D188" s="142">
        <f>E188-F188</f>
        <v/>
      </c>
      <c r="E188" s="141">
        <f>SUMPRODUCT((Income!D$3:D$502="INR")*(Income!A$3:A$502=B188)*(Income!A$3:A$502&lt;&gt;"")*Income!C$3:C$502)</f>
        <v/>
      </c>
      <c r="F188" s="141">
        <f>SUMPRODUCT((Expenses!E$3:E$999="INR")*(Expenses!A$3:A$999=B188)*(Expenses!A$3:A$999&lt;&gt;"")*Expenses!D$3:D$999)</f>
        <v/>
      </c>
      <c r="G188" s="142">
        <f>C188+D188</f>
        <v/>
      </c>
      <c r="H188" s="111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68">
      <c r="A189" s="19" t="n">
        <v>28</v>
      </c>
      <c r="B189" s="146" t="n">
        <v>46209</v>
      </c>
      <c r="C189" s="141">
        <f>G188</f>
        <v/>
      </c>
      <c r="D189" s="142">
        <f>E189-F189</f>
        <v/>
      </c>
      <c r="E189" s="141">
        <f>SUMPRODUCT((Income!D$3:D$502="INR")*(Income!A$3:A$502=B189)*(Income!A$3:A$502&lt;&gt;"")*Income!C$3:C$502)</f>
        <v/>
      </c>
      <c r="F189" s="141">
        <f>SUMPRODUCT((Expenses!E$3:E$999="INR")*(Expenses!A$3:A$999=B189)*(Expenses!A$3:A$999&lt;&gt;"")*Expenses!D$3:D$999)</f>
        <v/>
      </c>
      <c r="G189" s="142">
        <f>C189+D189</f>
        <v/>
      </c>
      <c r="H189" s="111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68">
      <c r="A190" s="19" t="n">
        <v>28</v>
      </c>
      <c r="B190" s="146" t="n">
        <v>46210</v>
      </c>
      <c r="C190" s="141">
        <f>G189</f>
        <v/>
      </c>
      <c r="D190" s="142">
        <f>E190-F190</f>
        <v/>
      </c>
      <c r="E190" s="141">
        <f>SUMPRODUCT((Income!D$3:D$502="INR")*(Income!A$3:A$502=B190)*(Income!A$3:A$502&lt;&gt;"")*Income!C$3:C$502)</f>
        <v/>
      </c>
      <c r="F190" s="141">
        <f>SUMPRODUCT((Expenses!E$3:E$999="INR")*(Expenses!A$3:A$999=B190)*(Expenses!A$3:A$999&lt;&gt;"")*Expenses!D$3:D$999)</f>
        <v/>
      </c>
      <c r="G190" s="142">
        <f>C190+D190</f>
        <v/>
      </c>
      <c r="H190" s="111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68">
      <c r="A191" s="19" t="n">
        <v>28</v>
      </c>
      <c r="B191" s="146" t="n">
        <v>46211</v>
      </c>
      <c r="C191" s="141">
        <f>G190</f>
        <v/>
      </c>
      <c r="D191" s="142">
        <f>E191-F191</f>
        <v/>
      </c>
      <c r="E191" s="141">
        <f>SUMPRODUCT((Income!D$3:D$502="INR")*(Income!A$3:A$502=B191)*(Income!A$3:A$502&lt;&gt;"")*Income!C$3:C$502)</f>
        <v/>
      </c>
      <c r="F191" s="141">
        <f>SUMPRODUCT((Expenses!E$3:E$999="INR")*(Expenses!A$3:A$999=B191)*(Expenses!A$3:A$999&lt;&gt;"")*Expenses!D$3:D$999)</f>
        <v/>
      </c>
      <c r="G191" s="142">
        <f>C191+D191</f>
        <v/>
      </c>
      <c r="H191" s="111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68">
      <c r="A192" s="19" t="n">
        <v>28</v>
      </c>
      <c r="B192" s="146" t="n">
        <v>46212</v>
      </c>
      <c r="C192" s="141">
        <f>G191</f>
        <v/>
      </c>
      <c r="D192" s="142">
        <f>E192-F192</f>
        <v/>
      </c>
      <c r="E192" s="141">
        <f>SUMPRODUCT((Income!D$3:D$502="INR")*(Income!A$3:A$502=B192)*(Income!A$3:A$502&lt;&gt;"")*Income!C$3:C$502)</f>
        <v/>
      </c>
      <c r="F192" s="141">
        <f>SUMPRODUCT((Expenses!E$3:E$999="INR")*(Expenses!A$3:A$999=B192)*(Expenses!A$3:A$999&lt;&gt;"")*Expenses!D$3:D$999)</f>
        <v/>
      </c>
      <c r="G192" s="142">
        <f>C192+D192</f>
        <v/>
      </c>
      <c r="H192" s="111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68">
      <c r="A193" s="19" t="n">
        <v>28</v>
      </c>
      <c r="B193" s="146" t="n">
        <v>46213</v>
      </c>
      <c r="C193" s="141">
        <f>G192</f>
        <v/>
      </c>
      <c r="D193" s="142">
        <f>E193-F193</f>
        <v/>
      </c>
      <c r="E193" s="141">
        <f>SUMPRODUCT((Income!D$3:D$502="INR")*(Income!A$3:A$502=B193)*(Income!A$3:A$502&lt;&gt;"")*Income!C$3:C$502)</f>
        <v/>
      </c>
      <c r="F193" s="141">
        <f>SUMPRODUCT((Expenses!E$3:E$999="INR")*(Expenses!A$3:A$999=B193)*(Expenses!A$3:A$999&lt;&gt;"")*Expenses!D$3:D$999)</f>
        <v/>
      </c>
      <c r="G193" s="142">
        <f>C193+D193</f>
        <v/>
      </c>
      <c r="H193" s="111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68">
      <c r="A194" s="19" t="n">
        <v>28</v>
      </c>
      <c r="B194" s="146" t="n">
        <v>46214</v>
      </c>
      <c r="C194" s="141">
        <f>G193</f>
        <v/>
      </c>
      <c r="D194" s="142">
        <f>E194-F194</f>
        <v/>
      </c>
      <c r="E194" s="141">
        <f>SUMPRODUCT((Income!D$3:D$502="INR")*(Income!A$3:A$502=B194)*(Income!A$3:A$502&lt;&gt;"")*Income!C$3:C$502)</f>
        <v/>
      </c>
      <c r="F194" s="141">
        <f>SUMPRODUCT((Expenses!E$3:E$999="INR")*(Expenses!A$3:A$999=B194)*(Expenses!A$3:A$999&lt;&gt;"")*Expenses!D$3:D$999)</f>
        <v/>
      </c>
      <c r="G194" s="142">
        <f>C194+D194</f>
        <v/>
      </c>
      <c r="H194" s="111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68">
      <c r="A195" s="19" t="n">
        <v>28</v>
      </c>
      <c r="B195" s="146" t="n">
        <v>46215</v>
      </c>
      <c r="C195" s="141">
        <f>G194</f>
        <v/>
      </c>
      <c r="D195" s="142">
        <f>E195-F195</f>
        <v/>
      </c>
      <c r="E195" s="141">
        <f>SUMPRODUCT((Income!D$3:D$502="INR")*(Income!A$3:A$502=B195)*(Income!A$3:A$502&lt;&gt;"")*Income!C$3:C$502)</f>
        <v/>
      </c>
      <c r="F195" s="141">
        <f>SUMPRODUCT((Expenses!E$3:E$999="INR")*(Expenses!A$3:A$999=B195)*(Expenses!A$3:A$999&lt;&gt;"")*Expenses!D$3:D$999)</f>
        <v/>
      </c>
      <c r="G195" s="142">
        <f>C195+D195</f>
        <v/>
      </c>
      <c r="H195" s="111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68">
      <c r="A196" s="19" t="n">
        <v>29</v>
      </c>
      <c r="B196" s="146" t="n">
        <v>46216</v>
      </c>
      <c r="C196" s="141">
        <f>G195</f>
        <v/>
      </c>
      <c r="D196" s="142">
        <f>E196-F196</f>
        <v/>
      </c>
      <c r="E196" s="141">
        <f>SUMPRODUCT((Income!D$3:D$502="INR")*(Income!A$3:A$502=B196)*(Income!A$3:A$502&lt;&gt;"")*Income!C$3:C$502)</f>
        <v/>
      </c>
      <c r="F196" s="141">
        <f>SUMPRODUCT((Expenses!E$3:E$999="INR")*(Expenses!A$3:A$999=B196)*(Expenses!A$3:A$999&lt;&gt;"")*Expenses!D$3:D$999)</f>
        <v/>
      </c>
      <c r="G196" s="142">
        <f>C196+D196</f>
        <v/>
      </c>
      <c r="H196" s="111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68">
      <c r="A197" s="19" t="n">
        <v>29</v>
      </c>
      <c r="B197" s="146" t="n">
        <v>46217</v>
      </c>
      <c r="C197" s="141">
        <f>G196</f>
        <v/>
      </c>
      <c r="D197" s="142">
        <f>E197-F197</f>
        <v/>
      </c>
      <c r="E197" s="141">
        <f>SUMPRODUCT((Income!D$3:D$502="INR")*(Income!A$3:A$502=B197)*(Income!A$3:A$502&lt;&gt;"")*Income!C$3:C$502)</f>
        <v/>
      </c>
      <c r="F197" s="141">
        <f>SUMPRODUCT((Expenses!E$3:E$999="INR")*(Expenses!A$3:A$999=B197)*(Expenses!A$3:A$999&lt;&gt;"")*Expenses!D$3:D$999)</f>
        <v/>
      </c>
      <c r="G197" s="142">
        <f>C197+D197</f>
        <v/>
      </c>
      <c r="H197" s="111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68">
      <c r="A198" s="19" t="n">
        <v>29</v>
      </c>
      <c r="B198" s="146" t="n">
        <v>46218</v>
      </c>
      <c r="C198" s="141">
        <f>G197</f>
        <v/>
      </c>
      <c r="D198" s="142">
        <f>E198-F198</f>
        <v/>
      </c>
      <c r="E198" s="141">
        <f>SUMPRODUCT((Income!D$3:D$502="INR")*(Income!A$3:A$502=B198)*(Income!A$3:A$502&lt;&gt;"")*Income!C$3:C$502)</f>
        <v/>
      </c>
      <c r="F198" s="141">
        <f>SUMPRODUCT((Expenses!E$3:E$999="INR")*(Expenses!A$3:A$999=B198)*(Expenses!A$3:A$999&lt;&gt;"")*Expenses!D$3:D$999)</f>
        <v/>
      </c>
      <c r="G198" s="142">
        <f>C198+D198</f>
        <v/>
      </c>
      <c r="H198" s="111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68">
      <c r="A199" s="19" t="n">
        <v>29</v>
      </c>
      <c r="B199" s="146" t="n">
        <v>46219</v>
      </c>
      <c r="C199" s="141">
        <f>G198</f>
        <v/>
      </c>
      <c r="D199" s="142">
        <f>E199-F199</f>
        <v/>
      </c>
      <c r="E199" s="141">
        <f>SUMPRODUCT((Income!D$3:D$502="INR")*(Income!A$3:A$502=B199)*(Income!A$3:A$502&lt;&gt;"")*Income!C$3:C$502)</f>
        <v/>
      </c>
      <c r="F199" s="141">
        <f>SUMPRODUCT((Expenses!E$3:E$999="INR")*(Expenses!A$3:A$999=B199)*(Expenses!A$3:A$999&lt;&gt;"")*Expenses!D$3:D$999)</f>
        <v/>
      </c>
      <c r="G199" s="142">
        <f>C199+D199</f>
        <v/>
      </c>
      <c r="H199" s="111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68">
      <c r="A200" s="19" t="n">
        <v>29</v>
      </c>
      <c r="B200" s="146" t="n">
        <v>46220</v>
      </c>
      <c r="C200" s="141">
        <f>G199</f>
        <v/>
      </c>
      <c r="D200" s="142">
        <f>E200-F200</f>
        <v/>
      </c>
      <c r="E200" s="141">
        <f>SUMPRODUCT((Income!D$3:D$502="INR")*(Income!A$3:A$502=B200)*(Income!A$3:A$502&lt;&gt;"")*Income!C$3:C$502)</f>
        <v/>
      </c>
      <c r="F200" s="141">
        <f>SUMPRODUCT((Expenses!E$3:E$999="INR")*(Expenses!A$3:A$999=B200)*(Expenses!A$3:A$999&lt;&gt;"")*Expenses!D$3:D$999)</f>
        <v/>
      </c>
      <c r="G200" s="142">
        <f>C200+D200</f>
        <v/>
      </c>
      <c r="H200" s="111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68">
      <c r="A201" s="19" t="n">
        <v>29</v>
      </c>
      <c r="B201" s="146" t="n">
        <v>46221</v>
      </c>
      <c r="C201" s="141">
        <f>G200</f>
        <v/>
      </c>
      <c r="D201" s="142">
        <f>E201-F201</f>
        <v/>
      </c>
      <c r="E201" s="141">
        <f>SUMPRODUCT((Income!D$3:D$502="INR")*(Income!A$3:A$502=B201)*(Income!A$3:A$502&lt;&gt;"")*Income!C$3:C$502)</f>
        <v/>
      </c>
      <c r="F201" s="141">
        <f>SUMPRODUCT((Expenses!E$3:E$999="INR")*(Expenses!A$3:A$999=B201)*(Expenses!A$3:A$999&lt;&gt;"")*Expenses!D$3:D$999)</f>
        <v/>
      </c>
      <c r="G201" s="142">
        <f>C201+D201</f>
        <v/>
      </c>
      <c r="H201" s="111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68">
      <c r="A202" s="19" t="n">
        <v>29</v>
      </c>
      <c r="B202" s="146" t="n">
        <v>46222</v>
      </c>
      <c r="C202" s="141">
        <f>G201</f>
        <v/>
      </c>
      <c r="D202" s="142">
        <f>E202-F202</f>
        <v/>
      </c>
      <c r="E202" s="141">
        <f>SUMPRODUCT((Income!D$3:D$502="INR")*(Income!A$3:A$502=B202)*(Income!A$3:A$502&lt;&gt;"")*Income!C$3:C$502)</f>
        <v/>
      </c>
      <c r="F202" s="141">
        <f>SUMPRODUCT((Expenses!E$3:E$999="INR")*(Expenses!A$3:A$999=B202)*(Expenses!A$3:A$999&lt;&gt;"")*Expenses!D$3:D$999)</f>
        <v/>
      </c>
      <c r="G202" s="142">
        <f>C202+D202</f>
        <v/>
      </c>
      <c r="H202" s="111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68">
      <c r="A203" s="19" t="n">
        <v>30</v>
      </c>
      <c r="B203" s="146" t="n">
        <v>46223</v>
      </c>
      <c r="C203" s="141">
        <f>G202</f>
        <v/>
      </c>
      <c r="D203" s="142">
        <f>E203-F203</f>
        <v/>
      </c>
      <c r="E203" s="141">
        <f>SUMPRODUCT((Income!D$3:D$502="INR")*(Income!A$3:A$502=B203)*(Income!A$3:A$502&lt;&gt;"")*Income!C$3:C$502)</f>
        <v/>
      </c>
      <c r="F203" s="141">
        <f>SUMPRODUCT((Expenses!E$3:E$999="INR")*(Expenses!A$3:A$999=B203)*(Expenses!A$3:A$999&lt;&gt;"")*Expenses!D$3:D$999)</f>
        <v/>
      </c>
      <c r="G203" s="142">
        <f>C203+D203</f>
        <v/>
      </c>
      <c r="H203" s="111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68">
      <c r="A204" s="19" t="n">
        <v>30</v>
      </c>
      <c r="B204" s="146" t="n">
        <v>46224</v>
      </c>
      <c r="C204" s="141">
        <f>G203</f>
        <v/>
      </c>
      <c r="D204" s="142">
        <f>E204-F204</f>
        <v/>
      </c>
      <c r="E204" s="141">
        <f>SUMPRODUCT((Income!D$3:D$502="INR")*(Income!A$3:A$502=B204)*(Income!A$3:A$502&lt;&gt;"")*Income!C$3:C$502)</f>
        <v/>
      </c>
      <c r="F204" s="141">
        <f>SUMPRODUCT((Expenses!E$3:E$999="INR")*(Expenses!A$3:A$999=B204)*(Expenses!A$3:A$999&lt;&gt;"")*Expenses!D$3:D$999)</f>
        <v/>
      </c>
      <c r="G204" s="142">
        <f>C204+D204</f>
        <v/>
      </c>
      <c r="H204" s="111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68">
      <c r="A205" s="19" t="n">
        <v>30</v>
      </c>
      <c r="B205" s="146" t="n">
        <v>46225</v>
      </c>
      <c r="C205" s="141">
        <f>G204</f>
        <v/>
      </c>
      <c r="D205" s="142">
        <f>E205-F205</f>
        <v/>
      </c>
      <c r="E205" s="141">
        <f>SUMPRODUCT((Income!D$3:D$502="INR")*(Income!A$3:A$502=B205)*(Income!A$3:A$502&lt;&gt;"")*Income!C$3:C$502)</f>
        <v/>
      </c>
      <c r="F205" s="141">
        <f>SUMPRODUCT((Expenses!E$3:E$999="INR")*(Expenses!A$3:A$999=B205)*(Expenses!A$3:A$999&lt;&gt;"")*Expenses!D$3:D$999)</f>
        <v/>
      </c>
      <c r="G205" s="142">
        <f>C205+D205</f>
        <v/>
      </c>
      <c r="H205" s="111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68">
      <c r="A206" s="19" t="n">
        <v>30</v>
      </c>
      <c r="B206" s="146" t="n">
        <v>46226</v>
      </c>
      <c r="C206" s="141">
        <f>G205</f>
        <v/>
      </c>
      <c r="D206" s="142">
        <f>E206-F206</f>
        <v/>
      </c>
      <c r="E206" s="141">
        <f>SUMPRODUCT((Income!D$3:D$502="INR")*(Income!A$3:A$502=B206)*(Income!A$3:A$502&lt;&gt;"")*Income!C$3:C$502)</f>
        <v/>
      </c>
      <c r="F206" s="141">
        <f>SUMPRODUCT((Expenses!E$3:E$999="INR")*(Expenses!A$3:A$999=B206)*(Expenses!A$3:A$999&lt;&gt;"")*Expenses!D$3:D$999)</f>
        <v/>
      </c>
      <c r="G206" s="142">
        <f>C206+D206</f>
        <v/>
      </c>
      <c r="H206" s="111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68">
      <c r="A207" s="19" t="n">
        <v>30</v>
      </c>
      <c r="B207" s="146" t="n">
        <v>46227</v>
      </c>
      <c r="C207" s="141">
        <f>G206</f>
        <v/>
      </c>
      <c r="D207" s="142">
        <f>E207-F207</f>
        <v/>
      </c>
      <c r="E207" s="141">
        <f>SUMPRODUCT((Income!D$3:D$502="INR")*(Income!A$3:A$502=B207)*(Income!A$3:A$502&lt;&gt;"")*Income!C$3:C$502)</f>
        <v/>
      </c>
      <c r="F207" s="141">
        <f>SUMPRODUCT((Expenses!E$3:E$999="INR")*(Expenses!A$3:A$999=B207)*(Expenses!A$3:A$999&lt;&gt;"")*Expenses!D$3:D$999)</f>
        <v/>
      </c>
      <c r="G207" s="142">
        <f>C207+D207</f>
        <v/>
      </c>
      <c r="H207" s="111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68">
      <c r="A208" s="19" t="n">
        <v>30</v>
      </c>
      <c r="B208" s="146" t="n">
        <v>46228</v>
      </c>
      <c r="C208" s="141">
        <f>G207</f>
        <v/>
      </c>
      <c r="D208" s="142">
        <f>E208-F208</f>
        <v/>
      </c>
      <c r="E208" s="141">
        <f>SUMPRODUCT((Income!D$3:D$502="INR")*(Income!A$3:A$502=B208)*(Income!A$3:A$502&lt;&gt;"")*Income!C$3:C$502)</f>
        <v/>
      </c>
      <c r="F208" s="141">
        <f>SUMPRODUCT((Expenses!E$3:E$999="INR")*(Expenses!A$3:A$999=B208)*(Expenses!A$3:A$999&lt;&gt;"")*Expenses!D$3:D$999)</f>
        <v/>
      </c>
      <c r="G208" s="142">
        <f>C208+D208</f>
        <v/>
      </c>
      <c r="H208" s="111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68">
      <c r="A209" s="19" t="n">
        <v>30</v>
      </c>
      <c r="B209" s="146" t="n">
        <v>46229</v>
      </c>
      <c r="C209" s="141">
        <f>G208</f>
        <v/>
      </c>
      <c r="D209" s="142">
        <f>E209-F209</f>
        <v/>
      </c>
      <c r="E209" s="141">
        <f>SUMPRODUCT((Income!D$3:D$502="INR")*(Income!A$3:A$502=B209)*(Income!A$3:A$502&lt;&gt;"")*Income!C$3:C$502)</f>
        <v/>
      </c>
      <c r="F209" s="141">
        <f>SUMPRODUCT((Expenses!E$3:E$999="INR")*(Expenses!A$3:A$999=B209)*(Expenses!A$3:A$999&lt;&gt;"")*Expenses!D$3:D$999)</f>
        <v/>
      </c>
      <c r="G209" s="142">
        <f>C209+D209</f>
        <v/>
      </c>
      <c r="H209" s="111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68">
      <c r="A210" s="19" t="n">
        <v>31</v>
      </c>
      <c r="B210" s="146" t="n">
        <v>46230</v>
      </c>
      <c r="C210" s="141">
        <f>G209</f>
        <v/>
      </c>
      <c r="D210" s="142">
        <f>E210-F210</f>
        <v/>
      </c>
      <c r="E210" s="141">
        <f>SUMPRODUCT((Income!D$3:D$502="INR")*(Income!A$3:A$502=B210)*(Income!A$3:A$502&lt;&gt;"")*Income!C$3:C$502)</f>
        <v/>
      </c>
      <c r="F210" s="141">
        <f>SUMPRODUCT((Expenses!E$3:E$999="INR")*(Expenses!A$3:A$999=B210)*(Expenses!A$3:A$999&lt;&gt;"")*Expenses!D$3:D$999)</f>
        <v/>
      </c>
      <c r="G210" s="142">
        <f>C210+D210</f>
        <v/>
      </c>
      <c r="H210" s="111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68">
      <c r="A211" s="19" t="n">
        <v>31</v>
      </c>
      <c r="B211" s="146" t="n">
        <v>46231</v>
      </c>
      <c r="C211" s="141">
        <f>G210</f>
        <v/>
      </c>
      <c r="D211" s="142">
        <f>E211-F211</f>
        <v/>
      </c>
      <c r="E211" s="141">
        <f>SUMPRODUCT((Income!D$3:D$502="INR")*(Income!A$3:A$502=B211)*(Income!A$3:A$502&lt;&gt;"")*Income!C$3:C$502)</f>
        <v/>
      </c>
      <c r="F211" s="141">
        <f>SUMPRODUCT((Expenses!E$3:E$999="INR")*(Expenses!A$3:A$999=B211)*(Expenses!A$3:A$999&lt;&gt;"")*Expenses!D$3:D$999)</f>
        <v/>
      </c>
      <c r="G211" s="142">
        <f>C211+D211</f>
        <v/>
      </c>
      <c r="H211" s="111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68">
      <c r="A212" s="19" t="n">
        <v>31</v>
      </c>
      <c r="B212" s="146" t="n">
        <v>46232</v>
      </c>
      <c r="C212" s="141">
        <f>G211</f>
        <v/>
      </c>
      <c r="D212" s="142">
        <f>E212-F212</f>
        <v/>
      </c>
      <c r="E212" s="141">
        <f>SUMPRODUCT((Income!D$3:D$502="INR")*(Income!A$3:A$502=B212)*(Income!A$3:A$502&lt;&gt;"")*Income!C$3:C$502)</f>
        <v/>
      </c>
      <c r="F212" s="141">
        <f>SUMPRODUCT((Expenses!E$3:E$999="INR")*(Expenses!A$3:A$999=B212)*(Expenses!A$3:A$999&lt;&gt;"")*Expenses!D$3:D$999)</f>
        <v/>
      </c>
      <c r="G212" s="142">
        <f>C212+D212</f>
        <v/>
      </c>
      <c r="H212" s="111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68">
      <c r="A213" s="19" t="n">
        <v>31</v>
      </c>
      <c r="B213" s="146" t="n">
        <v>46233</v>
      </c>
      <c r="C213" s="141">
        <f>G212</f>
        <v/>
      </c>
      <c r="D213" s="142">
        <f>E213-F213</f>
        <v/>
      </c>
      <c r="E213" s="141">
        <f>SUMPRODUCT((Income!D$3:D$502="INR")*(Income!A$3:A$502=B213)*(Income!A$3:A$502&lt;&gt;"")*Income!C$3:C$502)</f>
        <v/>
      </c>
      <c r="F213" s="141">
        <f>SUMPRODUCT((Expenses!E$3:E$999="INR")*(Expenses!A$3:A$999=B213)*(Expenses!A$3:A$999&lt;&gt;"")*Expenses!D$3:D$999)</f>
        <v/>
      </c>
      <c r="G213" s="142">
        <f>C213+D213</f>
        <v/>
      </c>
      <c r="H213" s="111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68">
      <c r="A214" s="19" t="n">
        <v>31</v>
      </c>
      <c r="B214" s="146" t="n">
        <v>46234</v>
      </c>
      <c r="C214" s="141">
        <f>G213</f>
        <v/>
      </c>
      <c r="D214" s="142">
        <f>E214-F214</f>
        <v/>
      </c>
      <c r="E214" s="141">
        <f>SUMPRODUCT((Income!D$3:D$502="INR")*(Income!A$3:A$502=B214)*(Income!A$3:A$502&lt;&gt;"")*Income!C$3:C$502)</f>
        <v/>
      </c>
      <c r="F214" s="141">
        <f>SUMPRODUCT((Expenses!E$3:E$999="INR")*(Expenses!A$3:A$999=B214)*(Expenses!A$3:A$999&lt;&gt;"")*Expenses!D$3:D$999)</f>
        <v/>
      </c>
      <c r="G214" s="142">
        <f>C214+D214</f>
        <v/>
      </c>
      <c r="H214" s="111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68">
      <c r="A215" s="19" t="n">
        <v>31</v>
      </c>
      <c r="B215" s="146" t="n">
        <v>46235</v>
      </c>
      <c r="C215" s="141">
        <f>G214</f>
        <v/>
      </c>
      <c r="D215" s="142">
        <f>E215-F215</f>
        <v/>
      </c>
      <c r="E215" s="141">
        <f>SUMPRODUCT((Income!D$3:D$502="INR")*(Income!A$3:A$502=B215)*(Income!A$3:A$502&lt;&gt;"")*Income!C$3:C$502)</f>
        <v/>
      </c>
      <c r="F215" s="141">
        <f>SUMPRODUCT((Expenses!E$3:E$999="INR")*(Expenses!A$3:A$999=B215)*(Expenses!A$3:A$999&lt;&gt;"")*Expenses!D$3:D$999)</f>
        <v/>
      </c>
      <c r="G215" s="142">
        <f>C215+D215</f>
        <v/>
      </c>
      <c r="H215" s="111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68">
      <c r="A216" s="19" t="n">
        <v>31</v>
      </c>
      <c r="B216" s="146" t="n">
        <v>46236</v>
      </c>
      <c r="C216" s="141">
        <f>G215</f>
        <v/>
      </c>
      <c r="D216" s="142">
        <f>E216-F216</f>
        <v/>
      </c>
      <c r="E216" s="141">
        <f>SUMPRODUCT((Income!D$3:D$502="INR")*(Income!A$3:A$502=B216)*(Income!A$3:A$502&lt;&gt;"")*Income!C$3:C$502)</f>
        <v/>
      </c>
      <c r="F216" s="141">
        <f>SUMPRODUCT((Expenses!E$3:E$999="INR")*(Expenses!A$3:A$999=B216)*(Expenses!A$3:A$999&lt;&gt;"")*Expenses!D$3:D$999)</f>
        <v/>
      </c>
      <c r="G216" s="142">
        <f>C216+D216</f>
        <v/>
      </c>
      <c r="H216" s="111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68">
      <c r="A217" s="19" t="n">
        <v>32</v>
      </c>
      <c r="B217" s="146" t="n">
        <v>46237</v>
      </c>
      <c r="C217" s="141">
        <f>G216</f>
        <v/>
      </c>
      <c r="D217" s="142">
        <f>E217-F217</f>
        <v/>
      </c>
      <c r="E217" s="141">
        <f>SUMPRODUCT((Income!D$3:D$502="INR")*(Income!A$3:A$502=B217)*(Income!A$3:A$502&lt;&gt;"")*Income!C$3:C$502)</f>
        <v/>
      </c>
      <c r="F217" s="141">
        <f>SUMPRODUCT((Expenses!E$3:E$999="INR")*(Expenses!A$3:A$999=B217)*(Expenses!A$3:A$999&lt;&gt;"")*Expenses!D$3:D$999)</f>
        <v/>
      </c>
      <c r="G217" s="142">
        <f>C217+D217</f>
        <v/>
      </c>
      <c r="H217" s="111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68">
      <c r="A218" s="19" t="n">
        <v>32</v>
      </c>
      <c r="B218" s="146" t="n">
        <v>46238</v>
      </c>
      <c r="C218" s="141">
        <f>G217</f>
        <v/>
      </c>
      <c r="D218" s="142">
        <f>E218-F218</f>
        <v/>
      </c>
      <c r="E218" s="141">
        <f>SUMPRODUCT((Income!D$3:D$502="INR")*(Income!A$3:A$502=B218)*(Income!A$3:A$502&lt;&gt;"")*Income!C$3:C$502)</f>
        <v/>
      </c>
      <c r="F218" s="141">
        <f>SUMPRODUCT((Expenses!E$3:E$999="INR")*(Expenses!A$3:A$999=B218)*(Expenses!A$3:A$999&lt;&gt;"")*Expenses!D$3:D$999)</f>
        <v/>
      </c>
      <c r="G218" s="142">
        <f>C218+D218</f>
        <v/>
      </c>
      <c r="H218" s="111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68">
      <c r="A219" s="19" t="n">
        <v>32</v>
      </c>
      <c r="B219" s="146" t="n">
        <v>46239</v>
      </c>
      <c r="C219" s="141">
        <f>G218</f>
        <v/>
      </c>
      <c r="D219" s="142">
        <f>E219-F219</f>
        <v/>
      </c>
      <c r="E219" s="141">
        <f>SUMPRODUCT((Income!D$3:D$502="INR")*(Income!A$3:A$502=B219)*(Income!A$3:A$502&lt;&gt;"")*Income!C$3:C$502)</f>
        <v/>
      </c>
      <c r="F219" s="141">
        <f>SUMPRODUCT((Expenses!E$3:E$999="INR")*(Expenses!A$3:A$999=B219)*(Expenses!A$3:A$999&lt;&gt;"")*Expenses!D$3:D$999)</f>
        <v/>
      </c>
      <c r="G219" s="142">
        <f>C219+D219</f>
        <v/>
      </c>
      <c r="H219" s="111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68">
      <c r="A220" s="19" t="n">
        <v>32</v>
      </c>
      <c r="B220" s="146" t="n">
        <v>46240</v>
      </c>
      <c r="C220" s="141">
        <f>G219</f>
        <v/>
      </c>
      <c r="D220" s="142">
        <f>E220-F220</f>
        <v/>
      </c>
      <c r="E220" s="141">
        <f>SUMPRODUCT((Income!D$3:D$502="INR")*(Income!A$3:A$502=B220)*(Income!A$3:A$502&lt;&gt;"")*Income!C$3:C$502)</f>
        <v/>
      </c>
      <c r="F220" s="141">
        <f>SUMPRODUCT((Expenses!E$3:E$999="INR")*(Expenses!A$3:A$999=B220)*(Expenses!A$3:A$999&lt;&gt;"")*Expenses!D$3:D$999)</f>
        <v/>
      </c>
      <c r="G220" s="142">
        <f>C220+D220</f>
        <v/>
      </c>
      <c r="H220" s="111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68">
      <c r="A221" s="19" t="n">
        <v>32</v>
      </c>
      <c r="B221" s="146" t="n">
        <v>46241</v>
      </c>
      <c r="C221" s="141">
        <f>G220</f>
        <v/>
      </c>
      <c r="D221" s="142">
        <f>E221-F221</f>
        <v/>
      </c>
      <c r="E221" s="141">
        <f>SUMPRODUCT((Income!D$3:D$502="INR")*(Income!A$3:A$502=B221)*(Income!A$3:A$502&lt;&gt;"")*Income!C$3:C$502)</f>
        <v/>
      </c>
      <c r="F221" s="141">
        <f>SUMPRODUCT((Expenses!E$3:E$999="INR")*(Expenses!A$3:A$999=B221)*(Expenses!A$3:A$999&lt;&gt;"")*Expenses!D$3:D$999)</f>
        <v/>
      </c>
      <c r="G221" s="142">
        <f>C221+D221</f>
        <v/>
      </c>
      <c r="H221" s="111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68">
      <c r="A222" s="19" t="n">
        <v>32</v>
      </c>
      <c r="B222" s="146" t="n">
        <v>46242</v>
      </c>
      <c r="C222" s="141">
        <f>G221</f>
        <v/>
      </c>
      <c r="D222" s="142">
        <f>E222-F222</f>
        <v/>
      </c>
      <c r="E222" s="141">
        <f>SUMPRODUCT((Income!D$3:D$502="INR")*(Income!A$3:A$502=B222)*(Income!A$3:A$502&lt;&gt;"")*Income!C$3:C$502)</f>
        <v/>
      </c>
      <c r="F222" s="141">
        <f>SUMPRODUCT((Expenses!E$3:E$999="INR")*(Expenses!A$3:A$999=B222)*(Expenses!A$3:A$999&lt;&gt;"")*Expenses!D$3:D$999)</f>
        <v/>
      </c>
      <c r="G222" s="142">
        <f>C222+D222</f>
        <v/>
      </c>
      <c r="H222" s="111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68">
      <c r="A223" s="19" t="n">
        <v>32</v>
      </c>
      <c r="B223" s="146" t="n">
        <v>46243</v>
      </c>
      <c r="C223" s="141">
        <f>G222</f>
        <v/>
      </c>
      <c r="D223" s="142">
        <f>E223-F223</f>
        <v/>
      </c>
      <c r="E223" s="141">
        <f>SUMPRODUCT((Income!D$3:D$502="INR")*(Income!A$3:A$502=B223)*(Income!A$3:A$502&lt;&gt;"")*Income!C$3:C$502)</f>
        <v/>
      </c>
      <c r="F223" s="141">
        <f>SUMPRODUCT((Expenses!E$3:E$999="INR")*(Expenses!A$3:A$999=B223)*(Expenses!A$3:A$999&lt;&gt;"")*Expenses!D$3:D$999)</f>
        <v/>
      </c>
      <c r="G223" s="142">
        <f>C223+D223</f>
        <v/>
      </c>
      <c r="H223" s="111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68">
      <c r="A224" s="19" t="n">
        <v>33</v>
      </c>
      <c r="B224" s="146" t="n">
        <v>46244</v>
      </c>
      <c r="C224" s="141">
        <f>G223</f>
        <v/>
      </c>
      <c r="D224" s="142">
        <f>E224-F224</f>
        <v/>
      </c>
      <c r="E224" s="141">
        <f>SUMPRODUCT((Income!D$3:D$502="INR")*(Income!A$3:A$502=B224)*(Income!A$3:A$502&lt;&gt;"")*Income!C$3:C$502)</f>
        <v/>
      </c>
      <c r="F224" s="141">
        <f>SUMPRODUCT((Expenses!E$3:E$999="INR")*(Expenses!A$3:A$999=B224)*(Expenses!A$3:A$999&lt;&gt;"")*Expenses!D$3:D$999)</f>
        <v/>
      </c>
      <c r="G224" s="142">
        <f>C224+D224</f>
        <v/>
      </c>
      <c r="H224" s="111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68">
      <c r="A225" s="19" t="n">
        <v>33</v>
      </c>
      <c r="B225" s="146" t="n">
        <v>46245</v>
      </c>
      <c r="C225" s="141">
        <f>G224</f>
        <v/>
      </c>
      <c r="D225" s="142">
        <f>E225-F225</f>
        <v/>
      </c>
      <c r="E225" s="141">
        <f>SUMPRODUCT((Income!D$3:D$502="INR")*(Income!A$3:A$502=B225)*(Income!A$3:A$502&lt;&gt;"")*Income!C$3:C$502)</f>
        <v/>
      </c>
      <c r="F225" s="141">
        <f>SUMPRODUCT((Expenses!E$3:E$999="INR")*(Expenses!A$3:A$999=B225)*(Expenses!A$3:A$999&lt;&gt;"")*Expenses!D$3:D$999)</f>
        <v/>
      </c>
      <c r="G225" s="142">
        <f>C225+D225</f>
        <v/>
      </c>
      <c r="H225" s="111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68">
      <c r="A226" s="19" t="n">
        <v>33</v>
      </c>
      <c r="B226" s="146" t="n">
        <v>46246</v>
      </c>
      <c r="C226" s="141">
        <f>G225</f>
        <v/>
      </c>
      <c r="D226" s="142">
        <f>E226-F226</f>
        <v/>
      </c>
      <c r="E226" s="141">
        <f>SUMPRODUCT((Income!D$3:D$502="INR")*(Income!A$3:A$502=B226)*(Income!A$3:A$502&lt;&gt;"")*Income!C$3:C$502)</f>
        <v/>
      </c>
      <c r="F226" s="141">
        <f>SUMPRODUCT((Expenses!E$3:E$999="INR")*(Expenses!A$3:A$999=B226)*(Expenses!A$3:A$999&lt;&gt;"")*Expenses!D$3:D$999)</f>
        <v/>
      </c>
      <c r="G226" s="142">
        <f>C226+D226</f>
        <v/>
      </c>
      <c r="H226" s="111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68">
      <c r="A227" s="19" t="n">
        <v>33</v>
      </c>
      <c r="B227" s="146" t="n">
        <v>46247</v>
      </c>
      <c r="C227" s="141">
        <f>G226</f>
        <v/>
      </c>
      <c r="D227" s="142">
        <f>E227-F227</f>
        <v/>
      </c>
      <c r="E227" s="141">
        <f>SUMPRODUCT((Income!D$3:D$502="INR")*(Income!A$3:A$502=B227)*(Income!A$3:A$502&lt;&gt;"")*Income!C$3:C$502)</f>
        <v/>
      </c>
      <c r="F227" s="141">
        <f>SUMPRODUCT((Expenses!E$3:E$999="INR")*(Expenses!A$3:A$999=B227)*(Expenses!A$3:A$999&lt;&gt;"")*Expenses!D$3:D$999)</f>
        <v/>
      </c>
      <c r="G227" s="142">
        <f>C227+D227</f>
        <v/>
      </c>
      <c r="H227" s="111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68">
      <c r="A228" s="19" t="n">
        <v>33</v>
      </c>
      <c r="B228" s="146" t="n">
        <v>46248</v>
      </c>
      <c r="C228" s="141">
        <f>G227</f>
        <v/>
      </c>
      <c r="D228" s="142">
        <f>E228-F228</f>
        <v/>
      </c>
      <c r="E228" s="141">
        <f>SUMPRODUCT((Income!D$3:D$502="INR")*(Income!A$3:A$502=B228)*(Income!A$3:A$502&lt;&gt;"")*Income!C$3:C$502)</f>
        <v/>
      </c>
      <c r="F228" s="141">
        <f>SUMPRODUCT((Expenses!E$3:E$999="INR")*(Expenses!A$3:A$999=B228)*(Expenses!A$3:A$999&lt;&gt;"")*Expenses!D$3:D$999)</f>
        <v/>
      </c>
      <c r="G228" s="142">
        <f>C228+D228</f>
        <v/>
      </c>
      <c r="H228" s="111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68">
      <c r="A229" s="19" t="n">
        <v>33</v>
      </c>
      <c r="B229" s="146" t="n">
        <v>46249</v>
      </c>
      <c r="C229" s="141">
        <f>G228</f>
        <v/>
      </c>
      <c r="D229" s="142">
        <f>E229-F229</f>
        <v/>
      </c>
      <c r="E229" s="141">
        <f>SUMPRODUCT((Income!D$3:D$502="INR")*(Income!A$3:A$502=B229)*(Income!A$3:A$502&lt;&gt;"")*Income!C$3:C$502)</f>
        <v/>
      </c>
      <c r="F229" s="141">
        <f>SUMPRODUCT((Expenses!E$3:E$999="INR")*(Expenses!A$3:A$999=B229)*(Expenses!A$3:A$999&lt;&gt;"")*Expenses!D$3:D$999)</f>
        <v/>
      </c>
      <c r="G229" s="142">
        <f>C229+D229</f>
        <v/>
      </c>
      <c r="H229" s="111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68">
      <c r="A230" s="19" t="n">
        <v>33</v>
      </c>
      <c r="B230" s="146" t="n">
        <v>46250</v>
      </c>
      <c r="C230" s="141">
        <f>G229</f>
        <v/>
      </c>
      <c r="D230" s="142">
        <f>E230-F230</f>
        <v/>
      </c>
      <c r="E230" s="141">
        <f>SUMPRODUCT((Income!D$3:D$502="INR")*(Income!A$3:A$502=B230)*(Income!A$3:A$502&lt;&gt;"")*Income!C$3:C$502)</f>
        <v/>
      </c>
      <c r="F230" s="141">
        <f>SUMPRODUCT((Expenses!E$3:E$999="INR")*(Expenses!A$3:A$999=B230)*(Expenses!A$3:A$999&lt;&gt;"")*Expenses!D$3:D$999)</f>
        <v/>
      </c>
      <c r="G230" s="142">
        <f>C230+D230</f>
        <v/>
      </c>
      <c r="H230" s="111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68">
      <c r="A231" s="19" t="n">
        <v>34</v>
      </c>
      <c r="B231" s="146" t="n">
        <v>46251</v>
      </c>
      <c r="C231" s="141">
        <f>G230</f>
        <v/>
      </c>
      <c r="D231" s="142">
        <f>E231-F231</f>
        <v/>
      </c>
      <c r="E231" s="141">
        <f>SUMPRODUCT((Income!D$3:D$502="INR")*(Income!A$3:A$502=B231)*(Income!A$3:A$502&lt;&gt;"")*Income!C$3:C$502)</f>
        <v/>
      </c>
      <c r="F231" s="141">
        <f>SUMPRODUCT((Expenses!E$3:E$999="INR")*(Expenses!A$3:A$999=B231)*(Expenses!A$3:A$999&lt;&gt;"")*Expenses!D$3:D$999)</f>
        <v/>
      </c>
      <c r="G231" s="142">
        <f>C231+D231</f>
        <v/>
      </c>
      <c r="H231" s="111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68">
      <c r="A232" s="19" t="n">
        <v>34</v>
      </c>
      <c r="B232" s="146" t="n">
        <v>46252</v>
      </c>
      <c r="C232" s="141">
        <f>G231</f>
        <v/>
      </c>
      <c r="D232" s="142">
        <f>E232-F232</f>
        <v/>
      </c>
      <c r="E232" s="141">
        <f>SUMPRODUCT((Income!D$3:D$502="INR")*(Income!A$3:A$502=B232)*(Income!A$3:A$502&lt;&gt;"")*Income!C$3:C$502)</f>
        <v/>
      </c>
      <c r="F232" s="141">
        <f>SUMPRODUCT((Expenses!E$3:E$999="INR")*(Expenses!A$3:A$999=B232)*(Expenses!A$3:A$999&lt;&gt;"")*Expenses!D$3:D$999)</f>
        <v/>
      </c>
      <c r="G232" s="142">
        <f>C232+D232</f>
        <v/>
      </c>
      <c r="H232" s="111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68">
      <c r="A233" s="19" t="n">
        <v>34</v>
      </c>
      <c r="B233" s="146" t="n">
        <v>46253</v>
      </c>
      <c r="C233" s="141">
        <f>G232</f>
        <v/>
      </c>
      <c r="D233" s="142">
        <f>E233-F233</f>
        <v/>
      </c>
      <c r="E233" s="141">
        <f>SUMPRODUCT((Income!D$3:D$502="INR")*(Income!A$3:A$502=B233)*(Income!A$3:A$502&lt;&gt;"")*Income!C$3:C$502)</f>
        <v/>
      </c>
      <c r="F233" s="141">
        <f>SUMPRODUCT((Expenses!E$3:E$999="INR")*(Expenses!A$3:A$999=B233)*(Expenses!A$3:A$999&lt;&gt;"")*Expenses!D$3:D$999)</f>
        <v/>
      </c>
      <c r="G233" s="142">
        <f>C233+D233</f>
        <v/>
      </c>
      <c r="H233" s="111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68">
      <c r="A234" s="19" t="n">
        <v>34</v>
      </c>
      <c r="B234" s="146" t="n">
        <v>46254</v>
      </c>
      <c r="C234" s="141">
        <f>G233</f>
        <v/>
      </c>
      <c r="D234" s="142">
        <f>E234-F234</f>
        <v/>
      </c>
      <c r="E234" s="141">
        <f>SUMPRODUCT((Income!D$3:D$502="INR")*(Income!A$3:A$502=B234)*(Income!A$3:A$502&lt;&gt;"")*Income!C$3:C$502)</f>
        <v/>
      </c>
      <c r="F234" s="141">
        <f>SUMPRODUCT((Expenses!E$3:E$999="INR")*(Expenses!A$3:A$999=B234)*(Expenses!A$3:A$999&lt;&gt;"")*Expenses!D$3:D$999)</f>
        <v/>
      </c>
      <c r="G234" s="142">
        <f>C234+D234</f>
        <v/>
      </c>
      <c r="H234" s="111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68">
      <c r="A235" s="19" t="n">
        <v>34</v>
      </c>
      <c r="B235" s="146" t="n">
        <v>46255</v>
      </c>
      <c r="C235" s="141">
        <f>G234</f>
        <v/>
      </c>
      <c r="D235" s="142">
        <f>E235-F235</f>
        <v/>
      </c>
      <c r="E235" s="141">
        <f>SUMPRODUCT((Income!D$3:D$502="INR")*(Income!A$3:A$502=B235)*(Income!A$3:A$502&lt;&gt;"")*Income!C$3:C$502)</f>
        <v/>
      </c>
      <c r="F235" s="141">
        <f>SUMPRODUCT((Expenses!E$3:E$999="INR")*(Expenses!A$3:A$999=B235)*(Expenses!A$3:A$999&lt;&gt;"")*Expenses!D$3:D$999)</f>
        <v/>
      </c>
      <c r="G235" s="142">
        <f>C235+D235</f>
        <v/>
      </c>
      <c r="H235" s="111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68">
      <c r="A236" s="19" t="n">
        <v>34</v>
      </c>
      <c r="B236" s="146" t="n">
        <v>46256</v>
      </c>
      <c r="C236" s="141">
        <f>G235</f>
        <v/>
      </c>
      <c r="D236" s="142">
        <f>E236-F236</f>
        <v/>
      </c>
      <c r="E236" s="141">
        <f>SUMPRODUCT((Income!D$3:D$502="INR")*(Income!A$3:A$502=B236)*(Income!A$3:A$502&lt;&gt;"")*Income!C$3:C$502)</f>
        <v/>
      </c>
      <c r="F236" s="141">
        <f>SUMPRODUCT((Expenses!E$3:E$999="INR")*(Expenses!A$3:A$999=B236)*(Expenses!A$3:A$999&lt;&gt;"")*Expenses!D$3:D$999)</f>
        <v/>
      </c>
      <c r="G236" s="142">
        <f>C236+D236</f>
        <v/>
      </c>
      <c r="H236" s="111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68">
      <c r="A237" s="19" t="n">
        <v>34</v>
      </c>
      <c r="B237" s="146" t="n">
        <v>46257</v>
      </c>
      <c r="C237" s="141">
        <f>G236</f>
        <v/>
      </c>
      <c r="D237" s="142">
        <f>E237-F237</f>
        <v/>
      </c>
      <c r="E237" s="141">
        <f>SUMPRODUCT((Income!D$3:D$502="INR")*(Income!A$3:A$502=B237)*(Income!A$3:A$502&lt;&gt;"")*Income!C$3:C$502)</f>
        <v/>
      </c>
      <c r="F237" s="141">
        <f>SUMPRODUCT((Expenses!E$3:E$999="INR")*(Expenses!A$3:A$999=B237)*(Expenses!A$3:A$999&lt;&gt;"")*Expenses!D$3:D$999)</f>
        <v/>
      </c>
      <c r="G237" s="142">
        <f>C237+D237</f>
        <v/>
      </c>
      <c r="H237" s="111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68">
      <c r="A238" s="19" t="n">
        <v>35</v>
      </c>
      <c r="B238" s="146" t="n">
        <v>46258</v>
      </c>
      <c r="C238" s="141">
        <f>G237</f>
        <v/>
      </c>
      <c r="D238" s="142">
        <f>E238-F238</f>
        <v/>
      </c>
      <c r="E238" s="141">
        <f>SUMPRODUCT((Income!D$3:D$502="INR")*(Income!A$3:A$502=B238)*(Income!A$3:A$502&lt;&gt;"")*Income!C$3:C$502)</f>
        <v/>
      </c>
      <c r="F238" s="141">
        <f>SUMPRODUCT((Expenses!E$3:E$999="INR")*(Expenses!A$3:A$999=B238)*(Expenses!A$3:A$999&lt;&gt;"")*Expenses!D$3:D$999)</f>
        <v/>
      </c>
      <c r="G238" s="142">
        <f>C238+D238</f>
        <v/>
      </c>
      <c r="H238" s="111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68">
      <c r="A239" s="19" t="n">
        <v>35</v>
      </c>
      <c r="B239" s="146" t="n">
        <v>46259</v>
      </c>
      <c r="C239" s="141">
        <f>G238</f>
        <v/>
      </c>
      <c r="D239" s="142">
        <f>E239-F239</f>
        <v/>
      </c>
      <c r="E239" s="141">
        <f>SUMPRODUCT((Income!D$3:D$502="INR")*(Income!A$3:A$502=B239)*(Income!A$3:A$502&lt;&gt;"")*Income!C$3:C$502)</f>
        <v/>
      </c>
      <c r="F239" s="141">
        <f>SUMPRODUCT((Expenses!E$3:E$999="INR")*(Expenses!A$3:A$999=B239)*(Expenses!A$3:A$999&lt;&gt;"")*Expenses!D$3:D$999)</f>
        <v/>
      </c>
      <c r="G239" s="142">
        <f>C239+D239</f>
        <v/>
      </c>
      <c r="H239" s="111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68">
      <c r="A240" s="19" t="n">
        <v>35</v>
      </c>
      <c r="B240" s="146" t="n">
        <v>46260</v>
      </c>
      <c r="C240" s="141">
        <f>G239</f>
        <v/>
      </c>
      <c r="D240" s="142">
        <f>E240-F240</f>
        <v/>
      </c>
      <c r="E240" s="141">
        <f>SUMPRODUCT((Income!D$3:D$502="INR")*(Income!A$3:A$502=B240)*(Income!A$3:A$502&lt;&gt;"")*Income!C$3:C$502)</f>
        <v/>
      </c>
      <c r="F240" s="141">
        <f>SUMPRODUCT((Expenses!E$3:E$999="INR")*(Expenses!A$3:A$999=B240)*(Expenses!A$3:A$999&lt;&gt;"")*Expenses!D$3:D$999)</f>
        <v/>
      </c>
      <c r="G240" s="142">
        <f>C240+D240</f>
        <v/>
      </c>
      <c r="H240" s="111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68">
      <c r="A241" s="19" t="n">
        <v>35</v>
      </c>
      <c r="B241" s="146" t="n">
        <v>46261</v>
      </c>
      <c r="C241" s="141">
        <f>G240</f>
        <v/>
      </c>
      <c r="D241" s="142">
        <f>E241-F241</f>
        <v/>
      </c>
      <c r="E241" s="141">
        <f>SUMPRODUCT((Income!D$3:D$502="INR")*(Income!A$3:A$502=B241)*(Income!A$3:A$502&lt;&gt;"")*Income!C$3:C$502)</f>
        <v/>
      </c>
      <c r="F241" s="141">
        <f>SUMPRODUCT((Expenses!E$3:E$999="INR")*(Expenses!A$3:A$999=B241)*(Expenses!A$3:A$999&lt;&gt;"")*Expenses!D$3:D$999)</f>
        <v/>
      </c>
      <c r="G241" s="142">
        <f>C241+D241</f>
        <v/>
      </c>
      <c r="H241" s="111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68">
      <c r="A242" s="19" t="n">
        <v>35</v>
      </c>
      <c r="B242" s="146" t="n">
        <v>46262</v>
      </c>
      <c r="C242" s="141">
        <f>G241</f>
        <v/>
      </c>
      <c r="D242" s="142">
        <f>E242-F242</f>
        <v/>
      </c>
      <c r="E242" s="141">
        <f>SUMPRODUCT((Income!D$3:D$502="INR")*(Income!A$3:A$502=B242)*(Income!A$3:A$502&lt;&gt;"")*Income!C$3:C$502)</f>
        <v/>
      </c>
      <c r="F242" s="141">
        <f>SUMPRODUCT((Expenses!E$3:E$999="INR")*(Expenses!A$3:A$999=B242)*(Expenses!A$3:A$999&lt;&gt;"")*Expenses!D$3:D$999)</f>
        <v/>
      </c>
      <c r="G242" s="142">
        <f>C242+D242</f>
        <v/>
      </c>
      <c r="H242" s="111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68">
      <c r="A243" s="19" t="n">
        <v>35</v>
      </c>
      <c r="B243" s="146" t="n">
        <v>46263</v>
      </c>
      <c r="C243" s="141">
        <f>G242</f>
        <v/>
      </c>
      <c r="D243" s="142">
        <f>E243-F243</f>
        <v/>
      </c>
      <c r="E243" s="141">
        <f>SUMPRODUCT((Income!D$3:D$502="INR")*(Income!A$3:A$502=B243)*(Income!A$3:A$502&lt;&gt;"")*Income!C$3:C$502)</f>
        <v/>
      </c>
      <c r="F243" s="141">
        <f>SUMPRODUCT((Expenses!E$3:E$999="INR")*(Expenses!A$3:A$999=B243)*(Expenses!A$3:A$999&lt;&gt;"")*Expenses!D$3:D$999)</f>
        <v/>
      </c>
      <c r="G243" s="142">
        <f>C243+D243</f>
        <v/>
      </c>
      <c r="H243" s="111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68">
      <c r="A244" s="19" t="n">
        <v>35</v>
      </c>
      <c r="B244" s="146" t="n">
        <v>46264</v>
      </c>
      <c r="C244" s="141">
        <f>G243</f>
        <v/>
      </c>
      <c r="D244" s="142">
        <f>E244-F244</f>
        <v/>
      </c>
      <c r="E244" s="141">
        <f>SUMPRODUCT((Income!D$3:D$502="INR")*(Income!A$3:A$502=B244)*(Income!A$3:A$502&lt;&gt;"")*Income!C$3:C$502)</f>
        <v/>
      </c>
      <c r="F244" s="141">
        <f>SUMPRODUCT((Expenses!E$3:E$999="INR")*(Expenses!A$3:A$999=B244)*(Expenses!A$3:A$999&lt;&gt;"")*Expenses!D$3:D$999)</f>
        <v/>
      </c>
      <c r="G244" s="142">
        <f>C244+D244</f>
        <v/>
      </c>
      <c r="H244" s="111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68">
      <c r="A245" s="19" t="n">
        <v>36</v>
      </c>
      <c r="B245" s="146" t="n">
        <v>46265</v>
      </c>
      <c r="C245" s="141">
        <f>G244</f>
        <v/>
      </c>
      <c r="D245" s="142">
        <f>E245-F245</f>
        <v/>
      </c>
      <c r="E245" s="141">
        <f>SUMPRODUCT((Income!D$3:D$502="INR")*(Income!A$3:A$502=B245)*(Income!A$3:A$502&lt;&gt;"")*Income!C$3:C$502)</f>
        <v/>
      </c>
      <c r="F245" s="141">
        <f>SUMPRODUCT((Expenses!E$3:E$999="INR")*(Expenses!A$3:A$999=B245)*(Expenses!A$3:A$999&lt;&gt;"")*Expenses!D$3:D$999)</f>
        <v/>
      </c>
      <c r="G245" s="142">
        <f>C245+D245</f>
        <v/>
      </c>
      <c r="H245" s="111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68">
      <c r="A246" s="19" t="n">
        <v>36</v>
      </c>
      <c r="B246" s="146" t="n">
        <v>46266</v>
      </c>
      <c r="C246" s="141">
        <f>G245</f>
        <v/>
      </c>
      <c r="D246" s="142">
        <f>E246-F246</f>
        <v/>
      </c>
      <c r="E246" s="141">
        <f>SUMPRODUCT((Income!D$3:D$502="INR")*(Income!A$3:A$502=B246)*(Income!A$3:A$502&lt;&gt;"")*Income!C$3:C$502)</f>
        <v/>
      </c>
      <c r="F246" s="141">
        <f>SUMPRODUCT((Expenses!E$3:E$999="INR")*(Expenses!A$3:A$999=B246)*(Expenses!A$3:A$999&lt;&gt;"")*Expenses!D$3:D$999)</f>
        <v/>
      </c>
      <c r="G246" s="142">
        <f>C246+D246</f>
        <v/>
      </c>
      <c r="H246" s="111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68">
      <c r="A247" s="19" t="n">
        <v>36</v>
      </c>
      <c r="B247" s="146" t="n">
        <v>46267</v>
      </c>
      <c r="C247" s="141">
        <f>G246</f>
        <v/>
      </c>
      <c r="D247" s="142">
        <f>E247-F247</f>
        <v/>
      </c>
      <c r="E247" s="141">
        <f>SUMPRODUCT((Income!D$3:D$502="INR")*(Income!A$3:A$502=B247)*(Income!A$3:A$502&lt;&gt;"")*Income!C$3:C$502)</f>
        <v/>
      </c>
      <c r="F247" s="141">
        <f>SUMPRODUCT((Expenses!E$3:E$999="INR")*(Expenses!A$3:A$999=B247)*(Expenses!A$3:A$999&lt;&gt;"")*Expenses!D$3:D$999)</f>
        <v/>
      </c>
      <c r="G247" s="142">
        <f>C247+D247</f>
        <v/>
      </c>
      <c r="H247" s="111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68">
      <c r="A248" s="19" t="n">
        <v>36</v>
      </c>
      <c r="B248" s="146" t="n">
        <v>46268</v>
      </c>
      <c r="C248" s="141">
        <f>G247</f>
        <v/>
      </c>
      <c r="D248" s="142">
        <f>E248-F248</f>
        <v/>
      </c>
      <c r="E248" s="141">
        <f>SUMPRODUCT((Income!D$3:D$502="INR")*(Income!A$3:A$502=B248)*(Income!A$3:A$502&lt;&gt;"")*Income!C$3:C$502)</f>
        <v/>
      </c>
      <c r="F248" s="141">
        <f>SUMPRODUCT((Expenses!E$3:E$999="INR")*(Expenses!A$3:A$999=B248)*(Expenses!A$3:A$999&lt;&gt;"")*Expenses!D$3:D$999)</f>
        <v/>
      </c>
      <c r="G248" s="142">
        <f>C248+D248</f>
        <v/>
      </c>
      <c r="H248" s="111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68">
      <c r="A249" s="19" t="n">
        <v>36</v>
      </c>
      <c r="B249" s="146" t="n">
        <v>46269</v>
      </c>
      <c r="C249" s="141">
        <f>G248</f>
        <v/>
      </c>
      <c r="D249" s="142">
        <f>E249-F249</f>
        <v/>
      </c>
      <c r="E249" s="141">
        <f>SUMPRODUCT((Income!D$3:D$502="INR")*(Income!A$3:A$502=B249)*(Income!A$3:A$502&lt;&gt;"")*Income!C$3:C$502)</f>
        <v/>
      </c>
      <c r="F249" s="141">
        <f>SUMPRODUCT((Expenses!E$3:E$999="INR")*(Expenses!A$3:A$999=B249)*(Expenses!A$3:A$999&lt;&gt;"")*Expenses!D$3:D$999)</f>
        <v/>
      </c>
      <c r="G249" s="142">
        <f>C249+D249</f>
        <v/>
      </c>
      <c r="H249" s="111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68">
      <c r="A250" s="19" t="n">
        <v>36</v>
      </c>
      <c r="B250" s="146" t="n">
        <v>46270</v>
      </c>
      <c r="C250" s="141">
        <f>G249</f>
        <v/>
      </c>
      <c r="D250" s="142">
        <f>E250-F250</f>
        <v/>
      </c>
      <c r="E250" s="141">
        <f>SUMPRODUCT((Income!D$3:D$502="INR")*(Income!A$3:A$502=B250)*(Income!A$3:A$502&lt;&gt;"")*Income!C$3:C$502)</f>
        <v/>
      </c>
      <c r="F250" s="141">
        <f>SUMPRODUCT((Expenses!E$3:E$999="INR")*(Expenses!A$3:A$999=B250)*(Expenses!A$3:A$999&lt;&gt;"")*Expenses!D$3:D$999)</f>
        <v/>
      </c>
      <c r="G250" s="142">
        <f>C250+D250</f>
        <v/>
      </c>
      <c r="H250" s="111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68">
      <c r="A251" s="19" t="n">
        <v>36</v>
      </c>
      <c r="B251" s="146" t="n">
        <v>46271</v>
      </c>
      <c r="C251" s="141">
        <f>G250</f>
        <v/>
      </c>
      <c r="D251" s="142">
        <f>E251-F251</f>
        <v/>
      </c>
      <c r="E251" s="141">
        <f>SUMPRODUCT((Income!D$3:D$502="INR")*(Income!A$3:A$502=B251)*(Income!A$3:A$502&lt;&gt;"")*Income!C$3:C$502)</f>
        <v/>
      </c>
      <c r="F251" s="141">
        <f>SUMPRODUCT((Expenses!E$3:E$999="INR")*(Expenses!A$3:A$999=B251)*(Expenses!A$3:A$999&lt;&gt;"")*Expenses!D$3:D$999)</f>
        <v/>
      </c>
      <c r="G251" s="142">
        <f>C251+D251</f>
        <v/>
      </c>
      <c r="H251" s="111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68">
      <c r="A252" s="19" t="n">
        <v>37</v>
      </c>
      <c r="B252" s="146" t="n">
        <v>46272</v>
      </c>
      <c r="C252" s="141">
        <f>G251</f>
        <v/>
      </c>
      <c r="D252" s="142">
        <f>E252-F252</f>
        <v/>
      </c>
      <c r="E252" s="141">
        <f>SUMPRODUCT((Income!D$3:D$502="INR")*(Income!A$3:A$502=B252)*(Income!A$3:A$502&lt;&gt;"")*Income!C$3:C$502)</f>
        <v/>
      </c>
      <c r="F252" s="141">
        <f>SUMPRODUCT((Expenses!E$3:E$999="INR")*(Expenses!A$3:A$999=B252)*(Expenses!A$3:A$999&lt;&gt;"")*Expenses!D$3:D$999)</f>
        <v/>
      </c>
      <c r="G252" s="142">
        <f>C252+D252</f>
        <v/>
      </c>
      <c r="H252" s="111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68">
      <c r="A253" s="19" t="n">
        <v>37</v>
      </c>
      <c r="B253" s="146" t="n">
        <v>46273</v>
      </c>
      <c r="C253" s="141">
        <f>G252</f>
        <v/>
      </c>
      <c r="D253" s="142">
        <f>E253-F253</f>
        <v/>
      </c>
      <c r="E253" s="141">
        <f>SUMPRODUCT((Income!D$3:D$502="INR")*(Income!A$3:A$502=B253)*(Income!A$3:A$502&lt;&gt;"")*Income!C$3:C$502)</f>
        <v/>
      </c>
      <c r="F253" s="141">
        <f>SUMPRODUCT((Expenses!E$3:E$999="INR")*(Expenses!A$3:A$999=B253)*(Expenses!A$3:A$999&lt;&gt;"")*Expenses!D$3:D$999)</f>
        <v/>
      </c>
      <c r="G253" s="142">
        <f>C253+D253</f>
        <v/>
      </c>
      <c r="H253" s="111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68">
      <c r="A254" s="19" t="n">
        <v>37</v>
      </c>
      <c r="B254" s="146" t="n">
        <v>46274</v>
      </c>
      <c r="C254" s="141">
        <f>G253</f>
        <v/>
      </c>
      <c r="D254" s="142">
        <f>E254-F254</f>
        <v/>
      </c>
      <c r="E254" s="141">
        <f>SUMPRODUCT((Income!D$3:D$502="INR")*(Income!A$3:A$502=B254)*(Income!A$3:A$502&lt;&gt;"")*Income!C$3:C$502)</f>
        <v/>
      </c>
      <c r="F254" s="141">
        <f>SUMPRODUCT((Expenses!E$3:E$999="INR")*(Expenses!A$3:A$999=B254)*(Expenses!A$3:A$999&lt;&gt;"")*Expenses!D$3:D$999)</f>
        <v/>
      </c>
      <c r="G254" s="142">
        <f>C254+D254</f>
        <v/>
      </c>
      <c r="H254" s="111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68">
      <c r="A255" s="19" t="n">
        <v>37</v>
      </c>
      <c r="B255" s="146" t="n">
        <v>46275</v>
      </c>
      <c r="C255" s="141">
        <f>G254</f>
        <v/>
      </c>
      <c r="D255" s="142">
        <f>E255-F255</f>
        <v/>
      </c>
      <c r="E255" s="141">
        <f>SUMPRODUCT((Income!D$3:D$502="INR")*(Income!A$3:A$502=B255)*(Income!A$3:A$502&lt;&gt;"")*Income!C$3:C$502)</f>
        <v/>
      </c>
      <c r="F255" s="141">
        <f>SUMPRODUCT((Expenses!E$3:E$999="INR")*(Expenses!A$3:A$999=B255)*(Expenses!A$3:A$999&lt;&gt;"")*Expenses!D$3:D$999)</f>
        <v/>
      </c>
      <c r="G255" s="142">
        <f>C255+D255</f>
        <v/>
      </c>
      <c r="H255" s="111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68">
      <c r="A256" s="19" t="n">
        <v>37</v>
      </c>
      <c r="B256" s="146" t="n">
        <v>46276</v>
      </c>
      <c r="C256" s="141">
        <f>G255</f>
        <v/>
      </c>
      <c r="D256" s="142">
        <f>E256-F256</f>
        <v/>
      </c>
      <c r="E256" s="141">
        <f>SUMPRODUCT((Income!D$3:D$502="INR")*(Income!A$3:A$502=B256)*(Income!A$3:A$502&lt;&gt;"")*Income!C$3:C$502)</f>
        <v/>
      </c>
      <c r="F256" s="141">
        <f>SUMPRODUCT((Expenses!E$3:E$999="INR")*(Expenses!A$3:A$999=B256)*(Expenses!A$3:A$999&lt;&gt;"")*Expenses!D$3:D$999)</f>
        <v/>
      </c>
      <c r="G256" s="142">
        <f>C256+D256</f>
        <v/>
      </c>
      <c r="H256" s="111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68">
      <c r="A257" s="19" t="n">
        <v>37</v>
      </c>
      <c r="B257" s="146" t="n">
        <v>46277</v>
      </c>
      <c r="C257" s="141">
        <f>G256</f>
        <v/>
      </c>
      <c r="D257" s="142">
        <f>E257-F257</f>
        <v/>
      </c>
      <c r="E257" s="141">
        <f>SUMPRODUCT((Income!D$3:D$502="INR")*(Income!A$3:A$502=B257)*(Income!A$3:A$502&lt;&gt;"")*Income!C$3:C$502)</f>
        <v/>
      </c>
      <c r="F257" s="141">
        <f>SUMPRODUCT((Expenses!E$3:E$999="INR")*(Expenses!A$3:A$999=B257)*(Expenses!A$3:A$999&lt;&gt;"")*Expenses!D$3:D$999)</f>
        <v/>
      </c>
      <c r="G257" s="142">
        <f>C257+D257</f>
        <v/>
      </c>
      <c r="H257" s="111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68">
      <c r="A258" s="19" t="n">
        <v>37</v>
      </c>
      <c r="B258" s="146" t="n">
        <v>46278</v>
      </c>
      <c r="C258" s="141">
        <f>G257</f>
        <v/>
      </c>
      <c r="D258" s="142">
        <f>E258-F258</f>
        <v/>
      </c>
      <c r="E258" s="141">
        <f>SUMPRODUCT((Income!D$3:D$502="INR")*(Income!A$3:A$502=B258)*(Income!A$3:A$502&lt;&gt;"")*Income!C$3:C$502)</f>
        <v/>
      </c>
      <c r="F258" s="141">
        <f>SUMPRODUCT((Expenses!E$3:E$999="INR")*(Expenses!A$3:A$999=B258)*(Expenses!A$3:A$999&lt;&gt;"")*Expenses!D$3:D$999)</f>
        <v/>
      </c>
      <c r="G258" s="142">
        <f>C258+D258</f>
        <v/>
      </c>
      <c r="H258" s="111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68">
      <c r="A259" s="19" t="n">
        <v>38</v>
      </c>
      <c r="B259" s="146" t="n">
        <v>46279</v>
      </c>
      <c r="C259" s="141">
        <f>G258</f>
        <v/>
      </c>
      <c r="D259" s="142">
        <f>E259-F259</f>
        <v/>
      </c>
      <c r="E259" s="141">
        <f>SUMPRODUCT((Income!D$3:D$502="INR")*(Income!A$3:A$502=B259)*(Income!A$3:A$502&lt;&gt;"")*Income!C$3:C$502)</f>
        <v/>
      </c>
      <c r="F259" s="141">
        <f>SUMPRODUCT((Expenses!E$3:E$999="INR")*(Expenses!A$3:A$999=B259)*(Expenses!A$3:A$999&lt;&gt;"")*Expenses!D$3:D$999)</f>
        <v/>
      </c>
      <c r="G259" s="142">
        <f>C259+D259</f>
        <v/>
      </c>
      <c r="H259" s="111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68">
      <c r="A260" s="19" t="n">
        <v>38</v>
      </c>
      <c r="B260" s="146" t="n">
        <v>46280</v>
      </c>
      <c r="C260" s="141">
        <f>G259</f>
        <v/>
      </c>
      <c r="D260" s="142">
        <f>E260-F260</f>
        <v/>
      </c>
      <c r="E260" s="141">
        <f>SUMPRODUCT((Income!D$3:D$502="INR")*(Income!A$3:A$502=B260)*(Income!A$3:A$502&lt;&gt;"")*Income!C$3:C$502)</f>
        <v/>
      </c>
      <c r="F260" s="141">
        <f>SUMPRODUCT((Expenses!E$3:E$999="INR")*(Expenses!A$3:A$999=B260)*(Expenses!A$3:A$999&lt;&gt;"")*Expenses!D$3:D$999)</f>
        <v/>
      </c>
      <c r="G260" s="142">
        <f>C260+D260</f>
        <v/>
      </c>
      <c r="H260" s="111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68">
      <c r="A261" s="19" t="n">
        <v>38</v>
      </c>
      <c r="B261" s="146" t="n">
        <v>46281</v>
      </c>
      <c r="C261" s="141">
        <f>G260</f>
        <v/>
      </c>
      <c r="D261" s="142">
        <f>E261-F261</f>
        <v/>
      </c>
      <c r="E261" s="141">
        <f>SUMPRODUCT((Income!D$3:D$502="INR")*(Income!A$3:A$502=B261)*(Income!A$3:A$502&lt;&gt;"")*Income!C$3:C$502)</f>
        <v/>
      </c>
      <c r="F261" s="141">
        <f>SUMPRODUCT((Expenses!E$3:E$999="INR")*(Expenses!A$3:A$999=B261)*(Expenses!A$3:A$999&lt;&gt;"")*Expenses!D$3:D$999)</f>
        <v/>
      </c>
      <c r="G261" s="142">
        <f>C261+D261</f>
        <v/>
      </c>
      <c r="H261" s="111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68">
      <c r="A262" s="19" t="n">
        <v>38</v>
      </c>
      <c r="B262" s="146" t="n">
        <v>46282</v>
      </c>
      <c r="C262" s="141">
        <f>G261</f>
        <v/>
      </c>
      <c r="D262" s="142">
        <f>E262-F262</f>
        <v/>
      </c>
      <c r="E262" s="141">
        <f>SUMPRODUCT((Income!D$3:D$502="INR")*(Income!A$3:A$502=B262)*(Income!A$3:A$502&lt;&gt;"")*Income!C$3:C$502)</f>
        <v/>
      </c>
      <c r="F262" s="141">
        <f>SUMPRODUCT((Expenses!E$3:E$999="INR")*(Expenses!A$3:A$999=B262)*(Expenses!A$3:A$999&lt;&gt;"")*Expenses!D$3:D$999)</f>
        <v/>
      </c>
      <c r="G262" s="142">
        <f>C262+D262</f>
        <v/>
      </c>
      <c r="H262" s="111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68">
      <c r="A263" s="19" t="n">
        <v>38</v>
      </c>
      <c r="B263" s="146" t="n">
        <v>46283</v>
      </c>
      <c r="C263" s="141">
        <f>G262</f>
        <v/>
      </c>
      <c r="D263" s="142">
        <f>E263-F263</f>
        <v/>
      </c>
      <c r="E263" s="141">
        <f>SUMPRODUCT((Income!D$3:D$502="INR")*(Income!A$3:A$502=B263)*(Income!A$3:A$502&lt;&gt;"")*Income!C$3:C$502)</f>
        <v/>
      </c>
      <c r="F263" s="141">
        <f>SUMPRODUCT((Expenses!E$3:E$999="INR")*(Expenses!A$3:A$999=B263)*(Expenses!A$3:A$999&lt;&gt;"")*Expenses!D$3:D$999)</f>
        <v/>
      </c>
      <c r="G263" s="142">
        <f>C263+D263</f>
        <v/>
      </c>
      <c r="H263" s="111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68">
      <c r="A264" s="19" t="n">
        <v>38</v>
      </c>
      <c r="B264" s="146" t="n">
        <v>46284</v>
      </c>
      <c r="C264" s="141">
        <f>G263</f>
        <v/>
      </c>
      <c r="D264" s="142">
        <f>E264-F264</f>
        <v/>
      </c>
      <c r="E264" s="141">
        <f>SUMPRODUCT((Income!D$3:D$502="INR")*(Income!A$3:A$502=B264)*(Income!A$3:A$502&lt;&gt;"")*Income!C$3:C$502)</f>
        <v/>
      </c>
      <c r="F264" s="141">
        <f>SUMPRODUCT((Expenses!E$3:E$999="INR")*(Expenses!A$3:A$999=B264)*(Expenses!A$3:A$999&lt;&gt;"")*Expenses!D$3:D$999)</f>
        <v/>
      </c>
      <c r="G264" s="142">
        <f>C264+D264</f>
        <v/>
      </c>
      <c r="H264" s="111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68">
      <c r="A265" s="19" t="n">
        <v>38</v>
      </c>
      <c r="B265" s="146" t="n">
        <v>46285</v>
      </c>
      <c r="C265" s="141">
        <f>G264</f>
        <v/>
      </c>
      <c r="D265" s="142">
        <f>E265-F265</f>
        <v/>
      </c>
      <c r="E265" s="141">
        <f>SUMPRODUCT((Income!D$3:D$502="INR")*(Income!A$3:A$502=B265)*(Income!A$3:A$502&lt;&gt;"")*Income!C$3:C$502)</f>
        <v/>
      </c>
      <c r="F265" s="141">
        <f>SUMPRODUCT((Expenses!E$3:E$999="INR")*(Expenses!A$3:A$999=B265)*(Expenses!A$3:A$999&lt;&gt;"")*Expenses!D$3:D$999)</f>
        <v/>
      </c>
      <c r="G265" s="142">
        <f>C265+D265</f>
        <v/>
      </c>
      <c r="H265" s="111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68">
      <c r="A266" s="19" t="n">
        <v>39</v>
      </c>
      <c r="B266" s="146" t="n">
        <v>46286</v>
      </c>
      <c r="C266" s="141">
        <f>G265</f>
        <v/>
      </c>
      <c r="D266" s="142">
        <f>E266-F266</f>
        <v/>
      </c>
      <c r="E266" s="141">
        <f>SUMPRODUCT((Income!D$3:D$502="INR")*(Income!A$3:A$502=B266)*(Income!A$3:A$502&lt;&gt;"")*Income!C$3:C$502)</f>
        <v/>
      </c>
      <c r="F266" s="141">
        <f>SUMPRODUCT((Expenses!E$3:E$999="INR")*(Expenses!A$3:A$999=B266)*(Expenses!A$3:A$999&lt;&gt;"")*Expenses!D$3:D$999)</f>
        <v/>
      </c>
      <c r="G266" s="142">
        <f>C266+D266</f>
        <v/>
      </c>
      <c r="H266" s="111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68">
      <c r="A267" s="19" t="n">
        <v>39</v>
      </c>
      <c r="B267" s="146" t="n">
        <v>46287</v>
      </c>
      <c r="C267" s="141">
        <f>G266</f>
        <v/>
      </c>
      <c r="D267" s="142">
        <f>E267-F267</f>
        <v/>
      </c>
      <c r="E267" s="141">
        <f>SUMPRODUCT((Income!D$3:D$502="INR")*(Income!A$3:A$502=B267)*(Income!A$3:A$502&lt;&gt;"")*Income!C$3:C$502)</f>
        <v/>
      </c>
      <c r="F267" s="141">
        <f>SUMPRODUCT((Expenses!E$3:E$999="INR")*(Expenses!A$3:A$999=B267)*(Expenses!A$3:A$999&lt;&gt;"")*Expenses!D$3:D$999)</f>
        <v/>
      </c>
      <c r="G267" s="142">
        <f>C267+D267</f>
        <v/>
      </c>
      <c r="H267" s="111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68">
      <c r="A268" s="19" t="n">
        <v>39</v>
      </c>
      <c r="B268" s="146" t="n">
        <v>46288</v>
      </c>
      <c r="C268" s="141">
        <f>G267</f>
        <v/>
      </c>
      <c r="D268" s="142">
        <f>E268-F268</f>
        <v/>
      </c>
      <c r="E268" s="141">
        <f>SUMPRODUCT((Income!D$3:D$502="INR")*(Income!A$3:A$502=B268)*(Income!A$3:A$502&lt;&gt;"")*Income!C$3:C$502)</f>
        <v/>
      </c>
      <c r="F268" s="141">
        <f>SUMPRODUCT((Expenses!E$3:E$999="INR")*(Expenses!A$3:A$999=B268)*(Expenses!A$3:A$999&lt;&gt;"")*Expenses!D$3:D$999)</f>
        <v/>
      </c>
      <c r="G268" s="142">
        <f>C268+D268</f>
        <v/>
      </c>
      <c r="H268" s="111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68">
      <c r="A269" s="19" t="n">
        <v>39</v>
      </c>
      <c r="B269" s="146" t="n">
        <v>46289</v>
      </c>
      <c r="C269" s="141">
        <f>G268</f>
        <v/>
      </c>
      <c r="D269" s="142">
        <f>E269-F269</f>
        <v/>
      </c>
      <c r="E269" s="141">
        <f>SUMPRODUCT((Income!D$3:D$502="INR")*(Income!A$3:A$502=B269)*(Income!A$3:A$502&lt;&gt;"")*Income!C$3:C$502)</f>
        <v/>
      </c>
      <c r="F269" s="141">
        <f>SUMPRODUCT((Expenses!E$3:E$999="INR")*(Expenses!A$3:A$999=B269)*(Expenses!A$3:A$999&lt;&gt;"")*Expenses!D$3:D$999)</f>
        <v/>
      </c>
      <c r="G269" s="142">
        <f>C269+D269</f>
        <v/>
      </c>
      <c r="H269" s="111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68">
      <c r="A270" s="19" t="n">
        <v>39</v>
      </c>
      <c r="B270" s="146" t="n">
        <v>46290</v>
      </c>
      <c r="C270" s="141">
        <f>G269</f>
        <v/>
      </c>
      <c r="D270" s="142">
        <f>E270-F270</f>
        <v/>
      </c>
      <c r="E270" s="141">
        <f>SUMPRODUCT((Income!D$3:D$502="INR")*(Income!A$3:A$502=B270)*(Income!A$3:A$502&lt;&gt;"")*Income!C$3:C$502)</f>
        <v/>
      </c>
      <c r="F270" s="141">
        <f>SUMPRODUCT((Expenses!E$3:E$999="INR")*(Expenses!A$3:A$999=B270)*(Expenses!A$3:A$999&lt;&gt;"")*Expenses!D$3:D$999)</f>
        <v/>
      </c>
      <c r="G270" s="142">
        <f>C270+D270</f>
        <v/>
      </c>
      <c r="H270" s="111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68">
      <c r="A271" s="19" t="n">
        <v>39</v>
      </c>
      <c r="B271" s="146" t="n">
        <v>46291</v>
      </c>
      <c r="C271" s="141">
        <f>G270</f>
        <v/>
      </c>
      <c r="D271" s="142">
        <f>E271-F271</f>
        <v/>
      </c>
      <c r="E271" s="141">
        <f>SUMPRODUCT((Income!D$3:D$502="INR")*(Income!A$3:A$502=B271)*(Income!A$3:A$502&lt;&gt;"")*Income!C$3:C$502)</f>
        <v/>
      </c>
      <c r="F271" s="141">
        <f>SUMPRODUCT((Expenses!E$3:E$999="INR")*(Expenses!A$3:A$999=B271)*(Expenses!A$3:A$999&lt;&gt;"")*Expenses!D$3:D$999)</f>
        <v/>
      </c>
      <c r="G271" s="142">
        <f>C271+D271</f>
        <v/>
      </c>
      <c r="H271" s="111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68">
      <c r="A272" s="19" t="n">
        <v>39</v>
      </c>
      <c r="B272" s="146" t="n">
        <v>46292</v>
      </c>
      <c r="C272" s="141">
        <f>G271</f>
        <v/>
      </c>
      <c r="D272" s="142">
        <f>E272-F272</f>
        <v/>
      </c>
      <c r="E272" s="141">
        <f>SUMPRODUCT((Income!D$3:D$502="INR")*(Income!A$3:A$502=B272)*(Income!A$3:A$502&lt;&gt;"")*Income!C$3:C$502)</f>
        <v/>
      </c>
      <c r="F272" s="141">
        <f>SUMPRODUCT((Expenses!E$3:E$999="INR")*(Expenses!A$3:A$999=B272)*(Expenses!A$3:A$999&lt;&gt;"")*Expenses!D$3:D$999)</f>
        <v/>
      </c>
      <c r="G272" s="142">
        <f>C272+D272</f>
        <v/>
      </c>
      <c r="H272" s="111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68">
      <c r="A273" s="19" t="n">
        <v>40</v>
      </c>
      <c r="B273" s="146" t="n">
        <v>46293</v>
      </c>
      <c r="C273" s="141">
        <f>G272</f>
        <v/>
      </c>
      <c r="D273" s="142">
        <f>E273-F273</f>
        <v/>
      </c>
      <c r="E273" s="141">
        <f>SUMPRODUCT((Income!D$3:D$502="INR")*(Income!A$3:A$502=B273)*(Income!A$3:A$502&lt;&gt;"")*Income!C$3:C$502)</f>
        <v/>
      </c>
      <c r="F273" s="141">
        <f>SUMPRODUCT((Expenses!E$3:E$999="INR")*(Expenses!A$3:A$999=B273)*(Expenses!A$3:A$999&lt;&gt;"")*Expenses!D$3:D$999)</f>
        <v/>
      </c>
      <c r="G273" s="142">
        <f>C273+D273</f>
        <v/>
      </c>
      <c r="H273" s="111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68">
      <c r="A274" s="19" t="n">
        <v>40</v>
      </c>
      <c r="B274" s="146" t="n">
        <v>46294</v>
      </c>
      <c r="C274" s="141">
        <f>G273</f>
        <v/>
      </c>
      <c r="D274" s="142">
        <f>E274-F274</f>
        <v/>
      </c>
      <c r="E274" s="141">
        <f>SUMPRODUCT((Income!D$3:D$502="INR")*(Income!A$3:A$502=B274)*(Income!A$3:A$502&lt;&gt;"")*Income!C$3:C$502)</f>
        <v/>
      </c>
      <c r="F274" s="141">
        <f>SUMPRODUCT((Expenses!E$3:E$999="INR")*(Expenses!A$3:A$999=B274)*(Expenses!A$3:A$999&lt;&gt;"")*Expenses!D$3:D$999)</f>
        <v/>
      </c>
      <c r="G274" s="142">
        <f>C274+D274</f>
        <v/>
      </c>
      <c r="H274" s="111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68">
      <c r="A275" s="19" t="n">
        <v>40</v>
      </c>
      <c r="B275" s="146" t="n">
        <v>46295</v>
      </c>
      <c r="C275" s="141">
        <f>G274</f>
        <v/>
      </c>
      <c r="D275" s="142">
        <f>E275-F275</f>
        <v/>
      </c>
      <c r="E275" s="141">
        <f>SUMPRODUCT((Income!D$3:D$502="INR")*(Income!A$3:A$502=B275)*(Income!A$3:A$502&lt;&gt;"")*Income!C$3:C$502)</f>
        <v/>
      </c>
      <c r="F275" s="141">
        <f>SUMPRODUCT((Expenses!E$3:E$999="INR")*(Expenses!A$3:A$999=B275)*(Expenses!A$3:A$999&lt;&gt;"")*Expenses!D$3:D$999)</f>
        <v/>
      </c>
      <c r="G275" s="142">
        <f>C275+D275</f>
        <v/>
      </c>
      <c r="H275" s="111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68">
      <c r="A276" s="19" t="n">
        <v>40</v>
      </c>
      <c r="B276" s="146" t="n">
        <v>46296</v>
      </c>
      <c r="C276" s="141">
        <f>G275</f>
        <v/>
      </c>
      <c r="D276" s="142">
        <f>E276-F276</f>
        <v/>
      </c>
      <c r="E276" s="141">
        <f>SUMPRODUCT((Income!D$3:D$502="INR")*(Income!A$3:A$502=B276)*(Income!A$3:A$502&lt;&gt;"")*Income!C$3:C$502)</f>
        <v/>
      </c>
      <c r="F276" s="141">
        <f>SUMPRODUCT((Expenses!E$3:E$999="INR")*(Expenses!A$3:A$999=B276)*(Expenses!A$3:A$999&lt;&gt;"")*Expenses!D$3:D$999)</f>
        <v/>
      </c>
      <c r="G276" s="142">
        <f>C276+D276</f>
        <v/>
      </c>
      <c r="H276" s="111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68">
      <c r="A277" s="19" t="n">
        <v>40</v>
      </c>
      <c r="B277" s="146" t="n">
        <v>46297</v>
      </c>
      <c r="C277" s="141">
        <f>G276</f>
        <v/>
      </c>
      <c r="D277" s="142">
        <f>E277-F277</f>
        <v/>
      </c>
      <c r="E277" s="141">
        <f>SUMPRODUCT((Income!D$3:D$502="INR")*(Income!A$3:A$502=B277)*(Income!A$3:A$502&lt;&gt;"")*Income!C$3:C$502)</f>
        <v/>
      </c>
      <c r="F277" s="141">
        <f>SUMPRODUCT((Expenses!E$3:E$999="INR")*(Expenses!A$3:A$999=B277)*(Expenses!A$3:A$999&lt;&gt;"")*Expenses!D$3:D$999)</f>
        <v/>
      </c>
      <c r="G277" s="142">
        <f>C277+D277</f>
        <v/>
      </c>
      <c r="H277" s="111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68">
      <c r="A278" s="19" t="n">
        <v>40</v>
      </c>
      <c r="B278" s="146" t="n">
        <v>46298</v>
      </c>
      <c r="C278" s="141">
        <f>G277</f>
        <v/>
      </c>
      <c r="D278" s="142">
        <f>E278-F278</f>
        <v/>
      </c>
      <c r="E278" s="141">
        <f>SUMPRODUCT((Income!D$3:D$502="INR")*(Income!A$3:A$502=B278)*(Income!A$3:A$502&lt;&gt;"")*Income!C$3:C$502)</f>
        <v/>
      </c>
      <c r="F278" s="141">
        <f>SUMPRODUCT((Expenses!E$3:E$999="INR")*(Expenses!A$3:A$999=B278)*(Expenses!A$3:A$999&lt;&gt;"")*Expenses!D$3:D$999)</f>
        <v/>
      </c>
      <c r="G278" s="142">
        <f>C278+D278</f>
        <v/>
      </c>
      <c r="H278" s="111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68">
      <c r="A279" s="19" t="n">
        <v>40</v>
      </c>
      <c r="B279" s="146" t="n">
        <v>46299</v>
      </c>
      <c r="C279" s="141">
        <f>G278</f>
        <v/>
      </c>
      <c r="D279" s="142">
        <f>E279-F279</f>
        <v/>
      </c>
      <c r="E279" s="141">
        <f>SUMPRODUCT((Income!D$3:D$502="INR")*(Income!A$3:A$502=B279)*(Income!A$3:A$502&lt;&gt;"")*Income!C$3:C$502)</f>
        <v/>
      </c>
      <c r="F279" s="141">
        <f>SUMPRODUCT((Expenses!E$3:E$999="INR")*(Expenses!A$3:A$999=B279)*(Expenses!A$3:A$999&lt;&gt;"")*Expenses!D$3:D$999)</f>
        <v/>
      </c>
      <c r="G279" s="142">
        <f>C279+D279</f>
        <v/>
      </c>
      <c r="H279" s="111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68">
      <c r="A280" s="19" t="n">
        <v>41</v>
      </c>
      <c r="B280" s="146" t="n">
        <v>46300</v>
      </c>
      <c r="C280" s="141">
        <f>G279</f>
        <v/>
      </c>
      <c r="D280" s="142">
        <f>E280-F280</f>
        <v/>
      </c>
      <c r="E280" s="141">
        <f>SUMPRODUCT((Income!D$3:D$502="INR")*(Income!A$3:A$502=B280)*(Income!A$3:A$502&lt;&gt;"")*Income!C$3:C$502)</f>
        <v/>
      </c>
      <c r="F280" s="141">
        <f>SUMPRODUCT((Expenses!E$3:E$999="INR")*(Expenses!A$3:A$999=B280)*(Expenses!A$3:A$999&lt;&gt;"")*Expenses!D$3:D$999)</f>
        <v/>
      </c>
      <c r="G280" s="142">
        <f>C280+D280</f>
        <v/>
      </c>
      <c r="H280" s="111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68">
      <c r="A281" s="19" t="n">
        <v>41</v>
      </c>
      <c r="B281" s="146" t="n">
        <v>46301</v>
      </c>
      <c r="C281" s="141">
        <f>G280</f>
        <v/>
      </c>
      <c r="D281" s="142">
        <f>E281-F281</f>
        <v/>
      </c>
      <c r="E281" s="141">
        <f>SUMPRODUCT((Income!D$3:D$502="INR")*(Income!A$3:A$502=B281)*(Income!A$3:A$502&lt;&gt;"")*Income!C$3:C$502)</f>
        <v/>
      </c>
      <c r="F281" s="141">
        <f>SUMPRODUCT((Expenses!E$3:E$999="INR")*(Expenses!A$3:A$999=B281)*(Expenses!A$3:A$999&lt;&gt;"")*Expenses!D$3:D$999)</f>
        <v/>
      </c>
      <c r="G281" s="142">
        <f>C281+D281</f>
        <v/>
      </c>
      <c r="H281" s="111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68">
      <c r="A282" s="19" t="n">
        <v>41</v>
      </c>
      <c r="B282" s="146" t="n">
        <v>46302</v>
      </c>
      <c r="C282" s="141">
        <f>G281</f>
        <v/>
      </c>
      <c r="D282" s="142">
        <f>E282-F282</f>
        <v/>
      </c>
      <c r="E282" s="141">
        <f>SUMPRODUCT((Income!D$3:D$502="INR")*(Income!A$3:A$502=B282)*(Income!A$3:A$502&lt;&gt;"")*Income!C$3:C$502)</f>
        <v/>
      </c>
      <c r="F282" s="141">
        <f>SUMPRODUCT((Expenses!E$3:E$999="INR")*(Expenses!A$3:A$999=B282)*(Expenses!A$3:A$999&lt;&gt;"")*Expenses!D$3:D$999)</f>
        <v/>
      </c>
      <c r="G282" s="142">
        <f>C282+D282</f>
        <v/>
      </c>
      <c r="H282" s="111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68">
      <c r="A283" s="19" t="n">
        <v>41</v>
      </c>
      <c r="B283" s="146" t="n">
        <v>46303</v>
      </c>
      <c r="C283" s="141">
        <f>G282</f>
        <v/>
      </c>
      <c r="D283" s="142">
        <f>E283-F283</f>
        <v/>
      </c>
      <c r="E283" s="141">
        <f>SUMPRODUCT((Income!D$3:D$502="INR")*(Income!A$3:A$502=B283)*(Income!A$3:A$502&lt;&gt;"")*Income!C$3:C$502)</f>
        <v/>
      </c>
      <c r="F283" s="141">
        <f>SUMPRODUCT((Expenses!E$3:E$999="INR")*(Expenses!A$3:A$999=B283)*(Expenses!A$3:A$999&lt;&gt;"")*Expenses!D$3:D$999)</f>
        <v/>
      </c>
      <c r="G283" s="142">
        <f>C283+D283</f>
        <v/>
      </c>
      <c r="H283" s="111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68">
      <c r="A284" s="19" t="n">
        <v>41</v>
      </c>
      <c r="B284" s="146" t="n">
        <v>46304</v>
      </c>
      <c r="C284" s="141">
        <f>G283</f>
        <v/>
      </c>
      <c r="D284" s="142">
        <f>E284-F284</f>
        <v/>
      </c>
      <c r="E284" s="141">
        <f>SUMPRODUCT((Income!D$3:D$502="INR")*(Income!A$3:A$502=B284)*(Income!A$3:A$502&lt;&gt;"")*Income!C$3:C$502)</f>
        <v/>
      </c>
      <c r="F284" s="141">
        <f>SUMPRODUCT((Expenses!E$3:E$999="INR")*(Expenses!A$3:A$999=B284)*(Expenses!A$3:A$999&lt;&gt;"")*Expenses!D$3:D$999)</f>
        <v/>
      </c>
      <c r="G284" s="142">
        <f>C284+D284</f>
        <v/>
      </c>
      <c r="H284" s="111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68">
      <c r="A285" s="19" t="n">
        <v>41</v>
      </c>
      <c r="B285" s="146" t="n">
        <v>46305</v>
      </c>
      <c r="C285" s="141">
        <f>G284</f>
        <v/>
      </c>
      <c r="D285" s="142">
        <f>E285-F285</f>
        <v/>
      </c>
      <c r="E285" s="141">
        <f>SUMPRODUCT((Income!D$3:D$502="INR")*(Income!A$3:A$502=B285)*(Income!A$3:A$502&lt;&gt;"")*Income!C$3:C$502)</f>
        <v/>
      </c>
      <c r="F285" s="141">
        <f>SUMPRODUCT((Expenses!E$3:E$999="INR")*(Expenses!A$3:A$999=B285)*(Expenses!A$3:A$999&lt;&gt;"")*Expenses!D$3:D$999)</f>
        <v/>
      </c>
      <c r="G285" s="142">
        <f>C285+D285</f>
        <v/>
      </c>
      <c r="H285" s="111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68">
      <c r="A286" s="19" t="n">
        <v>41</v>
      </c>
      <c r="B286" s="146" t="n">
        <v>46306</v>
      </c>
      <c r="C286" s="141">
        <f>G285</f>
        <v/>
      </c>
      <c r="D286" s="142">
        <f>E286-F286</f>
        <v/>
      </c>
      <c r="E286" s="141">
        <f>SUMPRODUCT((Income!D$3:D$502="INR")*(Income!A$3:A$502=B286)*(Income!A$3:A$502&lt;&gt;"")*Income!C$3:C$502)</f>
        <v/>
      </c>
      <c r="F286" s="141">
        <f>SUMPRODUCT((Expenses!E$3:E$999="INR")*(Expenses!A$3:A$999=B286)*(Expenses!A$3:A$999&lt;&gt;"")*Expenses!D$3:D$999)</f>
        <v/>
      </c>
      <c r="G286" s="142">
        <f>C286+D286</f>
        <v/>
      </c>
      <c r="H286" s="111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68">
      <c r="A287" s="19" t="n">
        <v>42</v>
      </c>
      <c r="B287" s="146" t="n">
        <v>46307</v>
      </c>
      <c r="C287" s="141">
        <f>G286</f>
        <v/>
      </c>
      <c r="D287" s="142">
        <f>E287-F287</f>
        <v/>
      </c>
      <c r="E287" s="141">
        <f>SUMPRODUCT((Income!D$3:D$502="INR")*(Income!A$3:A$502=B287)*(Income!A$3:A$502&lt;&gt;"")*Income!C$3:C$502)</f>
        <v/>
      </c>
      <c r="F287" s="141">
        <f>SUMPRODUCT((Expenses!E$3:E$999="INR")*(Expenses!A$3:A$999=B287)*(Expenses!A$3:A$999&lt;&gt;"")*Expenses!D$3:D$999)</f>
        <v/>
      </c>
      <c r="G287" s="142">
        <f>C287+D287</f>
        <v/>
      </c>
      <c r="H287" s="111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68">
      <c r="A288" s="19" t="n">
        <v>42</v>
      </c>
      <c r="B288" s="146" t="n">
        <v>46308</v>
      </c>
      <c r="C288" s="141">
        <f>G287</f>
        <v/>
      </c>
      <c r="D288" s="142">
        <f>E288-F288</f>
        <v/>
      </c>
      <c r="E288" s="141">
        <f>SUMPRODUCT((Income!D$3:D$502="INR")*(Income!A$3:A$502=B288)*(Income!A$3:A$502&lt;&gt;"")*Income!C$3:C$502)</f>
        <v/>
      </c>
      <c r="F288" s="141">
        <f>SUMPRODUCT((Expenses!E$3:E$999="INR")*(Expenses!A$3:A$999=B288)*(Expenses!A$3:A$999&lt;&gt;"")*Expenses!D$3:D$999)</f>
        <v/>
      </c>
      <c r="G288" s="142">
        <f>C288+D288</f>
        <v/>
      </c>
      <c r="H288" s="111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68">
      <c r="A289" s="19" t="n">
        <v>42</v>
      </c>
      <c r="B289" s="146" t="n">
        <v>46309</v>
      </c>
      <c r="C289" s="141">
        <f>G288</f>
        <v/>
      </c>
      <c r="D289" s="142">
        <f>E289-F289</f>
        <v/>
      </c>
      <c r="E289" s="141">
        <f>SUMPRODUCT((Income!D$3:D$502="INR")*(Income!A$3:A$502=B289)*(Income!A$3:A$502&lt;&gt;"")*Income!C$3:C$502)</f>
        <v/>
      </c>
      <c r="F289" s="141">
        <f>SUMPRODUCT((Expenses!E$3:E$999="INR")*(Expenses!A$3:A$999=B289)*(Expenses!A$3:A$999&lt;&gt;"")*Expenses!D$3:D$999)</f>
        <v/>
      </c>
      <c r="G289" s="142">
        <f>C289+D289</f>
        <v/>
      </c>
      <c r="H289" s="111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68">
      <c r="A290" s="19" t="n">
        <v>42</v>
      </c>
      <c r="B290" s="146" t="n">
        <v>46310</v>
      </c>
      <c r="C290" s="141">
        <f>G289</f>
        <v/>
      </c>
      <c r="D290" s="142">
        <f>E290-F290</f>
        <v/>
      </c>
      <c r="E290" s="141">
        <f>SUMPRODUCT((Income!D$3:D$502="INR")*(Income!A$3:A$502=B290)*(Income!A$3:A$502&lt;&gt;"")*Income!C$3:C$502)</f>
        <v/>
      </c>
      <c r="F290" s="141">
        <f>SUMPRODUCT((Expenses!E$3:E$999="INR")*(Expenses!A$3:A$999=B290)*(Expenses!A$3:A$999&lt;&gt;"")*Expenses!D$3:D$999)</f>
        <v/>
      </c>
      <c r="G290" s="142">
        <f>C290+D290</f>
        <v/>
      </c>
      <c r="H290" s="111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68">
      <c r="A291" s="19" t="n">
        <v>42</v>
      </c>
      <c r="B291" s="146" t="n">
        <v>46311</v>
      </c>
      <c r="C291" s="141">
        <f>G290</f>
        <v/>
      </c>
      <c r="D291" s="142">
        <f>E291-F291</f>
        <v/>
      </c>
      <c r="E291" s="141">
        <f>SUMPRODUCT((Income!D$3:D$502="INR")*(Income!A$3:A$502=B291)*(Income!A$3:A$502&lt;&gt;"")*Income!C$3:C$502)</f>
        <v/>
      </c>
      <c r="F291" s="141">
        <f>SUMPRODUCT((Expenses!E$3:E$999="INR")*(Expenses!A$3:A$999=B291)*(Expenses!A$3:A$999&lt;&gt;"")*Expenses!D$3:D$999)</f>
        <v/>
      </c>
      <c r="G291" s="142">
        <f>C291+D291</f>
        <v/>
      </c>
      <c r="H291" s="111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68">
      <c r="A292" s="19" t="n">
        <v>42</v>
      </c>
      <c r="B292" s="146" t="n">
        <v>46312</v>
      </c>
      <c r="C292" s="141">
        <f>G291</f>
        <v/>
      </c>
      <c r="D292" s="142">
        <f>E292-F292</f>
        <v/>
      </c>
      <c r="E292" s="141">
        <f>SUMPRODUCT((Income!D$3:D$502="INR")*(Income!A$3:A$502=B292)*(Income!A$3:A$502&lt;&gt;"")*Income!C$3:C$502)</f>
        <v/>
      </c>
      <c r="F292" s="141">
        <f>SUMPRODUCT((Expenses!E$3:E$999="INR")*(Expenses!A$3:A$999=B292)*(Expenses!A$3:A$999&lt;&gt;"")*Expenses!D$3:D$999)</f>
        <v/>
      </c>
      <c r="G292" s="142">
        <f>C292+D292</f>
        <v/>
      </c>
      <c r="H292" s="111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68">
      <c r="A293" s="19" t="n">
        <v>42</v>
      </c>
      <c r="B293" s="146" t="n">
        <v>46313</v>
      </c>
      <c r="C293" s="141">
        <f>G292</f>
        <v/>
      </c>
      <c r="D293" s="142">
        <f>E293-F293</f>
        <v/>
      </c>
      <c r="E293" s="141">
        <f>SUMPRODUCT((Income!D$3:D$502="INR")*(Income!A$3:A$502=B293)*(Income!A$3:A$502&lt;&gt;"")*Income!C$3:C$502)</f>
        <v/>
      </c>
      <c r="F293" s="141">
        <f>SUMPRODUCT((Expenses!E$3:E$999="INR")*(Expenses!A$3:A$999=B293)*(Expenses!A$3:A$999&lt;&gt;"")*Expenses!D$3:D$999)</f>
        <v/>
      </c>
      <c r="G293" s="142">
        <f>C293+D293</f>
        <v/>
      </c>
      <c r="H293" s="111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68">
      <c r="A294" s="19" t="n">
        <v>43</v>
      </c>
      <c r="B294" s="146" t="n">
        <v>46314</v>
      </c>
      <c r="C294" s="141">
        <f>G293</f>
        <v/>
      </c>
      <c r="D294" s="142">
        <f>E294-F294</f>
        <v/>
      </c>
      <c r="E294" s="141">
        <f>SUMPRODUCT((Income!D$3:D$502="INR")*(Income!A$3:A$502=B294)*(Income!A$3:A$502&lt;&gt;"")*Income!C$3:C$502)</f>
        <v/>
      </c>
      <c r="F294" s="141">
        <f>SUMPRODUCT((Expenses!E$3:E$999="INR")*(Expenses!A$3:A$999=B294)*(Expenses!A$3:A$999&lt;&gt;"")*Expenses!D$3:D$999)</f>
        <v/>
      </c>
      <c r="G294" s="142">
        <f>C294+D294</f>
        <v/>
      </c>
      <c r="H294" s="111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68">
      <c r="A295" s="19" t="n">
        <v>43</v>
      </c>
      <c r="B295" s="146" t="n">
        <v>46315</v>
      </c>
      <c r="C295" s="141">
        <f>G294</f>
        <v/>
      </c>
      <c r="D295" s="142">
        <f>E295-F295</f>
        <v/>
      </c>
      <c r="E295" s="141">
        <f>SUMPRODUCT((Income!D$3:D$502="INR")*(Income!A$3:A$502=B295)*(Income!A$3:A$502&lt;&gt;"")*Income!C$3:C$502)</f>
        <v/>
      </c>
      <c r="F295" s="141">
        <f>SUMPRODUCT((Expenses!E$3:E$999="INR")*(Expenses!A$3:A$999=B295)*(Expenses!A$3:A$999&lt;&gt;"")*Expenses!D$3:D$999)</f>
        <v/>
      </c>
      <c r="G295" s="142">
        <f>C295+D295</f>
        <v/>
      </c>
      <c r="H295" s="111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68">
      <c r="A296" s="19" t="n">
        <v>43</v>
      </c>
      <c r="B296" s="146" t="n">
        <v>46316</v>
      </c>
      <c r="C296" s="141">
        <f>G295</f>
        <v/>
      </c>
      <c r="D296" s="142">
        <f>E296-F296</f>
        <v/>
      </c>
      <c r="E296" s="141">
        <f>SUMPRODUCT((Income!D$3:D$502="INR")*(Income!A$3:A$502=B296)*(Income!A$3:A$502&lt;&gt;"")*Income!C$3:C$502)</f>
        <v/>
      </c>
      <c r="F296" s="141">
        <f>SUMPRODUCT((Expenses!E$3:E$999="INR")*(Expenses!A$3:A$999=B296)*(Expenses!A$3:A$999&lt;&gt;"")*Expenses!D$3:D$999)</f>
        <v/>
      </c>
      <c r="G296" s="142">
        <f>C296+D296</f>
        <v/>
      </c>
      <c r="H296" s="111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68">
      <c r="A297" s="19" t="n">
        <v>43</v>
      </c>
      <c r="B297" s="146" t="n">
        <v>46317</v>
      </c>
      <c r="C297" s="141">
        <f>G296</f>
        <v/>
      </c>
      <c r="D297" s="142">
        <f>E297-F297</f>
        <v/>
      </c>
      <c r="E297" s="141">
        <f>SUMPRODUCT((Income!D$3:D$502="INR")*(Income!A$3:A$502=B297)*(Income!A$3:A$502&lt;&gt;"")*Income!C$3:C$502)</f>
        <v/>
      </c>
      <c r="F297" s="141">
        <f>SUMPRODUCT((Expenses!E$3:E$999="INR")*(Expenses!A$3:A$999=B297)*(Expenses!A$3:A$999&lt;&gt;"")*Expenses!D$3:D$999)</f>
        <v/>
      </c>
      <c r="G297" s="142">
        <f>C297+D297</f>
        <v/>
      </c>
      <c r="H297" s="111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68">
      <c r="A298" s="19" t="n">
        <v>43</v>
      </c>
      <c r="B298" s="146" t="n">
        <v>46318</v>
      </c>
      <c r="C298" s="141">
        <f>G297</f>
        <v/>
      </c>
      <c r="D298" s="142">
        <f>E298-F298</f>
        <v/>
      </c>
      <c r="E298" s="141">
        <f>SUMPRODUCT((Income!D$3:D$502="INR")*(Income!A$3:A$502=B298)*(Income!A$3:A$502&lt;&gt;"")*Income!C$3:C$502)</f>
        <v/>
      </c>
      <c r="F298" s="141">
        <f>SUMPRODUCT((Expenses!E$3:E$999="INR")*(Expenses!A$3:A$999=B298)*(Expenses!A$3:A$999&lt;&gt;"")*Expenses!D$3:D$999)</f>
        <v/>
      </c>
      <c r="G298" s="142">
        <f>C298+D298</f>
        <v/>
      </c>
      <c r="H298" s="111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68">
      <c r="A299" s="19" t="n">
        <v>43</v>
      </c>
      <c r="B299" s="146" t="n">
        <v>46319</v>
      </c>
      <c r="C299" s="141">
        <f>G298</f>
        <v/>
      </c>
      <c r="D299" s="142">
        <f>E299-F299</f>
        <v/>
      </c>
      <c r="E299" s="141">
        <f>SUMPRODUCT((Income!D$3:D$502="INR")*(Income!A$3:A$502=B299)*(Income!A$3:A$502&lt;&gt;"")*Income!C$3:C$502)</f>
        <v/>
      </c>
      <c r="F299" s="141">
        <f>SUMPRODUCT((Expenses!E$3:E$999="INR")*(Expenses!A$3:A$999=B299)*(Expenses!A$3:A$999&lt;&gt;"")*Expenses!D$3:D$999)</f>
        <v/>
      </c>
      <c r="G299" s="142">
        <f>C299+D299</f>
        <v/>
      </c>
      <c r="H299" s="111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68">
      <c r="A300" s="19" t="n">
        <v>43</v>
      </c>
      <c r="B300" s="146" t="n">
        <v>46320</v>
      </c>
      <c r="C300" s="141">
        <f>G299</f>
        <v/>
      </c>
      <c r="D300" s="142">
        <f>E300-F300</f>
        <v/>
      </c>
      <c r="E300" s="141">
        <f>SUMPRODUCT((Income!D$3:D$502="INR")*(Income!A$3:A$502=B300)*(Income!A$3:A$502&lt;&gt;"")*Income!C$3:C$502)</f>
        <v/>
      </c>
      <c r="F300" s="141">
        <f>SUMPRODUCT((Expenses!E$3:E$999="INR")*(Expenses!A$3:A$999=B300)*(Expenses!A$3:A$999&lt;&gt;"")*Expenses!D$3:D$999)</f>
        <v/>
      </c>
      <c r="G300" s="142">
        <f>C300+D300</f>
        <v/>
      </c>
      <c r="H300" s="111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68">
      <c r="A301" s="19" t="n">
        <v>44</v>
      </c>
      <c r="B301" s="146" t="n">
        <v>46321</v>
      </c>
      <c r="C301" s="141">
        <f>G300</f>
        <v/>
      </c>
      <c r="D301" s="142">
        <f>E301-F301</f>
        <v/>
      </c>
      <c r="E301" s="141">
        <f>SUMPRODUCT((Income!D$3:D$502="INR")*(Income!A$3:A$502=B301)*(Income!A$3:A$502&lt;&gt;"")*Income!C$3:C$502)</f>
        <v/>
      </c>
      <c r="F301" s="141">
        <f>SUMPRODUCT((Expenses!E$3:E$999="INR")*(Expenses!A$3:A$999=B301)*(Expenses!A$3:A$999&lt;&gt;"")*Expenses!D$3:D$999)</f>
        <v/>
      </c>
      <c r="G301" s="142">
        <f>C301+D301</f>
        <v/>
      </c>
      <c r="H301" s="111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68">
      <c r="A302" s="19" t="n">
        <v>44</v>
      </c>
      <c r="B302" s="146" t="n">
        <v>46322</v>
      </c>
      <c r="C302" s="141">
        <f>G301</f>
        <v/>
      </c>
      <c r="D302" s="142">
        <f>E302-F302</f>
        <v/>
      </c>
      <c r="E302" s="141">
        <f>SUMPRODUCT((Income!D$3:D$502="INR")*(Income!A$3:A$502=B302)*(Income!A$3:A$502&lt;&gt;"")*Income!C$3:C$502)</f>
        <v/>
      </c>
      <c r="F302" s="141">
        <f>SUMPRODUCT((Expenses!E$3:E$999="INR")*(Expenses!A$3:A$999=B302)*(Expenses!A$3:A$999&lt;&gt;"")*Expenses!D$3:D$999)</f>
        <v/>
      </c>
      <c r="G302" s="142">
        <f>C302+D302</f>
        <v/>
      </c>
      <c r="H302" s="111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68">
      <c r="A303" s="19" t="n">
        <v>44</v>
      </c>
      <c r="B303" s="146" t="n">
        <v>46323</v>
      </c>
      <c r="C303" s="141">
        <f>G302</f>
        <v/>
      </c>
      <c r="D303" s="142">
        <f>E303-F303</f>
        <v/>
      </c>
      <c r="E303" s="141">
        <f>SUMPRODUCT((Income!D$3:D$502="INR")*(Income!A$3:A$502=B303)*(Income!A$3:A$502&lt;&gt;"")*Income!C$3:C$502)</f>
        <v/>
      </c>
      <c r="F303" s="141">
        <f>SUMPRODUCT((Expenses!E$3:E$999="INR")*(Expenses!A$3:A$999=B303)*(Expenses!A$3:A$999&lt;&gt;"")*Expenses!D$3:D$999)</f>
        <v/>
      </c>
      <c r="G303" s="142">
        <f>C303+D303</f>
        <v/>
      </c>
      <c r="H303" s="111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68">
      <c r="A304" s="19" t="n">
        <v>44</v>
      </c>
      <c r="B304" s="146" t="n">
        <v>46324</v>
      </c>
      <c r="C304" s="141">
        <f>G303</f>
        <v/>
      </c>
      <c r="D304" s="142">
        <f>E304-F304</f>
        <v/>
      </c>
      <c r="E304" s="141">
        <f>SUMPRODUCT((Income!D$3:D$502="INR")*(Income!A$3:A$502=B304)*(Income!A$3:A$502&lt;&gt;"")*Income!C$3:C$502)</f>
        <v/>
      </c>
      <c r="F304" s="141">
        <f>SUMPRODUCT((Expenses!E$3:E$999="INR")*(Expenses!A$3:A$999=B304)*(Expenses!A$3:A$999&lt;&gt;"")*Expenses!D$3:D$999)</f>
        <v/>
      </c>
      <c r="G304" s="142">
        <f>C304+D304</f>
        <v/>
      </c>
      <c r="H304" s="111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68">
      <c r="A305" s="19" t="n">
        <v>44</v>
      </c>
      <c r="B305" s="146" t="n">
        <v>46325</v>
      </c>
      <c r="C305" s="141">
        <f>G304</f>
        <v/>
      </c>
      <c r="D305" s="142">
        <f>E305-F305</f>
        <v/>
      </c>
      <c r="E305" s="141">
        <f>SUMPRODUCT((Income!D$3:D$502="INR")*(Income!A$3:A$502=B305)*(Income!A$3:A$502&lt;&gt;"")*Income!C$3:C$502)</f>
        <v/>
      </c>
      <c r="F305" s="141">
        <f>SUMPRODUCT((Expenses!E$3:E$999="INR")*(Expenses!A$3:A$999=B305)*(Expenses!A$3:A$999&lt;&gt;"")*Expenses!D$3:D$999)</f>
        <v/>
      </c>
      <c r="G305" s="142">
        <f>C305+D305</f>
        <v/>
      </c>
      <c r="H305" s="111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68">
      <c r="A306" s="19" t="n">
        <v>44</v>
      </c>
      <c r="B306" s="146" t="n">
        <v>46326</v>
      </c>
      <c r="C306" s="141">
        <f>G305</f>
        <v/>
      </c>
      <c r="D306" s="142">
        <f>E306-F306</f>
        <v/>
      </c>
      <c r="E306" s="141">
        <f>SUMPRODUCT((Income!D$3:D$502="INR")*(Income!A$3:A$502=B306)*(Income!A$3:A$502&lt;&gt;"")*Income!C$3:C$502)</f>
        <v/>
      </c>
      <c r="F306" s="141">
        <f>SUMPRODUCT((Expenses!E$3:E$999="INR")*(Expenses!A$3:A$999=B306)*(Expenses!A$3:A$999&lt;&gt;"")*Expenses!D$3:D$999)</f>
        <v/>
      </c>
      <c r="G306" s="142">
        <f>C306+D306</f>
        <v/>
      </c>
      <c r="H306" s="111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68">
      <c r="A307" s="19" t="n">
        <v>44</v>
      </c>
      <c r="B307" s="146" t="n">
        <v>46327</v>
      </c>
      <c r="C307" s="141">
        <f>G306</f>
        <v/>
      </c>
      <c r="D307" s="142">
        <f>E307-F307</f>
        <v/>
      </c>
      <c r="E307" s="141">
        <f>SUMPRODUCT((Income!D$3:D$502="INR")*(Income!A$3:A$502=B307)*(Income!A$3:A$502&lt;&gt;"")*Income!C$3:C$502)</f>
        <v/>
      </c>
      <c r="F307" s="141">
        <f>SUMPRODUCT((Expenses!E$3:E$999="INR")*(Expenses!A$3:A$999=B307)*(Expenses!A$3:A$999&lt;&gt;"")*Expenses!D$3:D$999)</f>
        <v/>
      </c>
      <c r="G307" s="142">
        <f>C307+D307</f>
        <v/>
      </c>
      <c r="H307" s="111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68">
      <c r="A308" s="19" t="n">
        <v>45</v>
      </c>
      <c r="B308" s="146" t="n">
        <v>46328</v>
      </c>
      <c r="C308" s="141">
        <f>G307</f>
        <v/>
      </c>
      <c r="D308" s="142">
        <f>E308-F308</f>
        <v/>
      </c>
      <c r="E308" s="141">
        <f>SUMPRODUCT((Income!D$3:D$502="INR")*(Income!A$3:A$502=B308)*(Income!A$3:A$502&lt;&gt;"")*Income!C$3:C$502)</f>
        <v/>
      </c>
      <c r="F308" s="141">
        <f>SUMPRODUCT((Expenses!E$3:E$999="INR")*(Expenses!A$3:A$999=B308)*(Expenses!A$3:A$999&lt;&gt;"")*Expenses!D$3:D$999)</f>
        <v/>
      </c>
      <c r="G308" s="142">
        <f>C308+D308</f>
        <v/>
      </c>
      <c r="H308" s="111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68">
      <c r="A309" s="19" t="n">
        <v>45</v>
      </c>
      <c r="B309" s="146" t="n">
        <v>46329</v>
      </c>
      <c r="C309" s="141">
        <f>G308</f>
        <v/>
      </c>
      <c r="D309" s="142">
        <f>E309-F309</f>
        <v/>
      </c>
      <c r="E309" s="141">
        <f>SUMPRODUCT((Income!D$3:D$502="INR")*(Income!A$3:A$502=B309)*(Income!A$3:A$502&lt;&gt;"")*Income!C$3:C$502)</f>
        <v/>
      </c>
      <c r="F309" s="141">
        <f>SUMPRODUCT((Expenses!E$3:E$999="INR")*(Expenses!A$3:A$999=B309)*(Expenses!A$3:A$999&lt;&gt;"")*Expenses!D$3:D$999)</f>
        <v/>
      </c>
      <c r="G309" s="142">
        <f>C309+D309</f>
        <v/>
      </c>
      <c r="H309" s="111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68">
      <c r="A310" s="19" t="n">
        <v>45</v>
      </c>
      <c r="B310" s="146" t="n">
        <v>46330</v>
      </c>
      <c r="C310" s="141">
        <f>G309</f>
        <v/>
      </c>
      <c r="D310" s="142">
        <f>E310-F310</f>
        <v/>
      </c>
      <c r="E310" s="141">
        <f>SUMPRODUCT((Income!D$3:D$502="INR")*(Income!A$3:A$502=B310)*(Income!A$3:A$502&lt;&gt;"")*Income!C$3:C$502)</f>
        <v/>
      </c>
      <c r="F310" s="141">
        <f>SUMPRODUCT((Expenses!E$3:E$999="INR")*(Expenses!A$3:A$999=B310)*(Expenses!A$3:A$999&lt;&gt;"")*Expenses!D$3:D$999)</f>
        <v/>
      </c>
      <c r="G310" s="142">
        <f>C310+D310</f>
        <v/>
      </c>
      <c r="H310" s="111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68">
      <c r="A311" s="19" t="n">
        <v>45</v>
      </c>
      <c r="B311" s="146" t="n">
        <v>46331</v>
      </c>
      <c r="C311" s="141">
        <f>G310</f>
        <v/>
      </c>
      <c r="D311" s="142">
        <f>E311-F311</f>
        <v/>
      </c>
      <c r="E311" s="141">
        <f>SUMPRODUCT((Income!D$3:D$502="INR")*(Income!A$3:A$502=B311)*(Income!A$3:A$502&lt;&gt;"")*Income!C$3:C$502)</f>
        <v/>
      </c>
      <c r="F311" s="141">
        <f>SUMPRODUCT((Expenses!E$3:E$999="INR")*(Expenses!A$3:A$999=B311)*(Expenses!A$3:A$999&lt;&gt;"")*Expenses!D$3:D$999)</f>
        <v/>
      </c>
      <c r="G311" s="142">
        <f>C311+D311</f>
        <v/>
      </c>
      <c r="H311" s="111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68">
      <c r="A312" s="19" t="n">
        <v>45</v>
      </c>
      <c r="B312" s="146" t="n">
        <v>46332</v>
      </c>
      <c r="C312" s="141">
        <f>G311</f>
        <v/>
      </c>
      <c r="D312" s="142">
        <f>E312-F312</f>
        <v/>
      </c>
      <c r="E312" s="141">
        <f>SUMPRODUCT((Income!D$3:D$502="INR")*(Income!A$3:A$502=B312)*(Income!A$3:A$502&lt;&gt;"")*Income!C$3:C$502)</f>
        <v/>
      </c>
      <c r="F312" s="141">
        <f>SUMPRODUCT((Expenses!E$3:E$999="INR")*(Expenses!A$3:A$999=B312)*(Expenses!A$3:A$999&lt;&gt;"")*Expenses!D$3:D$999)</f>
        <v/>
      </c>
      <c r="G312" s="142">
        <f>C312+D312</f>
        <v/>
      </c>
      <c r="H312" s="111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68">
      <c r="A313" s="19" t="n">
        <v>45</v>
      </c>
      <c r="B313" s="146" t="n">
        <v>46333</v>
      </c>
      <c r="C313" s="141">
        <f>G312</f>
        <v/>
      </c>
      <c r="D313" s="142">
        <f>E313-F313</f>
        <v/>
      </c>
      <c r="E313" s="141">
        <f>SUMPRODUCT((Income!D$3:D$502="INR")*(Income!A$3:A$502=B313)*(Income!A$3:A$502&lt;&gt;"")*Income!C$3:C$502)</f>
        <v/>
      </c>
      <c r="F313" s="141">
        <f>SUMPRODUCT((Expenses!E$3:E$999="INR")*(Expenses!A$3:A$999=B313)*(Expenses!A$3:A$999&lt;&gt;"")*Expenses!D$3:D$999)</f>
        <v/>
      </c>
      <c r="G313" s="142">
        <f>C313+D313</f>
        <v/>
      </c>
      <c r="H313" s="111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68">
      <c r="A314" s="19" t="n">
        <v>45</v>
      </c>
      <c r="B314" s="146" t="n">
        <v>46334</v>
      </c>
      <c r="C314" s="141">
        <f>G313</f>
        <v/>
      </c>
      <c r="D314" s="142">
        <f>E314-F314</f>
        <v/>
      </c>
      <c r="E314" s="141">
        <f>SUMPRODUCT((Income!D$3:D$502="INR")*(Income!A$3:A$502=B314)*(Income!A$3:A$502&lt;&gt;"")*Income!C$3:C$502)</f>
        <v/>
      </c>
      <c r="F314" s="141">
        <f>SUMPRODUCT((Expenses!E$3:E$999="INR")*(Expenses!A$3:A$999=B314)*(Expenses!A$3:A$999&lt;&gt;"")*Expenses!D$3:D$999)</f>
        <v/>
      </c>
      <c r="G314" s="142">
        <f>C314+D314</f>
        <v/>
      </c>
      <c r="H314" s="111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68">
      <c r="A315" s="19" t="n">
        <v>46</v>
      </c>
      <c r="B315" s="146" t="n">
        <v>46335</v>
      </c>
      <c r="C315" s="141">
        <f>G314</f>
        <v/>
      </c>
      <c r="D315" s="142">
        <f>E315-F315</f>
        <v/>
      </c>
      <c r="E315" s="141">
        <f>SUMPRODUCT((Income!D$3:D$502="INR")*(Income!A$3:A$502=B315)*(Income!A$3:A$502&lt;&gt;"")*Income!C$3:C$502)</f>
        <v/>
      </c>
      <c r="F315" s="141">
        <f>SUMPRODUCT((Expenses!E$3:E$999="INR")*(Expenses!A$3:A$999=B315)*(Expenses!A$3:A$999&lt;&gt;"")*Expenses!D$3:D$999)</f>
        <v/>
      </c>
      <c r="G315" s="142">
        <f>C315+D315</f>
        <v/>
      </c>
      <c r="H315" s="111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68">
      <c r="A316" s="19" t="n">
        <v>46</v>
      </c>
      <c r="B316" s="146" t="n">
        <v>46336</v>
      </c>
      <c r="C316" s="141">
        <f>G315</f>
        <v/>
      </c>
      <c r="D316" s="142">
        <f>E316-F316</f>
        <v/>
      </c>
      <c r="E316" s="141">
        <f>SUMPRODUCT((Income!D$3:D$502="INR")*(Income!A$3:A$502=B316)*(Income!A$3:A$502&lt;&gt;"")*Income!C$3:C$502)</f>
        <v/>
      </c>
      <c r="F316" s="141">
        <f>SUMPRODUCT((Expenses!E$3:E$999="INR")*(Expenses!A$3:A$999=B316)*(Expenses!A$3:A$999&lt;&gt;"")*Expenses!D$3:D$999)</f>
        <v/>
      </c>
      <c r="G316" s="142">
        <f>C316+D316</f>
        <v/>
      </c>
      <c r="H316" s="111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68">
      <c r="A317" s="19" t="n">
        <v>46</v>
      </c>
      <c r="B317" s="146" t="n">
        <v>46337</v>
      </c>
      <c r="C317" s="141">
        <f>G316</f>
        <v/>
      </c>
      <c r="D317" s="142">
        <f>E317-F317</f>
        <v/>
      </c>
      <c r="E317" s="141">
        <f>SUMPRODUCT((Income!D$3:D$502="INR")*(Income!A$3:A$502=B317)*(Income!A$3:A$502&lt;&gt;"")*Income!C$3:C$502)</f>
        <v/>
      </c>
      <c r="F317" s="141">
        <f>SUMPRODUCT((Expenses!E$3:E$999="INR")*(Expenses!A$3:A$999=B317)*(Expenses!A$3:A$999&lt;&gt;"")*Expenses!D$3:D$999)</f>
        <v/>
      </c>
      <c r="G317" s="142">
        <f>C317+D317</f>
        <v/>
      </c>
      <c r="H317" s="111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68">
      <c r="A318" s="19" t="n">
        <v>46</v>
      </c>
      <c r="B318" s="146" t="n">
        <v>46338</v>
      </c>
      <c r="C318" s="141">
        <f>G317</f>
        <v/>
      </c>
      <c r="D318" s="142">
        <f>E318-F318</f>
        <v/>
      </c>
      <c r="E318" s="141">
        <f>SUMPRODUCT((Income!D$3:D$502="INR")*(Income!A$3:A$502=B318)*(Income!A$3:A$502&lt;&gt;"")*Income!C$3:C$502)</f>
        <v/>
      </c>
      <c r="F318" s="141">
        <f>SUMPRODUCT((Expenses!E$3:E$999="INR")*(Expenses!A$3:A$999=B318)*(Expenses!A$3:A$999&lt;&gt;"")*Expenses!D$3:D$999)</f>
        <v/>
      </c>
      <c r="G318" s="142">
        <f>C318+D318</f>
        <v/>
      </c>
      <c r="H318" s="111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68">
      <c r="A319" s="19" t="n">
        <v>46</v>
      </c>
      <c r="B319" s="146" t="n">
        <v>46339</v>
      </c>
      <c r="C319" s="141">
        <f>G318</f>
        <v/>
      </c>
      <c r="D319" s="142">
        <f>E319-F319</f>
        <v/>
      </c>
      <c r="E319" s="141">
        <f>SUMPRODUCT((Income!D$3:D$502="INR")*(Income!A$3:A$502=B319)*(Income!A$3:A$502&lt;&gt;"")*Income!C$3:C$502)</f>
        <v/>
      </c>
      <c r="F319" s="141">
        <f>SUMPRODUCT((Expenses!E$3:E$999="INR")*(Expenses!A$3:A$999=B319)*(Expenses!A$3:A$999&lt;&gt;"")*Expenses!D$3:D$999)</f>
        <v/>
      </c>
      <c r="G319" s="142">
        <f>C319+D319</f>
        <v/>
      </c>
      <c r="H319" s="111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68">
      <c r="A320" s="19" t="n">
        <v>46</v>
      </c>
      <c r="B320" s="146" t="n">
        <v>46340</v>
      </c>
      <c r="C320" s="141">
        <f>G319</f>
        <v/>
      </c>
      <c r="D320" s="142">
        <f>E320-F320</f>
        <v/>
      </c>
      <c r="E320" s="141">
        <f>SUMPRODUCT((Income!D$3:D$502="INR")*(Income!A$3:A$502=B320)*(Income!A$3:A$502&lt;&gt;"")*Income!C$3:C$502)</f>
        <v/>
      </c>
      <c r="F320" s="141">
        <f>SUMPRODUCT((Expenses!E$3:E$999="INR")*(Expenses!A$3:A$999=B320)*(Expenses!A$3:A$999&lt;&gt;"")*Expenses!D$3:D$999)</f>
        <v/>
      </c>
      <c r="G320" s="142">
        <f>C320+D320</f>
        <v/>
      </c>
      <c r="H320" s="111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68">
      <c r="A321" s="19" t="n">
        <v>46</v>
      </c>
      <c r="B321" s="146" t="n">
        <v>46341</v>
      </c>
      <c r="C321" s="141">
        <f>G320</f>
        <v/>
      </c>
      <c r="D321" s="142">
        <f>E321-F321</f>
        <v/>
      </c>
      <c r="E321" s="141">
        <f>SUMPRODUCT((Income!D$3:D$502="INR")*(Income!A$3:A$502=B321)*(Income!A$3:A$502&lt;&gt;"")*Income!C$3:C$502)</f>
        <v/>
      </c>
      <c r="F321" s="141">
        <f>SUMPRODUCT((Expenses!E$3:E$999="INR")*(Expenses!A$3:A$999=B321)*(Expenses!A$3:A$999&lt;&gt;"")*Expenses!D$3:D$999)</f>
        <v/>
      </c>
      <c r="G321" s="142">
        <f>C321+D321</f>
        <v/>
      </c>
      <c r="H321" s="111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68">
      <c r="A322" s="19" t="n">
        <v>47</v>
      </c>
      <c r="B322" s="146" t="n">
        <v>46342</v>
      </c>
      <c r="C322" s="141">
        <f>G321</f>
        <v/>
      </c>
      <c r="D322" s="142">
        <f>E322-F322</f>
        <v/>
      </c>
      <c r="E322" s="141">
        <f>SUMPRODUCT((Income!D$3:D$502="INR")*(Income!A$3:A$502=B322)*(Income!A$3:A$502&lt;&gt;"")*Income!C$3:C$502)</f>
        <v/>
      </c>
      <c r="F322" s="141">
        <f>SUMPRODUCT((Expenses!E$3:E$999="INR")*(Expenses!A$3:A$999=B322)*(Expenses!A$3:A$999&lt;&gt;"")*Expenses!D$3:D$999)</f>
        <v/>
      </c>
      <c r="G322" s="142">
        <f>C322+D322</f>
        <v/>
      </c>
      <c r="H322" s="111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68">
      <c r="A323" s="19" t="n">
        <v>47</v>
      </c>
      <c r="B323" s="146" t="n">
        <v>46343</v>
      </c>
      <c r="C323" s="141">
        <f>G322</f>
        <v/>
      </c>
      <c r="D323" s="142">
        <f>E323-F323</f>
        <v/>
      </c>
      <c r="E323" s="141">
        <f>SUMPRODUCT((Income!D$3:D$502="INR")*(Income!A$3:A$502=B323)*(Income!A$3:A$502&lt;&gt;"")*Income!C$3:C$502)</f>
        <v/>
      </c>
      <c r="F323" s="141">
        <f>SUMPRODUCT((Expenses!E$3:E$999="INR")*(Expenses!A$3:A$999=B323)*(Expenses!A$3:A$999&lt;&gt;"")*Expenses!D$3:D$999)</f>
        <v/>
      </c>
      <c r="G323" s="142">
        <f>C323+D323</f>
        <v/>
      </c>
      <c r="H323" s="111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68">
      <c r="A324" s="19" t="n">
        <v>47</v>
      </c>
      <c r="B324" s="146" t="n">
        <v>46344</v>
      </c>
      <c r="C324" s="141">
        <f>G323</f>
        <v/>
      </c>
      <c r="D324" s="142">
        <f>E324-F324</f>
        <v/>
      </c>
      <c r="E324" s="141">
        <f>SUMPRODUCT((Income!D$3:D$502="INR")*(Income!A$3:A$502=B324)*(Income!A$3:A$502&lt;&gt;"")*Income!C$3:C$502)</f>
        <v/>
      </c>
      <c r="F324" s="141">
        <f>SUMPRODUCT((Expenses!E$3:E$999="INR")*(Expenses!A$3:A$999=B324)*(Expenses!A$3:A$999&lt;&gt;"")*Expenses!D$3:D$999)</f>
        <v/>
      </c>
      <c r="G324" s="142">
        <f>C324+D324</f>
        <v/>
      </c>
      <c r="H324" s="111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68">
      <c r="A325" s="19" t="n">
        <v>47</v>
      </c>
      <c r="B325" s="146" t="n">
        <v>46345</v>
      </c>
      <c r="C325" s="141">
        <f>G324</f>
        <v/>
      </c>
      <c r="D325" s="142">
        <f>E325-F325</f>
        <v/>
      </c>
      <c r="E325" s="141">
        <f>SUMPRODUCT((Income!D$3:D$502="INR")*(Income!A$3:A$502=B325)*(Income!A$3:A$502&lt;&gt;"")*Income!C$3:C$502)</f>
        <v/>
      </c>
      <c r="F325" s="141">
        <f>SUMPRODUCT((Expenses!E$3:E$999="INR")*(Expenses!A$3:A$999=B325)*(Expenses!A$3:A$999&lt;&gt;"")*Expenses!D$3:D$999)</f>
        <v/>
      </c>
      <c r="G325" s="142">
        <f>C325+D325</f>
        <v/>
      </c>
      <c r="H325" s="111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68">
      <c r="A326" s="19" t="n">
        <v>47</v>
      </c>
      <c r="B326" s="146" t="n">
        <v>46346</v>
      </c>
      <c r="C326" s="141">
        <f>G325</f>
        <v/>
      </c>
      <c r="D326" s="142">
        <f>E326-F326</f>
        <v/>
      </c>
      <c r="E326" s="141">
        <f>SUMPRODUCT((Income!D$3:D$502="INR")*(Income!A$3:A$502=B326)*(Income!A$3:A$502&lt;&gt;"")*Income!C$3:C$502)</f>
        <v/>
      </c>
      <c r="F326" s="141">
        <f>SUMPRODUCT((Expenses!E$3:E$999="INR")*(Expenses!A$3:A$999=B326)*(Expenses!A$3:A$999&lt;&gt;"")*Expenses!D$3:D$999)</f>
        <v/>
      </c>
      <c r="G326" s="142">
        <f>C326+D326</f>
        <v/>
      </c>
      <c r="H326" s="111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68">
      <c r="A327" s="19" t="n">
        <v>47</v>
      </c>
      <c r="B327" s="146" t="n">
        <v>46347</v>
      </c>
      <c r="C327" s="141">
        <f>G326</f>
        <v/>
      </c>
      <c r="D327" s="142">
        <f>E327-F327</f>
        <v/>
      </c>
      <c r="E327" s="141">
        <f>SUMPRODUCT((Income!D$3:D$502="INR")*(Income!A$3:A$502=B327)*(Income!A$3:A$502&lt;&gt;"")*Income!C$3:C$502)</f>
        <v/>
      </c>
      <c r="F327" s="141">
        <f>SUMPRODUCT((Expenses!E$3:E$999="INR")*(Expenses!A$3:A$999=B327)*(Expenses!A$3:A$999&lt;&gt;"")*Expenses!D$3:D$999)</f>
        <v/>
      </c>
      <c r="G327" s="142">
        <f>C327+D327</f>
        <v/>
      </c>
      <c r="H327" s="111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68">
      <c r="A328" s="19" t="n">
        <v>47</v>
      </c>
      <c r="B328" s="146" t="n">
        <v>46348</v>
      </c>
      <c r="C328" s="141">
        <f>G327</f>
        <v/>
      </c>
      <c r="D328" s="142">
        <f>E328-F328</f>
        <v/>
      </c>
      <c r="E328" s="141">
        <f>SUMPRODUCT((Income!D$3:D$502="INR")*(Income!A$3:A$502=B328)*(Income!A$3:A$502&lt;&gt;"")*Income!C$3:C$502)</f>
        <v/>
      </c>
      <c r="F328" s="141">
        <f>SUMPRODUCT((Expenses!E$3:E$999="INR")*(Expenses!A$3:A$999=B328)*(Expenses!A$3:A$999&lt;&gt;"")*Expenses!D$3:D$999)</f>
        <v/>
      </c>
      <c r="G328" s="142">
        <f>C328+D328</f>
        <v/>
      </c>
      <c r="H328" s="111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68">
      <c r="A329" s="19" t="n">
        <v>48</v>
      </c>
      <c r="B329" s="146" t="n">
        <v>46349</v>
      </c>
      <c r="C329" s="141">
        <f>G328</f>
        <v/>
      </c>
      <c r="D329" s="142">
        <f>E329-F329</f>
        <v/>
      </c>
      <c r="E329" s="141">
        <f>SUMPRODUCT((Income!D$3:D$502="INR")*(Income!A$3:A$502=B329)*(Income!A$3:A$502&lt;&gt;"")*Income!C$3:C$502)</f>
        <v/>
      </c>
      <c r="F329" s="141">
        <f>SUMPRODUCT((Expenses!E$3:E$999="INR")*(Expenses!A$3:A$999=B329)*(Expenses!A$3:A$999&lt;&gt;"")*Expenses!D$3:D$999)</f>
        <v/>
      </c>
      <c r="G329" s="142">
        <f>C329+D329</f>
        <v/>
      </c>
      <c r="H329" s="111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68">
      <c r="A330" s="19" t="n">
        <v>48</v>
      </c>
      <c r="B330" s="146" t="n">
        <v>46350</v>
      </c>
      <c r="C330" s="141">
        <f>G329</f>
        <v/>
      </c>
      <c r="D330" s="142">
        <f>E330-F330</f>
        <v/>
      </c>
      <c r="E330" s="141">
        <f>SUMPRODUCT((Income!D$3:D$502="INR")*(Income!A$3:A$502=B330)*(Income!A$3:A$502&lt;&gt;"")*Income!C$3:C$502)</f>
        <v/>
      </c>
      <c r="F330" s="141">
        <f>SUMPRODUCT((Expenses!E$3:E$999="INR")*(Expenses!A$3:A$999=B330)*(Expenses!A$3:A$999&lt;&gt;"")*Expenses!D$3:D$999)</f>
        <v/>
      </c>
      <c r="G330" s="142">
        <f>C330+D330</f>
        <v/>
      </c>
      <c r="H330" s="111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68">
      <c r="A331" s="19" t="n">
        <v>48</v>
      </c>
      <c r="B331" s="146" t="n">
        <v>46351</v>
      </c>
      <c r="C331" s="141">
        <f>G330</f>
        <v/>
      </c>
      <c r="D331" s="142">
        <f>E331-F331</f>
        <v/>
      </c>
      <c r="E331" s="141">
        <f>SUMPRODUCT((Income!D$3:D$502="INR")*(Income!A$3:A$502=B331)*(Income!A$3:A$502&lt;&gt;"")*Income!C$3:C$502)</f>
        <v/>
      </c>
      <c r="F331" s="141">
        <f>SUMPRODUCT((Expenses!E$3:E$999="INR")*(Expenses!A$3:A$999=B331)*(Expenses!A$3:A$999&lt;&gt;"")*Expenses!D$3:D$999)</f>
        <v/>
      </c>
      <c r="G331" s="142">
        <f>C331+D331</f>
        <v/>
      </c>
      <c r="H331" s="111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68">
      <c r="A332" s="19" t="n">
        <v>48</v>
      </c>
      <c r="B332" s="146" t="n">
        <v>46352</v>
      </c>
      <c r="C332" s="141">
        <f>G331</f>
        <v/>
      </c>
      <c r="D332" s="142">
        <f>E332-F332</f>
        <v/>
      </c>
      <c r="E332" s="141">
        <f>SUMPRODUCT((Income!D$3:D$502="INR")*(Income!A$3:A$502=B332)*(Income!A$3:A$502&lt;&gt;"")*Income!C$3:C$502)</f>
        <v/>
      </c>
      <c r="F332" s="141">
        <f>SUMPRODUCT((Expenses!E$3:E$999="INR")*(Expenses!A$3:A$999=B332)*(Expenses!A$3:A$999&lt;&gt;"")*Expenses!D$3:D$999)</f>
        <v/>
      </c>
      <c r="G332" s="142">
        <f>C332+D332</f>
        <v/>
      </c>
      <c r="H332" s="111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68">
      <c r="A333" s="19" t="n">
        <v>48</v>
      </c>
      <c r="B333" s="146" t="n">
        <v>46353</v>
      </c>
      <c r="C333" s="141">
        <f>G332</f>
        <v/>
      </c>
      <c r="D333" s="142">
        <f>E333-F333</f>
        <v/>
      </c>
      <c r="E333" s="141">
        <f>SUMPRODUCT((Income!D$3:D$502="INR")*(Income!A$3:A$502=B333)*(Income!A$3:A$502&lt;&gt;"")*Income!C$3:C$502)</f>
        <v/>
      </c>
      <c r="F333" s="141">
        <f>SUMPRODUCT((Expenses!E$3:E$999="INR")*(Expenses!A$3:A$999=B333)*(Expenses!A$3:A$999&lt;&gt;"")*Expenses!D$3:D$999)</f>
        <v/>
      </c>
      <c r="G333" s="142">
        <f>C333+D333</f>
        <v/>
      </c>
      <c r="H333" s="111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68">
      <c r="A334" s="19" t="n">
        <v>48</v>
      </c>
      <c r="B334" s="146" t="n">
        <v>46354</v>
      </c>
      <c r="C334" s="141">
        <f>G333</f>
        <v/>
      </c>
      <c r="D334" s="142">
        <f>E334-F334</f>
        <v/>
      </c>
      <c r="E334" s="141">
        <f>SUMPRODUCT((Income!D$3:D$502="INR")*(Income!A$3:A$502=B334)*(Income!A$3:A$502&lt;&gt;"")*Income!C$3:C$502)</f>
        <v/>
      </c>
      <c r="F334" s="141">
        <f>SUMPRODUCT((Expenses!E$3:E$999="INR")*(Expenses!A$3:A$999=B334)*(Expenses!A$3:A$999&lt;&gt;"")*Expenses!D$3:D$999)</f>
        <v/>
      </c>
      <c r="G334" s="142">
        <f>C334+D334</f>
        <v/>
      </c>
      <c r="H334" s="111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68">
      <c r="A335" s="19" t="n">
        <v>48</v>
      </c>
      <c r="B335" s="146" t="n">
        <v>46355</v>
      </c>
      <c r="C335" s="141">
        <f>G334</f>
        <v/>
      </c>
      <c r="D335" s="142">
        <f>E335-F335</f>
        <v/>
      </c>
      <c r="E335" s="141">
        <f>SUMPRODUCT((Income!D$3:D$502="INR")*(Income!A$3:A$502=B335)*(Income!A$3:A$502&lt;&gt;"")*Income!C$3:C$502)</f>
        <v/>
      </c>
      <c r="F335" s="141">
        <f>SUMPRODUCT((Expenses!E$3:E$999="INR")*(Expenses!A$3:A$999=B335)*(Expenses!A$3:A$999&lt;&gt;"")*Expenses!D$3:D$999)</f>
        <v/>
      </c>
      <c r="G335" s="142">
        <f>C335+D335</f>
        <v/>
      </c>
      <c r="H335" s="111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68">
      <c r="A336" s="19" t="n">
        <v>49</v>
      </c>
      <c r="B336" s="146" t="n">
        <v>46356</v>
      </c>
      <c r="C336" s="141">
        <f>G335</f>
        <v/>
      </c>
      <c r="D336" s="142">
        <f>E336-F336</f>
        <v/>
      </c>
      <c r="E336" s="141">
        <f>SUMPRODUCT((Income!D$3:D$502="INR")*(Income!A$3:A$502=B336)*(Income!A$3:A$502&lt;&gt;"")*Income!C$3:C$502)</f>
        <v/>
      </c>
      <c r="F336" s="141">
        <f>SUMPRODUCT((Expenses!E$3:E$999="INR")*(Expenses!A$3:A$999=B336)*(Expenses!A$3:A$999&lt;&gt;"")*Expenses!D$3:D$999)</f>
        <v/>
      </c>
      <c r="G336" s="142">
        <f>C336+D336</f>
        <v/>
      </c>
      <c r="H336" s="111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68">
      <c r="A337" s="19" t="n">
        <v>49</v>
      </c>
      <c r="B337" s="146" t="n">
        <v>46357</v>
      </c>
      <c r="C337" s="141">
        <f>G336</f>
        <v/>
      </c>
      <c r="D337" s="142">
        <f>E337-F337</f>
        <v/>
      </c>
      <c r="E337" s="141">
        <f>SUMPRODUCT((Income!D$3:D$502="INR")*(Income!A$3:A$502=B337)*(Income!A$3:A$502&lt;&gt;"")*Income!C$3:C$502)</f>
        <v/>
      </c>
      <c r="F337" s="141">
        <f>SUMPRODUCT((Expenses!E$3:E$999="INR")*(Expenses!A$3:A$999=B337)*(Expenses!A$3:A$999&lt;&gt;"")*Expenses!D$3:D$999)</f>
        <v/>
      </c>
      <c r="G337" s="142">
        <f>C337+D337</f>
        <v/>
      </c>
      <c r="H337" s="111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68">
      <c r="A338" s="19" t="n">
        <v>49</v>
      </c>
      <c r="B338" s="146" t="n">
        <v>46358</v>
      </c>
      <c r="C338" s="141">
        <f>G337</f>
        <v/>
      </c>
      <c r="D338" s="142">
        <f>E338-F338</f>
        <v/>
      </c>
      <c r="E338" s="141">
        <f>SUMPRODUCT((Income!D$3:D$502="INR")*(Income!A$3:A$502=B338)*(Income!A$3:A$502&lt;&gt;"")*Income!C$3:C$502)</f>
        <v/>
      </c>
      <c r="F338" s="141">
        <f>SUMPRODUCT((Expenses!E$3:E$999="INR")*(Expenses!A$3:A$999=B338)*(Expenses!A$3:A$999&lt;&gt;"")*Expenses!D$3:D$999)</f>
        <v/>
      </c>
      <c r="G338" s="142">
        <f>C338+D338</f>
        <v/>
      </c>
      <c r="H338" s="111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68">
      <c r="A339" s="19" t="n">
        <v>49</v>
      </c>
      <c r="B339" s="146" t="n">
        <v>46359</v>
      </c>
      <c r="C339" s="141">
        <f>G338</f>
        <v/>
      </c>
      <c r="D339" s="142">
        <f>E339-F339</f>
        <v/>
      </c>
      <c r="E339" s="141">
        <f>SUMPRODUCT((Income!D$3:D$502="INR")*(Income!A$3:A$502=B339)*(Income!A$3:A$502&lt;&gt;"")*Income!C$3:C$502)</f>
        <v/>
      </c>
      <c r="F339" s="141">
        <f>SUMPRODUCT((Expenses!E$3:E$999="INR")*(Expenses!A$3:A$999=B339)*(Expenses!A$3:A$999&lt;&gt;"")*Expenses!D$3:D$999)</f>
        <v/>
      </c>
      <c r="G339" s="142">
        <f>C339+D339</f>
        <v/>
      </c>
      <c r="H339" s="111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68">
      <c r="A340" s="19" t="n">
        <v>49</v>
      </c>
      <c r="B340" s="146" t="n">
        <v>46360</v>
      </c>
      <c r="C340" s="141">
        <f>G339</f>
        <v/>
      </c>
      <c r="D340" s="142">
        <f>E340-F340</f>
        <v/>
      </c>
      <c r="E340" s="141">
        <f>SUMPRODUCT((Income!D$3:D$502="INR")*(Income!A$3:A$502=B340)*(Income!A$3:A$502&lt;&gt;"")*Income!C$3:C$502)</f>
        <v/>
      </c>
      <c r="F340" s="141">
        <f>SUMPRODUCT((Expenses!E$3:E$999="INR")*(Expenses!A$3:A$999=B340)*(Expenses!A$3:A$999&lt;&gt;"")*Expenses!D$3:D$999)</f>
        <v/>
      </c>
      <c r="G340" s="142">
        <f>C340+D340</f>
        <v/>
      </c>
      <c r="H340" s="111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68">
      <c r="A341" s="19" t="n">
        <v>49</v>
      </c>
      <c r="B341" s="146" t="n">
        <v>46361</v>
      </c>
      <c r="C341" s="141">
        <f>G340</f>
        <v/>
      </c>
      <c r="D341" s="142">
        <f>E341-F341</f>
        <v/>
      </c>
      <c r="E341" s="141">
        <f>SUMPRODUCT((Income!D$3:D$502="INR")*(Income!A$3:A$502=B341)*(Income!A$3:A$502&lt;&gt;"")*Income!C$3:C$502)</f>
        <v/>
      </c>
      <c r="F341" s="141">
        <f>SUMPRODUCT((Expenses!E$3:E$999="INR")*(Expenses!A$3:A$999=B341)*(Expenses!A$3:A$999&lt;&gt;"")*Expenses!D$3:D$999)</f>
        <v/>
      </c>
      <c r="G341" s="142">
        <f>C341+D341</f>
        <v/>
      </c>
      <c r="H341" s="111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68">
      <c r="A342" s="19" t="n">
        <v>49</v>
      </c>
      <c r="B342" s="146" t="n">
        <v>46362</v>
      </c>
      <c r="C342" s="141">
        <f>G341</f>
        <v/>
      </c>
      <c r="D342" s="142">
        <f>E342-F342</f>
        <v/>
      </c>
      <c r="E342" s="141">
        <f>SUMPRODUCT((Income!D$3:D$502="INR")*(Income!A$3:A$502=B342)*(Income!A$3:A$502&lt;&gt;"")*Income!C$3:C$502)</f>
        <v/>
      </c>
      <c r="F342" s="141">
        <f>SUMPRODUCT((Expenses!E$3:E$999="INR")*(Expenses!A$3:A$999=B342)*(Expenses!A$3:A$999&lt;&gt;"")*Expenses!D$3:D$999)</f>
        <v/>
      </c>
      <c r="G342" s="142">
        <f>C342+D342</f>
        <v/>
      </c>
      <c r="H342" s="111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68">
      <c r="A343" s="19" t="n">
        <v>50</v>
      </c>
      <c r="B343" s="146" t="n">
        <v>46363</v>
      </c>
      <c r="C343" s="141">
        <f>G342</f>
        <v/>
      </c>
      <c r="D343" s="142">
        <f>E343-F343</f>
        <v/>
      </c>
      <c r="E343" s="141">
        <f>SUMPRODUCT((Income!D$3:D$502="INR")*(Income!A$3:A$502=B343)*(Income!A$3:A$502&lt;&gt;"")*Income!C$3:C$502)</f>
        <v/>
      </c>
      <c r="F343" s="141">
        <f>SUMPRODUCT((Expenses!E$3:E$999="INR")*(Expenses!A$3:A$999=B343)*(Expenses!A$3:A$999&lt;&gt;"")*Expenses!D$3:D$999)</f>
        <v/>
      </c>
      <c r="G343" s="142">
        <f>C343+D343</f>
        <v/>
      </c>
      <c r="H343" s="111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68">
      <c r="A344" s="19" t="n">
        <v>50</v>
      </c>
      <c r="B344" s="146" t="n">
        <v>46364</v>
      </c>
      <c r="C344" s="141">
        <f>G343</f>
        <v/>
      </c>
      <c r="D344" s="142">
        <f>E344-F344</f>
        <v/>
      </c>
      <c r="E344" s="141">
        <f>SUMPRODUCT((Income!D$3:D$502="INR")*(Income!A$3:A$502=B344)*(Income!A$3:A$502&lt;&gt;"")*Income!C$3:C$502)</f>
        <v/>
      </c>
      <c r="F344" s="141">
        <f>SUMPRODUCT((Expenses!E$3:E$999="INR")*(Expenses!A$3:A$999=B344)*(Expenses!A$3:A$999&lt;&gt;"")*Expenses!D$3:D$999)</f>
        <v/>
      </c>
      <c r="G344" s="142">
        <f>C344+D344</f>
        <v/>
      </c>
      <c r="H344" s="111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68">
      <c r="A345" s="19" t="n">
        <v>50</v>
      </c>
      <c r="B345" s="146" t="n">
        <v>46365</v>
      </c>
      <c r="C345" s="141">
        <f>G344</f>
        <v/>
      </c>
      <c r="D345" s="142">
        <f>E345-F345</f>
        <v/>
      </c>
      <c r="E345" s="141">
        <f>SUMPRODUCT((Income!D$3:D$502="INR")*(Income!A$3:A$502=B345)*(Income!A$3:A$502&lt;&gt;"")*Income!C$3:C$502)</f>
        <v/>
      </c>
      <c r="F345" s="141">
        <f>SUMPRODUCT((Expenses!E$3:E$999="INR")*(Expenses!A$3:A$999=B345)*(Expenses!A$3:A$999&lt;&gt;"")*Expenses!D$3:D$999)</f>
        <v/>
      </c>
      <c r="G345" s="142">
        <f>C345+D345</f>
        <v/>
      </c>
      <c r="H345" s="111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68">
      <c r="A346" s="19" t="n">
        <v>50</v>
      </c>
      <c r="B346" s="146" t="n">
        <v>46366</v>
      </c>
      <c r="C346" s="141">
        <f>G345</f>
        <v/>
      </c>
      <c r="D346" s="142">
        <f>E346-F346</f>
        <v/>
      </c>
      <c r="E346" s="141">
        <f>SUMPRODUCT((Income!D$3:D$502="INR")*(Income!A$3:A$502=B346)*(Income!A$3:A$502&lt;&gt;"")*Income!C$3:C$502)</f>
        <v/>
      </c>
      <c r="F346" s="141">
        <f>SUMPRODUCT((Expenses!E$3:E$999="INR")*(Expenses!A$3:A$999=B346)*(Expenses!A$3:A$999&lt;&gt;"")*Expenses!D$3:D$999)</f>
        <v/>
      </c>
      <c r="G346" s="142">
        <f>C346+D346</f>
        <v/>
      </c>
      <c r="H346" s="111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68">
      <c r="A347" s="19" t="n">
        <v>50</v>
      </c>
      <c r="B347" s="146" t="n">
        <v>46367</v>
      </c>
      <c r="C347" s="141">
        <f>G346</f>
        <v/>
      </c>
      <c r="D347" s="142">
        <f>E347-F347</f>
        <v/>
      </c>
      <c r="E347" s="141">
        <f>SUMPRODUCT((Income!D$3:D$502="INR")*(Income!A$3:A$502=B347)*(Income!A$3:A$502&lt;&gt;"")*Income!C$3:C$502)</f>
        <v/>
      </c>
      <c r="F347" s="141">
        <f>SUMPRODUCT((Expenses!E$3:E$999="INR")*(Expenses!A$3:A$999=B347)*(Expenses!A$3:A$999&lt;&gt;"")*Expenses!D$3:D$999)</f>
        <v/>
      </c>
      <c r="G347" s="142">
        <f>C347+D347</f>
        <v/>
      </c>
      <c r="H347" s="111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68">
      <c r="A348" s="19" t="n">
        <v>50</v>
      </c>
      <c r="B348" s="146" t="n">
        <v>46368</v>
      </c>
      <c r="C348" s="141">
        <f>G347</f>
        <v/>
      </c>
      <c r="D348" s="142">
        <f>E348-F348</f>
        <v/>
      </c>
      <c r="E348" s="141">
        <f>SUMPRODUCT((Income!D$3:D$502="INR")*(Income!A$3:A$502=B348)*(Income!A$3:A$502&lt;&gt;"")*Income!C$3:C$502)</f>
        <v/>
      </c>
      <c r="F348" s="141">
        <f>SUMPRODUCT((Expenses!E$3:E$999="INR")*(Expenses!A$3:A$999=B348)*(Expenses!A$3:A$999&lt;&gt;"")*Expenses!D$3:D$999)</f>
        <v/>
      </c>
      <c r="G348" s="142">
        <f>C348+D348</f>
        <v/>
      </c>
      <c r="H348" s="111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68">
      <c r="A349" s="19" t="n">
        <v>50</v>
      </c>
      <c r="B349" s="146" t="n">
        <v>46369</v>
      </c>
      <c r="C349" s="141">
        <f>G348</f>
        <v/>
      </c>
      <c r="D349" s="142">
        <f>E349-F349</f>
        <v/>
      </c>
      <c r="E349" s="141">
        <f>SUMPRODUCT((Income!D$3:D$502="INR")*(Income!A$3:A$502=B349)*(Income!A$3:A$502&lt;&gt;"")*Income!C$3:C$502)</f>
        <v/>
      </c>
      <c r="F349" s="141">
        <f>SUMPRODUCT((Expenses!E$3:E$999="INR")*(Expenses!A$3:A$999=B349)*(Expenses!A$3:A$999&lt;&gt;"")*Expenses!D$3:D$999)</f>
        <v/>
      </c>
      <c r="G349" s="142">
        <f>C349+D349</f>
        <v/>
      </c>
      <c r="H349" s="111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68">
      <c r="A350" s="19" t="n">
        <v>51</v>
      </c>
      <c r="B350" s="146" t="n">
        <v>46370</v>
      </c>
      <c r="C350" s="141">
        <f>G349</f>
        <v/>
      </c>
      <c r="D350" s="142">
        <f>E350-F350</f>
        <v/>
      </c>
      <c r="E350" s="141">
        <f>SUMPRODUCT((Income!D$3:D$502="INR")*(Income!A$3:A$502=B350)*(Income!A$3:A$502&lt;&gt;"")*Income!C$3:C$502)</f>
        <v/>
      </c>
      <c r="F350" s="141">
        <f>SUMPRODUCT((Expenses!E$3:E$999="INR")*(Expenses!A$3:A$999=B350)*(Expenses!A$3:A$999&lt;&gt;"")*Expenses!D$3:D$999)</f>
        <v/>
      </c>
      <c r="G350" s="142">
        <f>C350+D350</f>
        <v/>
      </c>
      <c r="H350" s="111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68">
      <c r="A351" s="19" t="n">
        <v>51</v>
      </c>
      <c r="B351" s="146" t="n">
        <v>46371</v>
      </c>
      <c r="C351" s="141">
        <f>G350</f>
        <v/>
      </c>
      <c r="D351" s="142">
        <f>E351-F351</f>
        <v/>
      </c>
      <c r="E351" s="141">
        <f>SUMPRODUCT((Income!D$3:D$502="INR")*(Income!A$3:A$502=B351)*(Income!A$3:A$502&lt;&gt;"")*Income!C$3:C$502)</f>
        <v/>
      </c>
      <c r="F351" s="141">
        <f>SUMPRODUCT((Expenses!E$3:E$999="INR")*(Expenses!A$3:A$999=B351)*(Expenses!A$3:A$999&lt;&gt;"")*Expenses!D$3:D$999)</f>
        <v/>
      </c>
      <c r="G351" s="142">
        <f>C351+D351</f>
        <v/>
      </c>
      <c r="H351" s="111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68">
      <c r="A352" s="19" t="n">
        <v>51</v>
      </c>
      <c r="B352" s="146" t="n">
        <v>46372</v>
      </c>
      <c r="C352" s="141">
        <f>G351</f>
        <v/>
      </c>
      <c r="D352" s="142">
        <f>E352-F352</f>
        <v/>
      </c>
      <c r="E352" s="141">
        <f>SUMPRODUCT((Income!D$3:D$502="INR")*(Income!A$3:A$502=B352)*(Income!A$3:A$502&lt;&gt;"")*Income!C$3:C$502)</f>
        <v/>
      </c>
      <c r="F352" s="141">
        <f>SUMPRODUCT((Expenses!E$3:E$999="INR")*(Expenses!A$3:A$999=B352)*(Expenses!A$3:A$999&lt;&gt;"")*Expenses!D$3:D$999)</f>
        <v/>
      </c>
      <c r="G352" s="142">
        <f>C352+D352</f>
        <v/>
      </c>
      <c r="H352" s="111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68">
      <c r="A353" s="19" t="n">
        <v>51</v>
      </c>
      <c r="B353" s="146" t="n">
        <v>46373</v>
      </c>
      <c r="C353" s="141">
        <f>G352</f>
        <v/>
      </c>
      <c r="D353" s="142">
        <f>E353-F353</f>
        <v/>
      </c>
      <c r="E353" s="141">
        <f>SUMPRODUCT((Income!D$3:D$502="INR")*(Income!A$3:A$502=B353)*(Income!A$3:A$502&lt;&gt;"")*Income!C$3:C$502)</f>
        <v/>
      </c>
      <c r="F353" s="141">
        <f>SUMPRODUCT((Expenses!E$3:E$999="INR")*(Expenses!A$3:A$999=B353)*(Expenses!A$3:A$999&lt;&gt;"")*Expenses!D$3:D$999)</f>
        <v/>
      </c>
      <c r="G353" s="142">
        <f>C353+D353</f>
        <v/>
      </c>
      <c r="H353" s="111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68">
      <c r="A354" s="19" t="n">
        <v>51</v>
      </c>
      <c r="B354" s="146" t="n">
        <v>46374</v>
      </c>
      <c r="C354" s="141">
        <f>G353</f>
        <v/>
      </c>
      <c r="D354" s="142">
        <f>E354-F354</f>
        <v/>
      </c>
      <c r="E354" s="141">
        <f>SUMPRODUCT((Income!D$3:D$502="INR")*(Income!A$3:A$502=B354)*(Income!A$3:A$502&lt;&gt;"")*Income!C$3:C$502)</f>
        <v/>
      </c>
      <c r="F354" s="141">
        <f>SUMPRODUCT((Expenses!E$3:E$999="INR")*(Expenses!A$3:A$999=B354)*(Expenses!A$3:A$999&lt;&gt;"")*Expenses!D$3:D$999)</f>
        <v/>
      </c>
      <c r="G354" s="142">
        <f>C354+D354</f>
        <v/>
      </c>
      <c r="H354" s="111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68">
      <c r="A355" s="19" t="n">
        <v>51</v>
      </c>
      <c r="B355" s="146" t="n">
        <v>46375</v>
      </c>
      <c r="C355" s="141">
        <f>G354</f>
        <v/>
      </c>
      <c r="D355" s="142">
        <f>E355-F355</f>
        <v/>
      </c>
      <c r="E355" s="141">
        <f>SUMPRODUCT((Income!D$3:D$502="INR")*(Income!A$3:A$502=B355)*(Income!A$3:A$502&lt;&gt;"")*Income!C$3:C$502)</f>
        <v/>
      </c>
      <c r="F355" s="141">
        <f>SUMPRODUCT((Expenses!E$3:E$999="INR")*(Expenses!A$3:A$999=B355)*(Expenses!A$3:A$999&lt;&gt;"")*Expenses!D$3:D$999)</f>
        <v/>
      </c>
      <c r="G355" s="142">
        <f>C355+D355</f>
        <v/>
      </c>
      <c r="H355" s="111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68">
      <c r="A356" s="19" t="n">
        <v>51</v>
      </c>
      <c r="B356" s="146" t="n">
        <v>46376</v>
      </c>
      <c r="C356" s="141">
        <f>G355</f>
        <v/>
      </c>
      <c r="D356" s="142">
        <f>E356-F356</f>
        <v/>
      </c>
      <c r="E356" s="141">
        <f>SUMPRODUCT((Income!D$3:D$502="INR")*(Income!A$3:A$502=B356)*(Income!A$3:A$502&lt;&gt;"")*Income!C$3:C$502)</f>
        <v/>
      </c>
      <c r="F356" s="141">
        <f>SUMPRODUCT((Expenses!E$3:E$999="INR")*(Expenses!A$3:A$999=B356)*(Expenses!A$3:A$999&lt;&gt;"")*Expenses!D$3:D$999)</f>
        <v/>
      </c>
      <c r="G356" s="142">
        <f>C356+D356</f>
        <v/>
      </c>
      <c r="H356" s="111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68">
      <c r="A357" s="19" t="n">
        <v>52</v>
      </c>
      <c r="B357" s="146" t="n">
        <v>46377</v>
      </c>
      <c r="C357" s="141">
        <f>G356</f>
        <v/>
      </c>
      <c r="D357" s="142">
        <f>E357-F357</f>
        <v/>
      </c>
      <c r="E357" s="141">
        <f>SUMPRODUCT((Income!D$3:D$502="INR")*(Income!A$3:A$502=B357)*(Income!A$3:A$502&lt;&gt;"")*Income!C$3:C$502)</f>
        <v/>
      </c>
      <c r="F357" s="141">
        <f>SUMPRODUCT((Expenses!E$3:E$999="INR")*(Expenses!A$3:A$999=B357)*(Expenses!A$3:A$999&lt;&gt;"")*Expenses!D$3:D$999)</f>
        <v/>
      </c>
      <c r="G357" s="142">
        <f>C357+D357</f>
        <v/>
      </c>
      <c r="H357" s="111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68">
      <c r="A358" s="19" t="n">
        <v>52</v>
      </c>
      <c r="B358" s="146" t="n">
        <v>46378</v>
      </c>
      <c r="C358" s="141">
        <f>G357</f>
        <v/>
      </c>
      <c r="D358" s="142">
        <f>E358-F358</f>
        <v/>
      </c>
      <c r="E358" s="141">
        <f>SUMPRODUCT((Income!D$3:D$502="INR")*(Income!A$3:A$502=B358)*(Income!A$3:A$502&lt;&gt;"")*Income!C$3:C$502)</f>
        <v/>
      </c>
      <c r="F358" s="141">
        <f>SUMPRODUCT((Expenses!E$3:E$999="INR")*(Expenses!A$3:A$999=B358)*(Expenses!A$3:A$999&lt;&gt;"")*Expenses!D$3:D$999)</f>
        <v/>
      </c>
      <c r="G358" s="142">
        <f>C358+D358</f>
        <v/>
      </c>
      <c r="H358" s="111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68">
      <c r="A359" s="19" t="n">
        <v>52</v>
      </c>
      <c r="B359" s="146" t="n">
        <v>46379</v>
      </c>
      <c r="C359" s="141">
        <f>G358</f>
        <v/>
      </c>
      <c r="D359" s="142">
        <f>E359-F359</f>
        <v/>
      </c>
      <c r="E359" s="141">
        <f>SUMPRODUCT((Income!D$3:D$502="INR")*(Income!A$3:A$502=B359)*(Income!A$3:A$502&lt;&gt;"")*Income!C$3:C$502)</f>
        <v/>
      </c>
      <c r="F359" s="141">
        <f>SUMPRODUCT((Expenses!E$3:E$999="INR")*(Expenses!A$3:A$999=B359)*(Expenses!A$3:A$999&lt;&gt;"")*Expenses!D$3:D$999)</f>
        <v/>
      </c>
      <c r="G359" s="142">
        <f>C359+D359</f>
        <v/>
      </c>
      <c r="H359" s="111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68">
      <c r="A360" s="19" t="n">
        <v>52</v>
      </c>
      <c r="B360" s="146" t="n">
        <v>46380</v>
      </c>
      <c r="C360" s="141">
        <f>G359</f>
        <v/>
      </c>
      <c r="D360" s="142">
        <f>E360-F360</f>
        <v/>
      </c>
      <c r="E360" s="141">
        <f>SUMPRODUCT((Income!D$3:D$502="INR")*(Income!A$3:A$502=B360)*(Income!A$3:A$502&lt;&gt;"")*Income!C$3:C$502)</f>
        <v/>
      </c>
      <c r="F360" s="141">
        <f>SUMPRODUCT((Expenses!E$3:E$999="INR")*(Expenses!A$3:A$999=B360)*(Expenses!A$3:A$999&lt;&gt;"")*Expenses!D$3:D$999)</f>
        <v/>
      </c>
      <c r="G360" s="142">
        <f>C360+D360</f>
        <v/>
      </c>
      <c r="H360" s="111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68">
      <c r="A361" s="19" t="n">
        <v>52</v>
      </c>
      <c r="B361" s="146" t="n">
        <v>46381</v>
      </c>
      <c r="C361" s="141">
        <f>G360</f>
        <v/>
      </c>
      <c r="D361" s="142">
        <f>E361-F361</f>
        <v/>
      </c>
      <c r="E361" s="141">
        <f>SUMPRODUCT((Income!D$3:D$502="INR")*(Income!A$3:A$502=B361)*(Income!A$3:A$502&lt;&gt;"")*Income!C$3:C$502)</f>
        <v/>
      </c>
      <c r="F361" s="141">
        <f>SUMPRODUCT((Expenses!E$3:E$999="INR")*(Expenses!A$3:A$999=B361)*(Expenses!A$3:A$999&lt;&gt;"")*Expenses!D$3:D$999)</f>
        <v/>
      </c>
      <c r="G361" s="142">
        <f>C361+D361</f>
        <v/>
      </c>
      <c r="H361" s="111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68">
      <c r="A362" s="19" t="n">
        <v>52</v>
      </c>
      <c r="B362" s="146" t="n">
        <v>46382</v>
      </c>
      <c r="C362" s="141">
        <f>G361</f>
        <v/>
      </c>
      <c r="D362" s="142">
        <f>E362-F362</f>
        <v/>
      </c>
      <c r="E362" s="141">
        <f>SUMPRODUCT((Income!D$3:D$502="INR")*(Income!A$3:A$502=B362)*(Income!A$3:A$502&lt;&gt;"")*Income!C$3:C$502)</f>
        <v/>
      </c>
      <c r="F362" s="141">
        <f>SUMPRODUCT((Expenses!E$3:E$999="INR")*(Expenses!A$3:A$999=B362)*(Expenses!A$3:A$999&lt;&gt;"")*Expenses!D$3:D$999)</f>
        <v/>
      </c>
      <c r="G362" s="142">
        <f>C362+D362</f>
        <v/>
      </c>
      <c r="H362" s="111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68">
      <c r="A363" s="19" t="n">
        <v>52</v>
      </c>
      <c r="B363" s="146" t="n">
        <v>46383</v>
      </c>
      <c r="C363" s="141">
        <f>G362</f>
        <v/>
      </c>
      <c r="D363" s="142">
        <f>E363-F363</f>
        <v/>
      </c>
      <c r="E363" s="141">
        <f>SUMPRODUCT((Income!D$3:D$502="INR")*(Income!A$3:A$502=B363)*(Income!A$3:A$502&lt;&gt;"")*Income!C$3:C$502)</f>
        <v/>
      </c>
      <c r="F363" s="141">
        <f>SUMPRODUCT((Expenses!E$3:E$999="INR")*(Expenses!A$3:A$999=B363)*(Expenses!A$3:A$999&lt;&gt;"")*Expenses!D$3:D$999)</f>
        <v/>
      </c>
      <c r="G363" s="142">
        <f>C363+D363</f>
        <v/>
      </c>
      <c r="H363" s="111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68">
      <c r="A364" s="19" t="n">
        <v>53</v>
      </c>
      <c r="B364" s="146" t="n">
        <v>46384</v>
      </c>
      <c r="C364" s="141">
        <f>G363</f>
        <v/>
      </c>
      <c r="D364" s="142">
        <f>E364-F364</f>
        <v/>
      </c>
      <c r="E364" s="141">
        <f>SUMPRODUCT((Income!D$3:D$502="INR")*(Income!A$3:A$502=B364)*(Income!A$3:A$502&lt;&gt;"")*Income!C$3:C$502)</f>
        <v/>
      </c>
      <c r="F364" s="141">
        <f>SUMPRODUCT((Expenses!E$3:E$999="INR")*(Expenses!A$3:A$999=B364)*(Expenses!A$3:A$999&lt;&gt;"")*Expenses!D$3:D$999)</f>
        <v/>
      </c>
      <c r="G364" s="142">
        <f>C364+D364</f>
        <v/>
      </c>
      <c r="H364" s="111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68">
      <c r="A365" s="19" t="n">
        <v>53</v>
      </c>
      <c r="B365" s="146" t="n">
        <v>46385</v>
      </c>
      <c r="C365" s="141">
        <f>G364</f>
        <v/>
      </c>
      <c r="D365" s="142">
        <f>E365-F365</f>
        <v/>
      </c>
      <c r="E365" s="141">
        <f>SUMPRODUCT((Income!D$3:D$502="INR")*(Income!A$3:A$502=B365)*(Income!A$3:A$502&lt;&gt;"")*Income!C$3:C$502)</f>
        <v/>
      </c>
      <c r="F365" s="141">
        <f>SUMPRODUCT((Expenses!E$3:E$999="INR")*(Expenses!A$3:A$999=B365)*(Expenses!A$3:A$999&lt;&gt;"")*Expenses!D$3:D$999)</f>
        <v/>
      </c>
      <c r="G365" s="142">
        <f>C365+D365</f>
        <v/>
      </c>
      <c r="H365" s="111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68">
      <c r="A366" s="19" t="n">
        <v>53</v>
      </c>
      <c r="B366" s="146" t="n">
        <v>46386</v>
      </c>
      <c r="C366" s="141">
        <f>G365</f>
        <v/>
      </c>
      <c r="D366" s="142">
        <f>E366-F366</f>
        <v/>
      </c>
      <c r="E366" s="141">
        <f>SUMPRODUCT((Income!D$3:D$502="INR")*(Income!A$3:A$502=B366)*(Income!A$3:A$502&lt;&gt;"")*Income!C$3:C$502)</f>
        <v/>
      </c>
      <c r="F366" s="141">
        <f>SUMPRODUCT((Expenses!E$3:E$999="INR")*(Expenses!A$3:A$999=B366)*(Expenses!A$3:A$999&lt;&gt;"")*Expenses!D$3:D$999)</f>
        <v/>
      </c>
      <c r="G366" s="142">
        <f>C366+D366</f>
        <v/>
      </c>
      <c r="H366" s="111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68">
      <c r="A367" s="19" t="n">
        <v>53</v>
      </c>
      <c r="B367" s="146" t="n">
        <v>46387</v>
      </c>
      <c r="C367" s="141">
        <f>G366</f>
        <v/>
      </c>
      <c r="D367" s="142">
        <f>E367-F367</f>
        <v/>
      </c>
      <c r="E367" s="141">
        <f>SUMPRODUCT((Income!D$3:D$502="INR")*(Income!A$3:A$502=B367)*(Income!A$3:A$502&lt;&gt;"")*Income!C$3:C$502)</f>
        <v/>
      </c>
      <c r="F367" s="141">
        <f>SUMPRODUCT((Expenses!E$3:E$999="INR")*(Expenses!A$3:A$999=B367)*(Expenses!A$3:A$999&lt;&gt;"")*Expenses!D$3:D$999)</f>
        <v/>
      </c>
      <c r="G367" s="142">
        <f>C367+D367</f>
        <v/>
      </c>
      <c r="H367" s="111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6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6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6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6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6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6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6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6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6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6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6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6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6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6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6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6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6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6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6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6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6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6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6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6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6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6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6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6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6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6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6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6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6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6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6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6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6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6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6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6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6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6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6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6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6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6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6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6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6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6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6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6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6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6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6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6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6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6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6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6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6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6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6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6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6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6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6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6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6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6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6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6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6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6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6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6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6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6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6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6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6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6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6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6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6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6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6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6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6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6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6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6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6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6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6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6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6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6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6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6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6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6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6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6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6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6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6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6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6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6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6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6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6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6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6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6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6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6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6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6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6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6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6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6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6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6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6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6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6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6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6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6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6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6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6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6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6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6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6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6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6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6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6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6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6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6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6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6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6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6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6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6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6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6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6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6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6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6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6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6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6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6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6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6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6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6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6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6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6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6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6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6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6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6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6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6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6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6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6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6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6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6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6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6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6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6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6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6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6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6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6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6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6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6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6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6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6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6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6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6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6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6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6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6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6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6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6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6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6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6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6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6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6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6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6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6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6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6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6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6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6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6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6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6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6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6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6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6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6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6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6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6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6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6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6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6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6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6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6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6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6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6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6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6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6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6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6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6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6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6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6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6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6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6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6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6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6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6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6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6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6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6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6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6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6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6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6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6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6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6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6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6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6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6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6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6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6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6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6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6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6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6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6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6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6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6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6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6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6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6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6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6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6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6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6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6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6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6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6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6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6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6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6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6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6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6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6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6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6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6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6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6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6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6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6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6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6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6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6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6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6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6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6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6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6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6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6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6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6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6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6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6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6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6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6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6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6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6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6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6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6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6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6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6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6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6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6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6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6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6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6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6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6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6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6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6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6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6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6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6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6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6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6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6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6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6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6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6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6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6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6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6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6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6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6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6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6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6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6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6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6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6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6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6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6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6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6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6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6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6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6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6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6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6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6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6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6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6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6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6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6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6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6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6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6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6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6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6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6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6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6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6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6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6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6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6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6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6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6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6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6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6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6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6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6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6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6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6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6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6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6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6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6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6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6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6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6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6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6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6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6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6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6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6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6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6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6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6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6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6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6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6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6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6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6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6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6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6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6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6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6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6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6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6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6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6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6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6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6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6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6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6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6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6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6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6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6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6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6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6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6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6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6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6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6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6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6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6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6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6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6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6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6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6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6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6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6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6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6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6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6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6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6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6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6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6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6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6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6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6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6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6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6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6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6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6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6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6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6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6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6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6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6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6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6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6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6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6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6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6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6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6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6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6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6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6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6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6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6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6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6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6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6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6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6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6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6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6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6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6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6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6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6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6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6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6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6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6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6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6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6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6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6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6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6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6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6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6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6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6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6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6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6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6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6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6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6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6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6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6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6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6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6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6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6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6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6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6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6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6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6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6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6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6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6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6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6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6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6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6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6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6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6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6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6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6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6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6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6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6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6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6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6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6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6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6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6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6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6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6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6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6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6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6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6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6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">
    <mergeCell ref="A1:H1"/>
  </mergeCells>
  <conditionalFormatting sqref="D3:D367">
    <cfRule type="cellIs" priority="1" operator="lessThan" dxfId="7">
      <formula>0</formula>
    </cfRule>
    <cfRule type="cellIs" priority="2" operator="greaterThanOrEqual" dxfId="6">
      <formula>0</formula>
    </cfRule>
  </conditionalFormatting>
  <pageMargins left="0.75" right="0.75" top="1" bottom="1" header="0" footer="0"/>
  <pageSetup orientation="portrait" paperSize="9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FF0070C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168" min="1" max="1"/>
    <col width="7" customWidth="1" style="168" min="2" max="2"/>
    <col width="12" customWidth="1" style="168" min="3" max="3"/>
    <col width="16" customWidth="1" style="168" min="4" max="4"/>
    <col width="12" customWidth="1" style="168" min="5" max="5"/>
    <col width="16" customWidth="1" style="168" min="6" max="6"/>
    <col width="12" customWidth="1" style="168" min="7" max="7"/>
    <col width="16" customWidth="1" style="168" min="8" max="8"/>
    <col width="12" customWidth="1" style="168" min="9" max="9"/>
    <col width="16" customWidth="1" style="168" min="10" max="10"/>
    <col width="12" customWidth="1" style="168" min="11" max="11"/>
    <col width="16" customWidth="1" style="168" min="12" max="12"/>
    <col width="12" customWidth="1" style="168" min="13" max="13"/>
    <col width="16" customWidth="1" style="168" min="14" max="14"/>
    <col width="12" customWidth="1" style="168" min="15" max="15"/>
    <col width="16" customWidth="1" style="168" min="16" max="16"/>
    <col width="8" customWidth="1" style="168" min="17" max="17"/>
    <col width="14" customWidth="1" style="168" min="18" max="18"/>
  </cols>
  <sheetData>
    <row r="1">
      <c r="A1" s="101" t="inlineStr">
        <is>
          <t>ITEMISED WEEKLY VIEW (GBP)</t>
        </is>
      </c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35" t="inlineStr">
        <is>
          <t>Week
Commencing</t>
        </is>
      </c>
      <c r="B2" s="147" t="inlineStr">
        <is>
          <t>Week</t>
        </is>
      </c>
      <c r="C2" s="147" t="inlineStr">
        <is>
          <t>Monday</t>
        </is>
      </c>
      <c r="D2" s="197" t="n"/>
      <c r="E2" s="147" t="inlineStr">
        <is>
          <t>Tuesday</t>
        </is>
      </c>
      <c r="F2" s="197" t="n"/>
      <c r="G2" s="147" t="inlineStr">
        <is>
          <t>Wednesday</t>
        </is>
      </c>
      <c r="H2" s="197" t="n"/>
      <c r="I2" s="147" t="inlineStr">
        <is>
          <t>Thursday</t>
        </is>
      </c>
      <c r="J2" s="197" t="n"/>
      <c r="K2" s="147" t="inlineStr">
        <is>
          <t>Friday</t>
        </is>
      </c>
      <c r="L2" s="197" t="n"/>
      <c r="M2" s="147" t="inlineStr">
        <is>
          <t>Saturday</t>
        </is>
      </c>
      <c r="N2" s="197" t="n"/>
      <c r="O2" s="147" t="inlineStr">
        <is>
          <t>Sunday</t>
        </is>
      </c>
      <c r="P2" s="197" t="n"/>
      <c r="Q2" s="135" t="inlineStr">
        <is>
          <t>Week
No</t>
        </is>
      </c>
      <c r="R2" s="135" t="inlineStr">
        <is>
          <t>Total for
Week</t>
        </is>
      </c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49" t="n"/>
      <c r="B3" s="149" t="n"/>
      <c r="C3" s="150" t="inlineStr">
        <is>
          <t>Amount</t>
        </is>
      </c>
      <c r="D3" s="150" t="inlineStr">
        <is>
          <t>Description</t>
        </is>
      </c>
      <c r="E3" s="150" t="inlineStr">
        <is>
          <t>Amount</t>
        </is>
      </c>
      <c r="F3" s="150" t="inlineStr">
        <is>
          <t>Description</t>
        </is>
      </c>
      <c r="G3" s="150" t="inlineStr">
        <is>
          <t>Amount</t>
        </is>
      </c>
      <c r="H3" s="150" t="inlineStr">
        <is>
          <t>Description</t>
        </is>
      </c>
      <c r="I3" s="150" t="inlineStr">
        <is>
          <t>Amount</t>
        </is>
      </c>
      <c r="J3" s="150" t="inlineStr">
        <is>
          <t>Description</t>
        </is>
      </c>
      <c r="K3" s="150" t="inlineStr">
        <is>
          <t>Amount</t>
        </is>
      </c>
      <c r="L3" s="150" t="inlineStr">
        <is>
          <t>Description</t>
        </is>
      </c>
      <c r="M3" s="150" t="inlineStr">
        <is>
          <t>Amount</t>
        </is>
      </c>
      <c r="N3" s="150" t="inlineStr">
        <is>
          <t>Description</t>
        </is>
      </c>
      <c r="O3" s="150" t="inlineStr">
        <is>
          <t>Amount</t>
        </is>
      </c>
      <c r="P3" s="150" t="inlineStr">
        <is>
          <t>Description</t>
        </is>
      </c>
      <c r="Q3" s="149" t="n"/>
      <c r="R3" s="149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51" t="n">
        <v>46020</v>
      </c>
      <c r="B4" s="103" t="n">
        <v>1</v>
      </c>
      <c r="C4" s="152">
        <f t="array" ref="C4">IF(IFERROR(-INDEX(Expenses!D$3:D$999,SMALL(IF((Expenses!E$3:E$999="GBP")*(Expenses!A$3:A$999=DATE(2025,12,29)),ROW(Expenses!A$3:A$999)-2),1)),0)+IFERROR(INDEX(Income!C$3:C$502,SMALL(IF((Income!D$3:D$502="GBP")*(Income!A$3:A$502=DATE(2025,12,29)),ROW(Income!A$3:A$502)-2),1)),0)=0,"",IFERROR(-INDEX(Expenses!D$3:D$999,SMALL(IF((Expenses!E$3:E$999="GBP")*(Expenses!A$3:A$999=DATE(2025,12,29)),ROW(Expenses!A$3:A$999)-2),1)),0)+IFERROR(INDEX(Income!C$3:C$502,SMALL(IF((Income!D$3:D$502="GBP")*(Income!A$3:A$502=DATE(2025,12,29)),ROW(Income!A$3:A$502)-2),1)),0))</f>
        <v/>
      </c>
      <c r="D4" s="126">
        <f t="array" ref="D4">IF(IFERROR(INDEX(Expenses!B$3:B$999,SMALL(IF((Expenses!E$3:E$999="GBP")*(Expenses!A$3:A$999=DATE(2025,12,29)),ROW(Expenses!A$3:A$999)-2),1)),"")&lt;&gt;"",IFERROR(INDEX(Expenses!B$3:B$999,SMALL(IF((Expenses!E$3:E$999="GBP")*(Expenses!A$3:A$999=DATE(2025,12,29)),ROW(Expenses!A$3:A$999)-2),1)),""),IF(IFERROR(INDEX(Income!B$3:B$502,SMALL(IF((Income!D$3:D$502="GBP")*(Income!A$3:A$502=DATE(2025,12,29)),ROW(Income!A$3:A$502)-2),1)),"")&lt;&gt;"",IFERROR(INDEX(Income!B$3:B$502,SMALL(IF((Income!D$3:D$502="GBP")*(Income!A$3:A$502=DATE(2025,12,29)),ROW(Income!A$3:A$502)-2),1)),""),""))</f>
        <v/>
      </c>
      <c r="E4" s="152">
        <f t="array" ref="E4">IF(IFERROR(-INDEX(Expenses!D$3:D$999,SMALL(IF((Expenses!E$3:E$999="GBP")*(Expenses!A$3:A$999=DATE(2025,12,30)),ROW(Expenses!A$3:A$999)-2),1)),0)+IFERROR(INDEX(Income!C$3:C$502,SMALL(IF((Income!D$3:D$502="GBP")*(Income!A$3:A$502=DATE(2025,12,30)),ROW(Income!A$3:A$502)-2),1)),0)=0,"",IFERROR(-INDEX(Expenses!D$3:D$999,SMALL(IF((Expenses!E$3:E$999="GBP")*(Expenses!A$3:A$999=DATE(2025,12,30)),ROW(Expenses!A$3:A$999)-2),1)),0)+IFERROR(INDEX(Income!C$3:C$502,SMALL(IF((Income!D$3:D$502="GBP")*(Income!A$3:A$502=DATE(2025,12,30)),ROW(Income!A$3:A$502)-2),1)),0))</f>
        <v/>
      </c>
      <c r="F4" s="126">
        <f t="array" ref="F4">IF(IFERROR(INDEX(Expenses!B$3:B$999,SMALL(IF((Expenses!E$3:E$999="GBP")*(Expenses!A$3:A$999=DATE(2025,12,30)),ROW(Expenses!A$3:A$999)-2),1)),"")&lt;&gt;"",IFERROR(INDEX(Expenses!B$3:B$999,SMALL(IF((Expenses!E$3:E$999="GBP")*(Expenses!A$3:A$999=DATE(2025,12,30)),ROW(Expenses!A$3:A$999)-2),1)),""),IF(IFERROR(INDEX(Income!B$3:B$502,SMALL(IF((Income!D$3:D$502="GBP")*(Income!A$3:A$502=DATE(2025,12,30)),ROW(Income!A$3:A$502)-2),1)),"")&lt;&gt;"",IFERROR(INDEX(Income!B$3:B$502,SMALL(IF((Income!D$3:D$502="GBP")*(Income!A$3:A$502=DATE(2025,12,30)),ROW(Income!A$3:A$502)-2),1)),""),""))</f>
        <v/>
      </c>
      <c r="G4" s="152">
        <f t="array" ref="G4">IF(IFERROR(-INDEX(Expenses!D$3:D$999,SMALL(IF((Expenses!E$3:E$999="GBP")*(Expenses!A$3:A$999=DATE(2025,12,31)),ROW(Expenses!A$3:A$999)-2),1)),0)+IFERROR(INDEX(Income!C$3:C$502,SMALL(IF((Income!D$3:D$502="GBP")*(Income!A$3:A$502=DATE(2025,12,31)),ROW(Income!A$3:A$502)-2),1)),0)=0,"",IFERROR(-INDEX(Expenses!D$3:D$999,SMALL(IF((Expenses!E$3:E$999="GBP")*(Expenses!A$3:A$999=DATE(2025,12,31)),ROW(Expenses!A$3:A$999)-2),1)),0)+IFERROR(INDEX(Income!C$3:C$502,SMALL(IF((Income!D$3:D$502="GBP")*(Income!A$3:A$502=DATE(2025,12,31)),ROW(Income!A$3:A$502)-2),1)),0))</f>
        <v/>
      </c>
      <c r="H4" s="126">
        <f t="array" ref="H4">IF(IFERROR(INDEX(Expenses!B$3:B$999,SMALL(IF((Expenses!E$3:E$999="GBP")*(Expenses!A$3:A$999=DATE(2025,12,31)),ROW(Expenses!A$3:A$999)-2),1)),"")&lt;&gt;"",IFERROR(INDEX(Expenses!B$3:B$999,SMALL(IF((Expenses!E$3:E$999="GBP")*(Expenses!A$3:A$999=DATE(2025,12,31)),ROW(Expenses!A$3:A$999)-2),1)),""),IF(IFERROR(INDEX(Income!B$3:B$502,SMALL(IF((Income!D$3:D$502="GBP")*(Income!A$3:A$502=DATE(2025,12,31)),ROW(Income!A$3:A$502)-2),1)),"")&lt;&gt;"",IFERROR(INDEX(Income!B$3:B$502,SMALL(IF((Income!D$3:D$502="GBP")*(Income!A$3:A$502=DATE(2025,12,31)),ROW(Income!A$3:A$502)-2),1)),""),""))</f>
        <v/>
      </c>
      <c r="I4" s="152">
        <f t="array" ref="I4">IF(IFERROR(-INDEX(Expenses!D$3:D$999,SMALL(IF((Expenses!E$3:E$999="GBP")*(Expenses!A$3:A$999=DATE(2026,1,1)),ROW(Expenses!A$3:A$999)-2),1)),0)+IFERROR(INDEX(Income!C$3:C$502,SMALL(IF((Income!D$3:D$502="GBP")*(Income!A$3:A$502=DATE(2026,1,1)),ROW(Income!A$3:A$502)-2),1)),0)=0,"",IFERROR(-INDEX(Expenses!D$3:D$999,SMALL(IF((Expenses!E$3:E$999="GBP")*(Expenses!A$3:A$999=DATE(2026,1,1)),ROW(Expenses!A$3:A$999)-2),1)),0)+IFERROR(INDEX(Income!C$3:C$502,SMALL(IF((Income!D$3:D$502="GBP")*(Income!A$3:A$502=DATE(2026,1,1)),ROW(Income!A$3:A$502)-2),1)),0))</f>
        <v/>
      </c>
      <c r="J4" s="126">
        <f t="array" ref="J4">IF(IFERROR(INDEX(Expenses!B$3:B$999,SMALL(IF((Expenses!E$3:E$999="GBP")*(Expenses!A$3:A$999=DATE(2026,1,1)),ROW(Expenses!A$3:A$999)-2),1)),"")&lt;&gt;"",IFERROR(INDEX(Expenses!B$3:B$999,SMALL(IF((Expenses!E$3:E$999="GBP")*(Expenses!A$3:A$999=DATE(2026,1,1)),ROW(Expenses!A$3:A$999)-2),1)),""),IF(IFERROR(INDEX(Income!B$3:B$502,SMALL(IF((Income!D$3:D$502="GBP")*(Income!A$3:A$502=DATE(2026,1,1)),ROW(Income!A$3:A$502)-2),1)),"")&lt;&gt;"",IFERROR(INDEX(Income!B$3:B$502,SMALL(IF((Income!D$3:D$502="GBP")*(Income!A$3:A$502=DATE(2026,1,1)),ROW(Income!A$3:A$502)-2),1)),""),""))</f>
        <v/>
      </c>
      <c r="K4" s="152">
        <f t="array" ref="K4">IF(IFERROR(-INDEX(Expenses!D$3:D$999,SMALL(IF((Expenses!E$3:E$999="GBP")*(Expenses!A$3:A$999=DATE(2026,1,2)),ROW(Expenses!A$3:A$999)-2),1)),0)+IFERROR(INDEX(Income!C$3:C$502,SMALL(IF((Income!D$3:D$502="GBP")*(Income!A$3:A$502=DATE(2026,1,2)),ROW(Income!A$3:A$502)-2),1)),0)=0,"",IFERROR(-INDEX(Expenses!D$3:D$999,SMALL(IF((Expenses!E$3:E$999="GBP")*(Expenses!A$3:A$999=DATE(2026,1,2)),ROW(Expenses!A$3:A$999)-2),1)),0)+IFERROR(INDEX(Income!C$3:C$502,SMALL(IF((Income!D$3:D$502="GBP")*(Income!A$3:A$502=DATE(2026,1,2)),ROW(Income!A$3:A$502)-2),1)),0))</f>
        <v/>
      </c>
      <c r="L4" s="126">
        <f t="array" ref="L4">IF(IFERROR(INDEX(Expenses!B$3:B$999,SMALL(IF((Expenses!E$3:E$999="GBP")*(Expenses!A$3:A$999=DATE(2026,1,2)),ROW(Expenses!A$3:A$999)-2),1)),"")&lt;&gt;"",IFERROR(INDEX(Expenses!B$3:B$999,SMALL(IF((Expenses!E$3:E$999="GBP")*(Expenses!A$3:A$999=DATE(2026,1,2)),ROW(Expenses!A$3:A$999)-2),1)),""),IF(IFERROR(INDEX(Income!B$3:B$502,SMALL(IF((Income!D$3:D$502="GBP")*(Income!A$3:A$502=DATE(2026,1,2)),ROW(Income!A$3:A$502)-2),1)),"")&lt;&gt;"",IFERROR(INDEX(Income!B$3:B$502,SMALL(IF((Income!D$3:D$502="GBP")*(Income!A$3:A$502=DATE(2026,1,2)),ROW(Income!A$3:A$502)-2),1)),""),""))</f>
        <v/>
      </c>
      <c r="M4" s="152">
        <f t="array" ref="M4">IF(IFERROR(-INDEX(Expenses!D$3:D$999,SMALL(IF((Expenses!E$3:E$999="GBP")*(Expenses!A$3:A$999=DATE(2026,1,3)),ROW(Expenses!A$3:A$999)-2),1)),0)+IFERROR(INDEX(Income!C$3:C$502,SMALL(IF((Income!D$3:D$502="GBP")*(Income!A$3:A$502=DATE(2026,1,3)),ROW(Income!A$3:A$502)-2),1)),0)=0,"",IFERROR(-INDEX(Expenses!D$3:D$999,SMALL(IF((Expenses!E$3:E$999="GBP")*(Expenses!A$3:A$999=DATE(2026,1,3)),ROW(Expenses!A$3:A$999)-2),1)),0)+IFERROR(INDEX(Income!C$3:C$502,SMALL(IF((Income!D$3:D$502="GBP")*(Income!A$3:A$502=DATE(2026,1,3)),ROW(Income!A$3:A$502)-2),1)),0))</f>
        <v/>
      </c>
      <c r="N4" s="126">
        <f t="array" ref="N4">IF(IFERROR(INDEX(Expenses!B$3:B$999,SMALL(IF((Expenses!E$3:E$999="GBP")*(Expenses!A$3:A$999=DATE(2026,1,3)),ROW(Expenses!A$3:A$999)-2),1)),"")&lt;&gt;"",IFERROR(INDEX(Expenses!B$3:B$999,SMALL(IF((Expenses!E$3:E$999="GBP")*(Expenses!A$3:A$999=DATE(2026,1,3)),ROW(Expenses!A$3:A$999)-2),1)),""),IF(IFERROR(INDEX(Income!B$3:B$502,SMALL(IF((Income!D$3:D$502="GBP")*(Income!A$3:A$502=DATE(2026,1,3)),ROW(Income!A$3:A$502)-2),1)),"")&lt;&gt;"",IFERROR(INDEX(Income!B$3:B$502,SMALL(IF((Income!D$3:D$502="GBP")*(Income!A$3:A$502=DATE(2026,1,3)),ROW(Income!A$3:A$502)-2),1)),""),""))</f>
        <v/>
      </c>
      <c r="O4" s="152">
        <f t="array" ref="O4">IF(IFERROR(-INDEX(Expenses!D$3:D$999,SMALL(IF((Expenses!E$3:E$999="GBP")*(Expenses!A$3:A$999=DATE(2026,1,4)),ROW(Expenses!A$3:A$999)-2),1)),0)+IFERROR(INDEX(Income!C$3:C$502,SMALL(IF((Income!D$3:D$502="GBP")*(Income!A$3:A$502=DATE(2026,1,4)),ROW(Income!A$3:A$502)-2),1)),0)=0,"",IFERROR(-INDEX(Expenses!D$3:D$999,SMALL(IF((Expenses!E$3:E$999="GBP")*(Expenses!A$3:A$999=DATE(2026,1,4)),ROW(Expenses!A$3:A$999)-2),1)),0)+IFERROR(INDEX(Income!C$3:C$502,SMALL(IF((Income!D$3:D$502="GBP")*(Income!A$3:A$502=DATE(2026,1,4)),ROW(Income!A$3:A$502)-2),1)),0))</f>
        <v/>
      </c>
      <c r="P4" s="126">
        <f t="array" ref="P4">IF(IFERROR(INDEX(Expenses!B$3:B$999,SMALL(IF((Expenses!E$3:E$999="GBP")*(Expenses!A$3:A$999=DATE(2026,1,4)),ROW(Expenses!A$3:A$999)-2),1)),"")&lt;&gt;"",IFERROR(INDEX(Expenses!B$3:B$999,SMALL(IF((Expenses!E$3:E$999="GBP")*(Expenses!A$3:A$999=DATE(2026,1,4)),ROW(Expenses!A$3:A$999)-2),1)),""),IF(IFERROR(INDEX(Income!B$3:B$502,SMALL(IF((Income!D$3:D$502="GBP")*(Income!A$3:A$502=DATE(2026,1,4)),ROW(Income!A$3:A$502)-2),1)),"")&lt;&gt;"",IFERROR(INDEX(Income!B$3:B$502,SMALL(IF((Income!D$3:D$502="GBP")*(Income!A$3:A$502=DATE(2026,1,4)),ROW(Income!A$3:A$502)-2),1)),""),""))</f>
        <v/>
      </c>
      <c r="Q4" s="103" t="n">
        <v>1</v>
      </c>
      <c r="R4" s="134">
        <f>SUM(C4:C8)+SUM(E4:E8)+SUM(G4:G8)+SUM(I4:I8)+SUM(K4:K8)+SUM(M4:M8)+SUM(O4:O8)</f>
        <v/>
      </c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9" t="n"/>
      <c r="B5" s="9" t="n"/>
      <c r="C5" s="152">
        <f t="array" ref="C5">IF(IFERROR(-INDEX(Expenses!D$3:D$999,SMALL(IF((Expenses!E$3:E$999="GBP")*(Expenses!A$3:A$999=DATE(2025,12,29)),ROW(Expenses!A$3:A$999)-2),2)),0)+IFERROR(INDEX(Income!C$3:C$502,SMALL(IF((Income!D$3:D$502="GBP")*(Income!A$3:A$502=DATE(2025,12,29)),ROW(Income!A$3:A$502)-2),2)),0)=0,"",IFERROR(-INDEX(Expenses!D$3:D$999,SMALL(IF((Expenses!E$3:E$999="GBP")*(Expenses!A$3:A$999=DATE(2025,12,29)),ROW(Expenses!A$3:A$999)-2),2)),0)+IFERROR(INDEX(Income!C$3:C$502,SMALL(IF((Income!D$3:D$502="GBP")*(Income!A$3:A$502=DATE(2025,12,29)),ROW(Income!A$3:A$502)-2),2)),0))</f>
        <v/>
      </c>
      <c r="D5" s="126">
        <f t="array" ref="D5">IF(IFERROR(INDEX(Expenses!B$3:B$999,SMALL(IF((Expenses!E$3:E$999="GBP")*(Expenses!A$3:A$999=DATE(2025,12,29)),ROW(Expenses!A$3:A$999)-2),2)),"")&lt;&gt;"",IFERROR(INDEX(Expenses!B$3:B$999,SMALL(IF((Expenses!E$3:E$999="GBP")*(Expenses!A$3:A$999=DATE(2025,12,29)),ROW(Expenses!A$3:A$999)-2),2)),""),IF(IFERROR(INDEX(Income!B$3:B$502,SMALL(IF((Income!D$3:D$502="GBP")*(Income!A$3:A$502=DATE(2025,12,29)),ROW(Income!A$3:A$502)-2),2)),"")&lt;&gt;"",IFERROR(INDEX(Income!B$3:B$502,SMALL(IF((Income!D$3:D$502="GBP")*(Income!A$3:A$502=DATE(2025,12,29)),ROW(Income!A$3:A$502)-2),2)),""),""))</f>
        <v/>
      </c>
      <c r="E5" s="152">
        <f t="array" ref="E5">IF(IFERROR(-INDEX(Expenses!D$3:D$999,SMALL(IF((Expenses!E$3:E$999="GBP")*(Expenses!A$3:A$999=DATE(2025,12,30)),ROW(Expenses!A$3:A$999)-2),2)),0)+IFERROR(INDEX(Income!C$3:C$502,SMALL(IF((Income!D$3:D$502="GBP")*(Income!A$3:A$502=DATE(2025,12,30)),ROW(Income!A$3:A$502)-2),2)),0)=0,"",IFERROR(-INDEX(Expenses!D$3:D$999,SMALL(IF((Expenses!E$3:E$999="GBP")*(Expenses!A$3:A$999=DATE(2025,12,30)),ROW(Expenses!A$3:A$999)-2),2)),0)+IFERROR(INDEX(Income!C$3:C$502,SMALL(IF((Income!D$3:D$502="GBP")*(Income!A$3:A$502=DATE(2025,12,30)),ROW(Income!A$3:A$502)-2),2)),0))</f>
        <v/>
      </c>
      <c r="F5" s="126">
        <f t="array" ref="F5">IF(IFERROR(INDEX(Expenses!B$3:B$999,SMALL(IF((Expenses!E$3:E$999="GBP")*(Expenses!A$3:A$999=DATE(2025,12,30)),ROW(Expenses!A$3:A$999)-2),2)),"")&lt;&gt;"",IFERROR(INDEX(Expenses!B$3:B$999,SMALL(IF((Expenses!E$3:E$999="GBP")*(Expenses!A$3:A$999=DATE(2025,12,30)),ROW(Expenses!A$3:A$999)-2),2)),""),IF(IFERROR(INDEX(Income!B$3:B$502,SMALL(IF((Income!D$3:D$502="GBP")*(Income!A$3:A$502=DATE(2025,12,30)),ROW(Income!A$3:A$502)-2),2)),"")&lt;&gt;"",IFERROR(INDEX(Income!B$3:B$502,SMALL(IF((Income!D$3:D$502="GBP")*(Income!A$3:A$502=DATE(2025,12,30)),ROW(Income!A$3:A$502)-2),2)),""),""))</f>
        <v/>
      </c>
      <c r="G5" s="152">
        <f t="array" ref="G5">IF(IFERROR(-INDEX(Expenses!D$3:D$999,SMALL(IF((Expenses!E$3:E$999="GBP")*(Expenses!A$3:A$999=DATE(2025,12,31)),ROW(Expenses!A$3:A$999)-2),2)),0)+IFERROR(INDEX(Income!C$3:C$502,SMALL(IF((Income!D$3:D$502="GBP")*(Income!A$3:A$502=DATE(2025,12,31)),ROW(Income!A$3:A$502)-2),2)),0)=0,"",IFERROR(-INDEX(Expenses!D$3:D$999,SMALL(IF((Expenses!E$3:E$999="GBP")*(Expenses!A$3:A$999=DATE(2025,12,31)),ROW(Expenses!A$3:A$999)-2),2)),0)+IFERROR(INDEX(Income!C$3:C$502,SMALL(IF((Income!D$3:D$502="GBP")*(Income!A$3:A$502=DATE(2025,12,31)),ROW(Income!A$3:A$502)-2),2)),0))</f>
        <v/>
      </c>
      <c r="H5" s="126">
        <f t="array" ref="H5">IF(IFERROR(INDEX(Expenses!B$3:B$999,SMALL(IF((Expenses!E$3:E$999="GBP")*(Expenses!A$3:A$999=DATE(2025,12,31)),ROW(Expenses!A$3:A$999)-2),2)),"")&lt;&gt;"",IFERROR(INDEX(Expenses!B$3:B$999,SMALL(IF((Expenses!E$3:E$999="GBP")*(Expenses!A$3:A$999=DATE(2025,12,31)),ROW(Expenses!A$3:A$999)-2),2)),""),IF(IFERROR(INDEX(Income!B$3:B$502,SMALL(IF((Income!D$3:D$502="GBP")*(Income!A$3:A$502=DATE(2025,12,31)),ROW(Income!A$3:A$502)-2),2)),"")&lt;&gt;"",IFERROR(INDEX(Income!B$3:B$502,SMALL(IF((Income!D$3:D$502="GBP")*(Income!A$3:A$502=DATE(2025,12,31)),ROW(Income!A$3:A$502)-2),2)),""),""))</f>
        <v/>
      </c>
      <c r="I5" s="152">
        <f t="array" ref="I5">IF(IFERROR(-INDEX(Expenses!D$3:D$999,SMALL(IF((Expenses!E$3:E$999="GBP")*(Expenses!A$3:A$999=DATE(2026,1,1)),ROW(Expenses!A$3:A$999)-2),2)),0)+IFERROR(INDEX(Income!C$3:C$502,SMALL(IF((Income!D$3:D$502="GBP")*(Income!A$3:A$502=DATE(2026,1,1)),ROW(Income!A$3:A$502)-2),2)),0)=0,"",IFERROR(-INDEX(Expenses!D$3:D$999,SMALL(IF((Expenses!E$3:E$999="GBP")*(Expenses!A$3:A$999=DATE(2026,1,1)),ROW(Expenses!A$3:A$999)-2),2)),0)+IFERROR(INDEX(Income!C$3:C$502,SMALL(IF((Income!D$3:D$502="GBP")*(Income!A$3:A$502=DATE(2026,1,1)),ROW(Income!A$3:A$502)-2),2)),0))</f>
        <v/>
      </c>
      <c r="J5" s="126">
        <f t="array" ref="J5">IF(IFERROR(INDEX(Expenses!B$3:B$999,SMALL(IF((Expenses!E$3:E$999="GBP")*(Expenses!A$3:A$999=DATE(2026,1,1)),ROW(Expenses!A$3:A$999)-2),2)),"")&lt;&gt;"",IFERROR(INDEX(Expenses!B$3:B$999,SMALL(IF((Expenses!E$3:E$999="GBP")*(Expenses!A$3:A$999=DATE(2026,1,1)),ROW(Expenses!A$3:A$999)-2),2)),""),IF(IFERROR(INDEX(Income!B$3:B$502,SMALL(IF((Income!D$3:D$502="GBP")*(Income!A$3:A$502=DATE(2026,1,1)),ROW(Income!A$3:A$502)-2),2)),"")&lt;&gt;"",IFERROR(INDEX(Income!B$3:B$502,SMALL(IF((Income!D$3:D$502="GBP")*(Income!A$3:A$502=DATE(2026,1,1)),ROW(Income!A$3:A$502)-2),2)),""),""))</f>
        <v/>
      </c>
      <c r="K5" s="152">
        <f t="array" ref="K5">IF(IFERROR(-INDEX(Expenses!D$3:D$999,SMALL(IF((Expenses!E$3:E$999="GBP")*(Expenses!A$3:A$999=DATE(2026,1,2)),ROW(Expenses!A$3:A$999)-2),2)),0)+IFERROR(INDEX(Income!C$3:C$502,SMALL(IF((Income!D$3:D$502="GBP")*(Income!A$3:A$502=DATE(2026,1,2)),ROW(Income!A$3:A$502)-2),2)),0)=0,"",IFERROR(-INDEX(Expenses!D$3:D$999,SMALL(IF((Expenses!E$3:E$999="GBP")*(Expenses!A$3:A$999=DATE(2026,1,2)),ROW(Expenses!A$3:A$999)-2),2)),0)+IFERROR(INDEX(Income!C$3:C$502,SMALL(IF((Income!D$3:D$502="GBP")*(Income!A$3:A$502=DATE(2026,1,2)),ROW(Income!A$3:A$502)-2),2)),0))</f>
        <v/>
      </c>
      <c r="L5" s="126">
        <f t="array" ref="L5">IF(IFERROR(INDEX(Expenses!B$3:B$999,SMALL(IF((Expenses!E$3:E$999="GBP")*(Expenses!A$3:A$999=DATE(2026,1,2)),ROW(Expenses!A$3:A$999)-2),2)),"")&lt;&gt;"",IFERROR(INDEX(Expenses!B$3:B$999,SMALL(IF((Expenses!E$3:E$999="GBP")*(Expenses!A$3:A$999=DATE(2026,1,2)),ROW(Expenses!A$3:A$999)-2),2)),""),IF(IFERROR(INDEX(Income!B$3:B$502,SMALL(IF((Income!D$3:D$502="GBP")*(Income!A$3:A$502=DATE(2026,1,2)),ROW(Income!A$3:A$502)-2),2)),"")&lt;&gt;"",IFERROR(INDEX(Income!B$3:B$502,SMALL(IF((Income!D$3:D$502="GBP")*(Income!A$3:A$502=DATE(2026,1,2)),ROW(Income!A$3:A$502)-2),2)),""),""))</f>
        <v/>
      </c>
      <c r="M5" s="152">
        <f t="array" ref="M5">IF(IFERROR(-INDEX(Expenses!D$3:D$999,SMALL(IF((Expenses!E$3:E$999="GBP")*(Expenses!A$3:A$999=DATE(2026,1,3)),ROW(Expenses!A$3:A$999)-2),2)),0)+IFERROR(INDEX(Income!C$3:C$502,SMALL(IF((Income!D$3:D$502="GBP")*(Income!A$3:A$502=DATE(2026,1,3)),ROW(Income!A$3:A$502)-2),2)),0)=0,"",IFERROR(-INDEX(Expenses!D$3:D$999,SMALL(IF((Expenses!E$3:E$999="GBP")*(Expenses!A$3:A$999=DATE(2026,1,3)),ROW(Expenses!A$3:A$999)-2),2)),0)+IFERROR(INDEX(Income!C$3:C$502,SMALL(IF((Income!D$3:D$502="GBP")*(Income!A$3:A$502=DATE(2026,1,3)),ROW(Income!A$3:A$502)-2),2)),0))</f>
        <v/>
      </c>
      <c r="N5" s="126">
        <f t="array" ref="N5">IF(IFERROR(INDEX(Expenses!B$3:B$999,SMALL(IF((Expenses!E$3:E$999="GBP")*(Expenses!A$3:A$999=DATE(2026,1,3)),ROW(Expenses!A$3:A$999)-2),2)),"")&lt;&gt;"",IFERROR(INDEX(Expenses!B$3:B$999,SMALL(IF((Expenses!E$3:E$999="GBP")*(Expenses!A$3:A$999=DATE(2026,1,3)),ROW(Expenses!A$3:A$999)-2),2)),""),IF(IFERROR(INDEX(Income!B$3:B$502,SMALL(IF((Income!D$3:D$502="GBP")*(Income!A$3:A$502=DATE(2026,1,3)),ROW(Income!A$3:A$502)-2),2)),"")&lt;&gt;"",IFERROR(INDEX(Income!B$3:B$502,SMALL(IF((Income!D$3:D$502="GBP")*(Income!A$3:A$502=DATE(2026,1,3)),ROW(Income!A$3:A$502)-2),2)),""),""))</f>
        <v/>
      </c>
      <c r="O5" s="152">
        <f t="array" ref="O5">IF(IFERROR(-INDEX(Expenses!D$3:D$999,SMALL(IF((Expenses!E$3:E$999="GBP")*(Expenses!A$3:A$999=DATE(2026,1,4)),ROW(Expenses!A$3:A$999)-2),2)),0)+IFERROR(INDEX(Income!C$3:C$502,SMALL(IF((Income!D$3:D$502="GBP")*(Income!A$3:A$502=DATE(2026,1,4)),ROW(Income!A$3:A$502)-2),2)),0)=0,"",IFERROR(-INDEX(Expenses!D$3:D$999,SMALL(IF((Expenses!E$3:E$999="GBP")*(Expenses!A$3:A$999=DATE(2026,1,4)),ROW(Expenses!A$3:A$999)-2),2)),0)+IFERROR(INDEX(Income!C$3:C$502,SMALL(IF((Income!D$3:D$502="GBP")*(Income!A$3:A$502=DATE(2026,1,4)),ROW(Income!A$3:A$502)-2),2)),0))</f>
        <v/>
      </c>
      <c r="P5" s="126">
        <f t="array" ref="P5">IF(IFERROR(INDEX(Expenses!B$3:B$999,SMALL(IF((Expenses!E$3:E$999="GBP")*(Expenses!A$3:A$999=DATE(2026,1,4)),ROW(Expenses!A$3:A$999)-2),2)),"")&lt;&gt;"",IFERROR(INDEX(Expenses!B$3:B$999,SMALL(IF((Expenses!E$3:E$999="GBP")*(Expenses!A$3:A$999=DATE(2026,1,4)),ROW(Expenses!A$3:A$999)-2),2)),""),IF(IFERROR(INDEX(Income!B$3:B$502,SMALL(IF((Income!D$3:D$502="GBP")*(Income!A$3:A$502=DATE(2026,1,4)),ROW(Income!A$3:A$502)-2),2)),"")&lt;&gt;"",IFERROR(INDEX(Income!B$3:B$502,SMALL(IF((Income!D$3:D$502="GBP")*(Income!A$3:A$502=DATE(2026,1,4)),ROW(Income!A$3:A$502)-2),2)),""),""))</f>
        <v/>
      </c>
      <c r="Q5" s="9" t="n"/>
      <c r="R5" s="9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9" t="n"/>
      <c r="B6" s="9" t="n"/>
      <c r="C6" s="152">
        <f t="array" ref="C6">IF(IFERROR(-INDEX(Expenses!D$3:D$999,SMALL(IF((Expenses!E$3:E$999="GBP")*(Expenses!A$3:A$999=DATE(2025,12,29)),ROW(Expenses!A$3:A$999)-2),3)),0)+IFERROR(INDEX(Income!C$3:C$502,SMALL(IF((Income!D$3:D$502="GBP")*(Income!A$3:A$502=DATE(2025,12,29)),ROW(Income!A$3:A$502)-2),3)),0)=0,"",IFERROR(-INDEX(Expenses!D$3:D$999,SMALL(IF((Expenses!E$3:E$999="GBP")*(Expenses!A$3:A$999=DATE(2025,12,29)),ROW(Expenses!A$3:A$999)-2),3)),0)+IFERROR(INDEX(Income!C$3:C$502,SMALL(IF((Income!D$3:D$502="GBP")*(Income!A$3:A$502=DATE(2025,12,29)),ROW(Income!A$3:A$502)-2),3)),0))</f>
        <v/>
      </c>
      <c r="D6" s="126">
        <f t="array" ref="D6">IF(IFERROR(INDEX(Expenses!B$3:B$999,SMALL(IF((Expenses!E$3:E$999="GBP")*(Expenses!A$3:A$999=DATE(2025,12,29)),ROW(Expenses!A$3:A$999)-2),3)),"")&lt;&gt;"",IFERROR(INDEX(Expenses!B$3:B$999,SMALL(IF((Expenses!E$3:E$999="GBP")*(Expenses!A$3:A$999=DATE(2025,12,29)),ROW(Expenses!A$3:A$999)-2),3)),""),IF(IFERROR(INDEX(Income!B$3:B$502,SMALL(IF((Income!D$3:D$502="GBP")*(Income!A$3:A$502=DATE(2025,12,29)),ROW(Income!A$3:A$502)-2),3)),"")&lt;&gt;"",IFERROR(INDEX(Income!B$3:B$502,SMALL(IF((Income!D$3:D$502="GBP")*(Income!A$3:A$502=DATE(2025,12,29)),ROW(Income!A$3:A$502)-2),3)),""),""))</f>
        <v/>
      </c>
      <c r="E6" s="152">
        <f t="array" ref="E6">IF(IFERROR(-INDEX(Expenses!D$3:D$999,SMALL(IF((Expenses!E$3:E$999="GBP")*(Expenses!A$3:A$999=DATE(2025,12,30)),ROW(Expenses!A$3:A$999)-2),3)),0)+IFERROR(INDEX(Income!C$3:C$502,SMALL(IF((Income!D$3:D$502="GBP")*(Income!A$3:A$502=DATE(2025,12,30)),ROW(Income!A$3:A$502)-2),3)),0)=0,"",IFERROR(-INDEX(Expenses!D$3:D$999,SMALL(IF((Expenses!E$3:E$999="GBP")*(Expenses!A$3:A$999=DATE(2025,12,30)),ROW(Expenses!A$3:A$999)-2),3)),0)+IFERROR(INDEX(Income!C$3:C$502,SMALL(IF((Income!D$3:D$502="GBP")*(Income!A$3:A$502=DATE(2025,12,30)),ROW(Income!A$3:A$502)-2),3)),0))</f>
        <v/>
      </c>
      <c r="F6" s="126">
        <f t="array" ref="F6">IF(IFERROR(INDEX(Expenses!B$3:B$999,SMALL(IF((Expenses!E$3:E$999="GBP")*(Expenses!A$3:A$999=DATE(2025,12,30)),ROW(Expenses!A$3:A$999)-2),3)),"")&lt;&gt;"",IFERROR(INDEX(Expenses!B$3:B$999,SMALL(IF((Expenses!E$3:E$999="GBP")*(Expenses!A$3:A$999=DATE(2025,12,30)),ROW(Expenses!A$3:A$999)-2),3)),""),IF(IFERROR(INDEX(Income!B$3:B$502,SMALL(IF((Income!D$3:D$502="GBP")*(Income!A$3:A$502=DATE(2025,12,30)),ROW(Income!A$3:A$502)-2),3)),"")&lt;&gt;"",IFERROR(INDEX(Income!B$3:B$502,SMALL(IF((Income!D$3:D$502="GBP")*(Income!A$3:A$502=DATE(2025,12,30)),ROW(Income!A$3:A$502)-2),3)),""),""))</f>
        <v/>
      </c>
      <c r="G6" s="152">
        <f t="array" ref="G6">IF(IFERROR(-INDEX(Expenses!D$3:D$999,SMALL(IF((Expenses!E$3:E$999="GBP")*(Expenses!A$3:A$999=DATE(2025,12,31)),ROW(Expenses!A$3:A$999)-2),3)),0)+IFERROR(INDEX(Income!C$3:C$502,SMALL(IF((Income!D$3:D$502="GBP")*(Income!A$3:A$502=DATE(2025,12,31)),ROW(Income!A$3:A$502)-2),3)),0)=0,"",IFERROR(-INDEX(Expenses!D$3:D$999,SMALL(IF((Expenses!E$3:E$999="GBP")*(Expenses!A$3:A$999=DATE(2025,12,31)),ROW(Expenses!A$3:A$999)-2),3)),0)+IFERROR(INDEX(Income!C$3:C$502,SMALL(IF((Income!D$3:D$502="GBP")*(Income!A$3:A$502=DATE(2025,12,31)),ROW(Income!A$3:A$502)-2),3)),0))</f>
        <v/>
      </c>
      <c r="H6" s="126">
        <f t="array" ref="H6">IF(IFERROR(INDEX(Expenses!B$3:B$999,SMALL(IF((Expenses!E$3:E$999="GBP")*(Expenses!A$3:A$999=DATE(2025,12,31)),ROW(Expenses!A$3:A$999)-2),3)),"")&lt;&gt;"",IFERROR(INDEX(Expenses!B$3:B$999,SMALL(IF((Expenses!E$3:E$999="GBP")*(Expenses!A$3:A$999=DATE(2025,12,31)),ROW(Expenses!A$3:A$999)-2),3)),""),IF(IFERROR(INDEX(Income!B$3:B$502,SMALL(IF((Income!D$3:D$502="GBP")*(Income!A$3:A$502=DATE(2025,12,31)),ROW(Income!A$3:A$502)-2),3)),"")&lt;&gt;"",IFERROR(INDEX(Income!B$3:B$502,SMALL(IF((Income!D$3:D$502="GBP")*(Income!A$3:A$502=DATE(2025,12,31)),ROW(Income!A$3:A$502)-2),3)),""),""))</f>
        <v/>
      </c>
      <c r="I6" s="152">
        <f t="array" ref="I6">IF(IFERROR(-INDEX(Expenses!D$3:D$999,SMALL(IF((Expenses!E$3:E$999="GBP")*(Expenses!A$3:A$999=DATE(2026,1,1)),ROW(Expenses!A$3:A$999)-2),3)),0)+IFERROR(INDEX(Income!C$3:C$502,SMALL(IF((Income!D$3:D$502="GBP")*(Income!A$3:A$502=DATE(2026,1,1)),ROW(Income!A$3:A$502)-2),3)),0)=0,"",IFERROR(-INDEX(Expenses!D$3:D$999,SMALL(IF((Expenses!E$3:E$999="GBP")*(Expenses!A$3:A$999=DATE(2026,1,1)),ROW(Expenses!A$3:A$999)-2),3)),0)+IFERROR(INDEX(Income!C$3:C$502,SMALL(IF((Income!D$3:D$502="GBP")*(Income!A$3:A$502=DATE(2026,1,1)),ROW(Income!A$3:A$502)-2),3)),0))</f>
        <v/>
      </c>
      <c r="J6" s="126">
        <f t="array" ref="J6">IF(IFERROR(INDEX(Expenses!B$3:B$999,SMALL(IF((Expenses!E$3:E$999="GBP")*(Expenses!A$3:A$999=DATE(2026,1,1)),ROW(Expenses!A$3:A$999)-2),3)),"")&lt;&gt;"",IFERROR(INDEX(Expenses!B$3:B$999,SMALL(IF((Expenses!E$3:E$999="GBP")*(Expenses!A$3:A$999=DATE(2026,1,1)),ROW(Expenses!A$3:A$999)-2),3)),""),IF(IFERROR(INDEX(Income!B$3:B$502,SMALL(IF((Income!D$3:D$502="GBP")*(Income!A$3:A$502=DATE(2026,1,1)),ROW(Income!A$3:A$502)-2),3)),"")&lt;&gt;"",IFERROR(INDEX(Income!B$3:B$502,SMALL(IF((Income!D$3:D$502="GBP")*(Income!A$3:A$502=DATE(2026,1,1)),ROW(Income!A$3:A$502)-2),3)),""),""))</f>
        <v/>
      </c>
      <c r="K6" s="152">
        <f t="array" ref="K6">IF(IFERROR(-INDEX(Expenses!D$3:D$999,SMALL(IF((Expenses!E$3:E$999="GBP")*(Expenses!A$3:A$999=DATE(2026,1,2)),ROW(Expenses!A$3:A$999)-2),3)),0)+IFERROR(INDEX(Income!C$3:C$502,SMALL(IF((Income!D$3:D$502="GBP")*(Income!A$3:A$502=DATE(2026,1,2)),ROW(Income!A$3:A$502)-2),3)),0)=0,"",IFERROR(-INDEX(Expenses!D$3:D$999,SMALL(IF((Expenses!E$3:E$999="GBP")*(Expenses!A$3:A$999=DATE(2026,1,2)),ROW(Expenses!A$3:A$999)-2),3)),0)+IFERROR(INDEX(Income!C$3:C$502,SMALL(IF((Income!D$3:D$502="GBP")*(Income!A$3:A$502=DATE(2026,1,2)),ROW(Income!A$3:A$502)-2),3)),0))</f>
        <v/>
      </c>
      <c r="L6" s="126">
        <f t="array" ref="L6">IF(IFERROR(INDEX(Expenses!B$3:B$999,SMALL(IF((Expenses!E$3:E$999="GBP")*(Expenses!A$3:A$999=DATE(2026,1,2)),ROW(Expenses!A$3:A$999)-2),3)),"")&lt;&gt;"",IFERROR(INDEX(Expenses!B$3:B$999,SMALL(IF((Expenses!E$3:E$999="GBP")*(Expenses!A$3:A$999=DATE(2026,1,2)),ROW(Expenses!A$3:A$999)-2),3)),""),IF(IFERROR(INDEX(Income!B$3:B$502,SMALL(IF((Income!D$3:D$502="GBP")*(Income!A$3:A$502=DATE(2026,1,2)),ROW(Income!A$3:A$502)-2),3)),"")&lt;&gt;"",IFERROR(INDEX(Income!B$3:B$502,SMALL(IF((Income!D$3:D$502="GBP")*(Income!A$3:A$502=DATE(2026,1,2)),ROW(Income!A$3:A$502)-2),3)),""),""))</f>
        <v/>
      </c>
      <c r="M6" s="152">
        <f t="array" ref="M6">IF(IFERROR(-INDEX(Expenses!D$3:D$999,SMALL(IF((Expenses!E$3:E$999="GBP")*(Expenses!A$3:A$999=DATE(2026,1,3)),ROW(Expenses!A$3:A$999)-2),3)),0)+IFERROR(INDEX(Income!C$3:C$502,SMALL(IF((Income!D$3:D$502="GBP")*(Income!A$3:A$502=DATE(2026,1,3)),ROW(Income!A$3:A$502)-2),3)),0)=0,"",IFERROR(-INDEX(Expenses!D$3:D$999,SMALL(IF((Expenses!E$3:E$999="GBP")*(Expenses!A$3:A$999=DATE(2026,1,3)),ROW(Expenses!A$3:A$999)-2),3)),0)+IFERROR(INDEX(Income!C$3:C$502,SMALL(IF((Income!D$3:D$502="GBP")*(Income!A$3:A$502=DATE(2026,1,3)),ROW(Income!A$3:A$502)-2),3)),0))</f>
        <v/>
      </c>
      <c r="N6" s="126">
        <f t="array" ref="N6">IF(IFERROR(INDEX(Expenses!B$3:B$999,SMALL(IF((Expenses!E$3:E$999="GBP")*(Expenses!A$3:A$999=DATE(2026,1,3)),ROW(Expenses!A$3:A$999)-2),3)),"")&lt;&gt;"",IFERROR(INDEX(Expenses!B$3:B$999,SMALL(IF((Expenses!E$3:E$999="GBP")*(Expenses!A$3:A$999=DATE(2026,1,3)),ROW(Expenses!A$3:A$999)-2),3)),""),IF(IFERROR(INDEX(Income!B$3:B$502,SMALL(IF((Income!D$3:D$502="GBP")*(Income!A$3:A$502=DATE(2026,1,3)),ROW(Income!A$3:A$502)-2),3)),"")&lt;&gt;"",IFERROR(INDEX(Income!B$3:B$502,SMALL(IF((Income!D$3:D$502="GBP")*(Income!A$3:A$502=DATE(2026,1,3)),ROW(Income!A$3:A$502)-2),3)),""),""))</f>
        <v/>
      </c>
      <c r="O6" s="152">
        <f t="array" ref="O6">IF(IFERROR(-INDEX(Expenses!D$3:D$999,SMALL(IF((Expenses!E$3:E$999="GBP")*(Expenses!A$3:A$999=DATE(2026,1,4)),ROW(Expenses!A$3:A$999)-2),3)),0)+IFERROR(INDEX(Income!C$3:C$502,SMALL(IF((Income!D$3:D$502="GBP")*(Income!A$3:A$502=DATE(2026,1,4)),ROW(Income!A$3:A$502)-2),3)),0)=0,"",IFERROR(-INDEX(Expenses!D$3:D$999,SMALL(IF((Expenses!E$3:E$999="GBP")*(Expenses!A$3:A$999=DATE(2026,1,4)),ROW(Expenses!A$3:A$999)-2),3)),0)+IFERROR(INDEX(Income!C$3:C$502,SMALL(IF((Income!D$3:D$502="GBP")*(Income!A$3:A$502=DATE(2026,1,4)),ROW(Income!A$3:A$502)-2),3)),0))</f>
        <v/>
      </c>
      <c r="P6" s="126">
        <f t="array" ref="P6">IF(IFERROR(INDEX(Expenses!B$3:B$999,SMALL(IF((Expenses!E$3:E$999="GBP")*(Expenses!A$3:A$999=DATE(2026,1,4)),ROW(Expenses!A$3:A$999)-2),3)),"")&lt;&gt;"",IFERROR(INDEX(Expenses!B$3:B$999,SMALL(IF((Expenses!E$3:E$999="GBP")*(Expenses!A$3:A$999=DATE(2026,1,4)),ROW(Expenses!A$3:A$999)-2),3)),""),IF(IFERROR(INDEX(Income!B$3:B$502,SMALL(IF((Income!D$3:D$502="GBP")*(Income!A$3:A$502=DATE(2026,1,4)),ROW(Income!A$3:A$502)-2),3)),"")&lt;&gt;"",IFERROR(INDEX(Income!B$3:B$502,SMALL(IF((Income!D$3:D$502="GBP")*(Income!A$3:A$502=DATE(2026,1,4)),ROW(Income!A$3:A$502)-2),3)),""),""))</f>
        <v/>
      </c>
      <c r="Q6" s="9" t="n"/>
      <c r="R6" s="9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9" t="n"/>
      <c r="B7" s="9" t="n"/>
      <c r="C7" s="152">
        <f t="array" ref="C7">IF(IFERROR(-INDEX(Expenses!D$3:D$999,SMALL(IF((Expenses!E$3:E$999="GBP")*(Expenses!A$3:A$999=DATE(2025,12,29)),ROW(Expenses!A$3:A$999)-2),4)),0)+IFERROR(INDEX(Income!C$3:C$502,SMALL(IF((Income!D$3:D$502="GBP")*(Income!A$3:A$502=DATE(2025,12,29)),ROW(Income!A$3:A$502)-2),4)),0)=0,"",IFERROR(-INDEX(Expenses!D$3:D$999,SMALL(IF((Expenses!E$3:E$999="GBP")*(Expenses!A$3:A$999=DATE(2025,12,29)),ROW(Expenses!A$3:A$999)-2),4)),0)+IFERROR(INDEX(Income!C$3:C$502,SMALL(IF((Income!D$3:D$502="GBP")*(Income!A$3:A$502=DATE(2025,12,29)),ROW(Income!A$3:A$502)-2),4)),0))</f>
        <v/>
      </c>
      <c r="D7" s="126">
        <f t="array" ref="D7">IF(IFERROR(INDEX(Expenses!B$3:B$999,SMALL(IF((Expenses!E$3:E$999="GBP")*(Expenses!A$3:A$999=DATE(2025,12,29)),ROW(Expenses!A$3:A$999)-2),4)),"")&lt;&gt;"",IFERROR(INDEX(Expenses!B$3:B$999,SMALL(IF((Expenses!E$3:E$999="GBP")*(Expenses!A$3:A$999=DATE(2025,12,29)),ROW(Expenses!A$3:A$999)-2),4)),""),IF(IFERROR(INDEX(Income!B$3:B$502,SMALL(IF((Income!D$3:D$502="GBP")*(Income!A$3:A$502=DATE(2025,12,29)),ROW(Income!A$3:A$502)-2),4)),"")&lt;&gt;"",IFERROR(INDEX(Income!B$3:B$502,SMALL(IF((Income!D$3:D$502="GBP")*(Income!A$3:A$502=DATE(2025,12,29)),ROW(Income!A$3:A$502)-2),4)),""),""))</f>
        <v/>
      </c>
      <c r="E7" s="152">
        <f t="array" ref="E7">IF(IFERROR(-INDEX(Expenses!D$3:D$999,SMALL(IF((Expenses!E$3:E$999="GBP")*(Expenses!A$3:A$999=DATE(2025,12,30)),ROW(Expenses!A$3:A$999)-2),4)),0)+IFERROR(INDEX(Income!C$3:C$502,SMALL(IF((Income!D$3:D$502="GBP")*(Income!A$3:A$502=DATE(2025,12,30)),ROW(Income!A$3:A$502)-2),4)),0)=0,"",IFERROR(-INDEX(Expenses!D$3:D$999,SMALL(IF((Expenses!E$3:E$999="GBP")*(Expenses!A$3:A$999=DATE(2025,12,30)),ROW(Expenses!A$3:A$999)-2),4)),0)+IFERROR(INDEX(Income!C$3:C$502,SMALL(IF((Income!D$3:D$502="GBP")*(Income!A$3:A$502=DATE(2025,12,30)),ROW(Income!A$3:A$502)-2),4)),0))</f>
        <v/>
      </c>
      <c r="F7" s="126">
        <f t="array" ref="F7">IF(IFERROR(INDEX(Expenses!B$3:B$999,SMALL(IF((Expenses!E$3:E$999="GBP")*(Expenses!A$3:A$999=DATE(2025,12,30)),ROW(Expenses!A$3:A$999)-2),4)),"")&lt;&gt;"",IFERROR(INDEX(Expenses!B$3:B$999,SMALL(IF((Expenses!E$3:E$999="GBP")*(Expenses!A$3:A$999=DATE(2025,12,30)),ROW(Expenses!A$3:A$999)-2),4)),""),IF(IFERROR(INDEX(Income!B$3:B$502,SMALL(IF((Income!D$3:D$502="GBP")*(Income!A$3:A$502=DATE(2025,12,30)),ROW(Income!A$3:A$502)-2),4)),"")&lt;&gt;"",IFERROR(INDEX(Income!B$3:B$502,SMALL(IF((Income!D$3:D$502="GBP")*(Income!A$3:A$502=DATE(2025,12,30)),ROW(Income!A$3:A$502)-2),4)),""),""))</f>
        <v/>
      </c>
      <c r="G7" s="152">
        <f t="array" ref="G7">IF(IFERROR(-INDEX(Expenses!D$3:D$999,SMALL(IF((Expenses!E$3:E$999="GBP")*(Expenses!A$3:A$999=DATE(2025,12,31)),ROW(Expenses!A$3:A$999)-2),4)),0)+IFERROR(INDEX(Income!C$3:C$502,SMALL(IF((Income!D$3:D$502="GBP")*(Income!A$3:A$502=DATE(2025,12,31)),ROW(Income!A$3:A$502)-2),4)),0)=0,"",IFERROR(-INDEX(Expenses!D$3:D$999,SMALL(IF((Expenses!E$3:E$999="GBP")*(Expenses!A$3:A$999=DATE(2025,12,31)),ROW(Expenses!A$3:A$999)-2),4)),0)+IFERROR(INDEX(Income!C$3:C$502,SMALL(IF((Income!D$3:D$502="GBP")*(Income!A$3:A$502=DATE(2025,12,31)),ROW(Income!A$3:A$502)-2),4)),0))</f>
        <v/>
      </c>
      <c r="H7" s="126">
        <f t="array" ref="H7">IF(IFERROR(INDEX(Expenses!B$3:B$999,SMALL(IF((Expenses!E$3:E$999="GBP")*(Expenses!A$3:A$999=DATE(2025,12,31)),ROW(Expenses!A$3:A$999)-2),4)),"")&lt;&gt;"",IFERROR(INDEX(Expenses!B$3:B$999,SMALL(IF((Expenses!E$3:E$999="GBP")*(Expenses!A$3:A$999=DATE(2025,12,31)),ROW(Expenses!A$3:A$999)-2),4)),""),IF(IFERROR(INDEX(Income!B$3:B$502,SMALL(IF((Income!D$3:D$502="GBP")*(Income!A$3:A$502=DATE(2025,12,31)),ROW(Income!A$3:A$502)-2),4)),"")&lt;&gt;"",IFERROR(INDEX(Income!B$3:B$502,SMALL(IF((Income!D$3:D$502="GBP")*(Income!A$3:A$502=DATE(2025,12,31)),ROW(Income!A$3:A$502)-2),4)),""),""))</f>
        <v/>
      </c>
      <c r="I7" s="152">
        <f t="array" ref="I7">IF(IFERROR(-INDEX(Expenses!D$3:D$999,SMALL(IF((Expenses!E$3:E$999="GBP")*(Expenses!A$3:A$999=DATE(2026,1,1)),ROW(Expenses!A$3:A$999)-2),4)),0)+IFERROR(INDEX(Income!C$3:C$502,SMALL(IF((Income!D$3:D$502="GBP")*(Income!A$3:A$502=DATE(2026,1,1)),ROW(Income!A$3:A$502)-2),4)),0)=0,"",IFERROR(-INDEX(Expenses!D$3:D$999,SMALL(IF((Expenses!E$3:E$999="GBP")*(Expenses!A$3:A$999=DATE(2026,1,1)),ROW(Expenses!A$3:A$999)-2),4)),0)+IFERROR(INDEX(Income!C$3:C$502,SMALL(IF((Income!D$3:D$502="GBP")*(Income!A$3:A$502=DATE(2026,1,1)),ROW(Income!A$3:A$502)-2),4)),0))</f>
        <v/>
      </c>
      <c r="J7" s="126">
        <f t="array" ref="J7">IF(IFERROR(INDEX(Expenses!B$3:B$999,SMALL(IF((Expenses!E$3:E$999="GBP")*(Expenses!A$3:A$999=DATE(2026,1,1)),ROW(Expenses!A$3:A$999)-2),4)),"")&lt;&gt;"",IFERROR(INDEX(Expenses!B$3:B$999,SMALL(IF((Expenses!E$3:E$999="GBP")*(Expenses!A$3:A$999=DATE(2026,1,1)),ROW(Expenses!A$3:A$999)-2),4)),""),IF(IFERROR(INDEX(Income!B$3:B$502,SMALL(IF((Income!D$3:D$502="GBP")*(Income!A$3:A$502=DATE(2026,1,1)),ROW(Income!A$3:A$502)-2),4)),"")&lt;&gt;"",IFERROR(INDEX(Income!B$3:B$502,SMALL(IF((Income!D$3:D$502="GBP")*(Income!A$3:A$502=DATE(2026,1,1)),ROW(Income!A$3:A$502)-2),4)),""),""))</f>
        <v/>
      </c>
      <c r="K7" s="152">
        <f t="array" ref="K7">IF(IFERROR(-INDEX(Expenses!D$3:D$999,SMALL(IF((Expenses!E$3:E$999="GBP")*(Expenses!A$3:A$999=DATE(2026,1,2)),ROW(Expenses!A$3:A$999)-2),4)),0)+IFERROR(INDEX(Income!C$3:C$502,SMALL(IF((Income!D$3:D$502="GBP")*(Income!A$3:A$502=DATE(2026,1,2)),ROW(Income!A$3:A$502)-2),4)),0)=0,"",IFERROR(-INDEX(Expenses!D$3:D$999,SMALL(IF((Expenses!E$3:E$999="GBP")*(Expenses!A$3:A$999=DATE(2026,1,2)),ROW(Expenses!A$3:A$999)-2),4)),0)+IFERROR(INDEX(Income!C$3:C$502,SMALL(IF((Income!D$3:D$502="GBP")*(Income!A$3:A$502=DATE(2026,1,2)),ROW(Income!A$3:A$502)-2),4)),0))</f>
        <v/>
      </c>
      <c r="L7" s="126">
        <f t="array" ref="L7">IF(IFERROR(INDEX(Expenses!B$3:B$999,SMALL(IF((Expenses!E$3:E$999="GBP")*(Expenses!A$3:A$999=DATE(2026,1,2)),ROW(Expenses!A$3:A$999)-2),4)),"")&lt;&gt;"",IFERROR(INDEX(Expenses!B$3:B$999,SMALL(IF((Expenses!E$3:E$999="GBP")*(Expenses!A$3:A$999=DATE(2026,1,2)),ROW(Expenses!A$3:A$999)-2),4)),""),IF(IFERROR(INDEX(Income!B$3:B$502,SMALL(IF((Income!D$3:D$502="GBP")*(Income!A$3:A$502=DATE(2026,1,2)),ROW(Income!A$3:A$502)-2),4)),"")&lt;&gt;"",IFERROR(INDEX(Income!B$3:B$502,SMALL(IF((Income!D$3:D$502="GBP")*(Income!A$3:A$502=DATE(2026,1,2)),ROW(Income!A$3:A$502)-2),4)),""),""))</f>
        <v/>
      </c>
      <c r="M7" s="152">
        <f t="array" ref="M7">IF(IFERROR(-INDEX(Expenses!D$3:D$999,SMALL(IF((Expenses!E$3:E$999="GBP")*(Expenses!A$3:A$999=DATE(2026,1,3)),ROW(Expenses!A$3:A$999)-2),4)),0)+IFERROR(INDEX(Income!C$3:C$502,SMALL(IF((Income!D$3:D$502="GBP")*(Income!A$3:A$502=DATE(2026,1,3)),ROW(Income!A$3:A$502)-2),4)),0)=0,"",IFERROR(-INDEX(Expenses!D$3:D$999,SMALL(IF((Expenses!E$3:E$999="GBP")*(Expenses!A$3:A$999=DATE(2026,1,3)),ROW(Expenses!A$3:A$999)-2),4)),0)+IFERROR(INDEX(Income!C$3:C$502,SMALL(IF((Income!D$3:D$502="GBP")*(Income!A$3:A$502=DATE(2026,1,3)),ROW(Income!A$3:A$502)-2),4)),0))</f>
        <v/>
      </c>
      <c r="N7" s="126">
        <f t="array" ref="N7">IF(IFERROR(INDEX(Expenses!B$3:B$999,SMALL(IF((Expenses!E$3:E$999="GBP")*(Expenses!A$3:A$999=DATE(2026,1,3)),ROW(Expenses!A$3:A$999)-2),4)),"")&lt;&gt;"",IFERROR(INDEX(Expenses!B$3:B$999,SMALL(IF((Expenses!E$3:E$999="GBP")*(Expenses!A$3:A$999=DATE(2026,1,3)),ROW(Expenses!A$3:A$999)-2),4)),""),IF(IFERROR(INDEX(Income!B$3:B$502,SMALL(IF((Income!D$3:D$502="GBP")*(Income!A$3:A$502=DATE(2026,1,3)),ROW(Income!A$3:A$502)-2),4)),"")&lt;&gt;"",IFERROR(INDEX(Income!B$3:B$502,SMALL(IF((Income!D$3:D$502="GBP")*(Income!A$3:A$502=DATE(2026,1,3)),ROW(Income!A$3:A$502)-2),4)),""),""))</f>
        <v/>
      </c>
      <c r="O7" s="152">
        <f t="array" ref="O7">IF(IFERROR(-INDEX(Expenses!D$3:D$999,SMALL(IF((Expenses!E$3:E$999="GBP")*(Expenses!A$3:A$999=DATE(2026,1,4)),ROW(Expenses!A$3:A$999)-2),4)),0)+IFERROR(INDEX(Income!C$3:C$502,SMALL(IF((Income!D$3:D$502="GBP")*(Income!A$3:A$502=DATE(2026,1,4)),ROW(Income!A$3:A$502)-2),4)),0)=0,"",IFERROR(-INDEX(Expenses!D$3:D$999,SMALL(IF((Expenses!E$3:E$999="GBP")*(Expenses!A$3:A$999=DATE(2026,1,4)),ROW(Expenses!A$3:A$999)-2),4)),0)+IFERROR(INDEX(Income!C$3:C$502,SMALL(IF((Income!D$3:D$502="GBP")*(Income!A$3:A$502=DATE(2026,1,4)),ROW(Income!A$3:A$502)-2),4)),0))</f>
        <v/>
      </c>
      <c r="P7" s="126">
        <f t="array" ref="P7">IF(IFERROR(INDEX(Expenses!B$3:B$999,SMALL(IF((Expenses!E$3:E$999="GBP")*(Expenses!A$3:A$999=DATE(2026,1,4)),ROW(Expenses!A$3:A$999)-2),4)),"")&lt;&gt;"",IFERROR(INDEX(Expenses!B$3:B$999,SMALL(IF((Expenses!E$3:E$999="GBP")*(Expenses!A$3:A$999=DATE(2026,1,4)),ROW(Expenses!A$3:A$999)-2),4)),""),IF(IFERROR(INDEX(Income!B$3:B$502,SMALL(IF((Income!D$3:D$502="GBP")*(Income!A$3:A$502=DATE(2026,1,4)),ROW(Income!A$3:A$502)-2),4)),"")&lt;&gt;"",IFERROR(INDEX(Income!B$3:B$502,SMALL(IF((Income!D$3:D$502="GBP")*(Income!A$3:A$502=DATE(2026,1,4)),ROW(Income!A$3:A$502)-2),4)),""),""))</f>
        <v/>
      </c>
      <c r="Q7" s="9" t="n"/>
      <c r="R7" s="9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9" t="n"/>
      <c r="B8" s="9" t="n"/>
      <c r="C8" s="152">
        <f t="array" ref="C8">IF(IFERROR(-INDEX(Expenses!D$3:D$999,SMALL(IF((Expenses!E$3:E$999="GBP")*(Expenses!A$3:A$999=DATE(2025,12,29)),ROW(Expenses!A$3:A$999)-2),5)),0)+IFERROR(INDEX(Income!C$3:C$502,SMALL(IF((Income!D$3:D$502="GBP")*(Income!A$3:A$502=DATE(2025,12,29)),ROW(Income!A$3:A$502)-2),5)),0)=0,"",IFERROR(-INDEX(Expenses!D$3:D$999,SMALL(IF((Expenses!E$3:E$999="GBP")*(Expenses!A$3:A$999=DATE(2025,12,29)),ROW(Expenses!A$3:A$999)-2),5)),0)+IFERROR(INDEX(Income!C$3:C$502,SMALL(IF((Income!D$3:D$502="GBP")*(Income!A$3:A$502=DATE(2025,12,29)),ROW(Income!A$3:A$502)-2),5)),0))</f>
        <v/>
      </c>
      <c r="D8" s="126">
        <f t="array" ref="D8">IF(IFERROR(INDEX(Expenses!B$3:B$999,SMALL(IF((Expenses!E$3:E$999="GBP")*(Expenses!A$3:A$999=DATE(2025,12,29)),ROW(Expenses!A$3:A$999)-2),5)),"")&lt;&gt;"",IFERROR(INDEX(Expenses!B$3:B$999,SMALL(IF((Expenses!E$3:E$999="GBP")*(Expenses!A$3:A$999=DATE(2025,12,29)),ROW(Expenses!A$3:A$999)-2),5)),""),IF(IFERROR(INDEX(Income!B$3:B$502,SMALL(IF((Income!D$3:D$502="GBP")*(Income!A$3:A$502=DATE(2025,12,29)),ROW(Income!A$3:A$502)-2),5)),"")&lt;&gt;"",IFERROR(INDEX(Income!B$3:B$502,SMALL(IF((Income!D$3:D$502="GBP")*(Income!A$3:A$502=DATE(2025,12,29)),ROW(Income!A$3:A$502)-2),5)),""),""))</f>
        <v/>
      </c>
      <c r="E8" s="152">
        <f t="array" ref="E8">IF(IFERROR(-INDEX(Expenses!D$3:D$999,SMALL(IF((Expenses!E$3:E$999="GBP")*(Expenses!A$3:A$999=DATE(2025,12,30)),ROW(Expenses!A$3:A$999)-2),5)),0)+IFERROR(INDEX(Income!C$3:C$502,SMALL(IF((Income!D$3:D$502="GBP")*(Income!A$3:A$502=DATE(2025,12,30)),ROW(Income!A$3:A$502)-2),5)),0)=0,"",IFERROR(-INDEX(Expenses!D$3:D$999,SMALL(IF((Expenses!E$3:E$999="GBP")*(Expenses!A$3:A$999=DATE(2025,12,30)),ROW(Expenses!A$3:A$999)-2),5)),0)+IFERROR(INDEX(Income!C$3:C$502,SMALL(IF((Income!D$3:D$502="GBP")*(Income!A$3:A$502=DATE(2025,12,30)),ROW(Income!A$3:A$502)-2),5)),0))</f>
        <v/>
      </c>
      <c r="F8" s="126">
        <f t="array" ref="F8">IF(IFERROR(INDEX(Expenses!B$3:B$999,SMALL(IF((Expenses!E$3:E$999="GBP")*(Expenses!A$3:A$999=DATE(2025,12,30)),ROW(Expenses!A$3:A$999)-2),5)),"")&lt;&gt;"",IFERROR(INDEX(Expenses!B$3:B$999,SMALL(IF((Expenses!E$3:E$999="GBP")*(Expenses!A$3:A$999=DATE(2025,12,30)),ROW(Expenses!A$3:A$999)-2),5)),""),IF(IFERROR(INDEX(Income!B$3:B$502,SMALL(IF((Income!D$3:D$502="GBP")*(Income!A$3:A$502=DATE(2025,12,30)),ROW(Income!A$3:A$502)-2),5)),"")&lt;&gt;"",IFERROR(INDEX(Income!B$3:B$502,SMALL(IF((Income!D$3:D$502="GBP")*(Income!A$3:A$502=DATE(2025,12,30)),ROW(Income!A$3:A$502)-2),5)),""),""))</f>
        <v/>
      </c>
      <c r="G8" s="152">
        <f t="array" ref="G8">IF(IFERROR(-INDEX(Expenses!D$3:D$999,SMALL(IF((Expenses!E$3:E$999="GBP")*(Expenses!A$3:A$999=DATE(2025,12,31)),ROW(Expenses!A$3:A$999)-2),5)),0)+IFERROR(INDEX(Income!C$3:C$502,SMALL(IF((Income!D$3:D$502="GBP")*(Income!A$3:A$502=DATE(2025,12,31)),ROW(Income!A$3:A$502)-2),5)),0)=0,"",IFERROR(-INDEX(Expenses!D$3:D$999,SMALL(IF((Expenses!E$3:E$999="GBP")*(Expenses!A$3:A$999=DATE(2025,12,31)),ROW(Expenses!A$3:A$999)-2),5)),0)+IFERROR(INDEX(Income!C$3:C$502,SMALL(IF((Income!D$3:D$502="GBP")*(Income!A$3:A$502=DATE(2025,12,31)),ROW(Income!A$3:A$502)-2),5)),0))</f>
        <v/>
      </c>
      <c r="H8" s="126">
        <f t="array" ref="H8">IF(IFERROR(INDEX(Expenses!B$3:B$999,SMALL(IF((Expenses!E$3:E$999="GBP")*(Expenses!A$3:A$999=DATE(2025,12,31)),ROW(Expenses!A$3:A$999)-2),5)),"")&lt;&gt;"",IFERROR(INDEX(Expenses!B$3:B$999,SMALL(IF((Expenses!E$3:E$999="GBP")*(Expenses!A$3:A$999=DATE(2025,12,31)),ROW(Expenses!A$3:A$999)-2),5)),""),IF(IFERROR(INDEX(Income!B$3:B$502,SMALL(IF((Income!D$3:D$502="GBP")*(Income!A$3:A$502=DATE(2025,12,31)),ROW(Income!A$3:A$502)-2),5)),"")&lt;&gt;"",IFERROR(INDEX(Income!B$3:B$502,SMALL(IF((Income!D$3:D$502="GBP")*(Income!A$3:A$502=DATE(2025,12,31)),ROW(Income!A$3:A$502)-2),5)),""),""))</f>
        <v/>
      </c>
      <c r="I8" s="152">
        <f t="array" ref="I8">IF(IFERROR(-INDEX(Expenses!D$3:D$999,SMALL(IF((Expenses!E$3:E$999="GBP")*(Expenses!A$3:A$999=DATE(2026,1,1)),ROW(Expenses!A$3:A$999)-2),5)),0)+IFERROR(INDEX(Income!C$3:C$502,SMALL(IF((Income!D$3:D$502="GBP")*(Income!A$3:A$502=DATE(2026,1,1)),ROW(Income!A$3:A$502)-2),5)),0)=0,"",IFERROR(-INDEX(Expenses!D$3:D$999,SMALL(IF((Expenses!E$3:E$999="GBP")*(Expenses!A$3:A$999=DATE(2026,1,1)),ROW(Expenses!A$3:A$999)-2),5)),0)+IFERROR(INDEX(Income!C$3:C$502,SMALL(IF((Income!D$3:D$502="GBP")*(Income!A$3:A$502=DATE(2026,1,1)),ROW(Income!A$3:A$502)-2),5)),0))</f>
        <v/>
      </c>
      <c r="J8" s="126">
        <f t="array" ref="J8">IF(IFERROR(INDEX(Expenses!B$3:B$999,SMALL(IF((Expenses!E$3:E$999="GBP")*(Expenses!A$3:A$999=DATE(2026,1,1)),ROW(Expenses!A$3:A$999)-2),5)),"")&lt;&gt;"",IFERROR(INDEX(Expenses!B$3:B$999,SMALL(IF((Expenses!E$3:E$999="GBP")*(Expenses!A$3:A$999=DATE(2026,1,1)),ROW(Expenses!A$3:A$999)-2),5)),""),IF(IFERROR(INDEX(Income!B$3:B$502,SMALL(IF((Income!D$3:D$502="GBP")*(Income!A$3:A$502=DATE(2026,1,1)),ROW(Income!A$3:A$502)-2),5)),"")&lt;&gt;"",IFERROR(INDEX(Income!B$3:B$502,SMALL(IF((Income!D$3:D$502="GBP")*(Income!A$3:A$502=DATE(2026,1,1)),ROW(Income!A$3:A$502)-2),5)),""),""))</f>
        <v/>
      </c>
      <c r="K8" s="152">
        <f t="array" ref="K8">IF(IFERROR(-INDEX(Expenses!D$3:D$999,SMALL(IF((Expenses!E$3:E$999="GBP")*(Expenses!A$3:A$999=DATE(2026,1,2)),ROW(Expenses!A$3:A$999)-2),5)),0)+IFERROR(INDEX(Income!C$3:C$502,SMALL(IF((Income!D$3:D$502="GBP")*(Income!A$3:A$502=DATE(2026,1,2)),ROW(Income!A$3:A$502)-2),5)),0)=0,"",IFERROR(-INDEX(Expenses!D$3:D$999,SMALL(IF((Expenses!E$3:E$999="GBP")*(Expenses!A$3:A$999=DATE(2026,1,2)),ROW(Expenses!A$3:A$999)-2),5)),0)+IFERROR(INDEX(Income!C$3:C$502,SMALL(IF((Income!D$3:D$502="GBP")*(Income!A$3:A$502=DATE(2026,1,2)),ROW(Income!A$3:A$502)-2),5)),0))</f>
        <v/>
      </c>
      <c r="L8" s="126">
        <f t="array" ref="L8">IF(IFERROR(INDEX(Expenses!B$3:B$999,SMALL(IF((Expenses!E$3:E$999="GBP")*(Expenses!A$3:A$999=DATE(2026,1,2)),ROW(Expenses!A$3:A$999)-2),5)),"")&lt;&gt;"",IFERROR(INDEX(Expenses!B$3:B$999,SMALL(IF((Expenses!E$3:E$999="GBP")*(Expenses!A$3:A$999=DATE(2026,1,2)),ROW(Expenses!A$3:A$999)-2),5)),""),IF(IFERROR(INDEX(Income!B$3:B$502,SMALL(IF((Income!D$3:D$502="GBP")*(Income!A$3:A$502=DATE(2026,1,2)),ROW(Income!A$3:A$502)-2),5)),"")&lt;&gt;"",IFERROR(INDEX(Income!B$3:B$502,SMALL(IF((Income!D$3:D$502="GBP")*(Income!A$3:A$502=DATE(2026,1,2)),ROW(Income!A$3:A$502)-2),5)),""),""))</f>
        <v/>
      </c>
      <c r="M8" s="152">
        <f t="array" ref="M8">IF(IFERROR(-INDEX(Expenses!D$3:D$999,SMALL(IF((Expenses!E$3:E$999="GBP")*(Expenses!A$3:A$999=DATE(2026,1,3)),ROW(Expenses!A$3:A$999)-2),5)),0)+IFERROR(INDEX(Income!C$3:C$502,SMALL(IF((Income!D$3:D$502="GBP")*(Income!A$3:A$502=DATE(2026,1,3)),ROW(Income!A$3:A$502)-2),5)),0)=0,"",IFERROR(-INDEX(Expenses!D$3:D$999,SMALL(IF((Expenses!E$3:E$999="GBP")*(Expenses!A$3:A$999=DATE(2026,1,3)),ROW(Expenses!A$3:A$999)-2),5)),0)+IFERROR(INDEX(Income!C$3:C$502,SMALL(IF((Income!D$3:D$502="GBP")*(Income!A$3:A$502=DATE(2026,1,3)),ROW(Income!A$3:A$502)-2),5)),0))</f>
        <v/>
      </c>
      <c r="N8" s="126">
        <f t="array" ref="N8">IF(IFERROR(INDEX(Expenses!B$3:B$999,SMALL(IF((Expenses!E$3:E$999="GBP")*(Expenses!A$3:A$999=DATE(2026,1,3)),ROW(Expenses!A$3:A$999)-2),5)),"")&lt;&gt;"",IFERROR(INDEX(Expenses!B$3:B$999,SMALL(IF((Expenses!E$3:E$999="GBP")*(Expenses!A$3:A$999=DATE(2026,1,3)),ROW(Expenses!A$3:A$999)-2),5)),""),IF(IFERROR(INDEX(Income!B$3:B$502,SMALL(IF((Income!D$3:D$502="GBP")*(Income!A$3:A$502=DATE(2026,1,3)),ROW(Income!A$3:A$502)-2),5)),"")&lt;&gt;"",IFERROR(INDEX(Income!B$3:B$502,SMALL(IF((Income!D$3:D$502="GBP")*(Income!A$3:A$502=DATE(2026,1,3)),ROW(Income!A$3:A$502)-2),5)),""),""))</f>
        <v/>
      </c>
      <c r="O8" s="152">
        <f t="array" ref="O8">IF(IFERROR(-INDEX(Expenses!D$3:D$999,SMALL(IF((Expenses!E$3:E$999="GBP")*(Expenses!A$3:A$999=DATE(2026,1,4)),ROW(Expenses!A$3:A$999)-2),5)),0)+IFERROR(INDEX(Income!C$3:C$502,SMALL(IF((Income!D$3:D$502="GBP")*(Income!A$3:A$502=DATE(2026,1,4)),ROW(Income!A$3:A$502)-2),5)),0)=0,"",IFERROR(-INDEX(Expenses!D$3:D$999,SMALL(IF((Expenses!E$3:E$999="GBP")*(Expenses!A$3:A$999=DATE(2026,1,4)),ROW(Expenses!A$3:A$999)-2),5)),0)+IFERROR(INDEX(Income!C$3:C$502,SMALL(IF((Income!D$3:D$502="GBP")*(Income!A$3:A$502=DATE(2026,1,4)),ROW(Income!A$3:A$502)-2),5)),0))</f>
        <v/>
      </c>
      <c r="P8" s="126">
        <f t="array" ref="P8">IF(IFERROR(INDEX(Expenses!B$3:B$999,SMALL(IF((Expenses!E$3:E$999="GBP")*(Expenses!A$3:A$999=DATE(2026,1,4)),ROW(Expenses!A$3:A$999)-2),5)),"")&lt;&gt;"",IFERROR(INDEX(Expenses!B$3:B$999,SMALL(IF((Expenses!E$3:E$999="GBP")*(Expenses!A$3:A$999=DATE(2026,1,4)),ROW(Expenses!A$3:A$999)-2),5)),""),IF(IFERROR(INDEX(Income!B$3:B$502,SMALL(IF((Income!D$3:D$502="GBP")*(Income!A$3:A$502=DATE(2026,1,4)),ROW(Income!A$3:A$502)-2),5)),"")&lt;&gt;"",IFERROR(INDEX(Income!B$3:B$502,SMALL(IF((Income!D$3:D$502="GBP")*(Income!A$3:A$502=DATE(2026,1,4)),ROW(Income!A$3:A$502)-2),5)),""),""))</f>
        <v/>
      </c>
      <c r="Q8" s="9" t="n"/>
      <c r="R8" s="9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51" t="n">
        <v>46027</v>
      </c>
      <c r="B9" s="103" t="n">
        <v>2</v>
      </c>
      <c r="C9" s="152">
        <f t="array" ref="C9">IF(IFERROR(-INDEX(Expenses!D$3:D$999,SMALL(IF((Expenses!E$3:E$999="GBP")*(Expenses!A$3:A$999=DATE(2026,1,5)),ROW(Expenses!A$3:A$999)-2),1)),0)+IFERROR(INDEX(Income!C$3:C$502,SMALL(IF((Income!D$3:D$502="GBP")*(Income!A$3:A$502=DATE(2026,1,5)),ROW(Income!A$3:A$502)-2),1)),0)=0,"",IFERROR(-INDEX(Expenses!D$3:D$999,SMALL(IF((Expenses!E$3:E$999="GBP")*(Expenses!A$3:A$999=DATE(2026,1,5)),ROW(Expenses!A$3:A$999)-2),1)),0)+IFERROR(INDEX(Income!C$3:C$502,SMALL(IF((Income!D$3:D$502="GBP")*(Income!A$3:A$502=DATE(2026,1,5)),ROW(Income!A$3:A$502)-2),1)),0))</f>
        <v/>
      </c>
      <c r="D9" s="126">
        <f t="array" ref="D9">IF(IFERROR(INDEX(Expenses!B$3:B$999,SMALL(IF((Expenses!E$3:E$999="GBP")*(Expenses!A$3:A$999=DATE(2026,1,5)),ROW(Expenses!A$3:A$999)-2),1)),"")&lt;&gt;"",IFERROR(INDEX(Expenses!B$3:B$999,SMALL(IF((Expenses!E$3:E$999="GBP")*(Expenses!A$3:A$999=DATE(2026,1,5)),ROW(Expenses!A$3:A$999)-2),1)),""),IF(IFERROR(INDEX(Income!B$3:B$502,SMALL(IF((Income!D$3:D$502="GBP")*(Income!A$3:A$502=DATE(2026,1,5)),ROW(Income!A$3:A$502)-2),1)),"")&lt;&gt;"",IFERROR(INDEX(Income!B$3:B$502,SMALL(IF((Income!D$3:D$502="GBP")*(Income!A$3:A$502=DATE(2026,1,5)),ROW(Income!A$3:A$502)-2),1)),""),""))</f>
        <v/>
      </c>
      <c r="E9" s="152">
        <f t="array" ref="E9">IF(IFERROR(-INDEX(Expenses!D$3:D$999,SMALL(IF((Expenses!E$3:E$999="GBP")*(Expenses!A$3:A$999=DATE(2026,1,6)),ROW(Expenses!A$3:A$999)-2),1)),0)+IFERROR(INDEX(Income!C$3:C$502,SMALL(IF((Income!D$3:D$502="GBP")*(Income!A$3:A$502=DATE(2026,1,6)),ROW(Income!A$3:A$502)-2),1)),0)=0,"",IFERROR(-INDEX(Expenses!D$3:D$999,SMALL(IF((Expenses!E$3:E$999="GBP")*(Expenses!A$3:A$999=DATE(2026,1,6)),ROW(Expenses!A$3:A$999)-2),1)),0)+IFERROR(INDEX(Income!C$3:C$502,SMALL(IF((Income!D$3:D$502="GBP")*(Income!A$3:A$502=DATE(2026,1,6)),ROW(Income!A$3:A$502)-2),1)),0))</f>
        <v/>
      </c>
      <c r="F9" s="126">
        <f t="array" ref="F9">IF(IFERROR(INDEX(Expenses!B$3:B$999,SMALL(IF((Expenses!E$3:E$999="GBP")*(Expenses!A$3:A$999=DATE(2026,1,6)),ROW(Expenses!A$3:A$999)-2),1)),"")&lt;&gt;"",IFERROR(INDEX(Expenses!B$3:B$999,SMALL(IF((Expenses!E$3:E$999="GBP")*(Expenses!A$3:A$999=DATE(2026,1,6)),ROW(Expenses!A$3:A$999)-2),1)),""),IF(IFERROR(INDEX(Income!B$3:B$502,SMALL(IF((Income!D$3:D$502="GBP")*(Income!A$3:A$502=DATE(2026,1,6)),ROW(Income!A$3:A$502)-2),1)),"")&lt;&gt;"",IFERROR(INDEX(Income!B$3:B$502,SMALL(IF((Income!D$3:D$502="GBP")*(Income!A$3:A$502=DATE(2026,1,6)),ROW(Income!A$3:A$502)-2),1)),""),""))</f>
        <v/>
      </c>
      <c r="G9" s="152">
        <f t="array" ref="G9">IF(IFERROR(-INDEX(Expenses!D$3:D$999,SMALL(IF((Expenses!E$3:E$999="GBP")*(Expenses!A$3:A$999=DATE(2026,1,7)),ROW(Expenses!A$3:A$999)-2),1)),0)+IFERROR(INDEX(Income!C$3:C$502,SMALL(IF((Income!D$3:D$502="GBP")*(Income!A$3:A$502=DATE(2026,1,7)),ROW(Income!A$3:A$502)-2),1)),0)=0,"",IFERROR(-INDEX(Expenses!D$3:D$999,SMALL(IF((Expenses!E$3:E$999="GBP")*(Expenses!A$3:A$999=DATE(2026,1,7)),ROW(Expenses!A$3:A$999)-2),1)),0)+IFERROR(INDEX(Income!C$3:C$502,SMALL(IF((Income!D$3:D$502="GBP")*(Income!A$3:A$502=DATE(2026,1,7)),ROW(Income!A$3:A$502)-2),1)),0))</f>
        <v/>
      </c>
      <c r="H9" s="126">
        <f t="array" ref="H9">IF(IFERROR(INDEX(Expenses!B$3:B$999,SMALL(IF((Expenses!E$3:E$999="GBP")*(Expenses!A$3:A$999=DATE(2026,1,7)),ROW(Expenses!A$3:A$999)-2),1)),"")&lt;&gt;"",IFERROR(INDEX(Expenses!B$3:B$999,SMALL(IF((Expenses!E$3:E$999="GBP")*(Expenses!A$3:A$999=DATE(2026,1,7)),ROW(Expenses!A$3:A$999)-2),1)),""),IF(IFERROR(INDEX(Income!B$3:B$502,SMALL(IF((Income!D$3:D$502="GBP")*(Income!A$3:A$502=DATE(2026,1,7)),ROW(Income!A$3:A$502)-2),1)),"")&lt;&gt;"",IFERROR(INDEX(Income!B$3:B$502,SMALL(IF((Income!D$3:D$502="GBP")*(Income!A$3:A$502=DATE(2026,1,7)),ROW(Income!A$3:A$502)-2),1)),""),""))</f>
        <v/>
      </c>
      <c r="I9" s="152">
        <f t="array" ref="I9">IF(IFERROR(-INDEX(Expenses!D$3:D$999,SMALL(IF((Expenses!E$3:E$999="GBP")*(Expenses!A$3:A$999=DATE(2026,1,8)),ROW(Expenses!A$3:A$999)-2),1)),0)+IFERROR(INDEX(Income!C$3:C$502,SMALL(IF((Income!D$3:D$502="GBP")*(Income!A$3:A$502=DATE(2026,1,8)),ROW(Income!A$3:A$502)-2),1)),0)=0,"",IFERROR(-INDEX(Expenses!D$3:D$999,SMALL(IF((Expenses!E$3:E$999="GBP")*(Expenses!A$3:A$999=DATE(2026,1,8)),ROW(Expenses!A$3:A$999)-2),1)),0)+IFERROR(INDEX(Income!C$3:C$502,SMALL(IF((Income!D$3:D$502="GBP")*(Income!A$3:A$502=DATE(2026,1,8)),ROW(Income!A$3:A$502)-2),1)),0))</f>
        <v/>
      </c>
      <c r="J9" s="126">
        <f t="array" ref="J9">IF(IFERROR(INDEX(Expenses!B$3:B$999,SMALL(IF((Expenses!E$3:E$999="GBP")*(Expenses!A$3:A$999=DATE(2026,1,8)),ROW(Expenses!A$3:A$999)-2),1)),"")&lt;&gt;"",IFERROR(INDEX(Expenses!B$3:B$999,SMALL(IF((Expenses!E$3:E$999="GBP")*(Expenses!A$3:A$999=DATE(2026,1,8)),ROW(Expenses!A$3:A$999)-2),1)),""),IF(IFERROR(INDEX(Income!B$3:B$502,SMALL(IF((Income!D$3:D$502="GBP")*(Income!A$3:A$502=DATE(2026,1,8)),ROW(Income!A$3:A$502)-2),1)),"")&lt;&gt;"",IFERROR(INDEX(Income!B$3:B$502,SMALL(IF((Income!D$3:D$502="GBP")*(Income!A$3:A$502=DATE(2026,1,8)),ROW(Income!A$3:A$502)-2),1)),""),""))</f>
        <v/>
      </c>
      <c r="K9" s="152">
        <f t="array" ref="K9">IF(IFERROR(-INDEX(Expenses!D$3:D$999,SMALL(IF((Expenses!E$3:E$999="GBP")*(Expenses!A$3:A$999=DATE(2026,1,9)),ROW(Expenses!A$3:A$999)-2),1)),0)+IFERROR(INDEX(Income!C$3:C$502,SMALL(IF((Income!D$3:D$502="GBP")*(Income!A$3:A$502=DATE(2026,1,9)),ROW(Income!A$3:A$502)-2),1)),0)=0,"",IFERROR(-INDEX(Expenses!D$3:D$999,SMALL(IF((Expenses!E$3:E$999="GBP")*(Expenses!A$3:A$999=DATE(2026,1,9)),ROW(Expenses!A$3:A$999)-2),1)),0)+IFERROR(INDEX(Income!C$3:C$502,SMALL(IF((Income!D$3:D$502="GBP")*(Income!A$3:A$502=DATE(2026,1,9)),ROW(Income!A$3:A$502)-2),1)),0))</f>
        <v/>
      </c>
      <c r="L9" s="126">
        <f t="array" ref="L9">IF(IFERROR(INDEX(Expenses!B$3:B$999,SMALL(IF((Expenses!E$3:E$999="GBP")*(Expenses!A$3:A$999=DATE(2026,1,9)),ROW(Expenses!A$3:A$999)-2),1)),"")&lt;&gt;"",IFERROR(INDEX(Expenses!B$3:B$999,SMALL(IF((Expenses!E$3:E$999="GBP")*(Expenses!A$3:A$999=DATE(2026,1,9)),ROW(Expenses!A$3:A$999)-2),1)),""),IF(IFERROR(INDEX(Income!B$3:B$502,SMALL(IF((Income!D$3:D$502="GBP")*(Income!A$3:A$502=DATE(2026,1,9)),ROW(Income!A$3:A$502)-2),1)),"")&lt;&gt;"",IFERROR(INDEX(Income!B$3:B$502,SMALL(IF((Income!D$3:D$502="GBP")*(Income!A$3:A$502=DATE(2026,1,9)),ROW(Income!A$3:A$502)-2),1)),""),""))</f>
        <v/>
      </c>
      <c r="M9" s="152">
        <f t="array" ref="M9">IF(IFERROR(-INDEX(Expenses!D$3:D$999,SMALL(IF((Expenses!E$3:E$999="GBP")*(Expenses!A$3:A$999=DATE(2026,1,10)),ROW(Expenses!A$3:A$999)-2),1)),0)+IFERROR(INDEX(Income!C$3:C$502,SMALL(IF((Income!D$3:D$502="GBP")*(Income!A$3:A$502=DATE(2026,1,10)),ROW(Income!A$3:A$502)-2),1)),0)=0,"",IFERROR(-INDEX(Expenses!D$3:D$999,SMALL(IF((Expenses!E$3:E$999="GBP")*(Expenses!A$3:A$999=DATE(2026,1,10)),ROW(Expenses!A$3:A$999)-2),1)),0)+IFERROR(INDEX(Income!C$3:C$502,SMALL(IF((Income!D$3:D$502="GBP")*(Income!A$3:A$502=DATE(2026,1,10)),ROW(Income!A$3:A$502)-2),1)),0))</f>
        <v/>
      </c>
      <c r="N9" s="126">
        <f t="array" ref="N9">IF(IFERROR(INDEX(Expenses!B$3:B$999,SMALL(IF((Expenses!E$3:E$999="GBP")*(Expenses!A$3:A$999=DATE(2026,1,10)),ROW(Expenses!A$3:A$999)-2),1)),"")&lt;&gt;"",IFERROR(INDEX(Expenses!B$3:B$999,SMALL(IF((Expenses!E$3:E$999="GBP")*(Expenses!A$3:A$999=DATE(2026,1,10)),ROW(Expenses!A$3:A$999)-2),1)),""),IF(IFERROR(INDEX(Income!B$3:B$502,SMALL(IF((Income!D$3:D$502="GBP")*(Income!A$3:A$502=DATE(2026,1,10)),ROW(Income!A$3:A$502)-2),1)),"")&lt;&gt;"",IFERROR(INDEX(Income!B$3:B$502,SMALL(IF((Income!D$3:D$502="GBP")*(Income!A$3:A$502=DATE(2026,1,10)),ROW(Income!A$3:A$502)-2),1)),""),""))</f>
        <v/>
      </c>
      <c r="O9" s="152">
        <f t="array" ref="O9">IF(IFERROR(-INDEX(Expenses!D$3:D$999,SMALL(IF((Expenses!E$3:E$999="GBP")*(Expenses!A$3:A$999=DATE(2026,1,11)),ROW(Expenses!A$3:A$999)-2),1)),0)+IFERROR(INDEX(Income!C$3:C$502,SMALL(IF((Income!D$3:D$502="GBP")*(Income!A$3:A$502=DATE(2026,1,11)),ROW(Income!A$3:A$502)-2),1)),0)=0,"",IFERROR(-INDEX(Expenses!D$3:D$999,SMALL(IF((Expenses!E$3:E$999="GBP")*(Expenses!A$3:A$999=DATE(2026,1,11)),ROW(Expenses!A$3:A$999)-2),1)),0)+IFERROR(INDEX(Income!C$3:C$502,SMALL(IF((Income!D$3:D$502="GBP")*(Income!A$3:A$502=DATE(2026,1,11)),ROW(Income!A$3:A$502)-2),1)),0))</f>
        <v/>
      </c>
      <c r="P9" s="126">
        <f t="array" ref="P9">IF(IFERROR(INDEX(Expenses!B$3:B$999,SMALL(IF((Expenses!E$3:E$999="GBP")*(Expenses!A$3:A$999=DATE(2026,1,11)),ROW(Expenses!A$3:A$999)-2),1)),"")&lt;&gt;"",IFERROR(INDEX(Expenses!B$3:B$999,SMALL(IF((Expenses!E$3:E$999="GBP")*(Expenses!A$3:A$999=DATE(2026,1,11)),ROW(Expenses!A$3:A$999)-2),1)),""),IF(IFERROR(INDEX(Income!B$3:B$502,SMALL(IF((Income!D$3:D$502="GBP")*(Income!A$3:A$502=DATE(2026,1,11)),ROW(Income!A$3:A$502)-2),1)),"")&lt;&gt;"",IFERROR(INDEX(Income!B$3:B$502,SMALL(IF((Income!D$3:D$502="GBP")*(Income!A$3:A$502=DATE(2026,1,11)),ROW(Income!A$3:A$502)-2),1)),""),""))</f>
        <v/>
      </c>
      <c r="Q9" s="103" t="n">
        <v>2</v>
      </c>
      <c r="R9" s="134">
        <f>SUM(C9:C13)+SUM(E9:E13)+SUM(G9:G13)+SUM(I9:I13)+SUM(K9:K13)+SUM(M9:M13)+SUM(O9:O13)</f>
        <v/>
      </c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9" t="n"/>
      <c r="B10" s="9" t="n"/>
      <c r="C10" s="152">
        <f t="array" ref="C10">IF(IFERROR(-INDEX(Expenses!D$3:D$999,SMALL(IF((Expenses!E$3:E$999="GBP")*(Expenses!A$3:A$999=DATE(2026,1,5)),ROW(Expenses!A$3:A$999)-2),2)),0)+IFERROR(INDEX(Income!C$3:C$502,SMALL(IF((Income!D$3:D$502="GBP")*(Income!A$3:A$502=DATE(2026,1,5)),ROW(Income!A$3:A$502)-2),2)),0)=0,"",IFERROR(-INDEX(Expenses!D$3:D$999,SMALL(IF((Expenses!E$3:E$999="GBP")*(Expenses!A$3:A$999=DATE(2026,1,5)),ROW(Expenses!A$3:A$999)-2),2)),0)+IFERROR(INDEX(Income!C$3:C$502,SMALL(IF((Income!D$3:D$502="GBP")*(Income!A$3:A$502=DATE(2026,1,5)),ROW(Income!A$3:A$502)-2),2)),0))</f>
        <v/>
      </c>
      <c r="D10" s="126">
        <f t="array" ref="D10">IF(IFERROR(INDEX(Expenses!B$3:B$999,SMALL(IF((Expenses!E$3:E$999="GBP")*(Expenses!A$3:A$999=DATE(2026,1,5)),ROW(Expenses!A$3:A$999)-2),2)),"")&lt;&gt;"",IFERROR(INDEX(Expenses!B$3:B$999,SMALL(IF((Expenses!E$3:E$999="GBP")*(Expenses!A$3:A$999=DATE(2026,1,5)),ROW(Expenses!A$3:A$999)-2),2)),""),IF(IFERROR(INDEX(Income!B$3:B$502,SMALL(IF((Income!D$3:D$502="GBP")*(Income!A$3:A$502=DATE(2026,1,5)),ROW(Income!A$3:A$502)-2),2)),"")&lt;&gt;"",IFERROR(INDEX(Income!B$3:B$502,SMALL(IF((Income!D$3:D$502="GBP")*(Income!A$3:A$502=DATE(2026,1,5)),ROW(Income!A$3:A$502)-2),2)),""),""))</f>
        <v/>
      </c>
      <c r="E10" s="152">
        <f t="array" ref="E10">IF(IFERROR(-INDEX(Expenses!D$3:D$999,SMALL(IF((Expenses!E$3:E$999="GBP")*(Expenses!A$3:A$999=DATE(2026,1,6)),ROW(Expenses!A$3:A$999)-2),2)),0)+IFERROR(INDEX(Income!C$3:C$502,SMALL(IF((Income!D$3:D$502="GBP")*(Income!A$3:A$502=DATE(2026,1,6)),ROW(Income!A$3:A$502)-2),2)),0)=0,"",IFERROR(-INDEX(Expenses!D$3:D$999,SMALL(IF((Expenses!E$3:E$999="GBP")*(Expenses!A$3:A$999=DATE(2026,1,6)),ROW(Expenses!A$3:A$999)-2),2)),0)+IFERROR(INDEX(Income!C$3:C$502,SMALL(IF((Income!D$3:D$502="GBP")*(Income!A$3:A$502=DATE(2026,1,6)),ROW(Income!A$3:A$502)-2),2)),0))</f>
        <v/>
      </c>
      <c r="F10" s="126">
        <f t="array" ref="F10">IF(IFERROR(INDEX(Expenses!B$3:B$999,SMALL(IF((Expenses!E$3:E$999="GBP")*(Expenses!A$3:A$999=DATE(2026,1,6)),ROW(Expenses!A$3:A$999)-2),2)),"")&lt;&gt;"",IFERROR(INDEX(Expenses!B$3:B$999,SMALL(IF((Expenses!E$3:E$999="GBP")*(Expenses!A$3:A$999=DATE(2026,1,6)),ROW(Expenses!A$3:A$999)-2),2)),""),IF(IFERROR(INDEX(Income!B$3:B$502,SMALL(IF((Income!D$3:D$502="GBP")*(Income!A$3:A$502=DATE(2026,1,6)),ROW(Income!A$3:A$502)-2),2)),"")&lt;&gt;"",IFERROR(INDEX(Income!B$3:B$502,SMALL(IF((Income!D$3:D$502="GBP")*(Income!A$3:A$502=DATE(2026,1,6)),ROW(Income!A$3:A$502)-2),2)),""),""))</f>
        <v/>
      </c>
      <c r="G10" s="152">
        <f t="array" ref="G10">IF(IFERROR(-INDEX(Expenses!D$3:D$999,SMALL(IF((Expenses!E$3:E$999="GBP")*(Expenses!A$3:A$999=DATE(2026,1,7)),ROW(Expenses!A$3:A$999)-2),2)),0)+IFERROR(INDEX(Income!C$3:C$502,SMALL(IF((Income!D$3:D$502="GBP")*(Income!A$3:A$502=DATE(2026,1,7)),ROW(Income!A$3:A$502)-2),2)),0)=0,"",IFERROR(-INDEX(Expenses!D$3:D$999,SMALL(IF((Expenses!E$3:E$999="GBP")*(Expenses!A$3:A$999=DATE(2026,1,7)),ROW(Expenses!A$3:A$999)-2),2)),0)+IFERROR(INDEX(Income!C$3:C$502,SMALL(IF((Income!D$3:D$502="GBP")*(Income!A$3:A$502=DATE(2026,1,7)),ROW(Income!A$3:A$502)-2),2)),0))</f>
        <v/>
      </c>
      <c r="H10" s="126">
        <f t="array" ref="H10">IF(IFERROR(INDEX(Expenses!B$3:B$999,SMALL(IF((Expenses!E$3:E$999="GBP")*(Expenses!A$3:A$999=DATE(2026,1,7)),ROW(Expenses!A$3:A$999)-2),2)),"")&lt;&gt;"",IFERROR(INDEX(Expenses!B$3:B$999,SMALL(IF((Expenses!E$3:E$999="GBP")*(Expenses!A$3:A$999=DATE(2026,1,7)),ROW(Expenses!A$3:A$999)-2),2)),""),IF(IFERROR(INDEX(Income!B$3:B$502,SMALL(IF((Income!D$3:D$502="GBP")*(Income!A$3:A$502=DATE(2026,1,7)),ROW(Income!A$3:A$502)-2),2)),"")&lt;&gt;"",IFERROR(INDEX(Income!B$3:B$502,SMALL(IF((Income!D$3:D$502="GBP")*(Income!A$3:A$502=DATE(2026,1,7)),ROW(Income!A$3:A$502)-2),2)),""),""))</f>
        <v/>
      </c>
      <c r="I10" s="152">
        <f t="array" ref="I10">IF(IFERROR(-INDEX(Expenses!D$3:D$999,SMALL(IF((Expenses!E$3:E$999="GBP")*(Expenses!A$3:A$999=DATE(2026,1,8)),ROW(Expenses!A$3:A$999)-2),2)),0)+IFERROR(INDEX(Income!C$3:C$502,SMALL(IF((Income!D$3:D$502="GBP")*(Income!A$3:A$502=DATE(2026,1,8)),ROW(Income!A$3:A$502)-2),2)),0)=0,"",IFERROR(-INDEX(Expenses!D$3:D$999,SMALL(IF((Expenses!E$3:E$999="GBP")*(Expenses!A$3:A$999=DATE(2026,1,8)),ROW(Expenses!A$3:A$999)-2),2)),0)+IFERROR(INDEX(Income!C$3:C$502,SMALL(IF((Income!D$3:D$502="GBP")*(Income!A$3:A$502=DATE(2026,1,8)),ROW(Income!A$3:A$502)-2),2)),0))</f>
        <v/>
      </c>
      <c r="J10" s="126">
        <f t="array" ref="J10">IF(IFERROR(INDEX(Expenses!B$3:B$999,SMALL(IF((Expenses!E$3:E$999="GBP")*(Expenses!A$3:A$999=DATE(2026,1,8)),ROW(Expenses!A$3:A$999)-2),2)),"")&lt;&gt;"",IFERROR(INDEX(Expenses!B$3:B$999,SMALL(IF((Expenses!E$3:E$999="GBP")*(Expenses!A$3:A$999=DATE(2026,1,8)),ROW(Expenses!A$3:A$999)-2),2)),""),IF(IFERROR(INDEX(Income!B$3:B$502,SMALL(IF((Income!D$3:D$502="GBP")*(Income!A$3:A$502=DATE(2026,1,8)),ROW(Income!A$3:A$502)-2),2)),"")&lt;&gt;"",IFERROR(INDEX(Income!B$3:B$502,SMALL(IF((Income!D$3:D$502="GBP")*(Income!A$3:A$502=DATE(2026,1,8)),ROW(Income!A$3:A$502)-2),2)),""),""))</f>
        <v/>
      </c>
      <c r="K10" s="152">
        <f t="array" ref="K10">IF(IFERROR(-INDEX(Expenses!D$3:D$999,SMALL(IF((Expenses!E$3:E$999="GBP")*(Expenses!A$3:A$999=DATE(2026,1,9)),ROW(Expenses!A$3:A$999)-2),2)),0)+IFERROR(INDEX(Income!C$3:C$502,SMALL(IF((Income!D$3:D$502="GBP")*(Income!A$3:A$502=DATE(2026,1,9)),ROW(Income!A$3:A$502)-2),2)),0)=0,"",IFERROR(-INDEX(Expenses!D$3:D$999,SMALL(IF((Expenses!E$3:E$999="GBP")*(Expenses!A$3:A$999=DATE(2026,1,9)),ROW(Expenses!A$3:A$999)-2),2)),0)+IFERROR(INDEX(Income!C$3:C$502,SMALL(IF((Income!D$3:D$502="GBP")*(Income!A$3:A$502=DATE(2026,1,9)),ROW(Income!A$3:A$502)-2),2)),0))</f>
        <v/>
      </c>
      <c r="L10" s="126">
        <f t="array" ref="L10">IF(IFERROR(INDEX(Expenses!B$3:B$999,SMALL(IF((Expenses!E$3:E$999="GBP")*(Expenses!A$3:A$999=DATE(2026,1,9)),ROW(Expenses!A$3:A$999)-2),2)),"")&lt;&gt;"",IFERROR(INDEX(Expenses!B$3:B$999,SMALL(IF((Expenses!E$3:E$999="GBP")*(Expenses!A$3:A$999=DATE(2026,1,9)),ROW(Expenses!A$3:A$999)-2),2)),""),IF(IFERROR(INDEX(Income!B$3:B$502,SMALL(IF((Income!D$3:D$502="GBP")*(Income!A$3:A$502=DATE(2026,1,9)),ROW(Income!A$3:A$502)-2),2)),"")&lt;&gt;"",IFERROR(INDEX(Income!B$3:B$502,SMALL(IF((Income!D$3:D$502="GBP")*(Income!A$3:A$502=DATE(2026,1,9)),ROW(Income!A$3:A$502)-2),2)),""),""))</f>
        <v/>
      </c>
      <c r="M10" s="152">
        <f t="array" ref="M10">IF(IFERROR(-INDEX(Expenses!D$3:D$999,SMALL(IF((Expenses!E$3:E$999="GBP")*(Expenses!A$3:A$999=DATE(2026,1,10)),ROW(Expenses!A$3:A$999)-2),2)),0)+IFERROR(INDEX(Income!C$3:C$502,SMALL(IF((Income!D$3:D$502="GBP")*(Income!A$3:A$502=DATE(2026,1,10)),ROW(Income!A$3:A$502)-2),2)),0)=0,"",IFERROR(-INDEX(Expenses!D$3:D$999,SMALL(IF((Expenses!E$3:E$999="GBP")*(Expenses!A$3:A$999=DATE(2026,1,10)),ROW(Expenses!A$3:A$999)-2),2)),0)+IFERROR(INDEX(Income!C$3:C$502,SMALL(IF((Income!D$3:D$502="GBP")*(Income!A$3:A$502=DATE(2026,1,10)),ROW(Income!A$3:A$502)-2),2)),0))</f>
        <v/>
      </c>
      <c r="N10" s="126">
        <f t="array" ref="N10">IF(IFERROR(INDEX(Expenses!B$3:B$999,SMALL(IF((Expenses!E$3:E$999="GBP")*(Expenses!A$3:A$999=DATE(2026,1,10)),ROW(Expenses!A$3:A$999)-2),2)),"")&lt;&gt;"",IFERROR(INDEX(Expenses!B$3:B$999,SMALL(IF((Expenses!E$3:E$999="GBP")*(Expenses!A$3:A$999=DATE(2026,1,10)),ROW(Expenses!A$3:A$999)-2),2)),""),IF(IFERROR(INDEX(Income!B$3:B$502,SMALL(IF((Income!D$3:D$502="GBP")*(Income!A$3:A$502=DATE(2026,1,10)),ROW(Income!A$3:A$502)-2),2)),"")&lt;&gt;"",IFERROR(INDEX(Income!B$3:B$502,SMALL(IF((Income!D$3:D$502="GBP")*(Income!A$3:A$502=DATE(2026,1,10)),ROW(Income!A$3:A$502)-2),2)),""),""))</f>
        <v/>
      </c>
      <c r="O10" s="152">
        <f t="array" ref="O10">IF(IFERROR(-INDEX(Expenses!D$3:D$999,SMALL(IF((Expenses!E$3:E$999="GBP")*(Expenses!A$3:A$999=DATE(2026,1,11)),ROW(Expenses!A$3:A$999)-2),2)),0)+IFERROR(INDEX(Income!C$3:C$502,SMALL(IF((Income!D$3:D$502="GBP")*(Income!A$3:A$502=DATE(2026,1,11)),ROW(Income!A$3:A$502)-2),2)),0)=0,"",IFERROR(-INDEX(Expenses!D$3:D$999,SMALL(IF((Expenses!E$3:E$999="GBP")*(Expenses!A$3:A$999=DATE(2026,1,11)),ROW(Expenses!A$3:A$999)-2),2)),0)+IFERROR(INDEX(Income!C$3:C$502,SMALL(IF((Income!D$3:D$502="GBP")*(Income!A$3:A$502=DATE(2026,1,11)),ROW(Income!A$3:A$502)-2),2)),0))</f>
        <v/>
      </c>
      <c r="P10" s="126">
        <f t="array" ref="P10">IF(IFERROR(INDEX(Expenses!B$3:B$999,SMALL(IF((Expenses!E$3:E$999="GBP")*(Expenses!A$3:A$999=DATE(2026,1,11)),ROW(Expenses!A$3:A$999)-2),2)),"")&lt;&gt;"",IFERROR(INDEX(Expenses!B$3:B$999,SMALL(IF((Expenses!E$3:E$999="GBP")*(Expenses!A$3:A$999=DATE(2026,1,11)),ROW(Expenses!A$3:A$999)-2),2)),""),IF(IFERROR(INDEX(Income!B$3:B$502,SMALL(IF((Income!D$3:D$502="GBP")*(Income!A$3:A$502=DATE(2026,1,11)),ROW(Income!A$3:A$502)-2),2)),"")&lt;&gt;"",IFERROR(INDEX(Income!B$3:B$502,SMALL(IF((Income!D$3:D$502="GBP")*(Income!A$3:A$502=DATE(2026,1,11)),ROW(Income!A$3:A$502)-2),2)),""),""))</f>
        <v/>
      </c>
      <c r="Q10" s="9" t="n"/>
      <c r="R10" s="9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9" t="n"/>
      <c r="B11" s="9" t="n"/>
      <c r="C11" s="152">
        <f t="array" ref="C11">IF(IFERROR(-INDEX(Expenses!D$3:D$999,SMALL(IF((Expenses!E$3:E$999="GBP")*(Expenses!A$3:A$999=DATE(2026,1,5)),ROW(Expenses!A$3:A$999)-2),3)),0)+IFERROR(INDEX(Income!C$3:C$502,SMALL(IF((Income!D$3:D$502="GBP")*(Income!A$3:A$502=DATE(2026,1,5)),ROW(Income!A$3:A$502)-2),3)),0)=0,"",IFERROR(-INDEX(Expenses!D$3:D$999,SMALL(IF((Expenses!E$3:E$999="GBP")*(Expenses!A$3:A$999=DATE(2026,1,5)),ROW(Expenses!A$3:A$999)-2),3)),0)+IFERROR(INDEX(Income!C$3:C$502,SMALL(IF((Income!D$3:D$502="GBP")*(Income!A$3:A$502=DATE(2026,1,5)),ROW(Income!A$3:A$502)-2),3)),0))</f>
        <v/>
      </c>
      <c r="D11" s="126">
        <f t="array" ref="D11">IF(IFERROR(INDEX(Expenses!B$3:B$999,SMALL(IF((Expenses!E$3:E$999="GBP")*(Expenses!A$3:A$999=DATE(2026,1,5)),ROW(Expenses!A$3:A$999)-2),3)),"")&lt;&gt;"",IFERROR(INDEX(Expenses!B$3:B$999,SMALL(IF((Expenses!E$3:E$999="GBP")*(Expenses!A$3:A$999=DATE(2026,1,5)),ROW(Expenses!A$3:A$999)-2),3)),""),IF(IFERROR(INDEX(Income!B$3:B$502,SMALL(IF((Income!D$3:D$502="GBP")*(Income!A$3:A$502=DATE(2026,1,5)),ROW(Income!A$3:A$502)-2),3)),"")&lt;&gt;"",IFERROR(INDEX(Income!B$3:B$502,SMALL(IF((Income!D$3:D$502="GBP")*(Income!A$3:A$502=DATE(2026,1,5)),ROW(Income!A$3:A$502)-2),3)),""),""))</f>
        <v/>
      </c>
      <c r="E11" s="152">
        <f t="array" ref="E11">IF(IFERROR(-INDEX(Expenses!D$3:D$999,SMALL(IF((Expenses!E$3:E$999="GBP")*(Expenses!A$3:A$999=DATE(2026,1,6)),ROW(Expenses!A$3:A$999)-2),3)),0)+IFERROR(INDEX(Income!C$3:C$502,SMALL(IF((Income!D$3:D$502="GBP")*(Income!A$3:A$502=DATE(2026,1,6)),ROW(Income!A$3:A$502)-2),3)),0)=0,"",IFERROR(-INDEX(Expenses!D$3:D$999,SMALL(IF((Expenses!E$3:E$999="GBP")*(Expenses!A$3:A$999=DATE(2026,1,6)),ROW(Expenses!A$3:A$999)-2),3)),0)+IFERROR(INDEX(Income!C$3:C$502,SMALL(IF((Income!D$3:D$502="GBP")*(Income!A$3:A$502=DATE(2026,1,6)),ROW(Income!A$3:A$502)-2),3)),0))</f>
        <v/>
      </c>
      <c r="F11" s="126">
        <f t="array" ref="F11">IF(IFERROR(INDEX(Expenses!B$3:B$999,SMALL(IF((Expenses!E$3:E$999="GBP")*(Expenses!A$3:A$999=DATE(2026,1,6)),ROW(Expenses!A$3:A$999)-2),3)),"")&lt;&gt;"",IFERROR(INDEX(Expenses!B$3:B$999,SMALL(IF((Expenses!E$3:E$999="GBP")*(Expenses!A$3:A$999=DATE(2026,1,6)),ROW(Expenses!A$3:A$999)-2),3)),""),IF(IFERROR(INDEX(Income!B$3:B$502,SMALL(IF((Income!D$3:D$502="GBP")*(Income!A$3:A$502=DATE(2026,1,6)),ROW(Income!A$3:A$502)-2),3)),"")&lt;&gt;"",IFERROR(INDEX(Income!B$3:B$502,SMALL(IF((Income!D$3:D$502="GBP")*(Income!A$3:A$502=DATE(2026,1,6)),ROW(Income!A$3:A$502)-2),3)),""),""))</f>
        <v/>
      </c>
      <c r="G11" s="152">
        <f t="array" ref="G11">IF(IFERROR(-INDEX(Expenses!D$3:D$999,SMALL(IF((Expenses!E$3:E$999="GBP")*(Expenses!A$3:A$999=DATE(2026,1,7)),ROW(Expenses!A$3:A$999)-2),3)),0)+IFERROR(INDEX(Income!C$3:C$502,SMALL(IF((Income!D$3:D$502="GBP")*(Income!A$3:A$502=DATE(2026,1,7)),ROW(Income!A$3:A$502)-2),3)),0)=0,"",IFERROR(-INDEX(Expenses!D$3:D$999,SMALL(IF((Expenses!E$3:E$999="GBP")*(Expenses!A$3:A$999=DATE(2026,1,7)),ROW(Expenses!A$3:A$999)-2),3)),0)+IFERROR(INDEX(Income!C$3:C$502,SMALL(IF((Income!D$3:D$502="GBP")*(Income!A$3:A$502=DATE(2026,1,7)),ROW(Income!A$3:A$502)-2),3)),0))</f>
        <v/>
      </c>
      <c r="H11" s="126">
        <f t="array" ref="H11">IF(IFERROR(INDEX(Expenses!B$3:B$999,SMALL(IF((Expenses!E$3:E$999="GBP")*(Expenses!A$3:A$999=DATE(2026,1,7)),ROW(Expenses!A$3:A$999)-2),3)),"")&lt;&gt;"",IFERROR(INDEX(Expenses!B$3:B$999,SMALL(IF((Expenses!E$3:E$999="GBP")*(Expenses!A$3:A$999=DATE(2026,1,7)),ROW(Expenses!A$3:A$999)-2),3)),""),IF(IFERROR(INDEX(Income!B$3:B$502,SMALL(IF((Income!D$3:D$502="GBP")*(Income!A$3:A$502=DATE(2026,1,7)),ROW(Income!A$3:A$502)-2),3)),"")&lt;&gt;"",IFERROR(INDEX(Income!B$3:B$502,SMALL(IF((Income!D$3:D$502="GBP")*(Income!A$3:A$502=DATE(2026,1,7)),ROW(Income!A$3:A$502)-2),3)),""),""))</f>
        <v/>
      </c>
      <c r="I11" s="152">
        <f t="array" ref="I11">IF(IFERROR(-INDEX(Expenses!D$3:D$999,SMALL(IF((Expenses!E$3:E$999="GBP")*(Expenses!A$3:A$999=DATE(2026,1,8)),ROW(Expenses!A$3:A$999)-2),3)),0)+IFERROR(INDEX(Income!C$3:C$502,SMALL(IF((Income!D$3:D$502="GBP")*(Income!A$3:A$502=DATE(2026,1,8)),ROW(Income!A$3:A$502)-2),3)),0)=0,"",IFERROR(-INDEX(Expenses!D$3:D$999,SMALL(IF((Expenses!E$3:E$999="GBP")*(Expenses!A$3:A$999=DATE(2026,1,8)),ROW(Expenses!A$3:A$999)-2),3)),0)+IFERROR(INDEX(Income!C$3:C$502,SMALL(IF((Income!D$3:D$502="GBP")*(Income!A$3:A$502=DATE(2026,1,8)),ROW(Income!A$3:A$502)-2),3)),0))</f>
        <v/>
      </c>
      <c r="J11" s="126">
        <f t="array" ref="J11">IF(IFERROR(INDEX(Expenses!B$3:B$999,SMALL(IF((Expenses!E$3:E$999="GBP")*(Expenses!A$3:A$999=DATE(2026,1,8)),ROW(Expenses!A$3:A$999)-2),3)),"")&lt;&gt;"",IFERROR(INDEX(Expenses!B$3:B$999,SMALL(IF((Expenses!E$3:E$999="GBP")*(Expenses!A$3:A$999=DATE(2026,1,8)),ROW(Expenses!A$3:A$999)-2),3)),""),IF(IFERROR(INDEX(Income!B$3:B$502,SMALL(IF((Income!D$3:D$502="GBP")*(Income!A$3:A$502=DATE(2026,1,8)),ROW(Income!A$3:A$502)-2),3)),"")&lt;&gt;"",IFERROR(INDEX(Income!B$3:B$502,SMALL(IF((Income!D$3:D$502="GBP")*(Income!A$3:A$502=DATE(2026,1,8)),ROW(Income!A$3:A$502)-2),3)),""),""))</f>
        <v/>
      </c>
      <c r="K11" s="152">
        <f t="array" ref="K11">IF(IFERROR(-INDEX(Expenses!D$3:D$999,SMALL(IF((Expenses!E$3:E$999="GBP")*(Expenses!A$3:A$999=DATE(2026,1,9)),ROW(Expenses!A$3:A$999)-2),3)),0)+IFERROR(INDEX(Income!C$3:C$502,SMALL(IF((Income!D$3:D$502="GBP")*(Income!A$3:A$502=DATE(2026,1,9)),ROW(Income!A$3:A$502)-2),3)),0)=0,"",IFERROR(-INDEX(Expenses!D$3:D$999,SMALL(IF((Expenses!E$3:E$999="GBP")*(Expenses!A$3:A$999=DATE(2026,1,9)),ROW(Expenses!A$3:A$999)-2),3)),0)+IFERROR(INDEX(Income!C$3:C$502,SMALL(IF((Income!D$3:D$502="GBP")*(Income!A$3:A$502=DATE(2026,1,9)),ROW(Income!A$3:A$502)-2),3)),0))</f>
        <v/>
      </c>
      <c r="L11" s="126">
        <f t="array" ref="L11">IF(IFERROR(INDEX(Expenses!B$3:B$999,SMALL(IF((Expenses!E$3:E$999="GBP")*(Expenses!A$3:A$999=DATE(2026,1,9)),ROW(Expenses!A$3:A$999)-2),3)),"")&lt;&gt;"",IFERROR(INDEX(Expenses!B$3:B$999,SMALL(IF((Expenses!E$3:E$999="GBP")*(Expenses!A$3:A$999=DATE(2026,1,9)),ROW(Expenses!A$3:A$999)-2),3)),""),IF(IFERROR(INDEX(Income!B$3:B$502,SMALL(IF((Income!D$3:D$502="GBP")*(Income!A$3:A$502=DATE(2026,1,9)),ROW(Income!A$3:A$502)-2),3)),"")&lt;&gt;"",IFERROR(INDEX(Income!B$3:B$502,SMALL(IF((Income!D$3:D$502="GBP")*(Income!A$3:A$502=DATE(2026,1,9)),ROW(Income!A$3:A$502)-2),3)),""),""))</f>
        <v/>
      </c>
      <c r="M11" s="152">
        <f t="array" ref="M11">IF(IFERROR(-INDEX(Expenses!D$3:D$999,SMALL(IF((Expenses!E$3:E$999="GBP")*(Expenses!A$3:A$999=DATE(2026,1,10)),ROW(Expenses!A$3:A$999)-2),3)),0)+IFERROR(INDEX(Income!C$3:C$502,SMALL(IF((Income!D$3:D$502="GBP")*(Income!A$3:A$502=DATE(2026,1,10)),ROW(Income!A$3:A$502)-2),3)),0)=0,"",IFERROR(-INDEX(Expenses!D$3:D$999,SMALL(IF((Expenses!E$3:E$999="GBP")*(Expenses!A$3:A$999=DATE(2026,1,10)),ROW(Expenses!A$3:A$999)-2),3)),0)+IFERROR(INDEX(Income!C$3:C$502,SMALL(IF((Income!D$3:D$502="GBP")*(Income!A$3:A$502=DATE(2026,1,10)),ROW(Income!A$3:A$502)-2),3)),0))</f>
        <v/>
      </c>
      <c r="N11" s="126">
        <f t="array" ref="N11">IF(IFERROR(INDEX(Expenses!B$3:B$999,SMALL(IF((Expenses!E$3:E$999="GBP")*(Expenses!A$3:A$999=DATE(2026,1,10)),ROW(Expenses!A$3:A$999)-2),3)),"")&lt;&gt;"",IFERROR(INDEX(Expenses!B$3:B$999,SMALL(IF((Expenses!E$3:E$999="GBP")*(Expenses!A$3:A$999=DATE(2026,1,10)),ROW(Expenses!A$3:A$999)-2),3)),""),IF(IFERROR(INDEX(Income!B$3:B$502,SMALL(IF((Income!D$3:D$502="GBP")*(Income!A$3:A$502=DATE(2026,1,10)),ROW(Income!A$3:A$502)-2),3)),"")&lt;&gt;"",IFERROR(INDEX(Income!B$3:B$502,SMALL(IF((Income!D$3:D$502="GBP")*(Income!A$3:A$502=DATE(2026,1,10)),ROW(Income!A$3:A$502)-2),3)),""),""))</f>
        <v/>
      </c>
      <c r="O11" s="152">
        <f t="array" ref="O11">IF(IFERROR(-INDEX(Expenses!D$3:D$999,SMALL(IF((Expenses!E$3:E$999="GBP")*(Expenses!A$3:A$999=DATE(2026,1,11)),ROW(Expenses!A$3:A$999)-2),3)),0)+IFERROR(INDEX(Income!C$3:C$502,SMALL(IF((Income!D$3:D$502="GBP")*(Income!A$3:A$502=DATE(2026,1,11)),ROW(Income!A$3:A$502)-2),3)),0)=0,"",IFERROR(-INDEX(Expenses!D$3:D$999,SMALL(IF((Expenses!E$3:E$999="GBP")*(Expenses!A$3:A$999=DATE(2026,1,11)),ROW(Expenses!A$3:A$999)-2),3)),0)+IFERROR(INDEX(Income!C$3:C$502,SMALL(IF((Income!D$3:D$502="GBP")*(Income!A$3:A$502=DATE(2026,1,11)),ROW(Income!A$3:A$502)-2),3)),0))</f>
        <v/>
      </c>
      <c r="P11" s="126">
        <f t="array" ref="P11">IF(IFERROR(INDEX(Expenses!B$3:B$999,SMALL(IF((Expenses!E$3:E$999="GBP")*(Expenses!A$3:A$999=DATE(2026,1,11)),ROW(Expenses!A$3:A$999)-2),3)),"")&lt;&gt;"",IFERROR(INDEX(Expenses!B$3:B$999,SMALL(IF((Expenses!E$3:E$999="GBP")*(Expenses!A$3:A$999=DATE(2026,1,11)),ROW(Expenses!A$3:A$999)-2),3)),""),IF(IFERROR(INDEX(Income!B$3:B$502,SMALL(IF((Income!D$3:D$502="GBP")*(Income!A$3:A$502=DATE(2026,1,11)),ROW(Income!A$3:A$502)-2),3)),"")&lt;&gt;"",IFERROR(INDEX(Income!B$3:B$502,SMALL(IF((Income!D$3:D$502="GBP")*(Income!A$3:A$502=DATE(2026,1,11)),ROW(Income!A$3:A$502)-2),3)),""),""))</f>
        <v/>
      </c>
      <c r="Q11" s="9" t="n"/>
      <c r="R11" s="9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9" t="n"/>
      <c r="B12" s="9" t="n"/>
      <c r="C12" s="152">
        <f t="array" ref="C12">IF(IFERROR(-INDEX(Expenses!D$3:D$999,SMALL(IF((Expenses!E$3:E$999="GBP")*(Expenses!A$3:A$999=DATE(2026,1,5)),ROW(Expenses!A$3:A$999)-2),4)),0)+IFERROR(INDEX(Income!C$3:C$502,SMALL(IF((Income!D$3:D$502="GBP")*(Income!A$3:A$502=DATE(2026,1,5)),ROW(Income!A$3:A$502)-2),4)),0)=0,"",IFERROR(-INDEX(Expenses!D$3:D$999,SMALL(IF((Expenses!E$3:E$999="GBP")*(Expenses!A$3:A$999=DATE(2026,1,5)),ROW(Expenses!A$3:A$999)-2),4)),0)+IFERROR(INDEX(Income!C$3:C$502,SMALL(IF((Income!D$3:D$502="GBP")*(Income!A$3:A$502=DATE(2026,1,5)),ROW(Income!A$3:A$502)-2),4)),0))</f>
        <v/>
      </c>
      <c r="D12" s="126">
        <f t="array" ref="D12">IF(IFERROR(INDEX(Expenses!B$3:B$999,SMALL(IF((Expenses!E$3:E$999="GBP")*(Expenses!A$3:A$999=DATE(2026,1,5)),ROW(Expenses!A$3:A$999)-2),4)),"")&lt;&gt;"",IFERROR(INDEX(Expenses!B$3:B$999,SMALL(IF((Expenses!E$3:E$999="GBP")*(Expenses!A$3:A$999=DATE(2026,1,5)),ROW(Expenses!A$3:A$999)-2),4)),""),IF(IFERROR(INDEX(Income!B$3:B$502,SMALL(IF((Income!D$3:D$502="GBP")*(Income!A$3:A$502=DATE(2026,1,5)),ROW(Income!A$3:A$502)-2),4)),"")&lt;&gt;"",IFERROR(INDEX(Income!B$3:B$502,SMALL(IF((Income!D$3:D$502="GBP")*(Income!A$3:A$502=DATE(2026,1,5)),ROW(Income!A$3:A$502)-2),4)),""),""))</f>
        <v/>
      </c>
      <c r="E12" s="152">
        <f t="array" ref="E12">IF(IFERROR(-INDEX(Expenses!D$3:D$999,SMALL(IF((Expenses!E$3:E$999="GBP")*(Expenses!A$3:A$999=DATE(2026,1,6)),ROW(Expenses!A$3:A$999)-2),4)),0)+IFERROR(INDEX(Income!C$3:C$502,SMALL(IF((Income!D$3:D$502="GBP")*(Income!A$3:A$502=DATE(2026,1,6)),ROW(Income!A$3:A$502)-2),4)),0)=0,"",IFERROR(-INDEX(Expenses!D$3:D$999,SMALL(IF((Expenses!E$3:E$999="GBP")*(Expenses!A$3:A$999=DATE(2026,1,6)),ROW(Expenses!A$3:A$999)-2),4)),0)+IFERROR(INDEX(Income!C$3:C$502,SMALL(IF((Income!D$3:D$502="GBP")*(Income!A$3:A$502=DATE(2026,1,6)),ROW(Income!A$3:A$502)-2),4)),0))</f>
        <v/>
      </c>
      <c r="F12" s="126">
        <f t="array" ref="F12">IF(IFERROR(INDEX(Expenses!B$3:B$999,SMALL(IF((Expenses!E$3:E$999="GBP")*(Expenses!A$3:A$999=DATE(2026,1,6)),ROW(Expenses!A$3:A$999)-2),4)),"")&lt;&gt;"",IFERROR(INDEX(Expenses!B$3:B$999,SMALL(IF((Expenses!E$3:E$999="GBP")*(Expenses!A$3:A$999=DATE(2026,1,6)),ROW(Expenses!A$3:A$999)-2),4)),""),IF(IFERROR(INDEX(Income!B$3:B$502,SMALL(IF((Income!D$3:D$502="GBP")*(Income!A$3:A$502=DATE(2026,1,6)),ROW(Income!A$3:A$502)-2),4)),"")&lt;&gt;"",IFERROR(INDEX(Income!B$3:B$502,SMALL(IF((Income!D$3:D$502="GBP")*(Income!A$3:A$502=DATE(2026,1,6)),ROW(Income!A$3:A$502)-2),4)),""),""))</f>
        <v/>
      </c>
      <c r="G12" s="152">
        <f t="array" ref="G12">IF(IFERROR(-INDEX(Expenses!D$3:D$999,SMALL(IF((Expenses!E$3:E$999="GBP")*(Expenses!A$3:A$999=DATE(2026,1,7)),ROW(Expenses!A$3:A$999)-2),4)),0)+IFERROR(INDEX(Income!C$3:C$502,SMALL(IF((Income!D$3:D$502="GBP")*(Income!A$3:A$502=DATE(2026,1,7)),ROW(Income!A$3:A$502)-2),4)),0)=0,"",IFERROR(-INDEX(Expenses!D$3:D$999,SMALL(IF((Expenses!E$3:E$999="GBP")*(Expenses!A$3:A$999=DATE(2026,1,7)),ROW(Expenses!A$3:A$999)-2),4)),0)+IFERROR(INDEX(Income!C$3:C$502,SMALL(IF((Income!D$3:D$502="GBP")*(Income!A$3:A$502=DATE(2026,1,7)),ROW(Income!A$3:A$502)-2),4)),0))</f>
        <v/>
      </c>
      <c r="H12" s="126">
        <f t="array" ref="H12">IF(IFERROR(INDEX(Expenses!B$3:B$999,SMALL(IF((Expenses!E$3:E$999="GBP")*(Expenses!A$3:A$999=DATE(2026,1,7)),ROW(Expenses!A$3:A$999)-2),4)),"")&lt;&gt;"",IFERROR(INDEX(Expenses!B$3:B$999,SMALL(IF((Expenses!E$3:E$999="GBP")*(Expenses!A$3:A$999=DATE(2026,1,7)),ROW(Expenses!A$3:A$999)-2),4)),""),IF(IFERROR(INDEX(Income!B$3:B$502,SMALL(IF((Income!D$3:D$502="GBP")*(Income!A$3:A$502=DATE(2026,1,7)),ROW(Income!A$3:A$502)-2),4)),"")&lt;&gt;"",IFERROR(INDEX(Income!B$3:B$502,SMALL(IF((Income!D$3:D$502="GBP")*(Income!A$3:A$502=DATE(2026,1,7)),ROW(Income!A$3:A$502)-2),4)),""),""))</f>
        <v/>
      </c>
      <c r="I12" s="152">
        <f t="array" ref="I12">IF(IFERROR(-INDEX(Expenses!D$3:D$999,SMALL(IF((Expenses!E$3:E$999="GBP")*(Expenses!A$3:A$999=DATE(2026,1,8)),ROW(Expenses!A$3:A$999)-2),4)),0)+IFERROR(INDEX(Income!C$3:C$502,SMALL(IF((Income!D$3:D$502="GBP")*(Income!A$3:A$502=DATE(2026,1,8)),ROW(Income!A$3:A$502)-2),4)),0)=0,"",IFERROR(-INDEX(Expenses!D$3:D$999,SMALL(IF((Expenses!E$3:E$999="GBP")*(Expenses!A$3:A$999=DATE(2026,1,8)),ROW(Expenses!A$3:A$999)-2),4)),0)+IFERROR(INDEX(Income!C$3:C$502,SMALL(IF((Income!D$3:D$502="GBP")*(Income!A$3:A$502=DATE(2026,1,8)),ROW(Income!A$3:A$502)-2),4)),0))</f>
        <v/>
      </c>
      <c r="J12" s="126">
        <f t="array" ref="J12">IF(IFERROR(INDEX(Expenses!B$3:B$999,SMALL(IF((Expenses!E$3:E$999="GBP")*(Expenses!A$3:A$999=DATE(2026,1,8)),ROW(Expenses!A$3:A$999)-2),4)),"")&lt;&gt;"",IFERROR(INDEX(Expenses!B$3:B$999,SMALL(IF((Expenses!E$3:E$999="GBP")*(Expenses!A$3:A$999=DATE(2026,1,8)),ROW(Expenses!A$3:A$999)-2),4)),""),IF(IFERROR(INDEX(Income!B$3:B$502,SMALL(IF((Income!D$3:D$502="GBP")*(Income!A$3:A$502=DATE(2026,1,8)),ROW(Income!A$3:A$502)-2),4)),"")&lt;&gt;"",IFERROR(INDEX(Income!B$3:B$502,SMALL(IF((Income!D$3:D$502="GBP")*(Income!A$3:A$502=DATE(2026,1,8)),ROW(Income!A$3:A$502)-2),4)),""),""))</f>
        <v/>
      </c>
      <c r="K12" s="152">
        <f t="array" ref="K12">IF(IFERROR(-INDEX(Expenses!D$3:D$999,SMALL(IF((Expenses!E$3:E$999="GBP")*(Expenses!A$3:A$999=DATE(2026,1,9)),ROW(Expenses!A$3:A$999)-2),4)),0)+IFERROR(INDEX(Income!C$3:C$502,SMALL(IF((Income!D$3:D$502="GBP")*(Income!A$3:A$502=DATE(2026,1,9)),ROW(Income!A$3:A$502)-2),4)),0)=0,"",IFERROR(-INDEX(Expenses!D$3:D$999,SMALL(IF((Expenses!E$3:E$999="GBP")*(Expenses!A$3:A$999=DATE(2026,1,9)),ROW(Expenses!A$3:A$999)-2),4)),0)+IFERROR(INDEX(Income!C$3:C$502,SMALL(IF((Income!D$3:D$502="GBP")*(Income!A$3:A$502=DATE(2026,1,9)),ROW(Income!A$3:A$502)-2),4)),0))</f>
        <v/>
      </c>
      <c r="L12" s="126">
        <f t="array" ref="L12">IF(IFERROR(INDEX(Expenses!B$3:B$999,SMALL(IF((Expenses!E$3:E$999="GBP")*(Expenses!A$3:A$999=DATE(2026,1,9)),ROW(Expenses!A$3:A$999)-2),4)),"")&lt;&gt;"",IFERROR(INDEX(Expenses!B$3:B$999,SMALL(IF((Expenses!E$3:E$999="GBP")*(Expenses!A$3:A$999=DATE(2026,1,9)),ROW(Expenses!A$3:A$999)-2),4)),""),IF(IFERROR(INDEX(Income!B$3:B$502,SMALL(IF((Income!D$3:D$502="GBP")*(Income!A$3:A$502=DATE(2026,1,9)),ROW(Income!A$3:A$502)-2),4)),"")&lt;&gt;"",IFERROR(INDEX(Income!B$3:B$502,SMALL(IF((Income!D$3:D$502="GBP")*(Income!A$3:A$502=DATE(2026,1,9)),ROW(Income!A$3:A$502)-2),4)),""),""))</f>
        <v/>
      </c>
      <c r="M12" s="152">
        <f t="array" ref="M12">IF(IFERROR(-INDEX(Expenses!D$3:D$999,SMALL(IF((Expenses!E$3:E$999="GBP")*(Expenses!A$3:A$999=DATE(2026,1,10)),ROW(Expenses!A$3:A$999)-2),4)),0)+IFERROR(INDEX(Income!C$3:C$502,SMALL(IF((Income!D$3:D$502="GBP")*(Income!A$3:A$502=DATE(2026,1,10)),ROW(Income!A$3:A$502)-2),4)),0)=0,"",IFERROR(-INDEX(Expenses!D$3:D$999,SMALL(IF((Expenses!E$3:E$999="GBP")*(Expenses!A$3:A$999=DATE(2026,1,10)),ROW(Expenses!A$3:A$999)-2),4)),0)+IFERROR(INDEX(Income!C$3:C$502,SMALL(IF((Income!D$3:D$502="GBP")*(Income!A$3:A$502=DATE(2026,1,10)),ROW(Income!A$3:A$502)-2),4)),0))</f>
        <v/>
      </c>
      <c r="N12" s="126">
        <f t="array" ref="N12">IF(IFERROR(INDEX(Expenses!B$3:B$999,SMALL(IF((Expenses!E$3:E$999="GBP")*(Expenses!A$3:A$999=DATE(2026,1,10)),ROW(Expenses!A$3:A$999)-2),4)),"")&lt;&gt;"",IFERROR(INDEX(Expenses!B$3:B$999,SMALL(IF((Expenses!E$3:E$999="GBP")*(Expenses!A$3:A$999=DATE(2026,1,10)),ROW(Expenses!A$3:A$999)-2),4)),""),IF(IFERROR(INDEX(Income!B$3:B$502,SMALL(IF((Income!D$3:D$502="GBP")*(Income!A$3:A$502=DATE(2026,1,10)),ROW(Income!A$3:A$502)-2),4)),"")&lt;&gt;"",IFERROR(INDEX(Income!B$3:B$502,SMALL(IF((Income!D$3:D$502="GBP")*(Income!A$3:A$502=DATE(2026,1,10)),ROW(Income!A$3:A$502)-2),4)),""),""))</f>
        <v/>
      </c>
      <c r="O12" s="152">
        <f t="array" ref="O12">IF(IFERROR(-INDEX(Expenses!D$3:D$999,SMALL(IF((Expenses!E$3:E$999="GBP")*(Expenses!A$3:A$999=DATE(2026,1,11)),ROW(Expenses!A$3:A$999)-2),4)),0)+IFERROR(INDEX(Income!C$3:C$502,SMALL(IF((Income!D$3:D$502="GBP")*(Income!A$3:A$502=DATE(2026,1,11)),ROW(Income!A$3:A$502)-2),4)),0)=0,"",IFERROR(-INDEX(Expenses!D$3:D$999,SMALL(IF((Expenses!E$3:E$999="GBP")*(Expenses!A$3:A$999=DATE(2026,1,11)),ROW(Expenses!A$3:A$999)-2),4)),0)+IFERROR(INDEX(Income!C$3:C$502,SMALL(IF((Income!D$3:D$502="GBP")*(Income!A$3:A$502=DATE(2026,1,11)),ROW(Income!A$3:A$502)-2),4)),0))</f>
        <v/>
      </c>
      <c r="P12" s="126">
        <f t="array" ref="P12">IF(IFERROR(INDEX(Expenses!B$3:B$999,SMALL(IF((Expenses!E$3:E$999="GBP")*(Expenses!A$3:A$999=DATE(2026,1,11)),ROW(Expenses!A$3:A$999)-2),4)),"")&lt;&gt;"",IFERROR(INDEX(Expenses!B$3:B$999,SMALL(IF((Expenses!E$3:E$999="GBP")*(Expenses!A$3:A$999=DATE(2026,1,11)),ROW(Expenses!A$3:A$999)-2),4)),""),IF(IFERROR(INDEX(Income!B$3:B$502,SMALL(IF((Income!D$3:D$502="GBP")*(Income!A$3:A$502=DATE(2026,1,11)),ROW(Income!A$3:A$502)-2),4)),"")&lt;&gt;"",IFERROR(INDEX(Income!B$3:B$502,SMALL(IF((Income!D$3:D$502="GBP")*(Income!A$3:A$502=DATE(2026,1,11)),ROW(Income!A$3:A$502)-2),4)),""),""))</f>
        <v/>
      </c>
      <c r="Q12" s="9" t="n"/>
      <c r="R12" s="9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9" t="n"/>
      <c r="B13" s="9" t="n"/>
      <c r="C13" s="152">
        <f t="array" ref="C13">IF(IFERROR(-INDEX(Expenses!D$3:D$999,SMALL(IF((Expenses!E$3:E$999="GBP")*(Expenses!A$3:A$999=DATE(2026,1,5)),ROW(Expenses!A$3:A$999)-2),5)),0)+IFERROR(INDEX(Income!C$3:C$502,SMALL(IF((Income!D$3:D$502="GBP")*(Income!A$3:A$502=DATE(2026,1,5)),ROW(Income!A$3:A$502)-2),5)),0)=0,"",IFERROR(-INDEX(Expenses!D$3:D$999,SMALL(IF((Expenses!E$3:E$999="GBP")*(Expenses!A$3:A$999=DATE(2026,1,5)),ROW(Expenses!A$3:A$999)-2),5)),0)+IFERROR(INDEX(Income!C$3:C$502,SMALL(IF((Income!D$3:D$502="GBP")*(Income!A$3:A$502=DATE(2026,1,5)),ROW(Income!A$3:A$502)-2),5)),0))</f>
        <v/>
      </c>
      <c r="D13" s="126">
        <f t="array" ref="D13">IF(IFERROR(INDEX(Expenses!B$3:B$999,SMALL(IF((Expenses!E$3:E$999="GBP")*(Expenses!A$3:A$999=DATE(2026,1,5)),ROW(Expenses!A$3:A$999)-2),5)),"")&lt;&gt;"",IFERROR(INDEX(Expenses!B$3:B$999,SMALL(IF((Expenses!E$3:E$999="GBP")*(Expenses!A$3:A$999=DATE(2026,1,5)),ROW(Expenses!A$3:A$999)-2),5)),""),IF(IFERROR(INDEX(Income!B$3:B$502,SMALL(IF((Income!D$3:D$502="GBP")*(Income!A$3:A$502=DATE(2026,1,5)),ROW(Income!A$3:A$502)-2),5)),"")&lt;&gt;"",IFERROR(INDEX(Income!B$3:B$502,SMALL(IF((Income!D$3:D$502="GBP")*(Income!A$3:A$502=DATE(2026,1,5)),ROW(Income!A$3:A$502)-2),5)),""),""))</f>
        <v/>
      </c>
      <c r="E13" s="152">
        <f t="array" ref="E13">IF(IFERROR(-INDEX(Expenses!D$3:D$999,SMALL(IF((Expenses!E$3:E$999="GBP")*(Expenses!A$3:A$999=DATE(2026,1,6)),ROW(Expenses!A$3:A$999)-2),5)),0)+IFERROR(INDEX(Income!C$3:C$502,SMALL(IF((Income!D$3:D$502="GBP")*(Income!A$3:A$502=DATE(2026,1,6)),ROW(Income!A$3:A$502)-2),5)),0)=0,"",IFERROR(-INDEX(Expenses!D$3:D$999,SMALL(IF((Expenses!E$3:E$999="GBP")*(Expenses!A$3:A$999=DATE(2026,1,6)),ROW(Expenses!A$3:A$999)-2),5)),0)+IFERROR(INDEX(Income!C$3:C$502,SMALL(IF((Income!D$3:D$502="GBP")*(Income!A$3:A$502=DATE(2026,1,6)),ROW(Income!A$3:A$502)-2),5)),0))</f>
        <v/>
      </c>
      <c r="F13" s="126">
        <f t="array" ref="F13">IF(IFERROR(INDEX(Expenses!B$3:B$999,SMALL(IF((Expenses!E$3:E$999="GBP")*(Expenses!A$3:A$999=DATE(2026,1,6)),ROW(Expenses!A$3:A$999)-2),5)),"")&lt;&gt;"",IFERROR(INDEX(Expenses!B$3:B$999,SMALL(IF((Expenses!E$3:E$999="GBP")*(Expenses!A$3:A$999=DATE(2026,1,6)),ROW(Expenses!A$3:A$999)-2),5)),""),IF(IFERROR(INDEX(Income!B$3:B$502,SMALL(IF((Income!D$3:D$502="GBP")*(Income!A$3:A$502=DATE(2026,1,6)),ROW(Income!A$3:A$502)-2),5)),"")&lt;&gt;"",IFERROR(INDEX(Income!B$3:B$502,SMALL(IF((Income!D$3:D$502="GBP")*(Income!A$3:A$502=DATE(2026,1,6)),ROW(Income!A$3:A$502)-2),5)),""),""))</f>
        <v/>
      </c>
      <c r="G13" s="152">
        <f t="array" ref="G13">IF(IFERROR(-INDEX(Expenses!D$3:D$999,SMALL(IF((Expenses!E$3:E$999="GBP")*(Expenses!A$3:A$999=DATE(2026,1,7)),ROW(Expenses!A$3:A$999)-2),5)),0)+IFERROR(INDEX(Income!C$3:C$502,SMALL(IF((Income!D$3:D$502="GBP")*(Income!A$3:A$502=DATE(2026,1,7)),ROW(Income!A$3:A$502)-2),5)),0)=0,"",IFERROR(-INDEX(Expenses!D$3:D$999,SMALL(IF((Expenses!E$3:E$999="GBP")*(Expenses!A$3:A$999=DATE(2026,1,7)),ROW(Expenses!A$3:A$999)-2),5)),0)+IFERROR(INDEX(Income!C$3:C$502,SMALL(IF((Income!D$3:D$502="GBP")*(Income!A$3:A$502=DATE(2026,1,7)),ROW(Income!A$3:A$502)-2),5)),0))</f>
        <v/>
      </c>
      <c r="H13" s="126">
        <f t="array" ref="H13">IF(IFERROR(INDEX(Expenses!B$3:B$999,SMALL(IF((Expenses!E$3:E$999="GBP")*(Expenses!A$3:A$999=DATE(2026,1,7)),ROW(Expenses!A$3:A$999)-2),5)),"")&lt;&gt;"",IFERROR(INDEX(Expenses!B$3:B$999,SMALL(IF((Expenses!E$3:E$999="GBP")*(Expenses!A$3:A$999=DATE(2026,1,7)),ROW(Expenses!A$3:A$999)-2),5)),""),IF(IFERROR(INDEX(Income!B$3:B$502,SMALL(IF((Income!D$3:D$502="GBP")*(Income!A$3:A$502=DATE(2026,1,7)),ROW(Income!A$3:A$502)-2),5)),"")&lt;&gt;"",IFERROR(INDEX(Income!B$3:B$502,SMALL(IF((Income!D$3:D$502="GBP")*(Income!A$3:A$502=DATE(2026,1,7)),ROW(Income!A$3:A$502)-2),5)),""),""))</f>
        <v/>
      </c>
      <c r="I13" s="152">
        <f t="array" ref="I13">IF(IFERROR(-INDEX(Expenses!D$3:D$999,SMALL(IF((Expenses!E$3:E$999="GBP")*(Expenses!A$3:A$999=DATE(2026,1,8)),ROW(Expenses!A$3:A$999)-2),5)),0)+IFERROR(INDEX(Income!C$3:C$502,SMALL(IF((Income!D$3:D$502="GBP")*(Income!A$3:A$502=DATE(2026,1,8)),ROW(Income!A$3:A$502)-2),5)),0)=0,"",IFERROR(-INDEX(Expenses!D$3:D$999,SMALL(IF((Expenses!E$3:E$999="GBP")*(Expenses!A$3:A$999=DATE(2026,1,8)),ROW(Expenses!A$3:A$999)-2),5)),0)+IFERROR(INDEX(Income!C$3:C$502,SMALL(IF((Income!D$3:D$502="GBP")*(Income!A$3:A$502=DATE(2026,1,8)),ROW(Income!A$3:A$502)-2),5)),0))</f>
        <v/>
      </c>
      <c r="J13" s="126">
        <f t="array" ref="J13">IF(IFERROR(INDEX(Expenses!B$3:B$999,SMALL(IF((Expenses!E$3:E$999="GBP")*(Expenses!A$3:A$999=DATE(2026,1,8)),ROW(Expenses!A$3:A$999)-2),5)),"")&lt;&gt;"",IFERROR(INDEX(Expenses!B$3:B$999,SMALL(IF((Expenses!E$3:E$999="GBP")*(Expenses!A$3:A$999=DATE(2026,1,8)),ROW(Expenses!A$3:A$999)-2),5)),""),IF(IFERROR(INDEX(Income!B$3:B$502,SMALL(IF((Income!D$3:D$502="GBP")*(Income!A$3:A$502=DATE(2026,1,8)),ROW(Income!A$3:A$502)-2),5)),"")&lt;&gt;"",IFERROR(INDEX(Income!B$3:B$502,SMALL(IF((Income!D$3:D$502="GBP")*(Income!A$3:A$502=DATE(2026,1,8)),ROW(Income!A$3:A$502)-2),5)),""),""))</f>
        <v/>
      </c>
      <c r="K13" s="152">
        <f t="array" ref="K13">IF(IFERROR(-INDEX(Expenses!D$3:D$999,SMALL(IF((Expenses!E$3:E$999="GBP")*(Expenses!A$3:A$999=DATE(2026,1,9)),ROW(Expenses!A$3:A$999)-2),5)),0)+IFERROR(INDEX(Income!C$3:C$502,SMALL(IF((Income!D$3:D$502="GBP")*(Income!A$3:A$502=DATE(2026,1,9)),ROW(Income!A$3:A$502)-2),5)),0)=0,"",IFERROR(-INDEX(Expenses!D$3:D$999,SMALL(IF((Expenses!E$3:E$999="GBP")*(Expenses!A$3:A$999=DATE(2026,1,9)),ROW(Expenses!A$3:A$999)-2),5)),0)+IFERROR(INDEX(Income!C$3:C$502,SMALL(IF((Income!D$3:D$502="GBP")*(Income!A$3:A$502=DATE(2026,1,9)),ROW(Income!A$3:A$502)-2),5)),0))</f>
        <v/>
      </c>
      <c r="L13" s="126">
        <f t="array" ref="L13">IF(IFERROR(INDEX(Expenses!B$3:B$999,SMALL(IF((Expenses!E$3:E$999="GBP")*(Expenses!A$3:A$999=DATE(2026,1,9)),ROW(Expenses!A$3:A$999)-2),5)),"")&lt;&gt;"",IFERROR(INDEX(Expenses!B$3:B$999,SMALL(IF((Expenses!E$3:E$999="GBP")*(Expenses!A$3:A$999=DATE(2026,1,9)),ROW(Expenses!A$3:A$999)-2),5)),""),IF(IFERROR(INDEX(Income!B$3:B$502,SMALL(IF((Income!D$3:D$502="GBP")*(Income!A$3:A$502=DATE(2026,1,9)),ROW(Income!A$3:A$502)-2),5)),"")&lt;&gt;"",IFERROR(INDEX(Income!B$3:B$502,SMALL(IF((Income!D$3:D$502="GBP")*(Income!A$3:A$502=DATE(2026,1,9)),ROW(Income!A$3:A$502)-2),5)),""),""))</f>
        <v/>
      </c>
      <c r="M13" s="152">
        <f t="array" ref="M13">IF(IFERROR(-INDEX(Expenses!D$3:D$999,SMALL(IF((Expenses!E$3:E$999="GBP")*(Expenses!A$3:A$999=DATE(2026,1,10)),ROW(Expenses!A$3:A$999)-2),5)),0)+IFERROR(INDEX(Income!C$3:C$502,SMALL(IF((Income!D$3:D$502="GBP")*(Income!A$3:A$502=DATE(2026,1,10)),ROW(Income!A$3:A$502)-2),5)),0)=0,"",IFERROR(-INDEX(Expenses!D$3:D$999,SMALL(IF((Expenses!E$3:E$999="GBP")*(Expenses!A$3:A$999=DATE(2026,1,10)),ROW(Expenses!A$3:A$999)-2),5)),0)+IFERROR(INDEX(Income!C$3:C$502,SMALL(IF((Income!D$3:D$502="GBP")*(Income!A$3:A$502=DATE(2026,1,10)),ROW(Income!A$3:A$502)-2),5)),0))</f>
        <v/>
      </c>
      <c r="N13" s="126">
        <f t="array" ref="N13">IF(IFERROR(INDEX(Expenses!B$3:B$999,SMALL(IF((Expenses!E$3:E$999="GBP")*(Expenses!A$3:A$999=DATE(2026,1,10)),ROW(Expenses!A$3:A$999)-2),5)),"")&lt;&gt;"",IFERROR(INDEX(Expenses!B$3:B$999,SMALL(IF((Expenses!E$3:E$999="GBP")*(Expenses!A$3:A$999=DATE(2026,1,10)),ROW(Expenses!A$3:A$999)-2),5)),""),IF(IFERROR(INDEX(Income!B$3:B$502,SMALL(IF((Income!D$3:D$502="GBP")*(Income!A$3:A$502=DATE(2026,1,10)),ROW(Income!A$3:A$502)-2),5)),"")&lt;&gt;"",IFERROR(INDEX(Income!B$3:B$502,SMALL(IF((Income!D$3:D$502="GBP")*(Income!A$3:A$502=DATE(2026,1,10)),ROW(Income!A$3:A$502)-2),5)),""),""))</f>
        <v/>
      </c>
      <c r="O13" s="152">
        <f t="array" ref="O13">IF(IFERROR(-INDEX(Expenses!D$3:D$999,SMALL(IF((Expenses!E$3:E$999="GBP")*(Expenses!A$3:A$999=DATE(2026,1,11)),ROW(Expenses!A$3:A$999)-2),5)),0)+IFERROR(INDEX(Income!C$3:C$502,SMALL(IF((Income!D$3:D$502="GBP")*(Income!A$3:A$502=DATE(2026,1,11)),ROW(Income!A$3:A$502)-2),5)),0)=0,"",IFERROR(-INDEX(Expenses!D$3:D$999,SMALL(IF((Expenses!E$3:E$999="GBP")*(Expenses!A$3:A$999=DATE(2026,1,11)),ROW(Expenses!A$3:A$999)-2),5)),0)+IFERROR(INDEX(Income!C$3:C$502,SMALL(IF((Income!D$3:D$502="GBP")*(Income!A$3:A$502=DATE(2026,1,11)),ROW(Income!A$3:A$502)-2),5)),0))</f>
        <v/>
      </c>
      <c r="P13" s="126">
        <f t="array" ref="P13">IF(IFERROR(INDEX(Expenses!B$3:B$999,SMALL(IF((Expenses!E$3:E$999="GBP")*(Expenses!A$3:A$999=DATE(2026,1,11)),ROW(Expenses!A$3:A$999)-2),5)),"")&lt;&gt;"",IFERROR(INDEX(Expenses!B$3:B$999,SMALL(IF((Expenses!E$3:E$999="GBP")*(Expenses!A$3:A$999=DATE(2026,1,11)),ROW(Expenses!A$3:A$999)-2),5)),""),IF(IFERROR(INDEX(Income!B$3:B$502,SMALL(IF((Income!D$3:D$502="GBP")*(Income!A$3:A$502=DATE(2026,1,11)),ROW(Income!A$3:A$502)-2),5)),"")&lt;&gt;"",IFERROR(INDEX(Income!B$3:B$502,SMALL(IF((Income!D$3:D$502="GBP")*(Income!A$3:A$502=DATE(2026,1,11)),ROW(Income!A$3:A$502)-2),5)),""),""))</f>
        <v/>
      </c>
      <c r="Q13" s="9" t="n"/>
      <c r="R13" s="9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151" t="n">
        <v>46034</v>
      </c>
      <c r="B14" s="103" t="n">
        <v>3</v>
      </c>
      <c r="C14" s="152">
        <f t="array" ref="C14">IF(IFERROR(-INDEX(Expenses!D$3:D$999,SMALL(IF((Expenses!E$3:E$999="GBP")*(Expenses!A$3:A$999=DATE(2026,1,12)),ROW(Expenses!A$3:A$999)-2),1)),0)+IFERROR(INDEX(Income!C$3:C$502,SMALL(IF((Income!D$3:D$502="GBP")*(Income!A$3:A$502=DATE(2026,1,12)),ROW(Income!A$3:A$502)-2),1)),0)=0,"",IFERROR(-INDEX(Expenses!D$3:D$999,SMALL(IF((Expenses!E$3:E$999="GBP")*(Expenses!A$3:A$999=DATE(2026,1,12)),ROW(Expenses!A$3:A$999)-2),1)),0)+IFERROR(INDEX(Income!C$3:C$502,SMALL(IF((Income!D$3:D$502="GBP")*(Income!A$3:A$502=DATE(2026,1,12)),ROW(Income!A$3:A$502)-2),1)),0))</f>
        <v/>
      </c>
      <c r="D14" s="126">
        <f t="array" ref="D14">IF(IFERROR(INDEX(Expenses!B$3:B$999,SMALL(IF((Expenses!E$3:E$999="GBP")*(Expenses!A$3:A$999=DATE(2026,1,12)),ROW(Expenses!A$3:A$999)-2),1)),"")&lt;&gt;"",IFERROR(INDEX(Expenses!B$3:B$999,SMALL(IF((Expenses!E$3:E$999="GBP")*(Expenses!A$3:A$999=DATE(2026,1,12)),ROW(Expenses!A$3:A$999)-2),1)),""),IF(IFERROR(INDEX(Income!B$3:B$502,SMALL(IF((Income!D$3:D$502="GBP")*(Income!A$3:A$502=DATE(2026,1,12)),ROW(Income!A$3:A$502)-2),1)),"")&lt;&gt;"",IFERROR(INDEX(Income!B$3:B$502,SMALL(IF((Income!D$3:D$502="GBP")*(Income!A$3:A$502=DATE(2026,1,12)),ROW(Income!A$3:A$502)-2),1)),""),""))</f>
        <v/>
      </c>
      <c r="E14" s="152">
        <f t="array" ref="E14">IF(IFERROR(-INDEX(Expenses!D$3:D$999,SMALL(IF((Expenses!E$3:E$999="GBP")*(Expenses!A$3:A$999=DATE(2026,1,13)),ROW(Expenses!A$3:A$999)-2),1)),0)+IFERROR(INDEX(Income!C$3:C$502,SMALL(IF((Income!D$3:D$502="GBP")*(Income!A$3:A$502=DATE(2026,1,13)),ROW(Income!A$3:A$502)-2),1)),0)=0,"",IFERROR(-INDEX(Expenses!D$3:D$999,SMALL(IF((Expenses!E$3:E$999="GBP")*(Expenses!A$3:A$999=DATE(2026,1,13)),ROW(Expenses!A$3:A$999)-2),1)),0)+IFERROR(INDEX(Income!C$3:C$502,SMALL(IF((Income!D$3:D$502="GBP")*(Income!A$3:A$502=DATE(2026,1,13)),ROW(Income!A$3:A$502)-2),1)),0))</f>
        <v/>
      </c>
      <c r="F14" s="126">
        <f t="array" ref="F14">IF(IFERROR(INDEX(Expenses!B$3:B$999,SMALL(IF((Expenses!E$3:E$999="GBP")*(Expenses!A$3:A$999=DATE(2026,1,13)),ROW(Expenses!A$3:A$999)-2),1)),"")&lt;&gt;"",IFERROR(INDEX(Expenses!B$3:B$999,SMALL(IF((Expenses!E$3:E$999="GBP")*(Expenses!A$3:A$999=DATE(2026,1,13)),ROW(Expenses!A$3:A$999)-2),1)),""),IF(IFERROR(INDEX(Income!B$3:B$502,SMALL(IF((Income!D$3:D$502="GBP")*(Income!A$3:A$502=DATE(2026,1,13)),ROW(Income!A$3:A$502)-2),1)),"")&lt;&gt;"",IFERROR(INDEX(Income!B$3:B$502,SMALL(IF((Income!D$3:D$502="GBP")*(Income!A$3:A$502=DATE(2026,1,13)),ROW(Income!A$3:A$502)-2),1)),""),""))</f>
        <v/>
      </c>
      <c r="G14" s="152">
        <f t="array" ref="G14">IF(IFERROR(-INDEX(Expenses!D$3:D$999,SMALL(IF((Expenses!E$3:E$999="GBP")*(Expenses!A$3:A$999=DATE(2026,1,14)),ROW(Expenses!A$3:A$999)-2),1)),0)+IFERROR(INDEX(Income!C$3:C$502,SMALL(IF((Income!D$3:D$502="GBP")*(Income!A$3:A$502=DATE(2026,1,14)),ROW(Income!A$3:A$502)-2),1)),0)=0,"",IFERROR(-INDEX(Expenses!D$3:D$999,SMALL(IF((Expenses!E$3:E$999="GBP")*(Expenses!A$3:A$999=DATE(2026,1,14)),ROW(Expenses!A$3:A$999)-2),1)),0)+IFERROR(INDEX(Income!C$3:C$502,SMALL(IF((Income!D$3:D$502="GBP")*(Income!A$3:A$502=DATE(2026,1,14)),ROW(Income!A$3:A$502)-2),1)),0))</f>
        <v/>
      </c>
      <c r="H14" s="126">
        <f t="array" ref="H14">IF(IFERROR(INDEX(Expenses!B$3:B$999,SMALL(IF((Expenses!E$3:E$999="GBP")*(Expenses!A$3:A$999=DATE(2026,1,14)),ROW(Expenses!A$3:A$999)-2),1)),"")&lt;&gt;"",IFERROR(INDEX(Expenses!B$3:B$999,SMALL(IF((Expenses!E$3:E$999="GBP")*(Expenses!A$3:A$999=DATE(2026,1,14)),ROW(Expenses!A$3:A$999)-2),1)),""),IF(IFERROR(INDEX(Income!B$3:B$502,SMALL(IF((Income!D$3:D$502="GBP")*(Income!A$3:A$502=DATE(2026,1,14)),ROW(Income!A$3:A$502)-2),1)),"")&lt;&gt;"",IFERROR(INDEX(Income!B$3:B$502,SMALL(IF((Income!D$3:D$502="GBP")*(Income!A$3:A$502=DATE(2026,1,14)),ROW(Income!A$3:A$502)-2),1)),""),""))</f>
        <v/>
      </c>
      <c r="I14" s="152">
        <f t="array" ref="I14">IF(IFERROR(-INDEX(Expenses!D$3:D$999,SMALL(IF((Expenses!E$3:E$999="GBP")*(Expenses!A$3:A$999=DATE(2026,1,15)),ROW(Expenses!A$3:A$999)-2),1)),0)+IFERROR(INDEX(Income!C$3:C$502,SMALL(IF((Income!D$3:D$502="GBP")*(Income!A$3:A$502=DATE(2026,1,15)),ROW(Income!A$3:A$502)-2),1)),0)=0,"",IFERROR(-INDEX(Expenses!D$3:D$999,SMALL(IF((Expenses!E$3:E$999="GBP")*(Expenses!A$3:A$999=DATE(2026,1,15)),ROW(Expenses!A$3:A$999)-2),1)),0)+IFERROR(INDEX(Income!C$3:C$502,SMALL(IF((Income!D$3:D$502="GBP")*(Income!A$3:A$502=DATE(2026,1,15)),ROW(Income!A$3:A$502)-2),1)),0))</f>
        <v/>
      </c>
      <c r="J14" s="126">
        <f t="array" ref="J14">IF(IFERROR(INDEX(Expenses!B$3:B$999,SMALL(IF((Expenses!E$3:E$999="GBP")*(Expenses!A$3:A$999=DATE(2026,1,15)),ROW(Expenses!A$3:A$999)-2),1)),"")&lt;&gt;"",IFERROR(INDEX(Expenses!B$3:B$999,SMALL(IF((Expenses!E$3:E$999="GBP")*(Expenses!A$3:A$999=DATE(2026,1,15)),ROW(Expenses!A$3:A$999)-2),1)),""),IF(IFERROR(INDEX(Income!B$3:B$502,SMALL(IF((Income!D$3:D$502="GBP")*(Income!A$3:A$502=DATE(2026,1,15)),ROW(Income!A$3:A$502)-2),1)),"")&lt;&gt;"",IFERROR(INDEX(Income!B$3:B$502,SMALL(IF((Income!D$3:D$502="GBP")*(Income!A$3:A$502=DATE(2026,1,15)),ROW(Income!A$3:A$502)-2),1)),""),""))</f>
        <v/>
      </c>
      <c r="K14" s="152">
        <f t="array" ref="K14">IF(IFERROR(-INDEX(Expenses!D$3:D$999,SMALL(IF((Expenses!E$3:E$999="GBP")*(Expenses!A$3:A$999=DATE(2026,1,16)),ROW(Expenses!A$3:A$999)-2),1)),0)+IFERROR(INDEX(Income!C$3:C$502,SMALL(IF((Income!D$3:D$502="GBP")*(Income!A$3:A$502=DATE(2026,1,16)),ROW(Income!A$3:A$502)-2),1)),0)=0,"",IFERROR(-INDEX(Expenses!D$3:D$999,SMALL(IF((Expenses!E$3:E$999="GBP")*(Expenses!A$3:A$999=DATE(2026,1,16)),ROW(Expenses!A$3:A$999)-2),1)),0)+IFERROR(INDEX(Income!C$3:C$502,SMALL(IF((Income!D$3:D$502="GBP")*(Income!A$3:A$502=DATE(2026,1,16)),ROW(Income!A$3:A$502)-2),1)),0))</f>
        <v/>
      </c>
      <c r="L14" s="126">
        <f t="array" ref="L14">IF(IFERROR(INDEX(Expenses!B$3:B$999,SMALL(IF((Expenses!E$3:E$999="GBP")*(Expenses!A$3:A$999=DATE(2026,1,16)),ROW(Expenses!A$3:A$999)-2),1)),"")&lt;&gt;"",IFERROR(INDEX(Expenses!B$3:B$999,SMALL(IF((Expenses!E$3:E$999="GBP")*(Expenses!A$3:A$999=DATE(2026,1,16)),ROW(Expenses!A$3:A$999)-2),1)),""),IF(IFERROR(INDEX(Income!B$3:B$502,SMALL(IF((Income!D$3:D$502="GBP")*(Income!A$3:A$502=DATE(2026,1,16)),ROW(Income!A$3:A$502)-2),1)),"")&lt;&gt;"",IFERROR(INDEX(Income!B$3:B$502,SMALL(IF((Income!D$3:D$502="GBP")*(Income!A$3:A$502=DATE(2026,1,16)),ROW(Income!A$3:A$502)-2),1)),""),""))</f>
        <v/>
      </c>
      <c r="M14" s="152">
        <f t="array" ref="M14">IF(IFERROR(-INDEX(Expenses!D$3:D$999,SMALL(IF((Expenses!E$3:E$999="GBP")*(Expenses!A$3:A$999=DATE(2026,1,17)),ROW(Expenses!A$3:A$999)-2),1)),0)+IFERROR(INDEX(Income!C$3:C$502,SMALL(IF((Income!D$3:D$502="GBP")*(Income!A$3:A$502=DATE(2026,1,17)),ROW(Income!A$3:A$502)-2),1)),0)=0,"",IFERROR(-INDEX(Expenses!D$3:D$999,SMALL(IF((Expenses!E$3:E$999="GBP")*(Expenses!A$3:A$999=DATE(2026,1,17)),ROW(Expenses!A$3:A$999)-2),1)),0)+IFERROR(INDEX(Income!C$3:C$502,SMALL(IF((Income!D$3:D$502="GBP")*(Income!A$3:A$502=DATE(2026,1,17)),ROW(Income!A$3:A$502)-2),1)),0))</f>
        <v/>
      </c>
      <c r="N14" s="126">
        <f t="array" ref="N14">IF(IFERROR(INDEX(Expenses!B$3:B$999,SMALL(IF((Expenses!E$3:E$999="GBP")*(Expenses!A$3:A$999=DATE(2026,1,17)),ROW(Expenses!A$3:A$999)-2),1)),"")&lt;&gt;"",IFERROR(INDEX(Expenses!B$3:B$999,SMALL(IF((Expenses!E$3:E$999="GBP")*(Expenses!A$3:A$999=DATE(2026,1,17)),ROW(Expenses!A$3:A$999)-2),1)),""),IF(IFERROR(INDEX(Income!B$3:B$502,SMALL(IF((Income!D$3:D$502="GBP")*(Income!A$3:A$502=DATE(2026,1,17)),ROW(Income!A$3:A$502)-2),1)),"")&lt;&gt;"",IFERROR(INDEX(Income!B$3:B$502,SMALL(IF((Income!D$3:D$502="GBP")*(Income!A$3:A$502=DATE(2026,1,17)),ROW(Income!A$3:A$502)-2),1)),""),""))</f>
        <v/>
      </c>
      <c r="O14" s="152">
        <f t="array" ref="O14">IF(IFERROR(-INDEX(Expenses!D$3:D$999,SMALL(IF((Expenses!E$3:E$999="GBP")*(Expenses!A$3:A$999=DATE(2026,1,18)),ROW(Expenses!A$3:A$999)-2),1)),0)+IFERROR(INDEX(Income!C$3:C$502,SMALL(IF((Income!D$3:D$502="GBP")*(Income!A$3:A$502=DATE(2026,1,18)),ROW(Income!A$3:A$502)-2),1)),0)=0,"",IFERROR(-INDEX(Expenses!D$3:D$999,SMALL(IF((Expenses!E$3:E$999="GBP")*(Expenses!A$3:A$999=DATE(2026,1,18)),ROW(Expenses!A$3:A$999)-2),1)),0)+IFERROR(INDEX(Income!C$3:C$502,SMALL(IF((Income!D$3:D$502="GBP")*(Income!A$3:A$502=DATE(2026,1,18)),ROW(Income!A$3:A$502)-2),1)),0))</f>
        <v/>
      </c>
      <c r="P14" s="126">
        <f t="array" ref="P14">IF(IFERROR(INDEX(Expenses!B$3:B$999,SMALL(IF((Expenses!E$3:E$999="GBP")*(Expenses!A$3:A$999=DATE(2026,1,18)),ROW(Expenses!A$3:A$999)-2),1)),"")&lt;&gt;"",IFERROR(INDEX(Expenses!B$3:B$999,SMALL(IF((Expenses!E$3:E$999="GBP")*(Expenses!A$3:A$999=DATE(2026,1,18)),ROW(Expenses!A$3:A$999)-2),1)),""),IF(IFERROR(INDEX(Income!B$3:B$502,SMALL(IF((Income!D$3:D$502="GBP")*(Income!A$3:A$502=DATE(2026,1,18)),ROW(Income!A$3:A$502)-2),1)),"")&lt;&gt;"",IFERROR(INDEX(Income!B$3:B$502,SMALL(IF((Income!D$3:D$502="GBP")*(Income!A$3:A$502=DATE(2026,1,18)),ROW(Income!A$3:A$502)-2),1)),""),""))</f>
        <v/>
      </c>
      <c r="Q14" s="103" t="n">
        <v>3</v>
      </c>
      <c r="R14" s="134">
        <f>SUM(C14:C18)+SUM(E14:E18)+SUM(G14:G18)+SUM(I14:I18)+SUM(K14:K18)+SUM(M14:M18)+SUM(O14:O18)</f>
        <v/>
      </c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9" t="n"/>
      <c r="B15" s="9" t="n"/>
      <c r="C15" s="152">
        <f t="array" ref="C15">IF(IFERROR(-INDEX(Expenses!D$3:D$999,SMALL(IF((Expenses!E$3:E$999="GBP")*(Expenses!A$3:A$999=DATE(2026,1,12)),ROW(Expenses!A$3:A$999)-2),2)),0)+IFERROR(INDEX(Income!C$3:C$502,SMALL(IF((Income!D$3:D$502="GBP")*(Income!A$3:A$502=DATE(2026,1,12)),ROW(Income!A$3:A$502)-2),2)),0)=0,"",IFERROR(-INDEX(Expenses!D$3:D$999,SMALL(IF((Expenses!E$3:E$999="GBP")*(Expenses!A$3:A$999=DATE(2026,1,12)),ROW(Expenses!A$3:A$999)-2),2)),0)+IFERROR(INDEX(Income!C$3:C$502,SMALL(IF((Income!D$3:D$502="GBP")*(Income!A$3:A$502=DATE(2026,1,12)),ROW(Income!A$3:A$502)-2),2)),0))</f>
        <v/>
      </c>
      <c r="D15" s="126">
        <f t="array" ref="D15">IF(IFERROR(INDEX(Expenses!B$3:B$999,SMALL(IF((Expenses!E$3:E$999="GBP")*(Expenses!A$3:A$999=DATE(2026,1,12)),ROW(Expenses!A$3:A$999)-2),2)),"")&lt;&gt;"",IFERROR(INDEX(Expenses!B$3:B$999,SMALL(IF((Expenses!E$3:E$999="GBP")*(Expenses!A$3:A$999=DATE(2026,1,12)),ROW(Expenses!A$3:A$999)-2),2)),""),IF(IFERROR(INDEX(Income!B$3:B$502,SMALL(IF((Income!D$3:D$502="GBP")*(Income!A$3:A$502=DATE(2026,1,12)),ROW(Income!A$3:A$502)-2),2)),"")&lt;&gt;"",IFERROR(INDEX(Income!B$3:B$502,SMALL(IF((Income!D$3:D$502="GBP")*(Income!A$3:A$502=DATE(2026,1,12)),ROW(Income!A$3:A$502)-2),2)),""),""))</f>
        <v/>
      </c>
      <c r="E15" s="152">
        <f t="array" ref="E15">IF(IFERROR(-INDEX(Expenses!D$3:D$999,SMALL(IF((Expenses!E$3:E$999="GBP")*(Expenses!A$3:A$999=DATE(2026,1,13)),ROW(Expenses!A$3:A$999)-2),2)),0)+IFERROR(INDEX(Income!C$3:C$502,SMALL(IF((Income!D$3:D$502="GBP")*(Income!A$3:A$502=DATE(2026,1,13)),ROW(Income!A$3:A$502)-2),2)),0)=0,"",IFERROR(-INDEX(Expenses!D$3:D$999,SMALL(IF((Expenses!E$3:E$999="GBP")*(Expenses!A$3:A$999=DATE(2026,1,13)),ROW(Expenses!A$3:A$999)-2),2)),0)+IFERROR(INDEX(Income!C$3:C$502,SMALL(IF((Income!D$3:D$502="GBP")*(Income!A$3:A$502=DATE(2026,1,13)),ROW(Income!A$3:A$502)-2),2)),0))</f>
        <v/>
      </c>
      <c r="F15" s="126">
        <f t="array" ref="F15">IF(IFERROR(INDEX(Expenses!B$3:B$999,SMALL(IF((Expenses!E$3:E$999="GBP")*(Expenses!A$3:A$999=DATE(2026,1,13)),ROW(Expenses!A$3:A$999)-2),2)),"")&lt;&gt;"",IFERROR(INDEX(Expenses!B$3:B$999,SMALL(IF((Expenses!E$3:E$999="GBP")*(Expenses!A$3:A$999=DATE(2026,1,13)),ROW(Expenses!A$3:A$999)-2),2)),""),IF(IFERROR(INDEX(Income!B$3:B$502,SMALL(IF((Income!D$3:D$502="GBP")*(Income!A$3:A$502=DATE(2026,1,13)),ROW(Income!A$3:A$502)-2),2)),"")&lt;&gt;"",IFERROR(INDEX(Income!B$3:B$502,SMALL(IF((Income!D$3:D$502="GBP")*(Income!A$3:A$502=DATE(2026,1,13)),ROW(Income!A$3:A$502)-2),2)),""),""))</f>
        <v/>
      </c>
      <c r="G15" s="152">
        <f t="array" ref="G15">IF(IFERROR(-INDEX(Expenses!D$3:D$999,SMALL(IF((Expenses!E$3:E$999="GBP")*(Expenses!A$3:A$999=DATE(2026,1,14)),ROW(Expenses!A$3:A$999)-2),2)),0)+IFERROR(INDEX(Income!C$3:C$502,SMALL(IF((Income!D$3:D$502="GBP")*(Income!A$3:A$502=DATE(2026,1,14)),ROW(Income!A$3:A$502)-2),2)),0)=0,"",IFERROR(-INDEX(Expenses!D$3:D$999,SMALL(IF((Expenses!E$3:E$999="GBP")*(Expenses!A$3:A$999=DATE(2026,1,14)),ROW(Expenses!A$3:A$999)-2),2)),0)+IFERROR(INDEX(Income!C$3:C$502,SMALL(IF((Income!D$3:D$502="GBP")*(Income!A$3:A$502=DATE(2026,1,14)),ROW(Income!A$3:A$502)-2),2)),0))</f>
        <v/>
      </c>
      <c r="H15" s="126">
        <f t="array" ref="H15">IF(IFERROR(INDEX(Expenses!B$3:B$999,SMALL(IF((Expenses!E$3:E$999="GBP")*(Expenses!A$3:A$999=DATE(2026,1,14)),ROW(Expenses!A$3:A$999)-2),2)),"")&lt;&gt;"",IFERROR(INDEX(Expenses!B$3:B$999,SMALL(IF((Expenses!E$3:E$999="GBP")*(Expenses!A$3:A$999=DATE(2026,1,14)),ROW(Expenses!A$3:A$999)-2),2)),""),IF(IFERROR(INDEX(Income!B$3:B$502,SMALL(IF((Income!D$3:D$502="GBP")*(Income!A$3:A$502=DATE(2026,1,14)),ROW(Income!A$3:A$502)-2),2)),"")&lt;&gt;"",IFERROR(INDEX(Income!B$3:B$502,SMALL(IF((Income!D$3:D$502="GBP")*(Income!A$3:A$502=DATE(2026,1,14)),ROW(Income!A$3:A$502)-2),2)),""),""))</f>
        <v/>
      </c>
      <c r="I15" s="152">
        <f t="array" ref="I15">IF(IFERROR(-INDEX(Expenses!D$3:D$999,SMALL(IF((Expenses!E$3:E$999="GBP")*(Expenses!A$3:A$999=DATE(2026,1,15)),ROW(Expenses!A$3:A$999)-2),2)),0)+IFERROR(INDEX(Income!C$3:C$502,SMALL(IF((Income!D$3:D$502="GBP")*(Income!A$3:A$502=DATE(2026,1,15)),ROW(Income!A$3:A$502)-2),2)),0)=0,"",IFERROR(-INDEX(Expenses!D$3:D$999,SMALL(IF((Expenses!E$3:E$999="GBP")*(Expenses!A$3:A$999=DATE(2026,1,15)),ROW(Expenses!A$3:A$999)-2),2)),0)+IFERROR(INDEX(Income!C$3:C$502,SMALL(IF((Income!D$3:D$502="GBP")*(Income!A$3:A$502=DATE(2026,1,15)),ROW(Income!A$3:A$502)-2),2)),0))</f>
        <v/>
      </c>
      <c r="J15" s="126">
        <f t="array" ref="J15">IF(IFERROR(INDEX(Expenses!B$3:B$999,SMALL(IF((Expenses!E$3:E$999="GBP")*(Expenses!A$3:A$999=DATE(2026,1,15)),ROW(Expenses!A$3:A$999)-2),2)),"")&lt;&gt;"",IFERROR(INDEX(Expenses!B$3:B$999,SMALL(IF((Expenses!E$3:E$999="GBP")*(Expenses!A$3:A$999=DATE(2026,1,15)),ROW(Expenses!A$3:A$999)-2),2)),""),IF(IFERROR(INDEX(Income!B$3:B$502,SMALL(IF((Income!D$3:D$502="GBP")*(Income!A$3:A$502=DATE(2026,1,15)),ROW(Income!A$3:A$502)-2),2)),"")&lt;&gt;"",IFERROR(INDEX(Income!B$3:B$502,SMALL(IF((Income!D$3:D$502="GBP")*(Income!A$3:A$502=DATE(2026,1,15)),ROW(Income!A$3:A$502)-2),2)),""),""))</f>
        <v/>
      </c>
      <c r="K15" s="152">
        <f t="array" ref="K15">IF(IFERROR(-INDEX(Expenses!D$3:D$999,SMALL(IF((Expenses!E$3:E$999="GBP")*(Expenses!A$3:A$999=DATE(2026,1,16)),ROW(Expenses!A$3:A$999)-2),2)),0)+IFERROR(INDEX(Income!C$3:C$502,SMALL(IF((Income!D$3:D$502="GBP")*(Income!A$3:A$502=DATE(2026,1,16)),ROW(Income!A$3:A$502)-2),2)),0)=0,"",IFERROR(-INDEX(Expenses!D$3:D$999,SMALL(IF((Expenses!E$3:E$999="GBP")*(Expenses!A$3:A$999=DATE(2026,1,16)),ROW(Expenses!A$3:A$999)-2),2)),0)+IFERROR(INDEX(Income!C$3:C$502,SMALL(IF((Income!D$3:D$502="GBP")*(Income!A$3:A$502=DATE(2026,1,16)),ROW(Income!A$3:A$502)-2),2)),0))</f>
        <v/>
      </c>
      <c r="L15" s="126">
        <f t="array" ref="L15">IF(IFERROR(INDEX(Expenses!B$3:B$999,SMALL(IF((Expenses!E$3:E$999="GBP")*(Expenses!A$3:A$999=DATE(2026,1,16)),ROW(Expenses!A$3:A$999)-2),2)),"")&lt;&gt;"",IFERROR(INDEX(Expenses!B$3:B$999,SMALL(IF((Expenses!E$3:E$999="GBP")*(Expenses!A$3:A$999=DATE(2026,1,16)),ROW(Expenses!A$3:A$999)-2),2)),""),IF(IFERROR(INDEX(Income!B$3:B$502,SMALL(IF((Income!D$3:D$502="GBP")*(Income!A$3:A$502=DATE(2026,1,16)),ROW(Income!A$3:A$502)-2),2)),"")&lt;&gt;"",IFERROR(INDEX(Income!B$3:B$502,SMALL(IF((Income!D$3:D$502="GBP")*(Income!A$3:A$502=DATE(2026,1,16)),ROW(Income!A$3:A$502)-2),2)),""),""))</f>
        <v/>
      </c>
      <c r="M15" s="152">
        <f t="array" ref="M15">IF(IFERROR(-INDEX(Expenses!D$3:D$999,SMALL(IF((Expenses!E$3:E$999="GBP")*(Expenses!A$3:A$999=DATE(2026,1,17)),ROW(Expenses!A$3:A$999)-2),2)),0)+IFERROR(INDEX(Income!C$3:C$502,SMALL(IF((Income!D$3:D$502="GBP")*(Income!A$3:A$502=DATE(2026,1,17)),ROW(Income!A$3:A$502)-2),2)),0)=0,"",IFERROR(-INDEX(Expenses!D$3:D$999,SMALL(IF((Expenses!E$3:E$999="GBP")*(Expenses!A$3:A$999=DATE(2026,1,17)),ROW(Expenses!A$3:A$999)-2),2)),0)+IFERROR(INDEX(Income!C$3:C$502,SMALL(IF((Income!D$3:D$502="GBP")*(Income!A$3:A$502=DATE(2026,1,17)),ROW(Income!A$3:A$502)-2),2)),0))</f>
        <v/>
      </c>
      <c r="N15" s="126">
        <f t="array" ref="N15">IF(IFERROR(INDEX(Expenses!B$3:B$999,SMALL(IF((Expenses!E$3:E$999="GBP")*(Expenses!A$3:A$999=DATE(2026,1,17)),ROW(Expenses!A$3:A$999)-2),2)),"")&lt;&gt;"",IFERROR(INDEX(Expenses!B$3:B$999,SMALL(IF((Expenses!E$3:E$999="GBP")*(Expenses!A$3:A$999=DATE(2026,1,17)),ROW(Expenses!A$3:A$999)-2),2)),""),IF(IFERROR(INDEX(Income!B$3:B$502,SMALL(IF((Income!D$3:D$502="GBP")*(Income!A$3:A$502=DATE(2026,1,17)),ROW(Income!A$3:A$502)-2),2)),"")&lt;&gt;"",IFERROR(INDEX(Income!B$3:B$502,SMALL(IF((Income!D$3:D$502="GBP")*(Income!A$3:A$502=DATE(2026,1,17)),ROW(Income!A$3:A$502)-2),2)),""),""))</f>
        <v/>
      </c>
      <c r="O15" s="152">
        <f t="array" ref="O15">IF(IFERROR(-INDEX(Expenses!D$3:D$999,SMALL(IF((Expenses!E$3:E$999="GBP")*(Expenses!A$3:A$999=DATE(2026,1,18)),ROW(Expenses!A$3:A$999)-2),2)),0)+IFERROR(INDEX(Income!C$3:C$502,SMALL(IF((Income!D$3:D$502="GBP")*(Income!A$3:A$502=DATE(2026,1,18)),ROW(Income!A$3:A$502)-2),2)),0)=0,"",IFERROR(-INDEX(Expenses!D$3:D$999,SMALL(IF((Expenses!E$3:E$999="GBP")*(Expenses!A$3:A$999=DATE(2026,1,18)),ROW(Expenses!A$3:A$999)-2),2)),0)+IFERROR(INDEX(Income!C$3:C$502,SMALL(IF((Income!D$3:D$502="GBP")*(Income!A$3:A$502=DATE(2026,1,18)),ROW(Income!A$3:A$502)-2),2)),0))</f>
        <v/>
      </c>
      <c r="P15" s="126">
        <f t="array" ref="P15">IF(IFERROR(INDEX(Expenses!B$3:B$999,SMALL(IF((Expenses!E$3:E$999="GBP")*(Expenses!A$3:A$999=DATE(2026,1,18)),ROW(Expenses!A$3:A$999)-2),2)),"")&lt;&gt;"",IFERROR(INDEX(Expenses!B$3:B$999,SMALL(IF((Expenses!E$3:E$999="GBP")*(Expenses!A$3:A$999=DATE(2026,1,18)),ROW(Expenses!A$3:A$999)-2),2)),""),IF(IFERROR(INDEX(Income!B$3:B$502,SMALL(IF((Income!D$3:D$502="GBP")*(Income!A$3:A$502=DATE(2026,1,18)),ROW(Income!A$3:A$502)-2),2)),"")&lt;&gt;"",IFERROR(INDEX(Income!B$3:B$502,SMALL(IF((Income!D$3:D$502="GBP")*(Income!A$3:A$502=DATE(2026,1,18)),ROW(Income!A$3:A$502)-2),2)),""),""))</f>
        <v/>
      </c>
      <c r="Q15" s="9" t="n"/>
      <c r="R15" s="9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9" t="n"/>
      <c r="B16" s="9" t="n"/>
      <c r="C16" s="152">
        <f t="array" ref="C16">IF(IFERROR(-INDEX(Expenses!D$3:D$999,SMALL(IF((Expenses!E$3:E$999="GBP")*(Expenses!A$3:A$999=DATE(2026,1,12)),ROW(Expenses!A$3:A$999)-2),3)),0)+IFERROR(INDEX(Income!C$3:C$502,SMALL(IF((Income!D$3:D$502="GBP")*(Income!A$3:A$502=DATE(2026,1,12)),ROW(Income!A$3:A$502)-2),3)),0)=0,"",IFERROR(-INDEX(Expenses!D$3:D$999,SMALL(IF((Expenses!E$3:E$999="GBP")*(Expenses!A$3:A$999=DATE(2026,1,12)),ROW(Expenses!A$3:A$999)-2),3)),0)+IFERROR(INDEX(Income!C$3:C$502,SMALL(IF((Income!D$3:D$502="GBP")*(Income!A$3:A$502=DATE(2026,1,12)),ROW(Income!A$3:A$502)-2),3)),0))</f>
        <v/>
      </c>
      <c r="D16" s="126">
        <f t="array" ref="D16">IF(IFERROR(INDEX(Expenses!B$3:B$999,SMALL(IF((Expenses!E$3:E$999="GBP")*(Expenses!A$3:A$999=DATE(2026,1,12)),ROW(Expenses!A$3:A$999)-2),3)),"")&lt;&gt;"",IFERROR(INDEX(Expenses!B$3:B$999,SMALL(IF((Expenses!E$3:E$999="GBP")*(Expenses!A$3:A$999=DATE(2026,1,12)),ROW(Expenses!A$3:A$999)-2),3)),""),IF(IFERROR(INDEX(Income!B$3:B$502,SMALL(IF((Income!D$3:D$502="GBP")*(Income!A$3:A$502=DATE(2026,1,12)),ROW(Income!A$3:A$502)-2),3)),"")&lt;&gt;"",IFERROR(INDEX(Income!B$3:B$502,SMALL(IF((Income!D$3:D$502="GBP")*(Income!A$3:A$502=DATE(2026,1,12)),ROW(Income!A$3:A$502)-2),3)),""),""))</f>
        <v/>
      </c>
      <c r="E16" s="152">
        <f t="array" ref="E16">IF(IFERROR(-INDEX(Expenses!D$3:D$999,SMALL(IF((Expenses!E$3:E$999="GBP")*(Expenses!A$3:A$999=DATE(2026,1,13)),ROW(Expenses!A$3:A$999)-2),3)),0)+IFERROR(INDEX(Income!C$3:C$502,SMALL(IF((Income!D$3:D$502="GBP")*(Income!A$3:A$502=DATE(2026,1,13)),ROW(Income!A$3:A$502)-2),3)),0)=0,"",IFERROR(-INDEX(Expenses!D$3:D$999,SMALL(IF((Expenses!E$3:E$999="GBP")*(Expenses!A$3:A$999=DATE(2026,1,13)),ROW(Expenses!A$3:A$999)-2),3)),0)+IFERROR(INDEX(Income!C$3:C$502,SMALL(IF((Income!D$3:D$502="GBP")*(Income!A$3:A$502=DATE(2026,1,13)),ROW(Income!A$3:A$502)-2),3)),0))</f>
        <v/>
      </c>
      <c r="F16" s="126">
        <f t="array" ref="F16">IF(IFERROR(INDEX(Expenses!B$3:B$999,SMALL(IF((Expenses!E$3:E$999="GBP")*(Expenses!A$3:A$999=DATE(2026,1,13)),ROW(Expenses!A$3:A$999)-2),3)),"")&lt;&gt;"",IFERROR(INDEX(Expenses!B$3:B$999,SMALL(IF((Expenses!E$3:E$999="GBP")*(Expenses!A$3:A$999=DATE(2026,1,13)),ROW(Expenses!A$3:A$999)-2),3)),""),IF(IFERROR(INDEX(Income!B$3:B$502,SMALL(IF((Income!D$3:D$502="GBP")*(Income!A$3:A$502=DATE(2026,1,13)),ROW(Income!A$3:A$502)-2),3)),"")&lt;&gt;"",IFERROR(INDEX(Income!B$3:B$502,SMALL(IF((Income!D$3:D$502="GBP")*(Income!A$3:A$502=DATE(2026,1,13)),ROW(Income!A$3:A$502)-2),3)),""),""))</f>
        <v/>
      </c>
      <c r="G16" s="152">
        <f t="array" ref="G16">IF(IFERROR(-INDEX(Expenses!D$3:D$999,SMALL(IF((Expenses!E$3:E$999="GBP")*(Expenses!A$3:A$999=DATE(2026,1,14)),ROW(Expenses!A$3:A$999)-2),3)),0)+IFERROR(INDEX(Income!C$3:C$502,SMALL(IF((Income!D$3:D$502="GBP")*(Income!A$3:A$502=DATE(2026,1,14)),ROW(Income!A$3:A$502)-2),3)),0)=0,"",IFERROR(-INDEX(Expenses!D$3:D$999,SMALL(IF((Expenses!E$3:E$999="GBP")*(Expenses!A$3:A$999=DATE(2026,1,14)),ROW(Expenses!A$3:A$999)-2),3)),0)+IFERROR(INDEX(Income!C$3:C$502,SMALL(IF((Income!D$3:D$502="GBP")*(Income!A$3:A$502=DATE(2026,1,14)),ROW(Income!A$3:A$502)-2),3)),0))</f>
        <v/>
      </c>
      <c r="H16" s="126">
        <f t="array" ref="H16">IF(IFERROR(INDEX(Expenses!B$3:B$999,SMALL(IF((Expenses!E$3:E$999="GBP")*(Expenses!A$3:A$999=DATE(2026,1,14)),ROW(Expenses!A$3:A$999)-2),3)),"")&lt;&gt;"",IFERROR(INDEX(Expenses!B$3:B$999,SMALL(IF((Expenses!E$3:E$999="GBP")*(Expenses!A$3:A$999=DATE(2026,1,14)),ROW(Expenses!A$3:A$999)-2),3)),""),IF(IFERROR(INDEX(Income!B$3:B$502,SMALL(IF((Income!D$3:D$502="GBP")*(Income!A$3:A$502=DATE(2026,1,14)),ROW(Income!A$3:A$502)-2),3)),"")&lt;&gt;"",IFERROR(INDEX(Income!B$3:B$502,SMALL(IF((Income!D$3:D$502="GBP")*(Income!A$3:A$502=DATE(2026,1,14)),ROW(Income!A$3:A$502)-2),3)),""),""))</f>
        <v/>
      </c>
      <c r="I16" s="152">
        <f t="array" ref="I16">IF(IFERROR(-INDEX(Expenses!D$3:D$999,SMALL(IF((Expenses!E$3:E$999="GBP")*(Expenses!A$3:A$999=DATE(2026,1,15)),ROW(Expenses!A$3:A$999)-2),3)),0)+IFERROR(INDEX(Income!C$3:C$502,SMALL(IF((Income!D$3:D$502="GBP")*(Income!A$3:A$502=DATE(2026,1,15)),ROW(Income!A$3:A$502)-2),3)),0)=0,"",IFERROR(-INDEX(Expenses!D$3:D$999,SMALL(IF((Expenses!E$3:E$999="GBP")*(Expenses!A$3:A$999=DATE(2026,1,15)),ROW(Expenses!A$3:A$999)-2),3)),0)+IFERROR(INDEX(Income!C$3:C$502,SMALL(IF((Income!D$3:D$502="GBP")*(Income!A$3:A$502=DATE(2026,1,15)),ROW(Income!A$3:A$502)-2),3)),0))</f>
        <v/>
      </c>
      <c r="J16" s="126">
        <f t="array" ref="J16">IF(IFERROR(INDEX(Expenses!B$3:B$999,SMALL(IF((Expenses!E$3:E$999="GBP")*(Expenses!A$3:A$999=DATE(2026,1,15)),ROW(Expenses!A$3:A$999)-2),3)),"")&lt;&gt;"",IFERROR(INDEX(Expenses!B$3:B$999,SMALL(IF((Expenses!E$3:E$999="GBP")*(Expenses!A$3:A$999=DATE(2026,1,15)),ROW(Expenses!A$3:A$999)-2),3)),""),IF(IFERROR(INDEX(Income!B$3:B$502,SMALL(IF((Income!D$3:D$502="GBP")*(Income!A$3:A$502=DATE(2026,1,15)),ROW(Income!A$3:A$502)-2),3)),"")&lt;&gt;"",IFERROR(INDEX(Income!B$3:B$502,SMALL(IF((Income!D$3:D$502="GBP")*(Income!A$3:A$502=DATE(2026,1,15)),ROW(Income!A$3:A$502)-2),3)),""),""))</f>
        <v/>
      </c>
      <c r="K16" s="152">
        <f t="array" ref="K16">IF(IFERROR(-INDEX(Expenses!D$3:D$999,SMALL(IF((Expenses!E$3:E$999="GBP")*(Expenses!A$3:A$999=DATE(2026,1,16)),ROW(Expenses!A$3:A$999)-2),3)),0)+IFERROR(INDEX(Income!C$3:C$502,SMALL(IF((Income!D$3:D$502="GBP")*(Income!A$3:A$502=DATE(2026,1,16)),ROW(Income!A$3:A$502)-2),3)),0)=0,"",IFERROR(-INDEX(Expenses!D$3:D$999,SMALL(IF((Expenses!E$3:E$999="GBP")*(Expenses!A$3:A$999=DATE(2026,1,16)),ROW(Expenses!A$3:A$999)-2),3)),0)+IFERROR(INDEX(Income!C$3:C$502,SMALL(IF((Income!D$3:D$502="GBP")*(Income!A$3:A$502=DATE(2026,1,16)),ROW(Income!A$3:A$502)-2),3)),0))</f>
        <v/>
      </c>
      <c r="L16" s="126">
        <f t="array" ref="L16">IF(IFERROR(INDEX(Expenses!B$3:B$999,SMALL(IF((Expenses!E$3:E$999="GBP")*(Expenses!A$3:A$999=DATE(2026,1,16)),ROW(Expenses!A$3:A$999)-2),3)),"")&lt;&gt;"",IFERROR(INDEX(Expenses!B$3:B$999,SMALL(IF((Expenses!E$3:E$999="GBP")*(Expenses!A$3:A$999=DATE(2026,1,16)),ROW(Expenses!A$3:A$999)-2),3)),""),IF(IFERROR(INDEX(Income!B$3:B$502,SMALL(IF((Income!D$3:D$502="GBP")*(Income!A$3:A$502=DATE(2026,1,16)),ROW(Income!A$3:A$502)-2),3)),"")&lt;&gt;"",IFERROR(INDEX(Income!B$3:B$502,SMALL(IF((Income!D$3:D$502="GBP")*(Income!A$3:A$502=DATE(2026,1,16)),ROW(Income!A$3:A$502)-2),3)),""),""))</f>
        <v/>
      </c>
      <c r="M16" s="152">
        <f t="array" ref="M16">IF(IFERROR(-INDEX(Expenses!D$3:D$999,SMALL(IF((Expenses!E$3:E$999="GBP")*(Expenses!A$3:A$999=DATE(2026,1,17)),ROW(Expenses!A$3:A$999)-2),3)),0)+IFERROR(INDEX(Income!C$3:C$502,SMALL(IF((Income!D$3:D$502="GBP")*(Income!A$3:A$502=DATE(2026,1,17)),ROW(Income!A$3:A$502)-2),3)),0)=0,"",IFERROR(-INDEX(Expenses!D$3:D$999,SMALL(IF((Expenses!E$3:E$999="GBP")*(Expenses!A$3:A$999=DATE(2026,1,17)),ROW(Expenses!A$3:A$999)-2),3)),0)+IFERROR(INDEX(Income!C$3:C$502,SMALL(IF((Income!D$3:D$502="GBP")*(Income!A$3:A$502=DATE(2026,1,17)),ROW(Income!A$3:A$502)-2),3)),0))</f>
        <v/>
      </c>
      <c r="N16" s="126">
        <f t="array" ref="N16">IF(IFERROR(INDEX(Expenses!B$3:B$999,SMALL(IF((Expenses!E$3:E$999="GBP")*(Expenses!A$3:A$999=DATE(2026,1,17)),ROW(Expenses!A$3:A$999)-2),3)),"")&lt;&gt;"",IFERROR(INDEX(Expenses!B$3:B$999,SMALL(IF((Expenses!E$3:E$999="GBP")*(Expenses!A$3:A$999=DATE(2026,1,17)),ROW(Expenses!A$3:A$999)-2),3)),""),IF(IFERROR(INDEX(Income!B$3:B$502,SMALL(IF((Income!D$3:D$502="GBP")*(Income!A$3:A$502=DATE(2026,1,17)),ROW(Income!A$3:A$502)-2),3)),"")&lt;&gt;"",IFERROR(INDEX(Income!B$3:B$502,SMALL(IF((Income!D$3:D$502="GBP")*(Income!A$3:A$502=DATE(2026,1,17)),ROW(Income!A$3:A$502)-2),3)),""),""))</f>
        <v/>
      </c>
      <c r="O16" s="152">
        <f t="array" ref="O16">IF(IFERROR(-INDEX(Expenses!D$3:D$999,SMALL(IF((Expenses!E$3:E$999="GBP")*(Expenses!A$3:A$999=DATE(2026,1,18)),ROW(Expenses!A$3:A$999)-2),3)),0)+IFERROR(INDEX(Income!C$3:C$502,SMALL(IF((Income!D$3:D$502="GBP")*(Income!A$3:A$502=DATE(2026,1,18)),ROW(Income!A$3:A$502)-2),3)),0)=0,"",IFERROR(-INDEX(Expenses!D$3:D$999,SMALL(IF((Expenses!E$3:E$999="GBP")*(Expenses!A$3:A$999=DATE(2026,1,18)),ROW(Expenses!A$3:A$999)-2),3)),0)+IFERROR(INDEX(Income!C$3:C$502,SMALL(IF((Income!D$3:D$502="GBP")*(Income!A$3:A$502=DATE(2026,1,18)),ROW(Income!A$3:A$502)-2),3)),0))</f>
        <v/>
      </c>
      <c r="P16" s="126">
        <f t="array" ref="P16">IF(IFERROR(INDEX(Expenses!B$3:B$999,SMALL(IF((Expenses!E$3:E$999="GBP")*(Expenses!A$3:A$999=DATE(2026,1,18)),ROW(Expenses!A$3:A$999)-2),3)),"")&lt;&gt;"",IFERROR(INDEX(Expenses!B$3:B$999,SMALL(IF((Expenses!E$3:E$999="GBP")*(Expenses!A$3:A$999=DATE(2026,1,18)),ROW(Expenses!A$3:A$999)-2),3)),""),IF(IFERROR(INDEX(Income!B$3:B$502,SMALL(IF((Income!D$3:D$502="GBP")*(Income!A$3:A$502=DATE(2026,1,18)),ROW(Income!A$3:A$502)-2),3)),"")&lt;&gt;"",IFERROR(INDEX(Income!B$3:B$502,SMALL(IF((Income!D$3:D$502="GBP")*(Income!A$3:A$502=DATE(2026,1,18)),ROW(Income!A$3:A$502)-2),3)),""),""))</f>
        <v/>
      </c>
      <c r="Q16" s="9" t="n"/>
      <c r="R16" s="9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9" t="n"/>
      <c r="B17" s="9" t="n"/>
      <c r="C17" s="152">
        <f t="array" ref="C17">IF(IFERROR(-INDEX(Expenses!D$3:D$999,SMALL(IF((Expenses!E$3:E$999="GBP")*(Expenses!A$3:A$999=DATE(2026,1,12)),ROW(Expenses!A$3:A$999)-2),4)),0)+IFERROR(INDEX(Income!C$3:C$502,SMALL(IF((Income!D$3:D$502="GBP")*(Income!A$3:A$502=DATE(2026,1,12)),ROW(Income!A$3:A$502)-2),4)),0)=0,"",IFERROR(-INDEX(Expenses!D$3:D$999,SMALL(IF((Expenses!E$3:E$999="GBP")*(Expenses!A$3:A$999=DATE(2026,1,12)),ROW(Expenses!A$3:A$999)-2),4)),0)+IFERROR(INDEX(Income!C$3:C$502,SMALL(IF((Income!D$3:D$502="GBP")*(Income!A$3:A$502=DATE(2026,1,12)),ROW(Income!A$3:A$502)-2),4)),0))</f>
        <v/>
      </c>
      <c r="D17" s="126">
        <f t="array" ref="D17">IF(IFERROR(INDEX(Expenses!B$3:B$999,SMALL(IF((Expenses!E$3:E$999="GBP")*(Expenses!A$3:A$999=DATE(2026,1,12)),ROW(Expenses!A$3:A$999)-2),4)),"")&lt;&gt;"",IFERROR(INDEX(Expenses!B$3:B$999,SMALL(IF((Expenses!E$3:E$999="GBP")*(Expenses!A$3:A$999=DATE(2026,1,12)),ROW(Expenses!A$3:A$999)-2),4)),""),IF(IFERROR(INDEX(Income!B$3:B$502,SMALL(IF((Income!D$3:D$502="GBP")*(Income!A$3:A$502=DATE(2026,1,12)),ROW(Income!A$3:A$502)-2),4)),"")&lt;&gt;"",IFERROR(INDEX(Income!B$3:B$502,SMALL(IF((Income!D$3:D$502="GBP")*(Income!A$3:A$502=DATE(2026,1,12)),ROW(Income!A$3:A$502)-2),4)),""),""))</f>
        <v/>
      </c>
      <c r="E17" s="152">
        <f t="array" ref="E17">IF(IFERROR(-INDEX(Expenses!D$3:D$999,SMALL(IF((Expenses!E$3:E$999="GBP")*(Expenses!A$3:A$999=DATE(2026,1,13)),ROW(Expenses!A$3:A$999)-2),4)),0)+IFERROR(INDEX(Income!C$3:C$502,SMALL(IF((Income!D$3:D$502="GBP")*(Income!A$3:A$502=DATE(2026,1,13)),ROW(Income!A$3:A$502)-2),4)),0)=0,"",IFERROR(-INDEX(Expenses!D$3:D$999,SMALL(IF((Expenses!E$3:E$999="GBP")*(Expenses!A$3:A$999=DATE(2026,1,13)),ROW(Expenses!A$3:A$999)-2),4)),0)+IFERROR(INDEX(Income!C$3:C$502,SMALL(IF((Income!D$3:D$502="GBP")*(Income!A$3:A$502=DATE(2026,1,13)),ROW(Income!A$3:A$502)-2),4)),0))</f>
        <v/>
      </c>
      <c r="F17" s="126">
        <f t="array" ref="F17">IF(IFERROR(INDEX(Expenses!B$3:B$999,SMALL(IF((Expenses!E$3:E$999="GBP")*(Expenses!A$3:A$999=DATE(2026,1,13)),ROW(Expenses!A$3:A$999)-2),4)),"")&lt;&gt;"",IFERROR(INDEX(Expenses!B$3:B$999,SMALL(IF((Expenses!E$3:E$999="GBP")*(Expenses!A$3:A$999=DATE(2026,1,13)),ROW(Expenses!A$3:A$999)-2),4)),""),IF(IFERROR(INDEX(Income!B$3:B$502,SMALL(IF((Income!D$3:D$502="GBP")*(Income!A$3:A$502=DATE(2026,1,13)),ROW(Income!A$3:A$502)-2),4)),"")&lt;&gt;"",IFERROR(INDEX(Income!B$3:B$502,SMALL(IF((Income!D$3:D$502="GBP")*(Income!A$3:A$502=DATE(2026,1,13)),ROW(Income!A$3:A$502)-2),4)),""),""))</f>
        <v/>
      </c>
      <c r="G17" s="152">
        <f t="array" ref="G17">IF(IFERROR(-INDEX(Expenses!D$3:D$999,SMALL(IF((Expenses!E$3:E$999="GBP")*(Expenses!A$3:A$999=DATE(2026,1,14)),ROW(Expenses!A$3:A$999)-2),4)),0)+IFERROR(INDEX(Income!C$3:C$502,SMALL(IF((Income!D$3:D$502="GBP")*(Income!A$3:A$502=DATE(2026,1,14)),ROW(Income!A$3:A$502)-2),4)),0)=0,"",IFERROR(-INDEX(Expenses!D$3:D$999,SMALL(IF((Expenses!E$3:E$999="GBP")*(Expenses!A$3:A$999=DATE(2026,1,14)),ROW(Expenses!A$3:A$999)-2),4)),0)+IFERROR(INDEX(Income!C$3:C$502,SMALL(IF((Income!D$3:D$502="GBP")*(Income!A$3:A$502=DATE(2026,1,14)),ROW(Income!A$3:A$502)-2),4)),0))</f>
        <v/>
      </c>
      <c r="H17" s="126">
        <f t="array" ref="H17">IF(IFERROR(INDEX(Expenses!B$3:B$999,SMALL(IF((Expenses!E$3:E$999="GBP")*(Expenses!A$3:A$999=DATE(2026,1,14)),ROW(Expenses!A$3:A$999)-2),4)),"")&lt;&gt;"",IFERROR(INDEX(Expenses!B$3:B$999,SMALL(IF((Expenses!E$3:E$999="GBP")*(Expenses!A$3:A$999=DATE(2026,1,14)),ROW(Expenses!A$3:A$999)-2),4)),""),IF(IFERROR(INDEX(Income!B$3:B$502,SMALL(IF((Income!D$3:D$502="GBP")*(Income!A$3:A$502=DATE(2026,1,14)),ROW(Income!A$3:A$502)-2),4)),"")&lt;&gt;"",IFERROR(INDEX(Income!B$3:B$502,SMALL(IF((Income!D$3:D$502="GBP")*(Income!A$3:A$502=DATE(2026,1,14)),ROW(Income!A$3:A$502)-2),4)),""),""))</f>
        <v/>
      </c>
      <c r="I17" s="152">
        <f t="array" ref="I17">IF(IFERROR(-INDEX(Expenses!D$3:D$999,SMALL(IF((Expenses!E$3:E$999="GBP")*(Expenses!A$3:A$999=DATE(2026,1,15)),ROW(Expenses!A$3:A$999)-2),4)),0)+IFERROR(INDEX(Income!C$3:C$502,SMALL(IF((Income!D$3:D$502="GBP")*(Income!A$3:A$502=DATE(2026,1,15)),ROW(Income!A$3:A$502)-2),4)),0)=0,"",IFERROR(-INDEX(Expenses!D$3:D$999,SMALL(IF((Expenses!E$3:E$999="GBP")*(Expenses!A$3:A$999=DATE(2026,1,15)),ROW(Expenses!A$3:A$999)-2),4)),0)+IFERROR(INDEX(Income!C$3:C$502,SMALL(IF((Income!D$3:D$502="GBP")*(Income!A$3:A$502=DATE(2026,1,15)),ROW(Income!A$3:A$502)-2),4)),0))</f>
        <v/>
      </c>
      <c r="J17" s="126">
        <f t="array" ref="J17">IF(IFERROR(INDEX(Expenses!B$3:B$999,SMALL(IF((Expenses!E$3:E$999="GBP")*(Expenses!A$3:A$999=DATE(2026,1,15)),ROW(Expenses!A$3:A$999)-2),4)),"")&lt;&gt;"",IFERROR(INDEX(Expenses!B$3:B$999,SMALL(IF((Expenses!E$3:E$999="GBP")*(Expenses!A$3:A$999=DATE(2026,1,15)),ROW(Expenses!A$3:A$999)-2),4)),""),IF(IFERROR(INDEX(Income!B$3:B$502,SMALL(IF((Income!D$3:D$502="GBP")*(Income!A$3:A$502=DATE(2026,1,15)),ROW(Income!A$3:A$502)-2),4)),"")&lt;&gt;"",IFERROR(INDEX(Income!B$3:B$502,SMALL(IF((Income!D$3:D$502="GBP")*(Income!A$3:A$502=DATE(2026,1,15)),ROW(Income!A$3:A$502)-2),4)),""),""))</f>
        <v/>
      </c>
      <c r="K17" s="152">
        <f t="array" ref="K17">IF(IFERROR(-INDEX(Expenses!D$3:D$999,SMALL(IF((Expenses!E$3:E$999="GBP")*(Expenses!A$3:A$999=DATE(2026,1,16)),ROW(Expenses!A$3:A$999)-2),4)),0)+IFERROR(INDEX(Income!C$3:C$502,SMALL(IF((Income!D$3:D$502="GBP")*(Income!A$3:A$502=DATE(2026,1,16)),ROW(Income!A$3:A$502)-2),4)),0)=0,"",IFERROR(-INDEX(Expenses!D$3:D$999,SMALL(IF((Expenses!E$3:E$999="GBP")*(Expenses!A$3:A$999=DATE(2026,1,16)),ROW(Expenses!A$3:A$999)-2),4)),0)+IFERROR(INDEX(Income!C$3:C$502,SMALL(IF((Income!D$3:D$502="GBP")*(Income!A$3:A$502=DATE(2026,1,16)),ROW(Income!A$3:A$502)-2),4)),0))</f>
        <v/>
      </c>
      <c r="L17" s="126">
        <f t="array" ref="L17">IF(IFERROR(INDEX(Expenses!B$3:B$999,SMALL(IF((Expenses!E$3:E$999="GBP")*(Expenses!A$3:A$999=DATE(2026,1,16)),ROW(Expenses!A$3:A$999)-2),4)),"")&lt;&gt;"",IFERROR(INDEX(Expenses!B$3:B$999,SMALL(IF((Expenses!E$3:E$999="GBP")*(Expenses!A$3:A$999=DATE(2026,1,16)),ROW(Expenses!A$3:A$999)-2),4)),""),IF(IFERROR(INDEX(Income!B$3:B$502,SMALL(IF((Income!D$3:D$502="GBP")*(Income!A$3:A$502=DATE(2026,1,16)),ROW(Income!A$3:A$502)-2),4)),"")&lt;&gt;"",IFERROR(INDEX(Income!B$3:B$502,SMALL(IF((Income!D$3:D$502="GBP")*(Income!A$3:A$502=DATE(2026,1,16)),ROW(Income!A$3:A$502)-2),4)),""),""))</f>
        <v/>
      </c>
      <c r="M17" s="152">
        <f t="array" ref="M17">IF(IFERROR(-INDEX(Expenses!D$3:D$999,SMALL(IF((Expenses!E$3:E$999="GBP")*(Expenses!A$3:A$999=DATE(2026,1,17)),ROW(Expenses!A$3:A$999)-2),4)),0)+IFERROR(INDEX(Income!C$3:C$502,SMALL(IF((Income!D$3:D$502="GBP")*(Income!A$3:A$502=DATE(2026,1,17)),ROW(Income!A$3:A$502)-2),4)),0)=0,"",IFERROR(-INDEX(Expenses!D$3:D$999,SMALL(IF((Expenses!E$3:E$999="GBP")*(Expenses!A$3:A$999=DATE(2026,1,17)),ROW(Expenses!A$3:A$999)-2),4)),0)+IFERROR(INDEX(Income!C$3:C$502,SMALL(IF((Income!D$3:D$502="GBP")*(Income!A$3:A$502=DATE(2026,1,17)),ROW(Income!A$3:A$502)-2),4)),0))</f>
        <v/>
      </c>
      <c r="N17" s="126">
        <f t="array" ref="N17">IF(IFERROR(INDEX(Expenses!B$3:B$999,SMALL(IF((Expenses!E$3:E$999="GBP")*(Expenses!A$3:A$999=DATE(2026,1,17)),ROW(Expenses!A$3:A$999)-2),4)),"")&lt;&gt;"",IFERROR(INDEX(Expenses!B$3:B$999,SMALL(IF((Expenses!E$3:E$999="GBP")*(Expenses!A$3:A$999=DATE(2026,1,17)),ROW(Expenses!A$3:A$999)-2),4)),""),IF(IFERROR(INDEX(Income!B$3:B$502,SMALL(IF((Income!D$3:D$502="GBP")*(Income!A$3:A$502=DATE(2026,1,17)),ROW(Income!A$3:A$502)-2),4)),"")&lt;&gt;"",IFERROR(INDEX(Income!B$3:B$502,SMALL(IF((Income!D$3:D$502="GBP")*(Income!A$3:A$502=DATE(2026,1,17)),ROW(Income!A$3:A$502)-2),4)),""),""))</f>
        <v/>
      </c>
      <c r="O17" s="152">
        <f t="array" ref="O17">IF(IFERROR(-INDEX(Expenses!D$3:D$999,SMALL(IF((Expenses!E$3:E$999="GBP")*(Expenses!A$3:A$999=DATE(2026,1,18)),ROW(Expenses!A$3:A$999)-2),4)),0)+IFERROR(INDEX(Income!C$3:C$502,SMALL(IF((Income!D$3:D$502="GBP")*(Income!A$3:A$502=DATE(2026,1,18)),ROW(Income!A$3:A$502)-2),4)),0)=0,"",IFERROR(-INDEX(Expenses!D$3:D$999,SMALL(IF((Expenses!E$3:E$999="GBP")*(Expenses!A$3:A$999=DATE(2026,1,18)),ROW(Expenses!A$3:A$999)-2),4)),0)+IFERROR(INDEX(Income!C$3:C$502,SMALL(IF((Income!D$3:D$502="GBP")*(Income!A$3:A$502=DATE(2026,1,18)),ROW(Income!A$3:A$502)-2),4)),0))</f>
        <v/>
      </c>
      <c r="P17" s="126">
        <f t="array" ref="P17">IF(IFERROR(INDEX(Expenses!B$3:B$999,SMALL(IF((Expenses!E$3:E$999="GBP")*(Expenses!A$3:A$999=DATE(2026,1,18)),ROW(Expenses!A$3:A$999)-2),4)),"")&lt;&gt;"",IFERROR(INDEX(Expenses!B$3:B$999,SMALL(IF((Expenses!E$3:E$999="GBP")*(Expenses!A$3:A$999=DATE(2026,1,18)),ROW(Expenses!A$3:A$999)-2),4)),""),IF(IFERROR(INDEX(Income!B$3:B$502,SMALL(IF((Income!D$3:D$502="GBP")*(Income!A$3:A$502=DATE(2026,1,18)),ROW(Income!A$3:A$502)-2),4)),"")&lt;&gt;"",IFERROR(INDEX(Income!B$3:B$502,SMALL(IF((Income!D$3:D$502="GBP")*(Income!A$3:A$502=DATE(2026,1,18)),ROW(Income!A$3:A$502)-2),4)),""),""))</f>
        <v/>
      </c>
      <c r="Q17" s="9" t="n"/>
      <c r="R17" s="9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9" t="n"/>
      <c r="B18" s="9" t="n"/>
      <c r="C18" s="152">
        <f t="array" ref="C18">IF(IFERROR(-INDEX(Expenses!D$3:D$999,SMALL(IF((Expenses!E$3:E$999="GBP")*(Expenses!A$3:A$999=DATE(2026,1,12)),ROW(Expenses!A$3:A$999)-2),5)),0)+IFERROR(INDEX(Income!C$3:C$502,SMALL(IF((Income!D$3:D$502="GBP")*(Income!A$3:A$502=DATE(2026,1,12)),ROW(Income!A$3:A$502)-2),5)),0)=0,"",IFERROR(-INDEX(Expenses!D$3:D$999,SMALL(IF((Expenses!E$3:E$999="GBP")*(Expenses!A$3:A$999=DATE(2026,1,12)),ROW(Expenses!A$3:A$999)-2),5)),0)+IFERROR(INDEX(Income!C$3:C$502,SMALL(IF((Income!D$3:D$502="GBP")*(Income!A$3:A$502=DATE(2026,1,12)),ROW(Income!A$3:A$502)-2),5)),0))</f>
        <v/>
      </c>
      <c r="D18" s="126">
        <f t="array" ref="D18">IF(IFERROR(INDEX(Expenses!B$3:B$999,SMALL(IF((Expenses!E$3:E$999="GBP")*(Expenses!A$3:A$999=DATE(2026,1,12)),ROW(Expenses!A$3:A$999)-2),5)),"")&lt;&gt;"",IFERROR(INDEX(Expenses!B$3:B$999,SMALL(IF((Expenses!E$3:E$999="GBP")*(Expenses!A$3:A$999=DATE(2026,1,12)),ROW(Expenses!A$3:A$999)-2),5)),""),IF(IFERROR(INDEX(Income!B$3:B$502,SMALL(IF((Income!D$3:D$502="GBP")*(Income!A$3:A$502=DATE(2026,1,12)),ROW(Income!A$3:A$502)-2),5)),"")&lt;&gt;"",IFERROR(INDEX(Income!B$3:B$502,SMALL(IF((Income!D$3:D$502="GBP")*(Income!A$3:A$502=DATE(2026,1,12)),ROW(Income!A$3:A$502)-2),5)),""),""))</f>
        <v/>
      </c>
      <c r="E18" s="152">
        <f t="array" ref="E18">IF(IFERROR(-INDEX(Expenses!D$3:D$999,SMALL(IF((Expenses!E$3:E$999="GBP")*(Expenses!A$3:A$999=DATE(2026,1,13)),ROW(Expenses!A$3:A$999)-2),5)),0)+IFERROR(INDEX(Income!C$3:C$502,SMALL(IF((Income!D$3:D$502="GBP")*(Income!A$3:A$502=DATE(2026,1,13)),ROW(Income!A$3:A$502)-2),5)),0)=0,"",IFERROR(-INDEX(Expenses!D$3:D$999,SMALL(IF((Expenses!E$3:E$999="GBP")*(Expenses!A$3:A$999=DATE(2026,1,13)),ROW(Expenses!A$3:A$999)-2),5)),0)+IFERROR(INDEX(Income!C$3:C$502,SMALL(IF((Income!D$3:D$502="GBP")*(Income!A$3:A$502=DATE(2026,1,13)),ROW(Income!A$3:A$502)-2),5)),0))</f>
        <v/>
      </c>
      <c r="F18" s="126">
        <f t="array" ref="F18">IF(IFERROR(INDEX(Expenses!B$3:B$999,SMALL(IF((Expenses!E$3:E$999="GBP")*(Expenses!A$3:A$999=DATE(2026,1,13)),ROW(Expenses!A$3:A$999)-2),5)),"")&lt;&gt;"",IFERROR(INDEX(Expenses!B$3:B$999,SMALL(IF((Expenses!E$3:E$999="GBP")*(Expenses!A$3:A$999=DATE(2026,1,13)),ROW(Expenses!A$3:A$999)-2),5)),""),IF(IFERROR(INDEX(Income!B$3:B$502,SMALL(IF((Income!D$3:D$502="GBP")*(Income!A$3:A$502=DATE(2026,1,13)),ROW(Income!A$3:A$502)-2),5)),"")&lt;&gt;"",IFERROR(INDEX(Income!B$3:B$502,SMALL(IF((Income!D$3:D$502="GBP")*(Income!A$3:A$502=DATE(2026,1,13)),ROW(Income!A$3:A$502)-2),5)),""),""))</f>
        <v/>
      </c>
      <c r="G18" s="152">
        <f t="array" ref="G18">IF(IFERROR(-INDEX(Expenses!D$3:D$999,SMALL(IF((Expenses!E$3:E$999="GBP")*(Expenses!A$3:A$999=DATE(2026,1,14)),ROW(Expenses!A$3:A$999)-2),5)),0)+IFERROR(INDEX(Income!C$3:C$502,SMALL(IF((Income!D$3:D$502="GBP")*(Income!A$3:A$502=DATE(2026,1,14)),ROW(Income!A$3:A$502)-2),5)),0)=0,"",IFERROR(-INDEX(Expenses!D$3:D$999,SMALL(IF((Expenses!E$3:E$999="GBP")*(Expenses!A$3:A$999=DATE(2026,1,14)),ROW(Expenses!A$3:A$999)-2),5)),0)+IFERROR(INDEX(Income!C$3:C$502,SMALL(IF((Income!D$3:D$502="GBP")*(Income!A$3:A$502=DATE(2026,1,14)),ROW(Income!A$3:A$502)-2),5)),0))</f>
        <v/>
      </c>
      <c r="H18" s="126">
        <f t="array" ref="H18">IF(IFERROR(INDEX(Expenses!B$3:B$999,SMALL(IF((Expenses!E$3:E$999="GBP")*(Expenses!A$3:A$999=DATE(2026,1,14)),ROW(Expenses!A$3:A$999)-2),5)),"")&lt;&gt;"",IFERROR(INDEX(Expenses!B$3:B$999,SMALL(IF((Expenses!E$3:E$999="GBP")*(Expenses!A$3:A$999=DATE(2026,1,14)),ROW(Expenses!A$3:A$999)-2),5)),""),IF(IFERROR(INDEX(Income!B$3:B$502,SMALL(IF((Income!D$3:D$502="GBP")*(Income!A$3:A$502=DATE(2026,1,14)),ROW(Income!A$3:A$502)-2),5)),"")&lt;&gt;"",IFERROR(INDEX(Income!B$3:B$502,SMALL(IF((Income!D$3:D$502="GBP")*(Income!A$3:A$502=DATE(2026,1,14)),ROW(Income!A$3:A$502)-2),5)),""),""))</f>
        <v/>
      </c>
      <c r="I18" s="152">
        <f t="array" ref="I18">IF(IFERROR(-INDEX(Expenses!D$3:D$999,SMALL(IF((Expenses!E$3:E$999="GBP")*(Expenses!A$3:A$999=DATE(2026,1,15)),ROW(Expenses!A$3:A$999)-2),5)),0)+IFERROR(INDEX(Income!C$3:C$502,SMALL(IF((Income!D$3:D$502="GBP")*(Income!A$3:A$502=DATE(2026,1,15)),ROW(Income!A$3:A$502)-2),5)),0)=0,"",IFERROR(-INDEX(Expenses!D$3:D$999,SMALL(IF((Expenses!E$3:E$999="GBP")*(Expenses!A$3:A$999=DATE(2026,1,15)),ROW(Expenses!A$3:A$999)-2),5)),0)+IFERROR(INDEX(Income!C$3:C$502,SMALL(IF((Income!D$3:D$502="GBP")*(Income!A$3:A$502=DATE(2026,1,15)),ROW(Income!A$3:A$502)-2),5)),0))</f>
        <v/>
      </c>
      <c r="J18" s="126">
        <f t="array" ref="J18">IF(IFERROR(INDEX(Expenses!B$3:B$999,SMALL(IF((Expenses!E$3:E$999="GBP")*(Expenses!A$3:A$999=DATE(2026,1,15)),ROW(Expenses!A$3:A$999)-2),5)),"")&lt;&gt;"",IFERROR(INDEX(Expenses!B$3:B$999,SMALL(IF((Expenses!E$3:E$999="GBP")*(Expenses!A$3:A$999=DATE(2026,1,15)),ROW(Expenses!A$3:A$999)-2),5)),""),IF(IFERROR(INDEX(Income!B$3:B$502,SMALL(IF((Income!D$3:D$502="GBP")*(Income!A$3:A$502=DATE(2026,1,15)),ROW(Income!A$3:A$502)-2),5)),"")&lt;&gt;"",IFERROR(INDEX(Income!B$3:B$502,SMALL(IF((Income!D$3:D$502="GBP")*(Income!A$3:A$502=DATE(2026,1,15)),ROW(Income!A$3:A$502)-2),5)),""),""))</f>
        <v/>
      </c>
      <c r="K18" s="152">
        <f t="array" ref="K18">IF(IFERROR(-INDEX(Expenses!D$3:D$999,SMALL(IF((Expenses!E$3:E$999="GBP")*(Expenses!A$3:A$999=DATE(2026,1,16)),ROW(Expenses!A$3:A$999)-2),5)),0)+IFERROR(INDEX(Income!C$3:C$502,SMALL(IF((Income!D$3:D$502="GBP")*(Income!A$3:A$502=DATE(2026,1,16)),ROW(Income!A$3:A$502)-2),5)),0)=0,"",IFERROR(-INDEX(Expenses!D$3:D$999,SMALL(IF((Expenses!E$3:E$999="GBP")*(Expenses!A$3:A$999=DATE(2026,1,16)),ROW(Expenses!A$3:A$999)-2),5)),0)+IFERROR(INDEX(Income!C$3:C$502,SMALL(IF((Income!D$3:D$502="GBP")*(Income!A$3:A$502=DATE(2026,1,16)),ROW(Income!A$3:A$502)-2),5)),0))</f>
        <v/>
      </c>
      <c r="L18" s="126">
        <f t="array" ref="L18">IF(IFERROR(INDEX(Expenses!B$3:B$999,SMALL(IF((Expenses!E$3:E$999="GBP")*(Expenses!A$3:A$999=DATE(2026,1,16)),ROW(Expenses!A$3:A$999)-2),5)),"")&lt;&gt;"",IFERROR(INDEX(Expenses!B$3:B$999,SMALL(IF((Expenses!E$3:E$999="GBP")*(Expenses!A$3:A$999=DATE(2026,1,16)),ROW(Expenses!A$3:A$999)-2),5)),""),IF(IFERROR(INDEX(Income!B$3:B$502,SMALL(IF((Income!D$3:D$502="GBP")*(Income!A$3:A$502=DATE(2026,1,16)),ROW(Income!A$3:A$502)-2),5)),"")&lt;&gt;"",IFERROR(INDEX(Income!B$3:B$502,SMALL(IF((Income!D$3:D$502="GBP")*(Income!A$3:A$502=DATE(2026,1,16)),ROW(Income!A$3:A$502)-2),5)),""),""))</f>
        <v/>
      </c>
      <c r="M18" s="152">
        <f t="array" ref="M18">IF(IFERROR(-INDEX(Expenses!D$3:D$999,SMALL(IF((Expenses!E$3:E$999="GBP")*(Expenses!A$3:A$999=DATE(2026,1,17)),ROW(Expenses!A$3:A$999)-2),5)),0)+IFERROR(INDEX(Income!C$3:C$502,SMALL(IF((Income!D$3:D$502="GBP")*(Income!A$3:A$502=DATE(2026,1,17)),ROW(Income!A$3:A$502)-2),5)),0)=0,"",IFERROR(-INDEX(Expenses!D$3:D$999,SMALL(IF((Expenses!E$3:E$999="GBP")*(Expenses!A$3:A$999=DATE(2026,1,17)),ROW(Expenses!A$3:A$999)-2),5)),0)+IFERROR(INDEX(Income!C$3:C$502,SMALL(IF((Income!D$3:D$502="GBP")*(Income!A$3:A$502=DATE(2026,1,17)),ROW(Income!A$3:A$502)-2),5)),0))</f>
        <v/>
      </c>
      <c r="N18" s="126">
        <f t="array" ref="N18">IF(IFERROR(INDEX(Expenses!B$3:B$999,SMALL(IF((Expenses!E$3:E$999="GBP")*(Expenses!A$3:A$999=DATE(2026,1,17)),ROW(Expenses!A$3:A$999)-2),5)),"")&lt;&gt;"",IFERROR(INDEX(Expenses!B$3:B$999,SMALL(IF((Expenses!E$3:E$999="GBP")*(Expenses!A$3:A$999=DATE(2026,1,17)),ROW(Expenses!A$3:A$999)-2),5)),""),IF(IFERROR(INDEX(Income!B$3:B$502,SMALL(IF((Income!D$3:D$502="GBP")*(Income!A$3:A$502=DATE(2026,1,17)),ROW(Income!A$3:A$502)-2),5)),"")&lt;&gt;"",IFERROR(INDEX(Income!B$3:B$502,SMALL(IF((Income!D$3:D$502="GBP")*(Income!A$3:A$502=DATE(2026,1,17)),ROW(Income!A$3:A$502)-2),5)),""),""))</f>
        <v/>
      </c>
      <c r="O18" s="152">
        <f t="array" ref="O18">IF(IFERROR(-INDEX(Expenses!D$3:D$999,SMALL(IF((Expenses!E$3:E$999="GBP")*(Expenses!A$3:A$999=DATE(2026,1,18)),ROW(Expenses!A$3:A$999)-2),5)),0)+IFERROR(INDEX(Income!C$3:C$502,SMALL(IF((Income!D$3:D$502="GBP")*(Income!A$3:A$502=DATE(2026,1,18)),ROW(Income!A$3:A$502)-2),5)),0)=0,"",IFERROR(-INDEX(Expenses!D$3:D$999,SMALL(IF((Expenses!E$3:E$999="GBP")*(Expenses!A$3:A$999=DATE(2026,1,18)),ROW(Expenses!A$3:A$999)-2),5)),0)+IFERROR(INDEX(Income!C$3:C$502,SMALL(IF((Income!D$3:D$502="GBP")*(Income!A$3:A$502=DATE(2026,1,18)),ROW(Income!A$3:A$502)-2),5)),0))</f>
        <v/>
      </c>
      <c r="P18" s="126">
        <f t="array" ref="P18">IF(IFERROR(INDEX(Expenses!B$3:B$999,SMALL(IF((Expenses!E$3:E$999="GBP")*(Expenses!A$3:A$999=DATE(2026,1,18)),ROW(Expenses!A$3:A$999)-2),5)),"")&lt;&gt;"",IFERROR(INDEX(Expenses!B$3:B$999,SMALL(IF((Expenses!E$3:E$999="GBP")*(Expenses!A$3:A$999=DATE(2026,1,18)),ROW(Expenses!A$3:A$999)-2),5)),""),IF(IFERROR(INDEX(Income!B$3:B$502,SMALL(IF((Income!D$3:D$502="GBP")*(Income!A$3:A$502=DATE(2026,1,18)),ROW(Income!A$3:A$502)-2),5)),"")&lt;&gt;"",IFERROR(INDEX(Income!B$3:B$502,SMALL(IF((Income!D$3:D$502="GBP")*(Income!A$3:A$502=DATE(2026,1,18)),ROW(Income!A$3:A$502)-2),5)),""),""))</f>
        <v/>
      </c>
      <c r="Q18" s="9" t="n"/>
      <c r="R18" s="9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151" t="n">
        <v>46041</v>
      </c>
      <c r="B19" s="103" t="n">
        <v>4</v>
      </c>
      <c r="C19" s="152">
        <f t="array" ref="C19">IF(IFERROR(-INDEX(Expenses!D$3:D$999,SMALL(IF((Expenses!E$3:E$999="GBP")*(Expenses!A$3:A$999=DATE(2026,1,19)),ROW(Expenses!A$3:A$999)-2),1)),0)+IFERROR(INDEX(Income!C$3:C$502,SMALL(IF((Income!D$3:D$502="GBP")*(Income!A$3:A$502=DATE(2026,1,19)),ROW(Income!A$3:A$502)-2),1)),0)=0,"",IFERROR(-INDEX(Expenses!D$3:D$999,SMALL(IF((Expenses!E$3:E$999="GBP")*(Expenses!A$3:A$999=DATE(2026,1,19)),ROW(Expenses!A$3:A$999)-2),1)),0)+IFERROR(INDEX(Income!C$3:C$502,SMALL(IF((Income!D$3:D$502="GBP")*(Income!A$3:A$502=DATE(2026,1,19)),ROW(Income!A$3:A$502)-2),1)),0))</f>
        <v/>
      </c>
      <c r="D19" s="126">
        <f t="array" ref="D19">IF(IFERROR(INDEX(Expenses!B$3:B$999,SMALL(IF((Expenses!E$3:E$999="GBP")*(Expenses!A$3:A$999=DATE(2026,1,19)),ROW(Expenses!A$3:A$999)-2),1)),"")&lt;&gt;"",IFERROR(INDEX(Expenses!B$3:B$999,SMALL(IF((Expenses!E$3:E$999="GBP")*(Expenses!A$3:A$999=DATE(2026,1,19)),ROW(Expenses!A$3:A$999)-2),1)),""),IF(IFERROR(INDEX(Income!B$3:B$502,SMALL(IF((Income!D$3:D$502="GBP")*(Income!A$3:A$502=DATE(2026,1,19)),ROW(Income!A$3:A$502)-2),1)),"")&lt;&gt;"",IFERROR(INDEX(Income!B$3:B$502,SMALL(IF((Income!D$3:D$502="GBP")*(Income!A$3:A$502=DATE(2026,1,19)),ROW(Income!A$3:A$502)-2),1)),""),""))</f>
        <v/>
      </c>
      <c r="E19" s="152">
        <f t="array" ref="E19">IF(IFERROR(-INDEX(Expenses!D$3:D$999,SMALL(IF((Expenses!E$3:E$999="GBP")*(Expenses!A$3:A$999=DATE(2026,1,20)),ROW(Expenses!A$3:A$999)-2),1)),0)+IFERROR(INDEX(Income!C$3:C$502,SMALL(IF((Income!D$3:D$502="GBP")*(Income!A$3:A$502=DATE(2026,1,20)),ROW(Income!A$3:A$502)-2),1)),0)=0,"",IFERROR(-INDEX(Expenses!D$3:D$999,SMALL(IF((Expenses!E$3:E$999="GBP")*(Expenses!A$3:A$999=DATE(2026,1,20)),ROW(Expenses!A$3:A$999)-2),1)),0)+IFERROR(INDEX(Income!C$3:C$502,SMALL(IF((Income!D$3:D$502="GBP")*(Income!A$3:A$502=DATE(2026,1,20)),ROW(Income!A$3:A$502)-2),1)),0))</f>
        <v/>
      </c>
      <c r="F19" s="126">
        <f t="array" ref="F19">IF(IFERROR(INDEX(Expenses!B$3:B$999,SMALL(IF((Expenses!E$3:E$999="GBP")*(Expenses!A$3:A$999=DATE(2026,1,20)),ROW(Expenses!A$3:A$999)-2),1)),"")&lt;&gt;"",IFERROR(INDEX(Expenses!B$3:B$999,SMALL(IF((Expenses!E$3:E$999="GBP")*(Expenses!A$3:A$999=DATE(2026,1,20)),ROW(Expenses!A$3:A$999)-2),1)),""),IF(IFERROR(INDEX(Income!B$3:B$502,SMALL(IF((Income!D$3:D$502="GBP")*(Income!A$3:A$502=DATE(2026,1,20)),ROW(Income!A$3:A$502)-2),1)),"")&lt;&gt;"",IFERROR(INDEX(Income!B$3:B$502,SMALL(IF((Income!D$3:D$502="GBP")*(Income!A$3:A$502=DATE(2026,1,20)),ROW(Income!A$3:A$502)-2),1)),""),""))</f>
        <v/>
      </c>
      <c r="G19" s="152">
        <f t="array" ref="G19">IF(IFERROR(-INDEX(Expenses!D$3:D$999,SMALL(IF((Expenses!E$3:E$999="GBP")*(Expenses!A$3:A$999=DATE(2026,1,21)),ROW(Expenses!A$3:A$999)-2),1)),0)+IFERROR(INDEX(Income!C$3:C$502,SMALL(IF((Income!D$3:D$502="GBP")*(Income!A$3:A$502=DATE(2026,1,21)),ROW(Income!A$3:A$502)-2),1)),0)=0,"",IFERROR(-INDEX(Expenses!D$3:D$999,SMALL(IF((Expenses!E$3:E$999="GBP")*(Expenses!A$3:A$999=DATE(2026,1,21)),ROW(Expenses!A$3:A$999)-2),1)),0)+IFERROR(INDEX(Income!C$3:C$502,SMALL(IF((Income!D$3:D$502="GBP")*(Income!A$3:A$502=DATE(2026,1,21)),ROW(Income!A$3:A$502)-2),1)),0))</f>
        <v/>
      </c>
      <c r="H19" s="126">
        <f t="array" ref="H19">IF(IFERROR(INDEX(Expenses!B$3:B$999,SMALL(IF((Expenses!E$3:E$999="GBP")*(Expenses!A$3:A$999=DATE(2026,1,21)),ROW(Expenses!A$3:A$999)-2),1)),"")&lt;&gt;"",IFERROR(INDEX(Expenses!B$3:B$999,SMALL(IF((Expenses!E$3:E$999="GBP")*(Expenses!A$3:A$999=DATE(2026,1,21)),ROW(Expenses!A$3:A$999)-2),1)),""),IF(IFERROR(INDEX(Income!B$3:B$502,SMALL(IF((Income!D$3:D$502="GBP")*(Income!A$3:A$502=DATE(2026,1,21)),ROW(Income!A$3:A$502)-2),1)),"")&lt;&gt;"",IFERROR(INDEX(Income!B$3:B$502,SMALL(IF((Income!D$3:D$502="GBP")*(Income!A$3:A$502=DATE(2026,1,21)),ROW(Income!A$3:A$502)-2),1)),""),""))</f>
        <v/>
      </c>
      <c r="I19" s="152">
        <f t="array" ref="I19">IF(IFERROR(-INDEX(Expenses!D$3:D$999,SMALL(IF((Expenses!E$3:E$999="GBP")*(Expenses!A$3:A$999=DATE(2026,1,22)),ROW(Expenses!A$3:A$999)-2),1)),0)+IFERROR(INDEX(Income!C$3:C$502,SMALL(IF((Income!D$3:D$502="GBP")*(Income!A$3:A$502=DATE(2026,1,22)),ROW(Income!A$3:A$502)-2),1)),0)=0,"",IFERROR(-INDEX(Expenses!D$3:D$999,SMALL(IF((Expenses!E$3:E$999="GBP")*(Expenses!A$3:A$999=DATE(2026,1,22)),ROW(Expenses!A$3:A$999)-2),1)),0)+IFERROR(INDEX(Income!C$3:C$502,SMALL(IF((Income!D$3:D$502="GBP")*(Income!A$3:A$502=DATE(2026,1,22)),ROW(Income!A$3:A$502)-2),1)),0))</f>
        <v/>
      </c>
      <c r="J19" s="126">
        <f t="array" ref="J19">IF(IFERROR(INDEX(Expenses!B$3:B$999,SMALL(IF((Expenses!E$3:E$999="GBP")*(Expenses!A$3:A$999=DATE(2026,1,22)),ROW(Expenses!A$3:A$999)-2),1)),"")&lt;&gt;"",IFERROR(INDEX(Expenses!B$3:B$999,SMALL(IF((Expenses!E$3:E$999="GBP")*(Expenses!A$3:A$999=DATE(2026,1,22)),ROW(Expenses!A$3:A$999)-2),1)),""),IF(IFERROR(INDEX(Income!B$3:B$502,SMALL(IF((Income!D$3:D$502="GBP")*(Income!A$3:A$502=DATE(2026,1,22)),ROW(Income!A$3:A$502)-2),1)),"")&lt;&gt;"",IFERROR(INDEX(Income!B$3:B$502,SMALL(IF((Income!D$3:D$502="GBP")*(Income!A$3:A$502=DATE(2026,1,22)),ROW(Income!A$3:A$502)-2),1)),""),""))</f>
        <v/>
      </c>
      <c r="K19" s="152">
        <f t="array" ref="K19">IF(IFERROR(-INDEX(Expenses!D$3:D$999,SMALL(IF((Expenses!E$3:E$999="GBP")*(Expenses!A$3:A$999=DATE(2026,1,23)),ROW(Expenses!A$3:A$999)-2),1)),0)+IFERROR(INDEX(Income!C$3:C$502,SMALL(IF((Income!D$3:D$502="GBP")*(Income!A$3:A$502=DATE(2026,1,23)),ROW(Income!A$3:A$502)-2),1)),0)=0,"",IFERROR(-INDEX(Expenses!D$3:D$999,SMALL(IF((Expenses!E$3:E$999="GBP")*(Expenses!A$3:A$999=DATE(2026,1,23)),ROW(Expenses!A$3:A$999)-2),1)),0)+IFERROR(INDEX(Income!C$3:C$502,SMALL(IF((Income!D$3:D$502="GBP")*(Income!A$3:A$502=DATE(2026,1,23)),ROW(Income!A$3:A$502)-2),1)),0))</f>
        <v/>
      </c>
      <c r="L19" s="126">
        <f t="array" ref="L19">IF(IFERROR(INDEX(Expenses!B$3:B$999,SMALL(IF((Expenses!E$3:E$999="GBP")*(Expenses!A$3:A$999=DATE(2026,1,23)),ROW(Expenses!A$3:A$999)-2),1)),"")&lt;&gt;"",IFERROR(INDEX(Expenses!B$3:B$999,SMALL(IF((Expenses!E$3:E$999="GBP")*(Expenses!A$3:A$999=DATE(2026,1,23)),ROW(Expenses!A$3:A$999)-2),1)),""),IF(IFERROR(INDEX(Income!B$3:B$502,SMALL(IF((Income!D$3:D$502="GBP")*(Income!A$3:A$502=DATE(2026,1,23)),ROW(Income!A$3:A$502)-2),1)),"")&lt;&gt;"",IFERROR(INDEX(Income!B$3:B$502,SMALL(IF((Income!D$3:D$502="GBP")*(Income!A$3:A$502=DATE(2026,1,23)),ROW(Income!A$3:A$502)-2),1)),""),""))</f>
        <v/>
      </c>
      <c r="M19" s="152">
        <f t="array" ref="M19">IF(IFERROR(-INDEX(Expenses!D$3:D$999,SMALL(IF((Expenses!E$3:E$999="GBP")*(Expenses!A$3:A$999=DATE(2026,1,24)),ROW(Expenses!A$3:A$999)-2),1)),0)+IFERROR(INDEX(Income!C$3:C$502,SMALL(IF((Income!D$3:D$502="GBP")*(Income!A$3:A$502=DATE(2026,1,24)),ROW(Income!A$3:A$502)-2),1)),0)=0,"",IFERROR(-INDEX(Expenses!D$3:D$999,SMALL(IF((Expenses!E$3:E$999="GBP")*(Expenses!A$3:A$999=DATE(2026,1,24)),ROW(Expenses!A$3:A$999)-2),1)),0)+IFERROR(INDEX(Income!C$3:C$502,SMALL(IF((Income!D$3:D$502="GBP")*(Income!A$3:A$502=DATE(2026,1,24)),ROW(Income!A$3:A$502)-2),1)),0))</f>
        <v/>
      </c>
      <c r="N19" s="126">
        <f t="array" ref="N19">IF(IFERROR(INDEX(Expenses!B$3:B$999,SMALL(IF((Expenses!E$3:E$999="GBP")*(Expenses!A$3:A$999=DATE(2026,1,24)),ROW(Expenses!A$3:A$999)-2),1)),"")&lt;&gt;"",IFERROR(INDEX(Expenses!B$3:B$999,SMALL(IF((Expenses!E$3:E$999="GBP")*(Expenses!A$3:A$999=DATE(2026,1,24)),ROW(Expenses!A$3:A$999)-2),1)),""),IF(IFERROR(INDEX(Income!B$3:B$502,SMALL(IF((Income!D$3:D$502="GBP")*(Income!A$3:A$502=DATE(2026,1,24)),ROW(Income!A$3:A$502)-2),1)),"")&lt;&gt;"",IFERROR(INDEX(Income!B$3:B$502,SMALL(IF((Income!D$3:D$502="GBP")*(Income!A$3:A$502=DATE(2026,1,24)),ROW(Income!A$3:A$502)-2),1)),""),""))</f>
        <v/>
      </c>
      <c r="O19" s="152">
        <f t="array" ref="O19">IF(IFERROR(-INDEX(Expenses!D$3:D$999,SMALL(IF((Expenses!E$3:E$999="GBP")*(Expenses!A$3:A$999=DATE(2026,1,25)),ROW(Expenses!A$3:A$999)-2),1)),0)+IFERROR(INDEX(Income!C$3:C$502,SMALL(IF((Income!D$3:D$502="GBP")*(Income!A$3:A$502=DATE(2026,1,25)),ROW(Income!A$3:A$502)-2),1)),0)=0,"",IFERROR(-INDEX(Expenses!D$3:D$999,SMALL(IF((Expenses!E$3:E$999="GBP")*(Expenses!A$3:A$999=DATE(2026,1,25)),ROW(Expenses!A$3:A$999)-2),1)),0)+IFERROR(INDEX(Income!C$3:C$502,SMALL(IF((Income!D$3:D$502="GBP")*(Income!A$3:A$502=DATE(2026,1,25)),ROW(Income!A$3:A$502)-2),1)),0))</f>
        <v/>
      </c>
      <c r="P19" s="126">
        <f t="array" ref="P19">IF(IFERROR(INDEX(Expenses!B$3:B$999,SMALL(IF((Expenses!E$3:E$999="GBP")*(Expenses!A$3:A$999=DATE(2026,1,25)),ROW(Expenses!A$3:A$999)-2),1)),"")&lt;&gt;"",IFERROR(INDEX(Expenses!B$3:B$999,SMALL(IF((Expenses!E$3:E$999="GBP")*(Expenses!A$3:A$999=DATE(2026,1,25)),ROW(Expenses!A$3:A$999)-2),1)),""),IF(IFERROR(INDEX(Income!B$3:B$502,SMALL(IF((Income!D$3:D$502="GBP")*(Income!A$3:A$502=DATE(2026,1,25)),ROW(Income!A$3:A$502)-2),1)),"")&lt;&gt;"",IFERROR(INDEX(Income!B$3:B$502,SMALL(IF((Income!D$3:D$502="GBP")*(Income!A$3:A$502=DATE(2026,1,25)),ROW(Income!A$3:A$502)-2),1)),""),""))</f>
        <v/>
      </c>
      <c r="Q19" s="103" t="n">
        <v>4</v>
      </c>
      <c r="R19" s="134">
        <f>SUM(C19:C23)+SUM(E19:E23)+SUM(G19:G23)+SUM(I19:I23)+SUM(K19:K23)+SUM(M19:M23)+SUM(O19:O23)</f>
        <v/>
      </c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9" t="n"/>
      <c r="B20" s="9" t="n"/>
      <c r="C20" s="152">
        <f t="array" ref="C20">IF(IFERROR(-INDEX(Expenses!D$3:D$999,SMALL(IF((Expenses!E$3:E$999="GBP")*(Expenses!A$3:A$999=DATE(2026,1,19)),ROW(Expenses!A$3:A$999)-2),2)),0)+IFERROR(INDEX(Income!C$3:C$502,SMALL(IF((Income!D$3:D$502="GBP")*(Income!A$3:A$502=DATE(2026,1,19)),ROW(Income!A$3:A$502)-2),2)),0)=0,"",IFERROR(-INDEX(Expenses!D$3:D$999,SMALL(IF((Expenses!E$3:E$999="GBP")*(Expenses!A$3:A$999=DATE(2026,1,19)),ROW(Expenses!A$3:A$999)-2),2)),0)+IFERROR(INDEX(Income!C$3:C$502,SMALL(IF((Income!D$3:D$502="GBP")*(Income!A$3:A$502=DATE(2026,1,19)),ROW(Income!A$3:A$502)-2),2)),0))</f>
        <v/>
      </c>
      <c r="D20" s="126">
        <f t="array" ref="D20">IF(IFERROR(INDEX(Expenses!B$3:B$999,SMALL(IF((Expenses!E$3:E$999="GBP")*(Expenses!A$3:A$999=DATE(2026,1,19)),ROW(Expenses!A$3:A$999)-2),2)),"")&lt;&gt;"",IFERROR(INDEX(Expenses!B$3:B$999,SMALL(IF((Expenses!E$3:E$999="GBP")*(Expenses!A$3:A$999=DATE(2026,1,19)),ROW(Expenses!A$3:A$999)-2),2)),""),IF(IFERROR(INDEX(Income!B$3:B$502,SMALL(IF((Income!D$3:D$502="GBP")*(Income!A$3:A$502=DATE(2026,1,19)),ROW(Income!A$3:A$502)-2),2)),"")&lt;&gt;"",IFERROR(INDEX(Income!B$3:B$502,SMALL(IF((Income!D$3:D$502="GBP")*(Income!A$3:A$502=DATE(2026,1,19)),ROW(Income!A$3:A$502)-2),2)),""),""))</f>
        <v/>
      </c>
      <c r="E20" s="152">
        <f t="array" ref="E20">IF(IFERROR(-INDEX(Expenses!D$3:D$999,SMALL(IF((Expenses!E$3:E$999="GBP")*(Expenses!A$3:A$999=DATE(2026,1,20)),ROW(Expenses!A$3:A$999)-2),2)),0)+IFERROR(INDEX(Income!C$3:C$502,SMALL(IF((Income!D$3:D$502="GBP")*(Income!A$3:A$502=DATE(2026,1,20)),ROW(Income!A$3:A$502)-2),2)),0)=0,"",IFERROR(-INDEX(Expenses!D$3:D$999,SMALL(IF((Expenses!E$3:E$999="GBP")*(Expenses!A$3:A$999=DATE(2026,1,20)),ROW(Expenses!A$3:A$999)-2),2)),0)+IFERROR(INDEX(Income!C$3:C$502,SMALL(IF((Income!D$3:D$502="GBP")*(Income!A$3:A$502=DATE(2026,1,20)),ROW(Income!A$3:A$502)-2),2)),0))</f>
        <v/>
      </c>
      <c r="F20" s="126">
        <f t="array" ref="F20">IF(IFERROR(INDEX(Expenses!B$3:B$999,SMALL(IF((Expenses!E$3:E$999="GBP")*(Expenses!A$3:A$999=DATE(2026,1,20)),ROW(Expenses!A$3:A$999)-2),2)),"")&lt;&gt;"",IFERROR(INDEX(Expenses!B$3:B$999,SMALL(IF((Expenses!E$3:E$999="GBP")*(Expenses!A$3:A$999=DATE(2026,1,20)),ROW(Expenses!A$3:A$999)-2),2)),""),IF(IFERROR(INDEX(Income!B$3:B$502,SMALL(IF((Income!D$3:D$502="GBP")*(Income!A$3:A$502=DATE(2026,1,20)),ROW(Income!A$3:A$502)-2),2)),"")&lt;&gt;"",IFERROR(INDEX(Income!B$3:B$502,SMALL(IF((Income!D$3:D$502="GBP")*(Income!A$3:A$502=DATE(2026,1,20)),ROW(Income!A$3:A$502)-2),2)),""),""))</f>
        <v/>
      </c>
      <c r="G20" s="152">
        <f t="array" ref="G20">IF(IFERROR(-INDEX(Expenses!D$3:D$999,SMALL(IF((Expenses!E$3:E$999="GBP")*(Expenses!A$3:A$999=DATE(2026,1,21)),ROW(Expenses!A$3:A$999)-2),2)),0)+IFERROR(INDEX(Income!C$3:C$502,SMALL(IF((Income!D$3:D$502="GBP")*(Income!A$3:A$502=DATE(2026,1,21)),ROW(Income!A$3:A$502)-2),2)),0)=0,"",IFERROR(-INDEX(Expenses!D$3:D$999,SMALL(IF((Expenses!E$3:E$999="GBP")*(Expenses!A$3:A$999=DATE(2026,1,21)),ROW(Expenses!A$3:A$999)-2),2)),0)+IFERROR(INDEX(Income!C$3:C$502,SMALL(IF((Income!D$3:D$502="GBP")*(Income!A$3:A$502=DATE(2026,1,21)),ROW(Income!A$3:A$502)-2),2)),0))</f>
        <v/>
      </c>
      <c r="H20" s="126">
        <f t="array" ref="H20">IF(IFERROR(INDEX(Expenses!B$3:B$999,SMALL(IF((Expenses!E$3:E$999="GBP")*(Expenses!A$3:A$999=DATE(2026,1,21)),ROW(Expenses!A$3:A$999)-2),2)),"")&lt;&gt;"",IFERROR(INDEX(Expenses!B$3:B$999,SMALL(IF((Expenses!E$3:E$999="GBP")*(Expenses!A$3:A$999=DATE(2026,1,21)),ROW(Expenses!A$3:A$999)-2),2)),""),IF(IFERROR(INDEX(Income!B$3:B$502,SMALL(IF((Income!D$3:D$502="GBP")*(Income!A$3:A$502=DATE(2026,1,21)),ROW(Income!A$3:A$502)-2),2)),"")&lt;&gt;"",IFERROR(INDEX(Income!B$3:B$502,SMALL(IF((Income!D$3:D$502="GBP")*(Income!A$3:A$502=DATE(2026,1,21)),ROW(Income!A$3:A$502)-2),2)),""),""))</f>
        <v/>
      </c>
      <c r="I20" s="152">
        <f t="array" ref="I20">IF(IFERROR(-INDEX(Expenses!D$3:D$999,SMALL(IF((Expenses!E$3:E$999="GBP")*(Expenses!A$3:A$999=DATE(2026,1,22)),ROW(Expenses!A$3:A$999)-2),2)),0)+IFERROR(INDEX(Income!C$3:C$502,SMALL(IF((Income!D$3:D$502="GBP")*(Income!A$3:A$502=DATE(2026,1,22)),ROW(Income!A$3:A$502)-2),2)),0)=0,"",IFERROR(-INDEX(Expenses!D$3:D$999,SMALL(IF((Expenses!E$3:E$999="GBP")*(Expenses!A$3:A$999=DATE(2026,1,22)),ROW(Expenses!A$3:A$999)-2),2)),0)+IFERROR(INDEX(Income!C$3:C$502,SMALL(IF((Income!D$3:D$502="GBP")*(Income!A$3:A$502=DATE(2026,1,22)),ROW(Income!A$3:A$502)-2),2)),0))</f>
        <v/>
      </c>
      <c r="J20" s="126">
        <f t="array" ref="J20">IF(IFERROR(INDEX(Expenses!B$3:B$999,SMALL(IF((Expenses!E$3:E$999="GBP")*(Expenses!A$3:A$999=DATE(2026,1,22)),ROW(Expenses!A$3:A$999)-2),2)),"")&lt;&gt;"",IFERROR(INDEX(Expenses!B$3:B$999,SMALL(IF((Expenses!E$3:E$999="GBP")*(Expenses!A$3:A$999=DATE(2026,1,22)),ROW(Expenses!A$3:A$999)-2),2)),""),IF(IFERROR(INDEX(Income!B$3:B$502,SMALL(IF((Income!D$3:D$502="GBP")*(Income!A$3:A$502=DATE(2026,1,22)),ROW(Income!A$3:A$502)-2),2)),"")&lt;&gt;"",IFERROR(INDEX(Income!B$3:B$502,SMALL(IF((Income!D$3:D$502="GBP")*(Income!A$3:A$502=DATE(2026,1,22)),ROW(Income!A$3:A$502)-2),2)),""),""))</f>
        <v/>
      </c>
      <c r="K20" s="152">
        <f t="array" ref="K20">IF(IFERROR(-INDEX(Expenses!D$3:D$999,SMALL(IF((Expenses!E$3:E$999="GBP")*(Expenses!A$3:A$999=DATE(2026,1,23)),ROW(Expenses!A$3:A$999)-2),2)),0)+IFERROR(INDEX(Income!C$3:C$502,SMALL(IF((Income!D$3:D$502="GBP")*(Income!A$3:A$502=DATE(2026,1,23)),ROW(Income!A$3:A$502)-2),2)),0)=0,"",IFERROR(-INDEX(Expenses!D$3:D$999,SMALL(IF((Expenses!E$3:E$999="GBP")*(Expenses!A$3:A$999=DATE(2026,1,23)),ROW(Expenses!A$3:A$999)-2),2)),0)+IFERROR(INDEX(Income!C$3:C$502,SMALL(IF((Income!D$3:D$502="GBP")*(Income!A$3:A$502=DATE(2026,1,23)),ROW(Income!A$3:A$502)-2),2)),0))</f>
        <v/>
      </c>
      <c r="L20" s="126">
        <f t="array" ref="L20">IF(IFERROR(INDEX(Expenses!B$3:B$999,SMALL(IF((Expenses!E$3:E$999="GBP")*(Expenses!A$3:A$999=DATE(2026,1,23)),ROW(Expenses!A$3:A$999)-2),2)),"")&lt;&gt;"",IFERROR(INDEX(Expenses!B$3:B$999,SMALL(IF((Expenses!E$3:E$999="GBP")*(Expenses!A$3:A$999=DATE(2026,1,23)),ROW(Expenses!A$3:A$999)-2),2)),""),IF(IFERROR(INDEX(Income!B$3:B$502,SMALL(IF((Income!D$3:D$502="GBP")*(Income!A$3:A$502=DATE(2026,1,23)),ROW(Income!A$3:A$502)-2),2)),"")&lt;&gt;"",IFERROR(INDEX(Income!B$3:B$502,SMALL(IF((Income!D$3:D$502="GBP")*(Income!A$3:A$502=DATE(2026,1,23)),ROW(Income!A$3:A$502)-2),2)),""),""))</f>
        <v/>
      </c>
      <c r="M20" s="152">
        <f t="array" ref="M20">IF(IFERROR(-INDEX(Expenses!D$3:D$999,SMALL(IF((Expenses!E$3:E$999="GBP")*(Expenses!A$3:A$999=DATE(2026,1,24)),ROW(Expenses!A$3:A$999)-2),2)),0)+IFERROR(INDEX(Income!C$3:C$502,SMALL(IF((Income!D$3:D$502="GBP")*(Income!A$3:A$502=DATE(2026,1,24)),ROW(Income!A$3:A$502)-2),2)),0)=0,"",IFERROR(-INDEX(Expenses!D$3:D$999,SMALL(IF((Expenses!E$3:E$999="GBP")*(Expenses!A$3:A$999=DATE(2026,1,24)),ROW(Expenses!A$3:A$999)-2),2)),0)+IFERROR(INDEX(Income!C$3:C$502,SMALL(IF((Income!D$3:D$502="GBP")*(Income!A$3:A$502=DATE(2026,1,24)),ROW(Income!A$3:A$502)-2),2)),0))</f>
        <v/>
      </c>
      <c r="N20" s="126">
        <f t="array" ref="N20">IF(IFERROR(INDEX(Expenses!B$3:B$999,SMALL(IF((Expenses!E$3:E$999="GBP")*(Expenses!A$3:A$999=DATE(2026,1,24)),ROW(Expenses!A$3:A$999)-2),2)),"")&lt;&gt;"",IFERROR(INDEX(Expenses!B$3:B$999,SMALL(IF((Expenses!E$3:E$999="GBP")*(Expenses!A$3:A$999=DATE(2026,1,24)),ROW(Expenses!A$3:A$999)-2),2)),""),IF(IFERROR(INDEX(Income!B$3:B$502,SMALL(IF((Income!D$3:D$502="GBP")*(Income!A$3:A$502=DATE(2026,1,24)),ROW(Income!A$3:A$502)-2),2)),"")&lt;&gt;"",IFERROR(INDEX(Income!B$3:B$502,SMALL(IF((Income!D$3:D$502="GBP")*(Income!A$3:A$502=DATE(2026,1,24)),ROW(Income!A$3:A$502)-2),2)),""),""))</f>
        <v/>
      </c>
      <c r="O20" s="152">
        <f t="array" ref="O20">IF(IFERROR(-INDEX(Expenses!D$3:D$999,SMALL(IF((Expenses!E$3:E$999="GBP")*(Expenses!A$3:A$999=DATE(2026,1,25)),ROW(Expenses!A$3:A$999)-2),2)),0)+IFERROR(INDEX(Income!C$3:C$502,SMALL(IF((Income!D$3:D$502="GBP")*(Income!A$3:A$502=DATE(2026,1,25)),ROW(Income!A$3:A$502)-2),2)),0)=0,"",IFERROR(-INDEX(Expenses!D$3:D$999,SMALL(IF((Expenses!E$3:E$999="GBP")*(Expenses!A$3:A$999=DATE(2026,1,25)),ROW(Expenses!A$3:A$999)-2),2)),0)+IFERROR(INDEX(Income!C$3:C$502,SMALL(IF((Income!D$3:D$502="GBP")*(Income!A$3:A$502=DATE(2026,1,25)),ROW(Income!A$3:A$502)-2),2)),0))</f>
        <v/>
      </c>
      <c r="P20" s="126">
        <f t="array" ref="P20">IF(IFERROR(INDEX(Expenses!B$3:B$999,SMALL(IF((Expenses!E$3:E$999="GBP")*(Expenses!A$3:A$999=DATE(2026,1,25)),ROW(Expenses!A$3:A$999)-2),2)),"")&lt;&gt;"",IFERROR(INDEX(Expenses!B$3:B$999,SMALL(IF((Expenses!E$3:E$999="GBP")*(Expenses!A$3:A$999=DATE(2026,1,25)),ROW(Expenses!A$3:A$999)-2),2)),""),IF(IFERROR(INDEX(Income!B$3:B$502,SMALL(IF((Income!D$3:D$502="GBP")*(Income!A$3:A$502=DATE(2026,1,25)),ROW(Income!A$3:A$502)-2),2)),"")&lt;&gt;"",IFERROR(INDEX(Income!B$3:B$502,SMALL(IF((Income!D$3:D$502="GBP")*(Income!A$3:A$502=DATE(2026,1,25)),ROW(Income!A$3:A$502)-2),2)),""),""))</f>
        <v/>
      </c>
      <c r="Q20" s="9" t="n"/>
      <c r="R20" s="9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68">
      <c r="A21" s="9" t="n"/>
      <c r="B21" s="9" t="n"/>
      <c r="C21" s="152">
        <f t="array" ref="C21">IF(IFERROR(-INDEX(Expenses!D$3:D$999,SMALL(IF((Expenses!E$3:E$999="GBP")*(Expenses!A$3:A$999=DATE(2026,1,19)),ROW(Expenses!A$3:A$999)-2),3)),0)+IFERROR(INDEX(Income!C$3:C$502,SMALL(IF((Income!D$3:D$502="GBP")*(Income!A$3:A$502=DATE(2026,1,19)),ROW(Income!A$3:A$502)-2),3)),0)=0,"",IFERROR(-INDEX(Expenses!D$3:D$999,SMALL(IF((Expenses!E$3:E$999="GBP")*(Expenses!A$3:A$999=DATE(2026,1,19)),ROW(Expenses!A$3:A$999)-2),3)),0)+IFERROR(INDEX(Income!C$3:C$502,SMALL(IF((Income!D$3:D$502="GBP")*(Income!A$3:A$502=DATE(2026,1,19)),ROW(Income!A$3:A$502)-2),3)),0))</f>
        <v/>
      </c>
      <c r="D21" s="126">
        <f t="array" ref="D21">IF(IFERROR(INDEX(Expenses!B$3:B$999,SMALL(IF((Expenses!E$3:E$999="GBP")*(Expenses!A$3:A$999=DATE(2026,1,19)),ROW(Expenses!A$3:A$999)-2),3)),"")&lt;&gt;"",IFERROR(INDEX(Expenses!B$3:B$999,SMALL(IF((Expenses!E$3:E$999="GBP")*(Expenses!A$3:A$999=DATE(2026,1,19)),ROW(Expenses!A$3:A$999)-2),3)),""),IF(IFERROR(INDEX(Income!B$3:B$502,SMALL(IF((Income!D$3:D$502="GBP")*(Income!A$3:A$502=DATE(2026,1,19)),ROW(Income!A$3:A$502)-2),3)),"")&lt;&gt;"",IFERROR(INDEX(Income!B$3:B$502,SMALL(IF((Income!D$3:D$502="GBP")*(Income!A$3:A$502=DATE(2026,1,19)),ROW(Income!A$3:A$502)-2),3)),""),""))</f>
        <v/>
      </c>
      <c r="E21" s="152">
        <f t="array" ref="E21">IF(IFERROR(-INDEX(Expenses!D$3:D$999,SMALL(IF((Expenses!E$3:E$999="GBP")*(Expenses!A$3:A$999=DATE(2026,1,20)),ROW(Expenses!A$3:A$999)-2),3)),0)+IFERROR(INDEX(Income!C$3:C$502,SMALL(IF((Income!D$3:D$502="GBP")*(Income!A$3:A$502=DATE(2026,1,20)),ROW(Income!A$3:A$502)-2),3)),0)=0,"",IFERROR(-INDEX(Expenses!D$3:D$999,SMALL(IF((Expenses!E$3:E$999="GBP")*(Expenses!A$3:A$999=DATE(2026,1,20)),ROW(Expenses!A$3:A$999)-2),3)),0)+IFERROR(INDEX(Income!C$3:C$502,SMALL(IF((Income!D$3:D$502="GBP")*(Income!A$3:A$502=DATE(2026,1,20)),ROW(Income!A$3:A$502)-2),3)),0))</f>
        <v/>
      </c>
      <c r="F21" s="126">
        <f t="array" ref="F21">IF(IFERROR(INDEX(Expenses!B$3:B$999,SMALL(IF((Expenses!E$3:E$999="GBP")*(Expenses!A$3:A$999=DATE(2026,1,20)),ROW(Expenses!A$3:A$999)-2),3)),"")&lt;&gt;"",IFERROR(INDEX(Expenses!B$3:B$999,SMALL(IF((Expenses!E$3:E$999="GBP")*(Expenses!A$3:A$999=DATE(2026,1,20)),ROW(Expenses!A$3:A$999)-2),3)),""),IF(IFERROR(INDEX(Income!B$3:B$502,SMALL(IF((Income!D$3:D$502="GBP")*(Income!A$3:A$502=DATE(2026,1,20)),ROW(Income!A$3:A$502)-2),3)),"")&lt;&gt;"",IFERROR(INDEX(Income!B$3:B$502,SMALL(IF((Income!D$3:D$502="GBP")*(Income!A$3:A$502=DATE(2026,1,20)),ROW(Income!A$3:A$502)-2),3)),""),""))</f>
        <v/>
      </c>
      <c r="G21" s="152">
        <f t="array" ref="G21">IF(IFERROR(-INDEX(Expenses!D$3:D$999,SMALL(IF((Expenses!E$3:E$999="GBP")*(Expenses!A$3:A$999=DATE(2026,1,21)),ROW(Expenses!A$3:A$999)-2),3)),0)+IFERROR(INDEX(Income!C$3:C$502,SMALL(IF((Income!D$3:D$502="GBP")*(Income!A$3:A$502=DATE(2026,1,21)),ROW(Income!A$3:A$502)-2),3)),0)=0,"",IFERROR(-INDEX(Expenses!D$3:D$999,SMALL(IF((Expenses!E$3:E$999="GBP")*(Expenses!A$3:A$999=DATE(2026,1,21)),ROW(Expenses!A$3:A$999)-2),3)),0)+IFERROR(INDEX(Income!C$3:C$502,SMALL(IF((Income!D$3:D$502="GBP")*(Income!A$3:A$502=DATE(2026,1,21)),ROW(Income!A$3:A$502)-2),3)),0))</f>
        <v/>
      </c>
      <c r="H21" s="126">
        <f t="array" ref="H21">IF(IFERROR(INDEX(Expenses!B$3:B$999,SMALL(IF((Expenses!E$3:E$999="GBP")*(Expenses!A$3:A$999=DATE(2026,1,21)),ROW(Expenses!A$3:A$999)-2),3)),"")&lt;&gt;"",IFERROR(INDEX(Expenses!B$3:B$999,SMALL(IF((Expenses!E$3:E$999="GBP")*(Expenses!A$3:A$999=DATE(2026,1,21)),ROW(Expenses!A$3:A$999)-2),3)),""),IF(IFERROR(INDEX(Income!B$3:B$502,SMALL(IF((Income!D$3:D$502="GBP")*(Income!A$3:A$502=DATE(2026,1,21)),ROW(Income!A$3:A$502)-2),3)),"")&lt;&gt;"",IFERROR(INDEX(Income!B$3:B$502,SMALL(IF((Income!D$3:D$502="GBP")*(Income!A$3:A$502=DATE(2026,1,21)),ROW(Income!A$3:A$502)-2),3)),""),""))</f>
        <v/>
      </c>
      <c r="I21" s="152">
        <f t="array" ref="I21">IF(IFERROR(-INDEX(Expenses!D$3:D$999,SMALL(IF((Expenses!E$3:E$999="GBP")*(Expenses!A$3:A$999=DATE(2026,1,22)),ROW(Expenses!A$3:A$999)-2),3)),0)+IFERROR(INDEX(Income!C$3:C$502,SMALL(IF((Income!D$3:D$502="GBP")*(Income!A$3:A$502=DATE(2026,1,22)),ROW(Income!A$3:A$502)-2),3)),0)=0,"",IFERROR(-INDEX(Expenses!D$3:D$999,SMALL(IF((Expenses!E$3:E$999="GBP")*(Expenses!A$3:A$999=DATE(2026,1,22)),ROW(Expenses!A$3:A$999)-2),3)),0)+IFERROR(INDEX(Income!C$3:C$502,SMALL(IF((Income!D$3:D$502="GBP")*(Income!A$3:A$502=DATE(2026,1,22)),ROW(Income!A$3:A$502)-2),3)),0))</f>
        <v/>
      </c>
      <c r="J21" s="126">
        <f t="array" ref="J21">IF(IFERROR(INDEX(Expenses!B$3:B$999,SMALL(IF((Expenses!E$3:E$999="GBP")*(Expenses!A$3:A$999=DATE(2026,1,22)),ROW(Expenses!A$3:A$999)-2),3)),"")&lt;&gt;"",IFERROR(INDEX(Expenses!B$3:B$999,SMALL(IF((Expenses!E$3:E$999="GBP")*(Expenses!A$3:A$999=DATE(2026,1,22)),ROW(Expenses!A$3:A$999)-2),3)),""),IF(IFERROR(INDEX(Income!B$3:B$502,SMALL(IF((Income!D$3:D$502="GBP")*(Income!A$3:A$502=DATE(2026,1,22)),ROW(Income!A$3:A$502)-2),3)),"")&lt;&gt;"",IFERROR(INDEX(Income!B$3:B$502,SMALL(IF((Income!D$3:D$502="GBP")*(Income!A$3:A$502=DATE(2026,1,22)),ROW(Income!A$3:A$502)-2),3)),""),""))</f>
        <v/>
      </c>
      <c r="K21" s="152">
        <f t="array" ref="K21">IF(IFERROR(-INDEX(Expenses!D$3:D$999,SMALL(IF((Expenses!E$3:E$999="GBP")*(Expenses!A$3:A$999=DATE(2026,1,23)),ROW(Expenses!A$3:A$999)-2),3)),0)+IFERROR(INDEX(Income!C$3:C$502,SMALL(IF((Income!D$3:D$502="GBP")*(Income!A$3:A$502=DATE(2026,1,23)),ROW(Income!A$3:A$502)-2),3)),0)=0,"",IFERROR(-INDEX(Expenses!D$3:D$999,SMALL(IF((Expenses!E$3:E$999="GBP")*(Expenses!A$3:A$999=DATE(2026,1,23)),ROW(Expenses!A$3:A$999)-2),3)),0)+IFERROR(INDEX(Income!C$3:C$502,SMALL(IF((Income!D$3:D$502="GBP")*(Income!A$3:A$502=DATE(2026,1,23)),ROW(Income!A$3:A$502)-2),3)),0))</f>
        <v/>
      </c>
      <c r="L21" s="126">
        <f t="array" ref="L21">IF(IFERROR(INDEX(Expenses!B$3:B$999,SMALL(IF((Expenses!E$3:E$999="GBP")*(Expenses!A$3:A$999=DATE(2026,1,23)),ROW(Expenses!A$3:A$999)-2),3)),"")&lt;&gt;"",IFERROR(INDEX(Expenses!B$3:B$999,SMALL(IF((Expenses!E$3:E$999="GBP")*(Expenses!A$3:A$999=DATE(2026,1,23)),ROW(Expenses!A$3:A$999)-2),3)),""),IF(IFERROR(INDEX(Income!B$3:B$502,SMALL(IF((Income!D$3:D$502="GBP")*(Income!A$3:A$502=DATE(2026,1,23)),ROW(Income!A$3:A$502)-2),3)),"")&lt;&gt;"",IFERROR(INDEX(Income!B$3:B$502,SMALL(IF((Income!D$3:D$502="GBP")*(Income!A$3:A$502=DATE(2026,1,23)),ROW(Income!A$3:A$502)-2),3)),""),""))</f>
        <v/>
      </c>
      <c r="M21" s="152">
        <f t="array" ref="M21">IF(IFERROR(-INDEX(Expenses!D$3:D$999,SMALL(IF((Expenses!E$3:E$999="GBP")*(Expenses!A$3:A$999=DATE(2026,1,24)),ROW(Expenses!A$3:A$999)-2),3)),0)+IFERROR(INDEX(Income!C$3:C$502,SMALL(IF((Income!D$3:D$502="GBP")*(Income!A$3:A$502=DATE(2026,1,24)),ROW(Income!A$3:A$502)-2),3)),0)=0,"",IFERROR(-INDEX(Expenses!D$3:D$999,SMALL(IF((Expenses!E$3:E$999="GBP")*(Expenses!A$3:A$999=DATE(2026,1,24)),ROW(Expenses!A$3:A$999)-2),3)),0)+IFERROR(INDEX(Income!C$3:C$502,SMALL(IF((Income!D$3:D$502="GBP")*(Income!A$3:A$502=DATE(2026,1,24)),ROW(Income!A$3:A$502)-2),3)),0))</f>
        <v/>
      </c>
      <c r="N21" s="126">
        <f t="array" ref="N21">IF(IFERROR(INDEX(Expenses!B$3:B$999,SMALL(IF((Expenses!E$3:E$999="GBP")*(Expenses!A$3:A$999=DATE(2026,1,24)),ROW(Expenses!A$3:A$999)-2),3)),"")&lt;&gt;"",IFERROR(INDEX(Expenses!B$3:B$999,SMALL(IF((Expenses!E$3:E$999="GBP")*(Expenses!A$3:A$999=DATE(2026,1,24)),ROW(Expenses!A$3:A$999)-2),3)),""),IF(IFERROR(INDEX(Income!B$3:B$502,SMALL(IF((Income!D$3:D$502="GBP")*(Income!A$3:A$502=DATE(2026,1,24)),ROW(Income!A$3:A$502)-2),3)),"")&lt;&gt;"",IFERROR(INDEX(Income!B$3:B$502,SMALL(IF((Income!D$3:D$502="GBP")*(Income!A$3:A$502=DATE(2026,1,24)),ROW(Income!A$3:A$502)-2),3)),""),""))</f>
        <v/>
      </c>
      <c r="O21" s="152">
        <f t="array" ref="O21">IF(IFERROR(-INDEX(Expenses!D$3:D$999,SMALL(IF((Expenses!E$3:E$999="GBP")*(Expenses!A$3:A$999=DATE(2026,1,25)),ROW(Expenses!A$3:A$999)-2),3)),0)+IFERROR(INDEX(Income!C$3:C$502,SMALL(IF((Income!D$3:D$502="GBP")*(Income!A$3:A$502=DATE(2026,1,25)),ROW(Income!A$3:A$502)-2),3)),0)=0,"",IFERROR(-INDEX(Expenses!D$3:D$999,SMALL(IF((Expenses!E$3:E$999="GBP")*(Expenses!A$3:A$999=DATE(2026,1,25)),ROW(Expenses!A$3:A$999)-2),3)),0)+IFERROR(INDEX(Income!C$3:C$502,SMALL(IF((Income!D$3:D$502="GBP")*(Income!A$3:A$502=DATE(2026,1,25)),ROW(Income!A$3:A$502)-2),3)),0))</f>
        <v/>
      </c>
      <c r="P21" s="126">
        <f t="array" ref="P21">IF(IFERROR(INDEX(Expenses!B$3:B$999,SMALL(IF((Expenses!E$3:E$999="GBP")*(Expenses!A$3:A$999=DATE(2026,1,25)),ROW(Expenses!A$3:A$999)-2),3)),"")&lt;&gt;"",IFERROR(INDEX(Expenses!B$3:B$999,SMALL(IF((Expenses!E$3:E$999="GBP")*(Expenses!A$3:A$999=DATE(2026,1,25)),ROW(Expenses!A$3:A$999)-2),3)),""),IF(IFERROR(INDEX(Income!B$3:B$502,SMALL(IF((Income!D$3:D$502="GBP")*(Income!A$3:A$502=DATE(2026,1,25)),ROW(Income!A$3:A$502)-2),3)),"")&lt;&gt;"",IFERROR(INDEX(Income!B$3:B$502,SMALL(IF((Income!D$3:D$502="GBP")*(Income!A$3:A$502=DATE(2026,1,25)),ROW(Income!A$3:A$502)-2),3)),""),""))</f>
        <v/>
      </c>
      <c r="Q21" s="9" t="n"/>
      <c r="R21" s="9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68">
      <c r="A22" s="9" t="n"/>
      <c r="B22" s="9" t="n"/>
      <c r="C22" s="152">
        <f t="array" ref="C22">IF(IFERROR(-INDEX(Expenses!D$3:D$999,SMALL(IF((Expenses!E$3:E$999="GBP")*(Expenses!A$3:A$999=DATE(2026,1,19)),ROW(Expenses!A$3:A$999)-2),4)),0)+IFERROR(INDEX(Income!C$3:C$502,SMALL(IF((Income!D$3:D$502="GBP")*(Income!A$3:A$502=DATE(2026,1,19)),ROW(Income!A$3:A$502)-2),4)),0)=0,"",IFERROR(-INDEX(Expenses!D$3:D$999,SMALL(IF((Expenses!E$3:E$999="GBP")*(Expenses!A$3:A$999=DATE(2026,1,19)),ROW(Expenses!A$3:A$999)-2),4)),0)+IFERROR(INDEX(Income!C$3:C$502,SMALL(IF((Income!D$3:D$502="GBP")*(Income!A$3:A$502=DATE(2026,1,19)),ROW(Income!A$3:A$502)-2),4)),0))</f>
        <v/>
      </c>
      <c r="D22" s="126">
        <f t="array" ref="D22">IF(IFERROR(INDEX(Expenses!B$3:B$999,SMALL(IF((Expenses!E$3:E$999="GBP")*(Expenses!A$3:A$999=DATE(2026,1,19)),ROW(Expenses!A$3:A$999)-2),4)),"")&lt;&gt;"",IFERROR(INDEX(Expenses!B$3:B$999,SMALL(IF((Expenses!E$3:E$999="GBP")*(Expenses!A$3:A$999=DATE(2026,1,19)),ROW(Expenses!A$3:A$999)-2),4)),""),IF(IFERROR(INDEX(Income!B$3:B$502,SMALL(IF((Income!D$3:D$502="GBP")*(Income!A$3:A$502=DATE(2026,1,19)),ROW(Income!A$3:A$502)-2),4)),"")&lt;&gt;"",IFERROR(INDEX(Income!B$3:B$502,SMALL(IF((Income!D$3:D$502="GBP")*(Income!A$3:A$502=DATE(2026,1,19)),ROW(Income!A$3:A$502)-2),4)),""),""))</f>
        <v/>
      </c>
      <c r="E22" s="152">
        <f t="array" ref="E22">IF(IFERROR(-INDEX(Expenses!D$3:D$999,SMALL(IF((Expenses!E$3:E$999="GBP")*(Expenses!A$3:A$999=DATE(2026,1,20)),ROW(Expenses!A$3:A$999)-2),4)),0)+IFERROR(INDEX(Income!C$3:C$502,SMALL(IF((Income!D$3:D$502="GBP")*(Income!A$3:A$502=DATE(2026,1,20)),ROW(Income!A$3:A$502)-2),4)),0)=0,"",IFERROR(-INDEX(Expenses!D$3:D$999,SMALL(IF((Expenses!E$3:E$999="GBP")*(Expenses!A$3:A$999=DATE(2026,1,20)),ROW(Expenses!A$3:A$999)-2),4)),0)+IFERROR(INDEX(Income!C$3:C$502,SMALL(IF((Income!D$3:D$502="GBP")*(Income!A$3:A$502=DATE(2026,1,20)),ROW(Income!A$3:A$502)-2),4)),0))</f>
        <v/>
      </c>
      <c r="F22" s="126">
        <f t="array" ref="F22">IF(IFERROR(INDEX(Expenses!B$3:B$999,SMALL(IF((Expenses!E$3:E$999="GBP")*(Expenses!A$3:A$999=DATE(2026,1,20)),ROW(Expenses!A$3:A$999)-2),4)),"")&lt;&gt;"",IFERROR(INDEX(Expenses!B$3:B$999,SMALL(IF((Expenses!E$3:E$999="GBP")*(Expenses!A$3:A$999=DATE(2026,1,20)),ROW(Expenses!A$3:A$999)-2),4)),""),IF(IFERROR(INDEX(Income!B$3:B$502,SMALL(IF((Income!D$3:D$502="GBP")*(Income!A$3:A$502=DATE(2026,1,20)),ROW(Income!A$3:A$502)-2),4)),"")&lt;&gt;"",IFERROR(INDEX(Income!B$3:B$502,SMALL(IF((Income!D$3:D$502="GBP")*(Income!A$3:A$502=DATE(2026,1,20)),ROW(Income!A$3:A$502)-2),4)),""),""))</f>
        <v/>
      </c>
      <c r="G22" s="152">
        <f t="array" ref="G22">IF(IFERROR(-INDEX(Expenses!D$3:D$999,SMALL(IF((Expenses!E$3:E$999="GBP")*(Expenses!A$3:A$999=DATE(2026,1,21)),ROW(Expenses!A$3:A$999)-2),4)),0)+IFERROR(INDEX(Income!C$3:C$502,SMALL(IF((Income!D$3:D$502="GBP")*(Income!A$3:A$502=DATE(2026,1,21)),ROW(Income!A$3:A$502)-2),4)),0)=0,"",IFERROR(-INDEX(Expenses!D$3:D$999,SMALL(IF((Expenses!E$3:E$999="GBP")*(Expenses!A$3:A$999=DATE(2026,1,21)),ROW(Expenses!A$3:A$999)-2),4)),0)+IFERROR(INDEX(Income!C$3:C$502,SMALL(IF((Income!D$3:D$502="GBP")*(Income!A$3:A$502=DATE(2026,1,21)),ROW(Income!A$3:A$502)-2),4)),0))</f>
        <v/>
      </c>
      <c r="H22" s="126">
        <f t="array" ref="H22">IF(IFERROR(INDEX(Expenses!B$3:B$999,SMALL(IF((Expenses!E$3:E$999="GBP")*(Expenses!A$3:A$999=DATE(2026,1,21)),ROW(Expenses!A$3:A$999)-2),4)),"")&lt;&gt;"",IFERROR(INDEX(Expenses!B$3:B$999,SMALL(IF((Expenses!E$3:E$999="GBP")*(Expenses!A$3:A$999=DATE(2026,1,21)),ROW(Expenses!A$3:A$999)-2),4)),""),IF(IFERROR(INDEX(Income!B$3:B$502,SMALL(IF((Income!D$3:D$502="GBP")*(Income!A$3:A$502=DATE(2026,1,21)),ROW(Income!A$3:A$502)-2),4)),"")&lt;&gt;"",IFERROR(INDEX(Income!B$3:B$502,SMALL(IF((Income!D$3:D$502="GBP")*(Income!A$3:A$502=DATE(2026,1,21)),ROW(Income!A$3:A$502)-2),4)),""),""))</f>
        <v/>
      </c>
      <c r="I22" s="152">
        <f t="array" ref="I22">IF(IFERROR(-INDEX(Expenses!D$3:D$999,SMALL(IF((Expenses!E$3:E$999="GBP")*(Expenses!A$3:A$999=DATE(2026,1,22)),ROW(Expenses!A$3:A$999)-2),4)),0)+IFERROR(INDEX(Income!C$3:C$502,SMALL(IF((Income!D$3:D$502="GBP")*(Income!A$3:A$502=DATE(2026,1,22)),ROW(Income!A$3:A$502)-2),4)),0)=0,"",IFERROR(-INDEX(Expenses!D$3:D$999,SMALL(IF((Expenses!E$3:E$999="GBP")*(Expenses!A$3:A$999=DATE(2026,1,22)),ROW(Expenses!A$3:A$999)-2),4)),0)+IFERROR(INDEX(Income!C$3:C$502,SMALL(IF((Income!D$3:D$502="GBP")*(Income!A$3:A$502=DATE(2026,1,22)),ROW(Income!A$3:A$502)-2),4)),0))</f>
        <v/>
      </c>
      <c r="J22" s="126">
        <f t="array" ref="J22">IF(IFERROR(INDEX(Expenses!B$3:B$999,SMALL(IF((Expenses!E$3:E$999="GBP")*(Expenses!A$3:A$999=DATE(2026,1,22)),ROW(Expenses!A$3:A$999)-2),4)),"")&lt;&gt;"",IFERROR(INDEX(Expenses!B$3:B$999,SMALL(IF((Expenses!E$3:E$999="GBP")*(Expenses!A$3:A$999=DATE(2026,1,22)),ROW(Expenses!A$3:A$999)-2),4)),""),IF(IFERROR(INDEX(Income!B$3:B$502,SMALL(IF((Income!D$3:D$502="GBP")*(Income!A$3:A$502=DATE(2026,1,22)),ROW(Income!A$3:A$502)-2),4)),"")&lt;&gt;"",IFERROR(INDEX(Income!B$3:B$502,SMALL(IF((Income!D$3:D$502="GBP")*(Income!A$3:A$502=DATE(2026,1,22)),ROW(Income!A$3:A$502)-2),4)),""),""))</f>
        <v/>
      </c>
      <c r="K22" s="152">
        <f t="array" ref="K22">IF(IFERROR(-INDEX(Expenses!D$3:D$999,SMALL(IF((Expenses!E$3:E$999="GBP")*(Expenses!A$3:A$999=DATE(2026,1,23)),ROW(Expenses!A$3:A$999)-2),4)),0)+IFERROR(INDEX(Income!C$3:C$502,SMALL(IF((Income!D$3:D$502="GBP")*(Income!A$3:A$502=DATE(2026,1,23)),ROW(Income!A$3:A$502)-2),4)),0)=0,"",IFERROR(-INDEX(Expenses!D$3:D$999,SMALL(IF((Expenses!E$3:E$999="GBP")*(Expenses!A$3:A$999=DATE(2026,1,23)),ROW(Expenses!A$3:A$999)-2),4)),0)+IFERROR(INDEX(Income!C$3:C$502,SMALL(IF((Income!D$3:D$502="GBP")*(Income!A$3:A$502=DATE(2026,1,23)),ROW(Income!A$3:A$502)-2),4)),0))</f>
        <v/>
      </c>
      <c r="L22" s="126">
        <f t="array" ref="L22">IF(IFERROR(INDEX(Expenses!B$3:B$999,SMALL(IF((Expenses!E$3:E$999="GBP")*(Expenses!A$3:A$999=DATE(2026,1,23)),ROW(Expenses!A$3:A$999)-2),4)),"")&lt;&gt;"",IFERROR(INDEX(Expenses!B$3:B$999,SMALL(IF((Expenses!E$3:E$999="GBP")*(Expenses!A$3:A$999=DATE(2026,1,23)),ROW(Expenses!A$3:A$999)-2),4)),""),IF(IFERROR(INDEX(Income!B$3:B$502,SMALL(IF((Income!D$3:D$502="GBP")*(Income!A$3:A$502=DATE(2026,1,23)),ROW(Income!A$3:A$502)-2),4)),"")&lt;&gt;"",IFERROR(INDEX(Income!B$3:B$502,SMALL(IF((Income!D$3:D$502="GBP")*(Income!A$3:A$502=DATE(2026,1,23)),ROW(Income!A$3:A$502)-2),4)),""),""))</f>
        <v/>
      </c>
      <c r="M22" s="152">
        <f t="array" ref="M22">IF(IFERROR(-INDEX(Expenses!D$3:D$999,SMALL(IF((Expenses!E$3:E$999="GBP")*(Expenses!A$3:A$999=DATE(2026,1,24)),ROW(Expenses!A$3:A$999)-2),4)),0)+IFERROR(INDEX(Income!C$3:C$502,SMALL(IF((Income!D$3:D$502="GBP")*(Income!A$3:A$502=DATE(2026,1,24)),ROW(Income!A$3:A$502)-2),4)),0)=0,"",IFERROR(-INDEX(Expenses!D$3:D$999,SMALL(IF((Expenses!E$3:E$999="GBP")*(Expenses!A$3:A$999=DATE(2026,1,24)),ROW(Expenses!A$3:A$999)-2),4)),0)+IFERROR(INDEX(Income!C$3:C$502,SMALL(IF((Income!D$3:D$502="GBP")*(Income!A$3:A$502=DATE(2026,1,24)),ROW(Income!A$3:A$502)-2),4)),0))</f>
        <v/>
      </c>
      <c r="N22" s="126">
        <f t="array" ref="N22">IF(IFERROR(INDEX(Expenses!B$3:B$999,SMALL(IF((Expenses!E$3:E$999="GBP")*(Expenses!A$3:A$999=DATE(2026,1,24)),ROW(Expenses!A$3:A$999)-2),4)),"")&lt;&gt;"",IFERROR(INDEX(Expenses!B$3:B$999,SMALL(IF((Expenses!E$3:E$999="GBP")*(Expenses!A$3:A$999=DATE(2026,1,24)),ROW(Expenses!A$3:A$999)-2),4)),""),IF(IFERROR(INDEX(Income!B$3:B$502,SMALL(IF((Income!D$3:D$502="GBP")*(Income!A$3:A$502=DATE(2026,1,24)),ROW(Income!A$3:A$502)-2),4)),"")&lt;&gt;"",IFERROR(INDEX(Income!B$3:B$502,SMALL(IF((Income!D$3:D$502="GBP")*(Income!A$3:A$502=DATE(2026,1,24)),ROW(Income!A$3:A$502)-2),4)),""),""))</f>
        <v/>
      </c>
      <c r="O22" s="152">
        <f t="array" ref="O22">IF(IFERROR(-INDEX(Expenses!D$3:D$999,SMALL(IF((Expenses!E$3:E$999="GBP")*(Expenses!A$3:A$999=DATE(2026,1,25)),ROW(Expenses!A$3:A$999)-2),4)),0)+IFERROR(INDEX(Income!C$3:C$502,SMALL(IF((Income!D$3:D$502="GBP")*(Income!A$3:A$502=DATE(2026,1,25)),ROW(Income!A$3:A$502)-2),4)),0)=0,"",IFERROR(-INDEX(Expenses!D$3:D$999,SMALL(IF((Expenses!E$3:E$999="GBP")*(Expenses!A$3:A$999=DATE(2026,1,25)),ROW(Expenses!A$3:A$999)-2),4)),0)+IFERROR(INDEX(Income!C$3:C$502,SMALL(IF((Income!D$3:D$502="GBP")*(Income!A$3:A$502=DATE(2026,1,25)),ROW(Income!A$3:A$502)-2),4)),0))</f>
        <v/>
      </c>
      <c r="P22" s="126">
        <f t="array" ref="P22">IF(IFERROR(INDEX(Expenses!B$3:B$999,SMALL(IF((Expenses!E$3:E$999="GBP")*(Expenses!A$3:A$999=DATE(2026,1,25)),ROW(Expenses!A$3:A$999)-2),4)),"")&lt;&gt;"",IFERROR(INDEX(Expenses!B$3:B$999,SMALL(IF((Expenses!E$3:E$999="GBP")*(Expenses!A$3:A$999=DATE(2026,1,25)),ROW(Expenses!A$3:A$999)-2),4)),""),IF(IFERROR(INDEX(Income!B$3:B$502,SMALL(IF((Income!D$3:D$502="GBP")*(Income!A$3:A$502=DATE(2026,1,25)),ROW(Income!A$3:A$502)-2),4)),"")&lt;&gt;"",IFERROR(INDEX(Income!B$3:B$502,SMALL(IF((Income!D$3:D$502="GBP")*(Income!A$3:A$502=DATE(2026,1,25)),ROW(Income!A$3:A$502)-2),4)),""),""))</f>
        <v/>
      </c>
      <c r="Q22" s="9" t="n"/>
      <c r="R22" s="9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68">
      <c r="A23" s="9" t="n"/>
      <c r="B23" s="9" t="n"/>
      <c r="C23" s="152">
        <f t="array" ref="C23">IF(IFERROR(-INDEX(Expenses!D$3:D$999,SMALL(IF((Expenses!E$3:E$999="GBP")*(Expenses!A$3:A$999=DATE(2026,1,19)),ROW(Expenses!A$3:A$999)-2),5)),0)+IFERROR(INDEX(Income!C$3:C$502,SMALL(IF((Income!D$3:D$502="GBP")*(Income!A$3:A$502=DATE(2026,1,19)),ROW(Income!A$3:A$502)-2),5)),0)=0,"",IFERROR(-INDEX(Expenses!D$3:D$999,SMALL(IF((Expenses!E$3:E$999="GBP")*(Expenses!A$3:A$999=DATE(2026,1,19)),ROW(Expenses!A$3:A$999)-2),5)),0)+IFERROR(INDEX(Income!C$3:C$502,SMALL(IF((Income!D$3:D$502="GBP")*(Income!A$3:A$502=DATE(2026,1,19)),ROW(Income!A$3:A$502)-2),5)),0))</f>
        <v/>
      </c>
      <c r="D23" s="126">
        <f t="array" ref="D23">IF(IFERROR(INDEX(Expenses!B$3:B$999,SMALL(IF((Expenses!E$3:E$999="GBP")*(Expenses!A$3:A$999=DATE(2026,1,19)),ROW(Expenses!A$3:A$999)-2),5)),"")&lt;&gt;"",IFERROR(INDEX(Expenses!B$3:B$999,SMALL(IF((Expenses!E$3:E$999="GBP")*(Expenses!A$3:A$999=DATE(2026,1,19)),ROW(Expenses!A$3:A$999)-2),5)),""),IF(IFERROR(INDEX(Income!B$3:B$502,SMALL(IF((Income!D$3:D$502="GBP")*(Income!A$3:A$502=DATE(2026,1,19)),ROW(Income!A$3:A$502)-2),5)),"")&lt;&gt;"",IFERROR(INDEX(Income!B$3:B$502,SMALL(IF((Income!D$3:D$502="GBP")*(Income!A$3:A$502=DATE(2026,1,19)),ROW(Income!A$3:A$502)-2),5)),""),""))</f>
        <v/>
      </c>
      <c r="E23" s="152">
        <f t="array" ref="E23">IF(IFERROR(-INDEX(Expenses!D$3:D$999,SMALL(IF((Expenses!E$3:E$999="GBP")*(Expenses!A$3:A$999=DATE(2026,1,20)),ROW(Expenses!A$3:A$999)-2),5)),0)+IFERROR(INDEX(Income!C$3:C$502,SMALL(IF((Income!D$3:D$502="GBP")*(Income!A$3:A$502=DATE(2026,1,20)),ROW(Income!A$3:A$502)-2),5)),0)=0,"",IFERROR(-INDEX(Expenses!D$3:D$999,SMALL(IF((Expenses!E$3:E$999="GBP")*(Expenses!A$3:A$999=DATE(2026,1,20)),ROW(Expenses!A$3:A$999)-2),5)),0)+IFERROR(INDEX(Income!C$3:C$502,SMALL(IF((Income!D$3:D$502="GBP")*(Income!A$3:A$502=DATE(2026,1,20)),ROW(Income!A$3:A$502)-2),5)),0))</f>
        <v/>
      </c>
      <c r="F23" s="126">
        <f t="array" ref="F23">IF(IFERROR(INDEX(Expenses!B$3:B$999,SMALL(IF((Expenses!E$3:E$999="GBP")*(Expenses!A$3:A$999=DATE(2026,1,20)),ROW(Expenses!A$3:A$999)-2),5)),"")&lt;&gt;"",IFERROR(INDEX(Expenses!B$3:B$999,SMALL(IF((Expenses!E$3:E$999="GBP")*(Expenses!A$3:A$999=DATE(2026,1,20)),ROW(Expenses!A$3:A$999)-2),5)),""),IF(IFERROR(INDEX(Income!B$3:B$502,SMALL(IF((Income!D$3:D$502="GBP")*(Income!A$3:A$502=DATE(2026,1,20)),ROW(Income!A$3:A$502)-2),5)),"")&lt;&gt;"",IFERROR(INDEX(Income!B$3:B$502,SMALL(IF((Income!D$3:D$502="GBP")*(Income!A$3:A$502=DATE(2026,1,20)),ROW(Income!A$3:A$502)-2),5)),""),""))</f>
        <v/>
      </c>
      <c r="G23" s="152">
        <f t="array" ref="G23">IF(IFERROR(-INDEX(Expenses!D$3:D$999,SMALL(IF((Expenses!E$3:E$999="GBP")*(Expenses!A$3:A$999=DATE(2026,1,21)),ROW(Expenses!A$3:A$999)-2),5)),0)+IFERROR(INDEX(Income!C$3:C$502,SMALL(IF((Income!D$3:D$502="GBP")*(Income!A$3:A$502=DATE(2026,1,21)),ROW(Income!A$3:A$502)-2),5)),0)=0,"",IFERROR(-INDEX(Expenses!D$3:D$999,SMALL(IF((Expenses!E$3:E$999="GBP")*(Expenses!A$3:A$999=DATE(2026,1,21)),ROW(Expenses!A$3:A$999)-2),5)),0)+IFERROR(INDEX(Income!C$3:C$502,SMALL(IF((Income!D$3:D$502="GBP")*(Income!A$3:A$502=DATE(2026,1,21)),ROW(Income!A$3:A$502)-2),5)),0))</f>
        <v/>
      </c>
      <c r="H23" s="126">
        <f t="array" ref="H23">IF(IFERROR(INDEX(Expenses!B$3:B$999,SMALL(IF((Expenses!E$3:E$999="GBP")*(Expenses!A$3:A$999=DATE(2026,1,21)),ROW(Expenses!A$3:A$999)-2),5)),"")&lt;&gt;"",IFERROR(INDEX(Expenses!B$3:B$999,SMALL(IF((Expenses!E$3:E$999="GBP")*(Expenses!A$3:A$999=DATE(2026,1,21)),ROW(Expenses!A$3:A$999)-2),5)),""),IF(IFERROR(INDEX(Income!B$3:B$502,SMALL(IF((Income!D$3:D$502="GBP")*(Income!A$3:A$502=DATE(2026,1,21)),ROW(Income!A$3:A$502)-2),5)),"")&lt;&gt;"",IFERROR(INDEX(Income!B$3:B$502,SMALL(IF((Income!D$3:D$502="GBP")*(Income!A$3:A$502=DATE(2026,1,21)),ROW(Income!A$3:A$502)-2),5)),""),""))</f>
        <v/>
      </c>
      <c r="I23" s="152">
        <f t="array" ref="I23">IF(IFERROR(-INDEX(Expenses!D$3:D$999,SMALL(IF((Expenses!E$3:E$999="GBP")*(Expenses!A$3:A$999=DATE(2026,1,22)),ROW(Expenses!A$3:A$999)-2),5)),0)+IFERROR(INDEX(Income!C$3:C$502,SMALL(IF((Income!D$3:D$502="GBP")*(Income!A$3:A$502=DATE(2026,1,22)),ROW(Income!A$3:A$502)-2),5)),0)=0,"",IFERROR(-INDEX(Expenses!D$3:D$999,SMALL(IF((Expenses!E$3:E$999="GBP")*(Expenses!A$3:A$999=DATE(2026,1,22)),ROW(Expenses!A$3:A$999)-2),5)),0)+IFERROR(INDEX(Income!C$3:C$502,SMALL(IF((Income!D$3:D$502="GBP")*(Income!A$3:A$502=DATE(2026,1,22)),ROW(Income!A$3:A$502)-2),5)),0))</f>
        <v/>
      </c>
      <c r="J23" s="126">
        <f t="array" ref="J23">IF(IFERROR(INDEX(Expenses!B$3:B$999,SMALL(IF((Expenses!E$3:E$999="GBP")*(Expenses!A$3:A$999=DATE(2026,1,22)),ROW(Expenses!A$3:A$999)-2),5)),"")&lt;&gt;"",IFERROR(INDEX(Expenses!B$3:B$999,SMALL(IF((Expenses!E$3:E$999="GBP")*(Expenses!A$3:A$999=DATE(2026,1,22)),ROW(Expenses!A$3:A$999)-2),5)),""),IF(IFERROR(INDEX(Income!B$3:B$502,SMALL(IF((Income!D$3:D$502="GBP")*(Income!A$3:A$502=DATE(2026,1,22)),ROW(Income!A$3:A$502)-2),5)),"")&lt;&gt;"",IFERROR(INDEX(Income!B$3:B$502,SMALL(IF((Income!D$3:D$502="GBP")*(Income!A$3:A$502=DATE(2026,1,22)),ROW(Income!A$3:A$502)-2),5)),""),""))</f>
        <v/>
      </c>
      <c r="K23" s="152">
        <f t="array" ref="K23">IF(IFERROR(-INDEX(Expenses!D$3:D$999,SMALL(IF((Expenses!E$3:E$999="GBP")*(Expenses!A$3:A$999=DATE(2026,1,23)),ROW(Expenses!A$3:A$999)-2),5)),0)+IFERROR(INDEX(Income!C$3:C$502,SMALL(IF((Income!D$3:D$502="GBP")*(Income!A$3:A$502=DATE(2026,1,23)),ROW(Income!A$3:A$502)-2),5)),0)=0,"",IFERROR(-INDEX(Expenses!D$3:D$999,SMALL(IF((Expenses!E$3:E$999="GBP")*(Expenses!A$3:A$999=DATE(2026,1,23)),ROW(Expenses!A$3:A$999)-2),5)),0)+IFERROR(INDEX(Income!C$3:C$502,SMALL(IF((Income!D$3:D$502="GBP")*(Income!A$3:A$502=DATE(2026,1,23)),ROW(Income!A$3:A$502)-2),5)),0))</f>
        <v/>
      </c>
      <c r="L23" s="126">
        <f t="array" ref="L23">IF(IFERROR(INDEX(Expenses!B$3:B$999,SMALL(IF((Expenses!E$3:E$999="GBP")*(Expenses!A$3:A$999=DATE(2026,1,23)),ROW(Expenses!A$3:A$999)-2),5)),"")&lt;&gt;"",IFERROR(INDEX(Expenses!B$3:B$999,SMALL(IF((Expenses!E$3:E$999="GBP")*(Expenses!A$3:A$999=DATE(2026,1,23)),ROW(Expenses!A$3:A$999)-2),5)),""),IF(IFERROR(INDEX(Income!B$3:B$502,SMALL(IF((Income!D$3:D$502="GBP")*(Income!A$3:A$502=DATE(2026,1,23)),ROW(Income!A$3:A$502)-2),5)),"")&lt;&gt;"",IFERROR(INDEX(Income!B$3:B$502,SMALL(IF((Income!D$3:D$502="GBP")*(Income!A$3:A$502=DATE(2026,1,23)),ROW(Income!A$3:A$502)-2),5)),""),""))</f>
        <v/>
      </c>
      <c r="M23" s="152">
        <f t="array" ref="M23">IF(IFERROR(-INDEX(Expenses!D$3:D$999,SMALL(IF((Expenses!E$3:E$999="GBP")*(Expenses!A$3:A$999=DATE(2026,1,24)),ROW(Expenses!A$3:A$999)-2),5)),0)+IFERROR(INDEX(Income!C$3:C$502,SMALL(IF((Income!D$3:D$502="GBP")*(Income!A$3:A$502=DATE(2026,1,24)),ROW(Income!A$3:A$502)-2),5)),0)=0,"",IFERROR(-INDEX(Expenses!D$3:D$999,SMALL(IF((Expenses!E$3:E$999="GBP")*(Expenses!A$3:A$999=DATE(2026,1,24)),ROW(Expenses!A$3:A$999)-2),5)),0)+IFERROR(INDEX(Income!C$3:C$502,SMALL(IF((Income!D$3:D$502="GBP")*(Income!A$3:A$502=DATE(2026,1,24)),ROW(Income!A$3:A$502)-2),5)),0))</f>
        <v/>
      </c>
      <c r="N23" s="126">
        <f t="array" ref="N23">IF(IFERROR(INDEX(Expenses!B$3:B$999,SMALL(IF((Expenses!E$3:E$999="GBP")*(Expenses!A$3:A$999=DATE(2026,1,24)),ROW(Expenses!A$3:A$999)-2),5)),"")&lt;&gt;"",IFERROR(INDEX(Expenses!B$3:B$999,SMALL(IF((Expenses!E$3:E$999="GBP")*(Expenses!A$3:A$999=DATE(2026,1,24)),ROW(Expenses!A$3:A$999)-2),5)),""),IF(IFERROR(INDEX(Income!B$3:B$502,SMALL(IF((Income!D$3:D$502="GBP")*(Income!A$3:A$502=DATE(2026,1,24)),ROW(Income!A$3:A$502)-2),5)),"")&lt;&gt;"",IFERROR(INDEX(Income!B$3:B$502,SMALL(IF((Income!D$3:D$502="GBP")*(Income!A$3:A$502=DATE(2026,1,24)),ROW(Income!A$3:A$502)-2),5)),""),""))</f>
        <v/>
      </c>
      <c r="O23" s="152">
        <f t="array" ref="O23">IF(IFERROR(-INDEX(Expenses!D$3:D$999,SMALL(IF((Expenses!E$3:E$999="GBP")*(Expenses!A$3:A$999=DATE(2026,1,25)),ROW(Expenses!A$3:A$999)-2),5)),0)+IFERROR(INDEX(Income!C$3:C$502,SMALL(IF((Income!D$3:D$502="GBP")*(Income!A$3:A$502=DATE(2026,1,25)),ROW(Income!A$3:A$502)-2),5)),0)=0,"",IFERROR(-INDEX(Expenses!D$3:D$999,SMALL(IF((Expenses!E$3:E$999="GBP")*(Expenses!A$3:A$999=DATE(2026,1,25)),ROW(Expenses!A$3:A$999)-2),5)),0)+IFERROR(INDEX(Income!C$3:C$502,SMALL(IF((Income!D$3:D$502="GBP")*(Income!A$3:A$502=DATE(2026,1,25)),ROW(Income!A$3:A$502)-2),5)),0))</f>
        <v/>
      </c>
      <c r="P23" s="126">
        <f t="array" ref="P23">IF(IFERROR(INDEX(Expenses!B$3:B$999,SMALL(IF((Expenses!E$3:E$999="GBP")*(Expenses!A$3:A$999=DATE(2026,1,25)),ROW(Expenses!A$3:A$999)-2),5)),"")&lt;&gt;"",IFERROR(INDEX(Expenses!B$3:B$999,SMALL(IF((Expenses!E$3:E$999="GBP")*(Expenses!A$3:A$999=DATE(2026,1,25)),ROW(Expenses!A$3:A$999)-2),5)),""),IF(IFERROR(INDEX(Income!B$3:B$502,SMALL(IF((Income!D$3:D$502="GBP")*(Income!A$3:A$502=DATE(2026,1,25)),ROW(Income!A$3:A$502)-2),5)),"")&lt;&gt;"",IFERROR(INDEX(Income!B$3:B$502,SMALL(IF((Income!D$3:D$502="GBP")*(Income!A$3:A$502=DATE(2026,1,25)),ROW(Income!A$3:A$502)-2),5)),""),""))</f>
        <v/>
      </c>
      <c r="Q23" s="9" t="n"/>
      <c r="R23" s="9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68">
      <c r="A24" s="151" t="n">
        <v>46048</v>
      </c>
      <c r="B24" s="103" t="n">
        <v>5</v>
      </c>
      <c r="C24" s="152">
        <f t="array" ref="C24">IF(IFERROR(-INDEX(Expenses!D$3:D$999,SMALL(IF((Expenses!E$3:E$999="GBP")*(Expenses!A$3:A$999=DATE(2026,1,26)),ROW(Expenses!A$3:A$999)-2),1)),0)+IFERROR(INDEX(Income!C$3:C$502,SMALL(IF((Income!D$3:D$502="GBP")*(Income!A$3:A$502=DATE(2026,1,26)),ROW(Income!A$3:A$502)-2),1)),0)=0,"",IFERROR(-INDEX(Expenses!D$3:D$999,SMALL(IF((Expenses!E$3:E$999="GBP")*(Expenses!A$3:A$999=DATE(2026,1,26)),ROW(Expenses!A$3:A$999)-2),1)),0)+IFERROR(INDEX(Income!C$3:C$502,SMALL(IF((Income!D$3:D$502="GBP")*(Income!A$3:A$502=DATE(2026,1,26)),ROW(Income!A$3:A$502)-2),1)),0))</f>
        <v/>
      </c>
      <c r="D24" s="126">
        <f t="array" ref="D24">IF(IFERROR(INDEX(Expenses!B$3:B$999,SMALL(IF((Expenses!E$3:E$999="GBP")*(Expenses!A$3:A$999=DATE(2026,1,26)),ROW(Expenses!A$3:A$999)-2),1)),"")&lt;&gt;"",IFERROR(INDEX(Expenses!B$3:B$999,SMALL(IF((Expenses!E$3:E$999="GBP")*(Expenses!A$3:A$999=DATE(2026,1,26)),ROW(Expenses!A$3:A$999)-2),1)),""),IF(IFERROR(INDEX(Income!B$3:B$502,SMALL(IF((Income!D$3:D$502="GBP")*(Income!A$3:A$502=DATE(2026,1,26)),ROW(Income!A$3:A$502)-2),1)),"")&lt;&gt;"",IFERROR(INDEX(Income!B$3:B$502,SMALL(IF((Income!D$3:D$502="GBP")*(Income!A$3:A$502=DATE(2026,1,26)),ROW(Income!A$3:A$502)-2),1)),""),""))</f>
        <v/>
      </c>
      <c r="E24" s="152">
        <f t="array" ref="E24">IF(IFERROR(-INDEX(Expenses!D$3:D$999,SMALL(IF((Expenses!E$3:E$999="GBP")*(Expenses!A$3:A$999=DATE(2026,1,27)),ROW(Expenses!A$3:A$999)-2),1)),0)+IFERROR(INDEX(Income!C$3:C$502,SMALL(IF((Income!D$3:D$502="GBP")*(Income!A$3:A$502=DATE(2026,1,27)),ROW(Income!A$3:A$502)-2),1)),0)=0,"",IFERROR(-INDEX(Expenses!D$3:D$999,SMALL(IF((Expenses!E$3:E$999="GBP")*(Expenses!A$3:A$999=DATE(2026,1,27)),ROW(Expenses!A$3:A$999)-2),1)),0)+IFERROR(INDEX(Income!C$3:C$502,SMALL(IF((Income!D$3:D$502="GBP")*(Income!A$3:A$502=DATE(2026,1,27)),ROW(Income!A$3:A$502)-2),1)),0))</f>
        <v/>
      </c>
      <c r="F24" s="126">
        <f t="array" ref="F24">IF(IFERROR(INDEX(Expenses!B$3:B$999,SMALL(IF((Expenses!E$3:E$999="GBP")*(Expenses!A$3:A$999=DATE(2026,1,27)),ROW(Expenses!A$3:A$999)-2),1)),"")&lt;&gt;"",IFERROR(INDEX(Expenses!B$3:B$999,SMALL(IF((Expenses!E$3:E$999="GBP")*(Expenses!A$3:A$999=DATE(2026,1,27)),ROW(Expenses!A$3:A$999)-2),1)),""),IF(IFERROR(INDEX(Income!B$3:B$502,SMALL(IF((Income!D$3:D$502="GBP")*(Income!A$3:A$502=DATE(2026,1,27)),ROW(Income!A$3:A$502)-2),1)),"")&lt;&gt;"",IFERROR(INDEX(Income!B$3:B$502,SMALL(IF((Income!D$3:D$502="GBP")*(Income!A$3:A$502=DATE(2026,1,27)),ROW(Income!A$3:A$502)-2),1)),""),""))</f>
        <v/>
      </c>
      <c r="G24" s="152">
        <f t="array" ref="G24">IF(IFERROR(-INDEX(Expenses!D$3:D$999,SMALL(IF((Expenses!E$3:E$999="GBP")*(Expenses!A$3:A$999=DATE(2026,1,28)),ROW(Expenses!A$3:A$999)-2),1)),0)+IFERROR(INDEX(Income!C$3:C$502,SMALL(IF((Income!D$3:D$502="GBP")*(Income!A$3:A$502=DATE(2026,1,28)),ROW(Income!A$3:A$502)-2),1)),0)=0,"",IFERROR(-INDEX(Expenses!D$3:D$999,SMALL(IF((Expenses!E$3:E$999="GBP")*(Expenses!A$3:A$999=DATE(2026,1,28)),ROW(Expenses!A$3:A$999)-2),1)),0)+IFERROR(INDEX(Income!C$3:C$502,SMALL(IF((Income!D$3:D$502="GBP")*(Income!A$3:A$502=DATE(2026,1,28)),ROW(Income!A$3:A$502)-2),1)),0))</f>
        <v/>
      </c>
      <c r="H24" s="126">
        <f t="array" ref="H24">IF(IFERROR(INDEX(Expenses!B$3:B$999,SMALL(IF((Expenses!E$3:E$999="GBP")*(Expenses!A$3:A$999=DATE(2026,1,28)),ROW(Expenses!A$3:A$999)-2),1)),"")&lt;&gt;"",IFERROR(INDEX(Expenses!B$3:B$999,SMALL(IF((Expenses!E$3:E$999="GBP")*(Expenses!A$3:A$999=DATE(2026,1,28)),ROW(Expenses!A$3:A$999)-2),1)),""),IF(IFERROR(INDEX(Income!B$3:B$502,SMALL(IF((Income!D$3:D$502="GBP")*(Income!A$3:A$502=DATE(2026,1,28)),ROW(Income!A$3:A$502)-2),1)),"")&lt;&gt;"",IFERROR(INDEX(Income!B$3:B$502,SMALL(IF((Income!D$3:D$502="GBP")*(Income!A$3:A$502=DATE(2026,1,28)),ROW(Income!A$3:A$502)-2),1)),""),""))</f>
        <v/>
      </c>
      <c r="I24" s="152">
        <f t="array" ref="I24">IF(IFERROR(-INDEX(Expenses!D$3:D$999,SMALL(IF((Expenses!E$3:E$999="GBP")*(Expenses!A$3:A$999=DATE(2026,1,29)),ROW(Expenses!A$3:A$999)-2),1)),0)+IFERROR(INDEX(Income!C$3:C$502,SMALL(IF((Income!D$3:D$502="GBP")*(Income!A$3:A$502=DATE(2026,1,29)),ROW(Income!A$3:A$502)-2),1)),0)=0,"",IFERROR(-INDEX(Expenses!D$3:D$999,SMALL(IF((Expenses!E$3:E$999="GBP")*(Expenses!A$3:A$999=DATE(2026,1,29)),ROW(Expenses!A$3:A$999)-2),1)),0)+IFERROR(INDEX(Income!C$3:C$502,SMALL(IF((Income!D$3:D$502="GBP")*(Income!A$3:A$502=DATE(2026,1,29)),ROW(Income!A$3:A$502)-2),1)),0))</f>
        <v/>
      </c>
      <c r="J24" s="126">
        <f t="array" ref="J24">IF(IFERROR(INDEX(Expenses!B$3:B$999,SMALL(IF((Expenses!E$3:E$999="GBP")*(Expenses!A$3:A$999=DATE(2026,1,29)),ROW(Expenses!A$3:A$999)-2),1)),"")&lt;&gt;"",IFERROR(INDEX(Expenses!B$3:B$999,SMALL(IF((Expenses!E$3:E$999="GBP")*(Expenses!A$3:A$999=DATE(2026,1,29)),ROW(Expenses!A$3:A$999)-2),1)),""),IF(IFERROR(INDEX(Income!B$3:B$502,SMALL(IF((Income!D$3:D$502="GBP")*(Income!A$3:A$502=DATE(2026,1,29)),ROW(Income!A$3:A$502)-2),1)),"")&lt;&gt;"",IFERROR(INDEX(Income!B$3:B$502,SMALL(IF((Income!D$3:D$502="GBP")*(Income!A$3:A$502=DATE(2026,1,29)),ROW(Income!A$3:A$502)-2),1)),""),""))</f>
        <v/>
      </c>
      <c r="K24" s="152">
        <f t="array" ref="K24">IF(IFERROR(-INDEX(Expenses!D$3:D$999,SMALL(IF((Expenses!E$3:E$999="GBP")*(Expenses!A$3:A$999=DATE(2026,1,30)),ROW(Expenses!A$3:A$999)-2),1)),0)+IFERROR(INDEX(Income!C$3:C$502,SMALL(IF((Income!D$3:D$502="GBP")*(Income!A$3:A$502=DATE(2026,1,30)),ROW(Income!A$3:A$502)-2),1)),0)=0,"",IFERROR(-INDEX(Expenses!D$3:D$999,SMALL(IF((Expenses!E$3:E$999="GBP")*(Expenses!A$3:A$999=DATE(2026,1,30)),ROW(Expenses!A$3:A$999)-2),1)),0)+IFERROR(INDEX(Income!C$3:C$502,SMALL(IF((Income!D$3:D$502="GBP")*(Income!A$3:A$502=DATE(2026,1,30)),ROW(Income!A$3:A$502)-2),1)),0))</f>
        <v/>
      </c>
      <c r="L24" s="126">
        <f t="array" ref="L24">IF(IFERROR(INDEX(Expenses!B$3:B$999,SMALL(IF((Expenses!E$3:E$999="GBP")*(Expenses!A$3:A$999=DATE(2026,1,30)),ROW(Expenses!A$3:A$999)-2),1)),"")&lt;&gt;"",IFERROR(INDEX(Expenses!B$3:B$999,SMALL(IF((Expenses!E$3:E$999="GBP")*(Expenses!A$3:A$999=DATE(2026,1,30)),ROW(Expenses!A$3:A$999)-2),1)),""),IF(IFERROR(INDEX(Income!B$3:B$502,SMALL(IF((Income!D$3:D$502="GBP")*(Income!A$3:A$502=DATE(2026,1,30)),ROW(Income!A$3:A$502)-2),1)),"")&lt;&gt;"",IFERROR(INDEX(Income!B$3:B$502,SMALL(IF((Income!D$3:D$502="GBP")*(Income!A$3:A$502=DATE(2026,1,30)),ROW(Income!A$3:A$502)-2),1)),""),""))</f>
        <v/>
      </c>
      <c r="M24" s="152">
        <f t="array" ref="M24">IF(IFERROR(-INDEX(Expenses!D$3:D$999,SMALL(IF((Expenses!E$3:E$999="GBP")*(Expenses!A$3:A$999=DATE(2026,1,31)),ROW(Expenses!A$3:A$999)-2),1)),0)+IFERROR(INDEX(Income!C$3:C$502,SMALL(IF((Income!D$3:D$502="GBP")*(Income!A$3:A$502=DATE(2026,1,31)),ROW(Income!A$3:A$502)-2),1)),0)=0,"",IFERROR(-INDEX(Expenses!D$3:D$999,SMALL(IF((Expenses!E$3:E$999="GBP")*(Expenses!A$3:A$999=DATE(2026,1,31)),ROW(Expenses!A$3:A$999)-2),1)),0)+IFERROR(INDEX(Income!C$3:C$502,SMALL(IF((Income!D$3:D$502="GBP")*(Income!A$3:A$502=DATE(2026,1,31)),ROW(Income!A$3:A$502)-2),1)),0))</f>
        <v/>
      </c>
      <c r="N24" s="126">
        <f t="array" ref="N24">IF(IFERROR(INDEX(Expenses!B$3:B$999,SMALL(IF((Expenses!E$3:E$999="GBP")*(Expenses!A$3:A$999=DATE(2026,1,31)),ROW(Expenses!A$3:A$999)-2),1)),"")&lt;&gt;"",IFERROR(INDEX(Expenses!B$3:B$999,SMALL(IF((Expenses!E$3:E$999="GBP")*(Expenses!A$3:A$999=DATE(2026,1,31)),ROW(Expenses!A$3:A$999)-2),1)),""),IF(IFERROR(INDEX(Income!B$3:B$502,SMALL(IF((Income!D$3:D$502="GBP")*(Income!A$3:A$502=DATE(2026,1,31)),ROW(Income!A$3:A$502)-2),1)),"")&lt;&gt;"",IFERROR(INDEX(Income!B$3:B$502,SMALL(IF((Income!D$3:D$502="GBP")*(Income!A$3:A$502=DATE(2026,1,31)),ROW(Income!A$3:A$502)-2),1)),""),""))</f>
        <v/>
      </c>
      <c r="O24" s="152">
        <f t="array" ref="O24">IF(IFERROR(-INDEX(Expenses!D$3:D$999,SMALL(IF((Expenses!E$3:E$999="GBP")*(Expenses!A$3:A$999=DATE(2026,2,1)),ROW(Expenses!A$3:A$999)-2),1)),0)+IFERROR(INDEX(Income!C$3:C$502,SMALL(IF((Income!D$3:D$502="GBP")*(Income!A$3:A$502=DATE(2026,2,1)),ROW(Income!A$3:A$502)-2),1)),0)=0,"",IFERROR(-INDEX(Expenses!D$3:D$999,SMALL(IF((Expenses!E$3:E$999="GBP")*(Expenses!A$3:A$999=DATE(2026,2,1)),ROW(Expenses!A$3:A$999)-2),1)),0)+IFERROR(INDEX(Income!C$3:C$502,SMALL(IF((Income!D$3:D$502="GBP")*(Income!A$3:A$502=DATE(2026,2,1)),ROW(Income!A$3:A$502)-2),1)),0))</f>
        <v/>
      </c>
      <c r="P24" s="126">
        <f t="array" ref="P24">IF(IFERROR(INDEX(Expenses!B$3:B$999,SMALL(IF((Expenses!E$3:E$999="GBP")*(Expenses!A$3:A$999=DATE(2026,2,1)),ROW(Expenses!A$3:A$999)-2),1)),"")&lt;&gt;"",IFERROR(INDEX(Expenses!B$3:B$999,SMALL(IF((Expenses!E$3:E$999="GBP")*(Expenses!A$3:A$999=DATE(2026,2,1)),ROW(Expenses!A$3:A$999)-2),1)),""),IF(IFERROR(INDEX(Income!B$3:B$502,SMALL(IF((Income!D$3:D$502="GBP")*(Income!A$3:A$502=DATE(2026,2,1)),ROW(Income!A$3:A$502)-2),1)),"")&lt;&gt;"",IFERROR(INDEX(Income!B$3:B$502,SMALL(IF((Income!D$3:D$502="GBP")*(Income!A$3:A$502=DATE(2026,2,1)),ROW(Income!A$3:A$502)-2),1)),""),""))</f>
        <v/>
      </c>
      <c r="Q24" s="103" t="n">
        <v>5</v>
      </c>
      <c r="R24" s="134">
        <f>SUM(C24:C28)+SUM(E24:E28)+SUM(G24:G28)+SUM(I24:I28)+SUM(K24:K28)+SUM(M24:M28)+SUM(O24:O28)</f>
        <v/>
      </c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68">
      <c r="A25" s="9" t="n"/>
      <c r="B25" s="9" t="n"/>
      <c r="C25" s="152">
        <f t="array" ref="C25">IF(IFERROR(-INDEX(Expenses!D$3:D$999,SMALL(IF((Expenses!E$3:E$999="GBP")*(Expenses!A$3:A$999=DATE(2026,1,26)),ROW(Expenses!A$3:A$999)-2),2)),0)+IFERROR(INDEX(Income!C$3:C$502,SMALL(IF((Income!D$3:D$502="GBP")*(Income!A$3:A$502=DATE(2026,1,26)),ROW(Income!A$3:A$502)-2),2)),0)=0,"",IFERROR(-INDEX(Expenses!D$3:D$999,SMALL(IF((Expenses!E$3:E$999="GBP")*(Expenses!A$3:A$999=DATE(2026,1,26)),ROW(Expenses!A$3:A$999)-2),2)),0)+IFERROR(INDEX(Income!C$3:C$502,SMALL(IF((Income!D$3:D$502="GBP")*(Income!A$3:A$502=DATE(2026,1,26)),ROW(Income!A$3:A$502)-2),2)),0))</f>
        <v/>
      </c>
      <c r="D25" s="126">
        <f t="array" ref="D25">IF(IFERROR(INDEX(Expenses!B$3:B$999,SMALL(IF((Expenses!E$3:E$999="GBP")*(Expenses!A$3:A$999=DATE(2026,1,26)),ROW(Expenses!A$3:A$999)-2),2)),"")&lt;&gt;"",IFERROR(INDEX(Expenses!B$3:B$999,SMALL(IF((Expenses!E$3:E$999="GBP")*(Expenses!A$3:A$999=DATE(2026,1,26)),ROW(Expenses!A$3:A$999)-2),2)),""),IF(IFERROR(INDEX(Income!B$3:B$502,SMALL(IF((Income!D$3:D$502="GBP")*(Income!A$3:A$502=DATE(2026,1,26)),ROW(Income!A$3:A$502)-2),2)),"")&lt;&gt;"",IFERROR(INDEX(Income!B$3:B$502,SMALL(IF((Income!D$3:D$502="GBP")*(Income!A$3:A$502=DATE(2026,1,26)),ROW(Income!A$3:A$502)-2),2)),""),""))</f>
        <v/>
      </c>
      <c r="E25" s="152">
        <f t="array" ref="E25">IF(IFERROR(-INDEX(Expenses!D$3:D$999,SMALL(IF((Expenses!E$3:E$999="GBP")*(Expenses!A$3:A$999=DATE(2026,1,27)),ROW(Expenses!A$3:A$999)-2),2)),0)+IFERROR(INDEX(Income!C$3:C$502,SMALL(IF((Income!D$3:D$502="GBP")*(Income!A$3:A$502=DATE(2026,1,27)),ROW(Income!A$3:A$502)-2),2)),0)=0,"",IFERROR(-INDEX(Expenses!D$3:D$999,SMALL(IF((Expenses!E$3:E$999="GBP")*(Expenses!A$3:A$999=DATE(2026,1,27)),ROW(Expenses!A$3:A$999)-2),2)),0)+IFERROR(INDEX(Income!C$3:C$502,SMALL(IF((Income!D$3:D$502="GBP")*(Income!A$3:A$502=DATE(2026,1,27)),ROW(Income!A$3:A$502)-2),2)),0))</f>
        <v/>
      </c>
      <c r="F25" s="126">
        <f t="array" ref="F25">IF(IFERROR(INDEX(Expenses!B$3:B$999,SMALL(IF((Expenses!E$3:E$999="GBP")*(Expenses!A$3:A$999=DATE(2026,1,27)),ROW(Expenses!A$3:A$999)-2),2)),"")&lt;&gt;"",IFERROR(INDEX(Expenses!B$3:B$999,SMALL(IF((Expenses!E$3:E$999="GBP")*(Expenses!A$3:A$999=DATE(2026,1,27)),ROW(Expenses!A$3:A$999)-2),2)),""),IF(IFERROR(INDEX(Income!B$3:B$502,SMALL(IF((Income!D$3:D$502="GBP")*(Income!A$3:A$502=DATE(2026,1,27)),ROW(Income!A$3:A$502)-2),2)),"")&lt;&gt;"",IFERROR(INDEX(Income!B$3:B$502,SMALL(IF((Income!D$3:D$502="GBP")*(Income!A$3:A$502=DATE(2026,1,27)),ROW(Income!A$3:A$502)-2),2)),""),""))</f>
        <v/>
      </c>
      <c r="G25" s="152">
        <f t="array" ref="G25">IF(IFERROR(-INDEX(Expenses!D$3:D$999,SMALL(IF((Expenses!E$3:E$999="GBP")*(Expenses!A$3:A$999=DATE(2026,1,28)),ROW(Expenses!A$3:A$999)-2),2)),0)+IFERROR(INDEX(Income!C$3:C$502,SMALL(IF((Income!D$3:D$502="GBP")*(Income!A$3:A$502=DATE(2026,1,28)),ROW(Income!A$3:A$502)-2),2)),0)=0,"",IFERROR(-INDEX(Expenses!D$3:D$999,SMALL(IF((Expenses!E$3:E$999="GBP")*(Expenses!A$3:A$999=DATE(2026,1,28)),ROW(Expenses!A$3:A$999)-2),2)),0)+IFERROR(INDEX(Income!C$3:C$502,SMALL(IF((Income!D$3:D$502="GBP")*(Income!A$3:A$502=DATE(2026,1,28)),ROW(Income!A$3:A$502)-2),2)),0))</f>
        <v/>
      </c>
      <c r="H25" s="126">
        <f t="array" ref="H25">IF(IFERROR(INDEX(Expenses!B$3:B$999,SMALL(IF((Expenses!E$3:E$999="GBP")*(Expenses!A$3:A$999=DATE(2026,1,28)),ROW(Expenses!A$3:A$999)-2),2)),"")&lt;&gt;"",IFERROR(INDEX(Expenses!B$3:B$999,SMALL(IF((Expenses!E$3:E$999="GBP")*(Expenses!A$3:A$999=DATE(2026,1,28)),ROW(Expenses!A$3:A$999)-2),2)),""),IF(IFERROR(INDEX(Income!B$3:B$502,SMALL(IF((Income!D$3:D$502="GBP")*(Income!A$3:A$502=DATE(2026,1,28)),ROW(Income!A$3:A$502)-2),2)),"")&lt;&gt;"",IFERROR(INDEX(Income!B$3:B$502,SMALL(IF((Income!D$3:D$502="GBP")*(Income!A$3:A$502=DATE(2026,1,28)),ROW(Income!A$3:A$502)-2),2)),""),""))</f>
        <v/>
      </c>
      <c r="I25" s="152">
        <f t="array" ref="I25">IF(IFERROR(-INDEX(Expenses!D$3:D$999,SMALL(IF((Expenses!E$3:E$999="GBP")*(Expenses!A$3:A$999=DATE(2026,1,29)),ROW(Expenses!A$3:A$999)-2),2)),0)+IFERROR(INDEX(Income!C$3:C$502,SMALL(IF((Income!D$3:D$502="GBP")*(Income!A$3:A$502=DATE(2026,1,29)),ROW(Income!A$3:A$502)-2),2)),0)=0,"",IFERROR(-INDEX(Expenses!D$3:D$999,SMALL(IF((Expenses!E$3:E$999="GBP")*(Expenses!A$3:A$999=DATE(2026,1,29)),ROW(Expenses!A$3:A$999)-2),2)),0)+IFERROR(INDEX(Income!C$3:C$502,SMALL(IF((Income!D$3:D$502="GBP")*(Income!A$3:A$502=DATE(2026,1,29)),ROW(Income!A$3:A$502)-2),2)),0))</f>
        <v/>
      </c>
      <c r="J25" s="126">
        <f t="array" ref="J25">IF(IFERROR(INDEX(Expenses!B$3:B$999,SMALL(IF((Expenses!E$3:E$999="GBP")*(Expenses!A$3:A$999=DATE(2026,1,29)),ROW(Expenses!A$3:A$999)-2),2)),"")&lt;&gt;"",IFERROR(INDEX(Expenses!B$3:B$999,SMALL(IF((Expenses!E$3:E$999="GBP")*(Expenses!A$3:A$999=DATE(2026,1,29)),ROW(Expenses!A$3:A$999)-2),2)),""),IF(IFERROR(INDEX(Income!B$3:B$502,SMALL(IF((Income!D$3:D$502="GBP")*(Income!A$3:A$502=DATE(2026,1,29)),ROW(Income!A$3:A$502)-2),2)),"")&lt;&gt;"",IFERROR(INDEX(Income!B$3:B$502,SMALL(IF((Income!D$3:D$502="GBP")*(Income!A$3:A$502=DATE(2026,1,29)),ROW(Income!A$3:A$502)-2),2)),""),""))</f>
        <v/>
      </c>
      <c r="K25" s="152">
        <f t="array" ref="K25">IF(IFERROR(-INDEX(Expenses!D$3:D$999,SMALL(IF((Expenses!E$3:E$999="GBP")*(Expenses!A$3:A$999=DATE(2026,1,30)),ROW(Expenses!A$3:A$999)-2),2)),0)+IFERROR(INDEX(Income!C$3:C$502,SMALL(IF((Income!D$3:D$502="GBP")*(Income!A$3:A$502=DATE(2026,1,30)),ROW(Income!A$3:A$502)-2),2)),0)=0,"",IFERROR(-INDEX(Expenses!D$3:D$999,SMALL(IF((Expenses!E$3:E$999="GBP")*(Expenses!A$3:A$999=DATE(2026,1,30)),ROW(Expenses!A$3:A$999)-2),2)),0)+IFERROR(INDEX(Income!C$3:C$502,SMALL(IF((Income!D$3:D$502="GBP")*(Income!A$3:A$502=DATE(2026,1,30)),ROW(Income!A$3:A$502)-2),2)),0))</f>
        <v/>
      </c>
      <c r="L25" s="126">
        <f t="array" ref="L25">IF(IFERROR(INDEX(Expenses!B$3:B$999,SMALL(IF((Expenses!E$3:E$999="GBP")*(Expenses!A$3:A$999=DATE(2026,1,30)),ROW(Expenses!A$3:A$999)-2),2)),"")&lt;&gt;"",IFERROR(INDEX(Expenses!B$3:B$999,SMALL(IF((Expenses!E$3:E$999="GBP")*(Expenses!A$3:A$999=DATE(2026,1,30)),ROW(Expenses!A$3:A$999)-2),2)),""),IF(IFERROR(INDEX(Income!B$3:B$502,SMALL(IF((Income!D$3:D$502="GBP")*(Income!A$3:A$502=DATE(2026,1,30)),ROW(Income!A$3:A$502)-2),2)),"")&lt;&gt;"",IFERROR(INDEX(Income!B$3:B$502,SMALL(IF((Income!D$3:D$502="GBP")*(Income!A$3:A$502=DATE(2026,1,30)),ROW(Income!A$3:A$502)-2),2)),""),""))</f>
        <v/>
      </c>
      <c r="M25" s="152">
        <f t="array" ref="M25">IF(IFERROR(-INDEX(Expenses!D$3:D$999,SMALL(IF((Expenses!E$3:E$999="GBP")*(Expenses!A$3:A$999=DATE(2026,1,31)),ROW(Expenses!A$3:A$999)-2),2)),0)+IFERROR(INDEX(Income!C$3:C$502,SMALL(IF((Income!D$3:D$502="GBP")*(Income!A$3:A$502=DATE(2026,1,31)),ROW(Income!A$3:A$502)-2),2)),0)=0,"",IFERROR(-INDEX(Expenses!D$3:D$999,SMALL(IF((Expenses!E$3:E$999="GBP")*(Expenses!A$3:A$999=DATE(2026,1,31)),ROW(Expenses!A$3:A$999)-2),2)),0)+IFERROR(INDEX(Income!C$3:C$502,SMALL(IF((Income!D$3:D$502="GBP")*(Income!A$3:A$502=DATE(2026,1,31)),ROW(Income!A$3:A$502)-2),2)),0))</f>
        <v/>
      </c>
      <c r="N25" s="126">
        <f t="array" ref="N25">IF(IFERROR(INDEX(Expenses!B$3:B$999,SMALL(IF((Expenses!E$3:E$999="GBP")*(Expenses!A$3:A$999=DATE(2026,1,31)),ROW(Expenses!A$3:A$999)-2),2)),"")&lt;&gt;"",IFERROR(INDEX(Expenses!B$3:B$999,SMALL(IF((Expenses!E$3:E$999="GBP")*(Expenses!A$3:A$999=DATE(2026,1,31)),ROW(Expenses!A$3:A$999)-2),2)),""),IF(IFERROR(INDEX(Income!B$3:B$502,SMALL(IF((Income!D$3:D$502="GBP")*(Income!A$3:A$502=DATE(2026,1,31)),ROW(Income!A$3:A$502)-2),2)),"")&lt;&gt;"",IFERROR(INDEX(Income!B$3:B$502,SMALL(IF((Income!D$3:D$502="GBP")*(Income!A$3:A$502=DATE(2026,1,31)),ROW(Income!A$3:A$502)-2),2)),""),""))</f>
        <v/>
      </c>
      <c r="O25" s="152">
        <f t="array" ref="O25">IF(IFERROR(-INDEX(Expenses!D$3:D$999,SMALL(IF((Expenses!E$3:E$999="GBP")*(Expenses!A$3:A$999=DATE(2026,2,1)),ROW(Expenses!A$3:A$999)-2),2)),0)+IFERROR(INDEX(Income!C$3:C$502,SMALL(IF((Income!D$3:D$502="GBP")*(Income!A$3:A$502=DATE(2026,2,1)),ROW(Income!A$3:A$502)-2),2)),0)=0,"",IFERROR(-INDEX(Expenses!D$3:D$999,SMALL(IF((Expenses!E$3:E$999="GBP")*(Expenses!A$3:A$999=DATE(2026,2,1)),ROW(Expenses!A$3:A$999)-2),2)),0)+IFERROR(INDEX(Income!C$3:C$502,SMALL(IF((Income!D$3:D$502="GBP")*(Income!A$3:A$502=DATE(2026,2,1)),ROW(Income!A$3:A$502)-2),2)),0))</f>
        <v/>
      </c>
      <c r="P25" s="126">
        <f t="array" ref="P25">IF(IFERROR(INDEX(Expenses!B$3:B$999,SMALL(IF((Expenses!E$3:E$999="GBP")*(Expenses!A$3:A$999=DATE(2026,2,1)),ROW(Expenses!A$3:A$999)-2),2)),"")&lt;&gt;"",IFERROR(INDEX(Expenses!B$3:B$999,SMALL(IF((Expenses!E$3:E$999="GBP")*(Expenses!A$3:A$999=DATE(2026,2,1)),ROW(Expenses!A$3:A$999)-2),2)),""),IF(IFERROR(INDEX(Income!B$3:B$502,SMALL(IF((Income!D$3:D$502="GBP")*(Income!A$3:A$502=DATE(2026,2,1)),ROW(Income!A$3:A$502)-2),2)),"")&lt;&gt;"",IFERROR(INDEX(Income!B$3:B$502,SMALL(IF((Income!D$3:D$502="GBP")*(Income!A$3:A$502=DATE(2026,2,1)),ROW(Income!A$3:A$502)-2),2)),""),""))</f>
        <v/>
      </c>
      <c r="Q25" s="9" t="n"/>
      <c r="R25" s="9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68">
      <c r="A26" s="9" t="n"/>
      <c r="B26" s="9" t="n"/>
      <c r="C26" s="152">
        <f t="array" ref="C26">IF(IFERROR(-INDEX(Expenses!D$3:D$999,SMALL(IF((Expenses!E$3:E$999="GBP")*(Expenses!A$3:A$999=DATE(2026,1,26)),ROW(Expenses!A$3:A$999)-2),3)),0)+IFERROR(INDEX(Income!C$3:C$502,SMALL(IF((Income!D$3:D$502="GBP")*(Income!A$3:A$502=DATE(2026,1,26)),ROW(Income!A$3:A$502)-2),3)),0)=0,"",IFERROR(-INDEX(Expenses!D$3:D$999,SMALL(IF((Expenses!E$3:E$999="GBP")*(Expenses!A$3:A$999=DATE(2026,1,26)),ROW(Expenses!A$3:A$999)-2),3)),0)+IFERROR(INDEX(Income!C$3:C$502,SMALL(IF((Income!D$3:D$502="GBP")*(Income!A$3:A$502=DATE(2026,1,26)),ROW(Income!A$3:A$502)-2),3)),0))</f>
        <v/>
      </c>
      <c r="D26" s="126">
        <f t="array" ref="D26">IF(IFERROR(INDEX(Expenses!B$3:B$999,SMALL(IF((Expenses!E$3:E$999="GBP")*(Expenses!A$3:A$999=DATE(2026,1,26)),ROW(Expenses!A$3:A$999)-2),3)),"")&lt;&gt;"",IFERROR(INDEX(Expenses!B$3:B$999,SMALL(IF((Expenses!E$3:E$999="GBP")*(Expenses!A$3:A$999=DATE(2026,1,26)),ROW(Expenses!A$3:A$999)-2),3)),""),IF(IFERROR(INDEX(Income!B$3:B$502,SMALL(IF((Income!D$3:D$502="GBP")*(Income!A$3:A$502=DATE(2026,1,26)),ROW(Income!A$3:A$502)-2),3)),"")&lt;&gt;"",IFERROR(INDEX(Income!B$3:B$502,SMALL(IF((Income!D$3:D$502="GBP")*(Income!A$3:A$502=DATE(2026,1,26)),ROW(Income!A$3:A$502)-2),3)),""),""))</f>
        <v/>
      </c>
      <c r="E26" s="152">
        <f t="array" ref="E26">IF(IFERROR(-INDEX(Expenses!D$3:D$999,SMALL(IF((Expenses!E$3:E$999="GBP")*(Expenses!A$3:A$999=DATE(2026,1,27)),ROW(Expenses!A$3:A$999)-2),3)),0)+IFERROR(INDEX(Income!C$3:C$502,SMALL(IF((Income!D$3:D$502="GBP")*(Income!A$3:A$502=DATE(2026,1,27)),ROW(Income!A$3:A$502)-2),3)),0)=0,"",IFERROR(-INDEX(Expenses!D$3:D$999,SMALL(IF((Expenses!E$3:E$999="GBP")*(Expenses!A$3:A$999=DATE(2026,1,27)),ROW(Expenses!A$3:A$999)-2),3)),0)+IFERROR(INDEX(Income!C$3:C$502,SMALL(IF((Income!D$3:D$502="GBP")*(Income!A$3:A$502=DATE(2026,1,27)),ROW(Income!A$3:A$502)-2),3)),0))</f>
        <v/>
      </c>
      <c r="F26" s="126">
        <f t="array" ref="F26">IF(IFERROR(INDEX(Expenses!B$3:B$999,SMALL(IF((Expenses!E$3:E$999="GBP")*(Expenses!A$3:A$999=DATE(2026,1,27)),ROW(Expenses!A$3:A$999)-2),3)),"")&lt;&gt;"",IFERROR(INDEX(Expenses!B$3:B$999,SMALL(IF((Expenses!E$3:E$999="GBP")*(Expenses!A$3:A$999=DATE(2026,1,27)),ROW(Expenses!A$3:A$999)-2),3)),""),IF(IFERROR(INDEX(Income!B$3:B$502,SMALL(IF((Income!D$3:D$502="GBP")*(Income!A$3:A$502=DATE(2026,1,27)),ROW(Income!A$3:A$502)-2),3)),"")&lt;&gt;"",IFERROR(INDEX(Income!B$3:B$502,SMALL(IF((Income!D$3:D$502="GBP")*(Income!A$3:A$502=DATE(2026,1,27)),ROW(Income!A$3:A$502)-2),3)),""),""))</f>
        <v/>
      </c>
      <c r="G26" s="152">
        <f t="array" ref="G26">IF(IFERROR(-INDEX(Expenses!D$3:D$999,SMALL(IF((Expenses!E$3:E$999="GBP")*(Expenses!A$3:A$999=DATE(2026,1,28)),ROW(Expenses!A$3:A$999)-2),3)),0)+IFERROR(INDEX(Income!C$3:C$502,SMALL(IF((Income!D$3:D$502="GBP")*(Income!A$3:A$502=DATE(2026,1,28)),ROW(Income!A$3:A$502)-2),3)),0)=0,"",IFERROR(-INDEX(Expenses!D$3:D$999,SMALL(IF((Expenses!E$3:E$999="GBP")*(Expenses!A$3:A$999=DATE(2026,1,28)),ROW(Expenses!A$3:A$999)-2),3)),0)+IFERROR(INDEX(Income!C$3:C$502,SMALL(IF((Income!D$3:D$502="GBP")*(Income!A$3:A$502=DATE(2026,1,28)),ROW(Income!A$3:A$502)-2),3)),0))</f>
        <v/>
      </c>
      <c r="H26" s="126">
        <f t="array" ref="H26">IF(IFERROR(INDEX(Expenses!B$3:B$999,SMALL(IF((Expenses!E$3:E$999="GBP")*(Expenses!A$3:A$999=DATE(2026,1,28)),ROW(Expenses!A$3:A$999)-2),3)),"")&lt;&gt;"",IFERROR(INDEX(Expenses!B$3:B$999,SMALL(IF((Expenses!E$3:E$999="GBP")*(Expenses!A$3:A$999=DATE(2026,1,28)),ROW(Expenses!A$3:A$999)-2),3)),""),IF(IFERROR(INDEX(Income!B$3:B$502,SMALL(IF((Income!D$3:D$502="GBP")*(Income!A$3:A$502=DATE(2026,1,28)),ROW(Income!A$3:A$502)-2),3)),"")&lt;&gt;"",IFERROR(INDEX(Income!B$3:B$502,SMALL(IF((Income!D$3:D$502="GBP")*(Income!A$3:A$502=DATE(2026,1,28)),ROW(Income!A$3:A$502)-2),3)),""),""))</f>
        <v/>
      </c>
      <c r="I26" s="152">
        <f t="array" ref="I26">IF(IFERROR(-INDEX(Expenses!D$3:D$999,SMALL(IF((Expenses!E$3:E$999="GBP")*(Expenses!A$3:A$999=DATE(2026,1,29)),ROW(Expenses!A$3:A$999)-2),3)),0)+IFERROR(INDEX(Income!C$3:C$502,SMALL(IF((Income!D$3:D$502="GBP")*(Income!A$3:A$502=DATE(2026,1,29)),ROW(Income!A$3:A$502)-2),3)),0)=0,"",IFERROR(-INDEX(Expenses!D$3:D$999,SMALL(IF((Expenses!E$3:E$999="GBP")*(Expenses!A$3:A$999=DATE(2026,1,29)),ROW(Expenses!A$3:A$999)-2),3)),0)+IFERROR(INDEX(Income!C$3:C$502,SMALL(IF((Income!D$3:D$502="GBP")*(Income!A$3:A$502=DATE(2026,1,29)),ROW(Income!A$3:A$502)-2),3)),0))</f>
        <v/>
      </c>
      <c r="J26" s="126">
        <f t="array" ref="J26">IF(IFERROR(INDEX(Expenses!B$3:B$999,SMALL(IF((Expenses!E$3:E$999="GBP")*(Expenses!A$3:A$999=DATE(2026,1,29)),ROW(Expenses!A$3:A$999)-2),3)),"")&lt;&gt;"",IFERROR(INDEX(Expenses!B$3:B$999,SMALL(IF((Expenses!E$3:E$999="GBP")*(Expenses!A$3:A$999=DATE(2026,1,29)),ROW(Expenses!A$3:A$999)-2),3)),""),IF(IFERROR(INDEX(Income!B$3:B$502,SMALL(IF((Income!D$3:D$502="GBP")*(Income!A$3:A$502=DATE(2026,1,29)),ROW(Income!A$3:A$502)-2),3)),"")&lt;&gt;"",IFERROR(INDEX(Income!B$3:B$502,SMALL(IF((Income!D$3:D$502="GBP")*(Income!A$3:A$502=DATE(2026,1,29)),ROW(Income!A$3:A$502)-2),3)),""),""))</f>
        <v/>
      </c>
      <c r="K26" s="152">
        <f t="array" ref="K26">IF(IFERROR(-INDEX(Expenses!D$3:D$999,SMALL(IF((Expenses!E$3:E$999="GBP")*(Expenses!A$3:A$999=DATE(2026,1,30)),ROW(Expenses!A$3:A$999)-2),3)),0)+IFERROR(INDEX(Income!C$3:C$502,SMALL(IF((Income!D$3:D$502="GBP")*(Income!A$3:A$502=DATE(2026,1,30)),ROW(Income!A$3:A$502)-2),3)),0)=0,"",IFERROR(-INDEX(Expenses!D$3:D$999,SMALL(IF((Expenses!E$3:E$999="GBP")*(Expenses!A$3:A$999=DATE(2026,1,30)),ROW(Expenses!A$3:A$999)-2),3)),0)+IFERROR(INDEX(Income!C$3:C$502,SMALL(IF((Income!D$3:D$502="GBP")*(Income!A$3:A$502=DATE(2026,1,30)),ROW(Income!A$3:A$502)-2),3)),0))</f>
        <v/>
      </c>
      <c r="L26" s="126">
        <f t="array" ref="L26">IF(IFERROR(INDEX(Expenses!B$3:B$999,SMALL(IF((Expenses!E$3:E$999="GBP")*(Expenses!A$3:A$999=DATE(2026,1,30)),ROW(Expenses!A$3:A$999)-2),3)),"")&lt;&gt;"",IFERROR(INDEX(Expenses!B$3:B$999,SMALL(IF((Expenses!E$3:E$999="GBP")*(Expenses!A$3:A$999=DATE(2026,1,30)),ROW(Expenses!A$3:A$999)-2),3)),""),IF(IFERROR(INDEX(Income!B$3:B$502,SMALL(IF((Income!D$3:D$502="GBP")*(Income!A$3:A$502=DATE(2026,1,30)),ROW(Income!A$3:A$502)-2),3)),"")&lt;&gt;"",IFERROR(INDEX(Income!B$3:B$502,SMALL(IF((Income!D$3:D$502="GBP")*(Income!A$3:A$502=DATE(2026,1,30)),ROW(Income!A$3:A$502)-2),3)),""),""))</f>
        <v/>
      </c>
      <c r="M26" s="152">
        <f t="array" ref="M26">IF(IFERROR(-INDEX(Expenses!D$3:D$999,SMALL(IF((Expenses!E$3:E$999="GBP")*(Expenses!A$3:A$999=DATE(2026,1,31)),ROW(Expenses!A$3:A$999)-2),3)),0)+IFERROR(INDEX(Income!C$3:C$502,SMALL(IF((Income!D$3:D$502="GBP")*(Income!A$3:A$502=DATE(2026,1,31)),ROW(Income!A$3:A$502)-2),3)),0)=0,"",IFERROR(-INDEX(Expenses!D$3:D$999,SMALL(IF((Expenses!E$3:E$999="GBP")*(Expenses!A$3:A$999=DATE(2026,1,31)),ROW(Expenses!A$3:A$999)-2),3)),0)+IFERROR(INDEX(Income!C$3:C$502,SMALL(IF((Income!D$3:D$502="GBP")*(Income!A$3:A$502=DATE(2026,1,31)),ROW(Income!A$3:A$502)-2),3)),0))</f>
        <v/>
      </c>
      <c r="N26" s="126">
        <f t="array" ref="N26">IF(IFERROR(INDEX(Expenses!B$3:B$999,SMALL(IF((Expenses!E$3:E$999="GBP")*(Expenses!A$3:A$999=DATE(2026,1,31)),ROW(Expenses!A$3:A$999)-2),3)),"")&lt;&gt;"",IFERROR(INDEX(Expenses!B$3:B$999,SMALL(IF((Expenses!E$3:E$999="GBP")*(Expenses!A$3:A$999=DATE(2026,1,31)),ROW(Expenses!A$3:A$999)-2),3)),""),IF(IFERROR(INDEX(Income!B$3:B$502,SMALL(IF((Income!D$3:D$502="GBP")*(Income!A$3:A$502=DATE(2026,1,31)),ROW(Income!A$3:A$502)-2),3)),"")&lt;&gt;"",IFERROR(INDEX(Income!B$3:B$502,SMALL(IF((Income!D$3:D$502="GBP")*(Income!A$3:A$502=DATE(2026,1,31)),ROW(Income!A$3:A$502)-2),3)),""),""))</f>
        <v/>
      </c>
      <c r="O26" s="152">
        <f t="array" ref="O26">IF(IFERROR(-INDEX(Expenses!D$3:D$999,SMALL(IF((Expenses!E$3:E$999="GBP")*(Expenses!A$3:A$999=DATE(2026,2,1)),ROW(Expenses!A$3:A$999)-2),3)),0)+IFERROR(INDEX(Income!C$3:C$502,SMALL(IF((Income!D$3:D$502="GBP")*(Income!A$3:A$502=DATE(2026,2,1)),ROW(Income!A$3:A$502)-2),3)),0)=0,"",IFERROR(-INDEX(Expenses!D$3:D$999,SMALL(IF((Expenses!E$3:E$999="GBP")*(Expenses!A$3:A$999=DATE(2026,2,1)),ROW(Expenses!A$3:A$999)-2),3)),0)+IFERROR(INDEX(Income!C$3:C$502,SMALL(IF((Income!D$3:D$502="GBP")*(Income!A$3:A$502=DATE(2026,2,1)),ROW(Income!A$3:A$502)-2),3)),0))</f>
        <v/>
      </c>
      <c r="P26" s="126">
        <f t="array" ref="P26">IF(IFERROR(INDEX(Expenses!B$3:B$999,SMALL(IF((Expenses!E$3:E$999="GBP")*(Expenses!A$3:A$999=DATE(2026,2,1)),ROW(Expenses!A$3:A$999)-2),3)),"")&lt;&gt;"",IFERROR(INDEX(Expenses!B$3:B$999,SMALL(IF((Expenses!E$3:E$999="GBP")*(Expenses!A$3:A$999=DATE(2026,2,1)),ROW(Expenses!A$3:A$999)-2),3)),""),IF(IFERROR(INDEX(Income!B$3:B$502,SMALL(IF((Income!D$3:D$502="GBP")*(Income!A$3:A$502=DATE(2026,2,1)),ROW(Income!A$3:A$502)-2),3)),"")&lt;&gt;"",IFERROR(INDEX(Income!B$3:B$502,SMALL(IF((Income!D$3:D$502="GBP")*(Income!A$3:A$502=DATE(2026,2,1)),ROW(Income!A$3:A$502)-2),3)),""),""))</f>
        <v/>
      </c>
      <c r="Q26" s="9" t="n"/>
      <c r="R26" s="9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68">
      <c r="A27" s="9" t="n"/>
      <c r="B27" s="9" t="n"/>
      <c r="C27" s="152">
        <f t="array" ref="C27">IF(IFERROR(-INDEX(Expenses!D$3:D$999,SMALL(IF((Expenses!E$3:E$999="GBP")*(Expenses!A$3:A$999=DATE(2026,1,26)),ROW(Expenses!A$3:A$999)-2),4)),0)+IFERROR(INDEX(Income!C$3:C$502,SMALL(IF((Income!D$3:D$502="GBP")*(Income!A$3:A$502=DATE(2026,1,26)),ROW(Income!A$3:A$502)-2),4)),0)=0,"",IFERROR(-INDEX(Expenses!D$3:D$999,SMALL(IF((Expenses!E$3:E$999="GBP")*(Expenses!A$3:A$999=DATE(2026,1,26)),ROW(Expenses!A$3:A$999)-2),4)),0)+IFERROR(INDEX(Income!C$3:C$502,SMALL(IF((Income!D$3:D$502="GBP")*(Income!A$3:A$502=DATE(2026,1,26)),ROW(Income!A$3:A$502)-2),4)),0))</f>
        <v/>
      </c>
      <c r="D27" s="126">
        <f t="array" ref="D27">IF(IFERROR(INDEX(Expenses!B$3:B$999,SMALL(IF((Expenses!E$3:E$999="GBP")*(Expenses!A$3:A$999=DATE(2026,1,26)),ROW(Expenses!A$3:A$999)-2),4)),"")&lt;&gt;"",IFERROR(INDEX(Expenses!B$3:B$999,SMALL(IF((Expenses!E$3:E$999="GBP")*(Expenses!A$3:A$999=DATE(2026,1,26)),ROW(Expenses!A$3:A$999)-2),4)),""),IF(IFERROR(INDEX(Income!B$3:B$502,SMALL(IF((Income!D$3:D$502="GBP")*(Income!A$3:A$502=DATE(2026,1,26)),ROW(Income!A$3:A$502)-2),4)),"")&lt;&gt;"",IFERROR(INDEX(Income!B$3:B$502,SMALL(IF((Income!D$3:D$502="GBP")*(Income!A$3:A$502=DATE(2026,1,26)),ROW(Income!A$3:A$502)-2),4)),""),""))</f>
        <v/>
      </c>
      <c r="E27" s="152">
        <f t="array" ref="E27">IF(IFERROR(-INDEX(Expenses!D$3:D$999,SMALL(IF((Expenses!E$3:E$999="GBP")*(Expenses!A$3:A$999=DATE(2026,1,27)),ROW(Expenses!A$3:A$999)-2),4)),0)+IFERROR(INDEX(Income!C$3:C$502,SMALL(IF((Income!D$3:D$502="GBP")*(Income!A$3:A$502=DATE(2026,1,27)),ROW(Income!A$3:A$502)-2),4)),0)=0,"",IFERROR(-INDEX(Expenses!D$3:D$999,SMALL(IF((Expenses!E$3:E$999="GBP")*(Expenses!A$3:A$999=DATE(2026,1,27)),ROW(Expenses!A$3:A$999)-2),4)),0)+IFERROR(INDEX(Income!C$3:C$502,SMALL(IF((Income!D$3:D$502="GBP")*(Income!A$3:A$502=DATE(2026,1,27)),ROW(Income!A$3:A$502)-2),4)),0))</f>
        <v/>
      </c>
      <c r="F27" s="126">
        <f t="array" ref="F27">IF(IFERROR(INDEX(Expenses!B$3:B$999,SMALL(IF((Expenses!E$3:E$999="GBP")*(Expenses!A$3:A$999=DATE(2026,1,27)),ROW(Expenses!A$3:A$999)-2),4)),"")&lt;&gt;"",IFERROR(INDEX(Expenses!B$3:B$999,SMALL(IF((Expenses!E$3:E$999="GBP")*(Expenses!A$3:A$999=DATE(2026,1,27)),ROW(Expenses!A$3:A$999)-2),4)),""),IF(IFERROR(INDEX(Income!B$3:B$502,SMALL(IF((Income!D$3:D$502="GBP")*(Income!A$3:A$502=DATE(2026,1,27)),ROW(Income!A$3:A$502)-2),4)),"")&lt;&gt;"",IFERROR(INDEX(Income!B$3:B$502,SMALL(IF((Income!D$3:D$502="GBP")*(Income!A$3:A$502=DATE(2026,1,27)),ROW(Income!A$3:A$502)-2),4)),""),""))</f>
        <v/>
      </c>
      <c r="G27" s="152">
        <f t="array" ref="G27">IF(IFERROR(-INDEX(Expenses!D$3:D$999,SMALL(IF((Expenses!E$3:E$999="GBP")*(Expenses!A$3:A$999=DATE(2026,1,28)),ROW(Expenses!A$3:A$999)-2),4)),0)+IFERROR(INDEX(Income!C$3:C$502,SMALL(IF((Income!D$3:D$502="GBP")*(Income!A$3:A$502=DATE(2026,1,28)),ROW(Income!A$3:A$502)-2),4)),0)=0,"",IFERROR(-INDEX(Expenses!D$3:D$999,SMALL(IF((Expenses!E$3:E$999="GBP")*(Expenses!A$3:A$999=DATE(2026,1,28)),ROW(Expenses!A$3:A$999)-2),4)),0)+IFERROR(INDEX(Income!C$3:C$502,SMALL(IF((Income!D$3:D$502="GBP")*(Income!A$3:A$502=DATE(2026,1,28)),ROW(Income!A$3:A$502)-2),4)),0))</f>
        <v/>
      </c>
      <c r="H27" s="126">
        <f t="array" ref="H27">IF(IFERROR(INDEX(Expenses!B$3:B$999,SMALL(IF((Expenses!E$3:E$999="GBP")*(Expenses!A$3:A$999=DATE(2026,1,28)),ROW(Expenses!A$3:A$999)-2),4)),"")&lt;&gt;"",IFERROR(INDEX(Expenses!B$3:B$999,SMALL(IF((Expenses!E$3:E$999="GBP")*(Expenses!A$3:A$999=DATE(2026,1,28)),ROW(Expenses!A$3:A$999)-2),4)),""),IF(IFERROR(INDEX(Income!B$3:B$502,SMALL(IF((Income!D$3:D$502="GBP")*(Income!A$3:A$502=DATE(2026,1,28)),ROW(Income!A$3:A$502)-2),4)),"")&lt;&gt;"",IFERROR(INDEX(Income!B$3:B$502,SMALL(IF((Income!D$3:D$502="GBP")*(Income!A$3:A$502=DATE(2026,1,28)),ROW(Income!A$3:A$502)-2),4)),""),""))</f>
        <v/>
      </c>
      <c r="I27" s="152">
        <f t="array" ref="I27">IF(IFERROR(-INDEX(Expenses!D$3:D$999,SMALL(IF((Expenses!E$3:E$999="GBP")*(Expenses!A$3:A$999=DATE(2026,1,29)),ROW(Expenses!A$3:A$999)-2),4)),0)+IFERROR(INDEX(Income!C$3:C$502,SMALL(IF((Income!D$3:D$502="GBP")*(Income!A$3:A$502=DATE(2026,1,29)),ROW(Income!A$3:A$502)-2),4)),0)=0,"",IFERROR(-INDEX(Expenses!D$3:D$999,SMALL(IF((Expenses!E$3:E$999="GBP")*(Expenses!A$3:A$999=DATE(2026,1,29)),ROW(Expenses!A$3:A$999)-2),4)),0)+IFERROR(INDEX(Income!C$3:C$502,SMALL(IF((Income!D$3:D$502="GBP")*(Income!A$3:A$502=DATE(2026,1,29)),ROW(Income!A$3:A$502)-2),4)),0))</f>
        <v/>
      </c>
      <c r="J27" s="126">
        <f t="array" ref="J27">IF(IFERROR(INDEX(Expenses!B$3:B$999,SMALL(IF((Expenses!E$3:E$999="GBP")*(Expenses!A$3:A$999=DATE(2026,1,29)),ROW(Expenses!A$3:A$999)-2),4)),"")&lt;&gt;"",IFERROR(INDEX(Expenses!B$3:B$999,SMALL(IF((Expenses!E$3:E$999="GBP")*(Expenses!A$3:A$999=DATE(2026,1,29)),ROW(Expenses!A$3:A$999)-2),4)),""),IF(IFERROR(INDEX(Income!B$3:B$502,SMALL(IF((Income!D$3:D$502="GBP")*(Income!A$3:A$502=DATE(2026,1,29)),ROW(Income!A$3:A$502)-2),4)),"")&lt;&gt;"",IFERROR(INDEX(Income!B$3:B$502,SMALL(IF((Income!D$3:D$502="GBP")*(Income!A$3:A$502=DATE(2026,1,29)),ROW(Income!A$3:A$502)-2),4)),""),""))</f>
        <v/>
      </c>
      <c r="K27" s="152">
        <f t="array" ref="K27">IF(IFERROR(-INDEX(Expenses!D$3:D$999,SMALL(IF((Expenses!E$3:E$999="GBP")*(Expenses!A$3:A$999=DATE(2026,1,30)),ROW(Expenses!A$3:A$999)-2),4)),0)+IFERROR(INDEX(Income!C$3:C$502,SMALL(IF((Income!D$3:D$502="GBP")*(Income!A$3:A$502=DATE(2026,1,30)),ROW(Income!A$3:A$502)-2),4)),0)=0,"",IFERROR(-INDEX(Expenses!D$3:D$999,SMALL(IF((Expenses!E$3:E$999="GBP")*(Expenses!A$3:A$999=DATE(2026,1,30)),ROW(Expenses!A$3:A$999)-2),4)),0)+IFERROR(INDEX(Income!C$3:C$502,SMALL(IF((Income!D$3:D$502="GBP")*(Income!A$3:A$502=DATE(2026,1,30)),ROW(Income!A$3:A$502)-2),4)),0))</f>
        <v/>
      </c>
      <c r="L27" s="126">
        <f t="array" ref="L27">IF(IFERROR(INDEX(Expenses!B$3:B$999,SMALL(IF((Expenses!E$3:E$999="GBP")*(Expenses!A$3:A$999=DATE(2026,1,30)),ROW(Expenses!A$3:A$999)-2),4)),"")&lt;&gt;"",IFERROR(INDEX(Expenses!B$3:B$999,SMALL(IF((Expenses!E$3:E$999="GBP")*(Expenses!A$3:A$999=DATE(2026,1,30)),ROW(Expenses!A$3:A$999)-2),4)),""),IF(IFERROR(INDEX(Income!B$3:B$502,SMALL(IF((Income!D$3:D$502="GBP")*(Income!A$3:A$502=DATE(2026,1,30)),ROW(Income!A$3:A$502)-2),4)),"")&lt;&gt;"",IFERROR(INDEX(Income!B$3:B$502,SMALL(IF((Income!D$3:D$502="GBP")*(Income!A$3:A$502=DATE(2026,1,30)),ROW(Income!A$3:A$502)-2),4)),""),""))</f>
        <v/>
      </c>
      <c r="M27" s="152">
        <f t="array" ref="M27">IF(IFERROR(-INDEX(Expenses!D$3:D$999,SMALL(IF((Expenses!E$3:E$999="GBP")*(Expenses!A$3:A$999=DATE(2026,1,31)),ROW(Expenses!A$3:A$999)-2),4)),0)+IFERROR(INDEX(Income!C$3:C$502,SMALL(IF((Income!D$3:D$502="GBP")*(Income!A$3:A$502=DATE(2026,1,31)),ROW(Income!A$3:A$502)-2),4)),0)=0,"",IFERROR(-INDEX(Expenses!D$3:D$999,SMALL(IF((Expenses!E$3:E$999="GBP")*(Expenses!A$3:A$999=DATE(2026,1,31)),ROW(Expenses!A$3:A$999)-2),4)),0)+IFERROR(INDEX(Income!C$3:C$502,SMALL(IF((Income!D$3:D$502="GBP")*(Income!A$3:A$502=DATE(2026,1,31)),ROW(Income!A$3:A$502)-2),4)),0))</f>
        <v/>
      </c>
      <c r="N27" s="126">
        <f t="array" ref="N27">IF(IFERROR(INDEX(Expenses!B$3:B$999,SMALL(IF((Expenses!E$3:E$999="GBP")*(Expenses!A$3:A$999=DATE(2026,1,31)),ROW(Expenses!A$3:A$999)-2),4)),"")&lt;&gt;"",IFERROR(INDEX(Expenses!B$3:B$999,SMALL(IF((Expenses!E$3:E$999="GBP")*(Expenses!A$3:A$999=DATE(2026,1,31)),ROW(Expenses!A$3:A$999)-2),4)),""),IF(IFERROR(INDEX(Income!B$3:B$502,SMALL(IF((Income!D$3:D$502="GBP")*(Income!A$3:A$502=DATE(2026,1,31)),ROW(Income!A$3:A$502)-2),4)),"")&lt;&gt;"",IFERROR(INDEX(Income!B$3:B$502,SMALL(IF((Income!D$3:D$502="GBP")*(Income!A$3:A$502=DATE(2026,1,31)),ROW(Income!A$3:A$502)-2),4)),""),""))</f>
        <v/>
      </c>
      <c r="O27" s="152">
        <f t="array" ref="O27">IF(IFERROR(-INDEX(Expenses!D$3:D$999,SMALL(IF((Expenses!E$3:E$999="GBP")*(Expenses!A$3:A$999=DATE(2026,2,1)),ROW(Expenses!A$3:A$999)-2),4)),0)+IFERROR(INDEX(Income!C$3:C$502,SMALL(IF((Income!D$3:D$502="GBP")*(Income!A$3:A$502=DATE(2026,2,1)),ROW(Income!A$3:A$502)-2),4)),0)=0,"",IFERROR(-INDEX(Expenses!D$3:D$999,SMALL(IF((Expenses!E$3:E$999="GBP")*(Expenses!A$3:A$999=DATE(2026,2,1)),ROW(Expenses!A$3:A$999)-2),4)),0)+IFERROR(INDEX(Income!C$3:C$502,SMALL(IF((Income!D$3:D$502="GBP")*(Income!A$3:A$502=DATE(2026,2,1)),ROW(Income!A$3:A$502)-2),4)),0))</f>
        <v/>
      </c>
      <c r="P27" s="126">
        <f t="array" ref="P27">IF(IFERROR(INDEX(Expenses!B$3:B$999,SMALL(IF((Expenses!E$3:E$999="GBP")*(Expenses!A$3:A$999=DATE(2026,2,1)),ROW(Expenses!A$3:A$999)-2),4)),"")&lt;&gt;"",IFERROR(INDEX(Expenses!B$3:B$999,SMALL(IF((Expenses!E$3:E$999="GBP")*(Expenses!A$3:A$999=DATE(2026,2,1)),ROW(Expenses!A$3:A$999)-2),4)),""),IF(IFERROR(INDEX(Income!B$3:B$502,SMALL(IF((Income!D$3:D$502="GBP")*(Income!A$3:A$502=DATE(2026,2,1)),ROW(Income!A$3:A$502)-2),4)),"")&lt;&gt;"",IFERROR(INDEX(Income!B$3:B$502,SMALL(IF((Income!D$3:D$502="GBP")*(Income!A$3:A$502=DATE(2026,2,1)),ROW(Income!A$3:A$502)-2),4)),""),""))</f>
        <v/>
      </c>
      <c r="Q27" s="9" t="n"/>
      <c r="R27" s="9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68">
      <c r="A28" s="9" t="n"/>
      <c r="B28" s="9" t="n"/>
      <c r="C28" s="152">
        <f t="array" ref="C28">IF(IFERROR(-INDEX(Expenses!D$3:D$999,SMALL(IF((Expenses!E$3:E$999="GBP")*(Expenses!A$3:A$999=DATE(2026,1,26)),ROW(Expenses!A$3:A$999)-2),5)),0)+IFERROR(INDEX(Income!C$3:C$502,SMALL(IF((Income!D$3:D$502="GBP")*(Income!A$3:A$502=DATE(2026,1,26)),ROW(Income!A$3:A$502)-2),5)),0)=0,"",IFERROR(-INDEX(Expenses!D$3:D$999,SMALL(IF((Expenses!E$3:E$999="GBP")*(Expenses!A$3:A$999=DATE(2026,1,26)),ROW(Expenses!A$3:A$999)-2),5)),0)+IFERROR(INDEX(Income!C$3:C$502,SMALL(IF((Income!D$3:D$502="GBP")*(Income!A$3:A$502=DATE(2026,1,26)),ROW(Income!A$3:A$502)-2),5)),0))</f>
        <v/>
      </c>
      <c r="D28" s="126">
        <f t="array" ref="D28">IF(IFERROR(INDEX(Expenses!B$3:B$999,SMALL(IF((Expenses!E$3:E$999="GBP")*(Expenses!A$3:A$999=DATE(2026,1,26)),ROW(Expenses!A$3:A$999)-2),5)),"")&lt;&gt;"",IFERROR(INDEX(Expenses!B$3:B$999,SMALL(IF((Expenses!E$3:E$999="GBP")*(Expenses!A$3:A$999=DATE(2026,1,26)),ROW(Expenses!A$3:A$999)-2),5)),""),IF(IFERROR(INDEX(Income!B$3:B$502,SMALL(IF((Income!D$3:D$502="GBP")*(Income!A$3:A$502=DATE(2026,1,26)),ROW(Income!A$3:A$502)-2),5)),"")&lt;&gt;"",IFERROR(INDEX(Income!B$3:B$502,SMALL(IF((Income!D$3:D$502="GBP")*(Income!A$3:A$502=DATE(2026,1,26)),ROW(Income!A$3:A$502)-2),5)),""),""))</f>
        <v/>
      </c>
      <c r="E28" s="152">
        <f t="array" ref="E28">IF(IFERROR(-INDEX(Expenses!D$3:D$999,SMALL(IF((Expenses!E$3:E$999="GBP")*(Expenses!A$3:A$999=DATE(2026,1,27)),ROW(Expenses!A$3:A$999)-2),5)),0)+IFERROR(INDEX(Income!C$3:C$502,SMALL(IF((Income!D$3:D$502="GBP")*(Income!A$3:A$502=DATE(2026,1,27)),ROW(Income!A$3:A$502)-2),5)),0)=0,"",IFERROR(-INDEX(Expenses!D$3:D$999,SMALL(IF((Expenses!E$3:E$999="GBP")*(Expenses!A$3:A$999=DATE(2026,1,27)),ROW(Expenses!A$3:A$999)-2),5)),0)+IFERROR(INDEX(Income!C$3:C$502,SMALL(IF((Income!D$3:D$502="GBP")*(Income!A$3:A$502=DATE(2026,1,27)),ROW(Income!A$3:A$502)-2),5)),0))</f>
        <v/>
      </c>
      <c r="F28" s="126">
        <f t="array" ref="F28">IF(IFERROR(INDEX(Expenses!B$3:B$999,SMALL(IF((Expenses!E$3:E$999="GBP")*(Expenses!A$3:A$999=DATE(2026,1,27)),ROW(Expenses!A$3:A$999)-2),5)),"")&lt;&gt;"",IFERROR(INDEX(Expenses!B$3:B$999,SMALL(IF((Expenses!E$3:E$999="GBP")*(Expenses!A$3:A$999=DATE(2026,1,27)),ROW(Expenses!A$3:A$999)-2),5)),""),IF(IFERROR(INDEX(Income!B$3:B$502,SMALL(IF((Income!D$3:D$502="GBP")*(Income!A$3:A$502=DATE(2026,1,27)),ROW(Income!A$3:A$502)-2),5)),"")&lt;&gt;"",IFERROR(INDEX(Income!B$3:B$502,SMALL(IF((Income!D$3:D$502="GBP")*(Income!A$3:A$502=DATE(2026,1,27)),ROW(Income!A$3:A$502)-2),5)),""),""))</f>
        <v/>
      </c>
      <c r="G28" s="152">
        <f t="array" ref="G28">IF(IFERROR(-INDEX(Expenses!D$3:D$999,SMALL(IF((Expenses!E$3:E$999="GBP")*(Expenses!A$3:A$999=DATE(2026,1,28)),ROW(Expenses!A$3:A$999)-2),5)),0)+IFERROR(INDEX(Income!C$3:C$502,SMALL(IF((Income!D$3:D$502="GBP")*(Income!A$3:A$502=DATE(2026,1,28)),ROW(Income!A$3:A$502)-2),5)),0)=0,"",IFERROR(-INDEX(Expenses!D$3:D$999,SMALL(IF((Expenses!E$3:E$999="GBP")*(Expenses!A$3:A$999=DATE(2026,1,28)),ROW(Expenses!A$3:A$999)-2),5)),0)+IFERROR(INDEX(Income!C$3:C$502,SMALL(IF((Income!D$3:D$502="GBP")*(Income!A$3:A$502=DATE(2026,1,28)),ROW(Income!A$3:A$502)-2),5)),0))</f>
        <v/>
      </c>
      <c r="H28" s="126">
        <f t="array" ref="H28">IF(IFERROR(INDEX(Expenses!B$3:B$999,SMALL(IF((Expenses!E$3:E$999="GBP")*(Expenses!A$3:A$999=DATE(2026,1,28)),ROW(Expenses!A$3:A$999)-2),5)),"")&lt;&gt;"",IFERROR(INDEX(Expenses!B$3:B$999,SMALL(IF((Expenses!E$3:E$999="GBP")*(Expenses!A$3:A$999=DATE(2026,1,28)),ROW(Expenses!A$3:A$999)-2),5)),""),IF(IFERROR(INDEX(Income!B$3:B$502,SMALL(IF((Income!D$3:D$502="GBP")*(Income!A$3:A$502=DATE(2026,1,28)),ROW(Income!A$3:A$502)-2),5)),"")&lt;&gt;"",IFERROR(INDEX(Income!B$3:B$502,SMALL(IF((Income!D$3:D$502="GBP")*(Income!A$3:A$502=DATE(2026,1,28)),ROW(Income!A$3:A$502)-2),5)),""),""))</f>
        <v/>
      </c>
      <c r="I28" s="152">
        <f t="array" ref="I28">IF(IFERROR(-INDEX(Expenses!D$3:D$999,SMALL(IF((Expenses!E$3:E$999="GBP")*(Expenses!A$3:A$999=DATE(2026,1,29)),ROW(Expenses!A$3:A$999)-2),5)),0)+IFERROR(INDEX(Income!C$3:C$502,SMALL(IF((Income!D$3:D$502="GBP")*(Income!A$3:A$502=DATE(2026,1,29)),ROW(Income!A$3:A$502)-2),5)),0)=0,"",IFERROR(-INDEX(Expenses!D$3:D$999,SMALL(IF((Expenses!E$3:E$999="GBP")*(Expenses!A$3:A$999=DATE(2026,1,29)),ROW(Expenses!A$3:A$999)-2),5)),0)+IFERROR(INDEX(Income!C$3:C$502,SMALL(IF((Income!D$3:D$502="GBP")*(Income!A$3:A$502=DATE(2026,1,29)),ROW(Income!A$3:A$502)-2),5)),0))</f>
        <v/>
      </c>
      <c r="J28" s="126">
        <f t="array" ref="J28">IF(IFERROR(INDEX(Expenses!B$3:B$999,SMALL(IF((Expenses!E$3:E$999="GBP")*(Expenses!A$3:A$999=DATE(2026,1,29)),ROW(Expenses!A$3:A$999)-2),5)),"")&lt;&gt;"",IFERROR(INDEX(Expenses!B$3:B$999,SMALL(IF((Expenses!E$3:E$999="GBP")*(Expenses!A$3:A$999=DATE(2026,1,29)),ROW(Expenses!A$3:A$999)-2),5)),""),IF(IFERROR(INDEX(Income!B$3:B$502,SMALL(IF((Income!D$3:D$502="GBP")*(Income!A$3:A$502=DATE(2026,1,29)),ROW(Income!A$3:A$502)-2),5)),"")&lt;&gt;"",IFERROR(INDEX(Income!B$3:B$502,SMALL(IF((Income!D$3:D$502="GBP")*(Income!A$3:A$502=DATE(2026,1,29)),ROW(Income!A$3:A$502)-2),5)),""),""))</f>
        <v/>
      </c>
      <c r="K28" s="152">
        <f t="array" ref="K28">IF(IFERROR(-INDEX(Expenses!D$3:D$999,SMALL(IF((Expenses!E$3:E$999="GBP")*(Expenses!A$3:A$999=DATE(2026,1,30)),ROW(Expenses!A$3:A$999)-2),5)),0)+IFERROR(INDEX(Income!C$3:C$502,SMALL(IF((Income!D$3:D$502="GBP")*(Income!A$3:A$502=DATE(2026,1,30)),ROW(Income!A$3:A$502)-2),5)),0)=0,"",IFERROR(-INDEX(Expenses!D$3:D$999,SMALL(IF((Expenses!E$3:E$999="GBP")*(Expenses!A$3:A$999=DATE(2026,1,30)),ROW(Expenses!A$3:A$999)-2),5)),0)+IFERROR(INDEX(Income!C$3:C$502,SMALL(IF((Income!D$3:D$502="GBP")*(Income!A$3:A$502=DATE(2026,1,30)),ROW(Income!A$3:A$502)-2),5)),0))</f>
        <v/>
      </c>
      <c r="L28" s="126">
        <f t="array" ref="L28">IF(IFERROR(INDEX(Expenses!B$3:B$999,SMALL(IF((Expenses!E$3:E$999="GBP")*(Expenses!A$3:A$999=DATE(2026,1,30)),ROW(Expenses!A$3:A$999)-2),5)),"")&lt;&gt;"",IFERROR(INDEX(Expenses!B$3:B$999,SMALL(IF((Expenses!E$3:E$999="GBP")*(Expenses!A$3:A$999=DATE(2026,1,30)),ROW(Expenses!A$3:A$999)-2),5)),""),IF(IFERROR(INDEX(Income!B$3:B$502,SMALL(IF((Income!D$3:D$502="GBP")*(Income!A$3:A$502=DATE(2026,1,30)),ROW(Income!A$3:A$502)-2),5)),"")&lt;&gt;"",IFERROR(INDEX(Income!B$3:B$502,SMALL(IF((Income!D$3:D$502="GBP")*(Income!A$3:A$502=DATE(2026,1,30)),ROW(Income!A$3:A$502)-2),5)),""),""))</f>
        <v/>
      </c>
      <c r="M28" s="152">
        <f t="array" ref="M28">IF(IFERROR(-INDEX(Expenses!D$3:D$999,SMALL(IF((Expenses!E$3:E$999="GBP")*(Expenses!A$3:A$999=DATE(2026,1,31)),ROW(Expenses!A$3:A$999)-2),5)),0)+IFERROR(INDEX(Income!C$3:C$502,SMALL(IF((Income!D$3:D$502="GBP")*(Income!A$3:A$502=DATE(2026,1,31)),ROW(Income!A$3:A$502)-2),5)),0)=0,"",IFERROR(-INDEX(Expenses!D$3:D$999,SMALL(IF((Expenses!E$3:E$999="GBP")*(Expenses!A$3:A$999=DATE(2026,1,31)),ROW(Expenses!A$3:A$999)-2),5)),0)+IFERROR(INDEX(Income!C$3:C$502,SMALL(IF((Income!D$3:D$502="GBP")*(Income!A$3:A$502=DATE(2026,1,31)),ROW(Income!A$3:A$502)-2),5)),0))</f>
        <v/>
      </c>
      <c r="N28" s="126">
        <f t="array" ref="N28">IF(IFERROR(INDEX(Expenses!B$3:B$999,SMALL(IF((Expenses!E$3:E$999="GBP")*(Expenses!A$3:A$999=DATE(2026,1,31)),ROW(Expenses!A$3:A$999)-2),5)),"")&lt;&gt;"",IFERROR(INDEX(Expenses!B$3:B$999,SMALL(IF((Expenses!E$3:E$999="GBP")*(Expenses!A$3:A$999=DATE(2026,1,31)),ROW(Expenses!A$3:A$999)-2),5)),""),IF(IFERROR(INDEX(Income!B$3:B$502,SMALL(IF((Income!D$3:D$502="GBP")*(Income!A$3:A$502=DATE(2026,1,31)),ROW(Income!A$3:A$502)-2),5)),"")&lt;&gt;"",IFERROR(INDEX(Income!B$3:B$502,SMALL(IF((Income!D$3:D$502="GBP")*(Income!A$3:A$502=DATE(2026,1,31)),ROW(Income!A$3:A$502)-2),5)),""),""))</f>
        <v/>
      </c>
      <c r="O28" s="152">
        <f t="array" ref="O28">IF(IFERROR(-INDEX(Expenses!D$3:D$999,SMALL(IF((Expenses!E$3:E$999="GBP")*(Expenses!A$3:A$999=DATE(2026,2,1)),ROW(Expenses!A$3:A$999)-2),5)),0)+IFERROR(INDEX(Income!C$3:C$502,SMALL(IF((Income!D$3:D$502="GBP")*(Income!A$3:A$502=DATE(2026,2,1)),ROW(Income!A$3:A$502)-2),5)),0)=0,"",IFERROR(-INDEX(Expenses!D$3:D$999,SMALL(IF((Expenses!E$3:E$999="GBP")*(Expenses!A$3:A$999=DATE(2026,2,1)),ROW(Expenses!A$3:A$999)-2),5)),0)+IFERROR(INDEX(Income!C$3:C$502,SMALL(IF((Income!D$3:D$502="GBP")*(Income!A$3:A$502=DATE(2026,2,1)),ROW(Income!A$3:A$502)-2),5)),0))</f>
        <v/>
      </c>
      <c r="P28" s="126">
        <f t="array" ref="P28">IF(IFERROR(INDEX(Expenses!B$3:B$999,SMALL(IF((Expenses!E$3:E$999="GBP")*(Expenses!A$3:A$999=DATE(2026,2,1)),ROW(Expenses!A$3:A$999)-2),5)),"")&lt;&gt;"",IFERROR(INDEX(Expenses!B$3:B$999,SMALL(IF((Expenses!E$3:E$999="GBP")*(Expenses!A$3:A$999=DATE(2026,2,1)),ROW(Expenses!A$3:A$999)-2),5)),""),IF(IFERROR(INDEX(Income!B$3:B$502,SMALL(IF((Income!D$3:D$502="GBP")*(Income!A$3:A$502=DATE(2026,2,1)),ROW(Income!A$3:A$502)-2),5)),"")&lt;&gt;"",IFERROR(INDEX(Income!B$3:B$502,SMALL(IF((Income!D$3:D$502="GBP")*(Income!A$3:A$502=DATE(2026,2,1)),ROW(Income!A$3:A$502)-2),5)),""),""))</f>
        <v/>
      </c>
      <c r="Q28" s="9" t="n"/>
      <c r="R28" s="9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68">
      <c r="A29" s="151" t="n">
        <v>46055</v>
      </c>
      <c r="B29" s="103" t="n">
        <v>6</v>
      </c>
      <c r="C29" s="152">
        <f t="array" ref="C29">IF(IFERROR(-INDEX(Expenses!D$3:D$999,SMALL(IF((Expenses!E$3:E$999="GBP")*(Expenses!A$3:A$999=DATE(2026,2,2)),ROW(Expenses!A$3:A$999)-2),1)),0)+IFERROR(INDEX(Income!C$3:C$502,SMALL(IF((Income!D$3:D$502="GBP")*(Income!A$3:A$502=DATE(2026,2,2)),ROW(Income!A$3:A$502)-2),1)),0)=0,"",IFERROR(-INDEX(Expenses!D$3:D$999,SMALL(IF((Expenses!E$3:E$999="GBP")*(Expenses!A$3:A$999=DATE(2026,2,2)),ROW(Expenses!A$3:A$999)-2),1)),0)+IFERROR(INDEX(Income!C$3:C$502,SMALL(IF((Income!D$3:D$502="GBP")*(Income!A$3:A$502=DATE(2026,2,2)),ROW(Income!A$3:A$502)-2),1)),0))</f>
        <v/>
      </c>
      <c r="D29" s="126">
        <f t="array" ref="D29">IF(IFERROR(INDEX(Expenses!B$3:B$999,SMALL(IF((Expenses!E$3:E$999="GBP")*(Expenses!A$3:A$999=DATE(2026,2,2)),ROW(Expenses!A$3:A$999)-2),1)),"")&lt;&gt;"",IFERROR(INDEX(Expenses!B$3:B$999,SMALL(IF((Expenses!E$3:E$999="GBP")*(Expenses!A$3:A$999=DATE(2026,2,2)),ROW(Expenses!A$3:A$999)-2),1)),""),IF(IFERROR(INDEX(Income!B$3:B$502,SMALL(IF((Income!D$3:D$502="GBP")*(Income!A$3:A$502=DATE(2026,2,2)),ROW(Income!A$3:A$502)-2),1)),"")&lt;&gt;"",IFERROR(INDEX(Income!B$3:B$502,SMALL(IF((Income!D$3:D$502="GBP")*(Income!A$3:A$502=DATE(2026,2,2)),ROW(Income!A$3:A$502)-2),1)),""),""))</f>
        <v/>
      </c>
      <c r="E29" s="152">
        <f t="array" ref="E29">IF(IFERROR(-INDEX(Expenses!D$3:D$999,SMALL(IF((Expenses!E$3:E$999="GBP")*(Expenses!A$3:A$999=DATE(2026,2,3)),ROW(Expenses!A$3:A$999)-2),1)),0)+IFERROR(INDEX(Income!C$3:C$502,SMALL(IF((Income!D$3:D$502="GBP")*(Income!A$3:A$502=DATE(2026,2,3)),ROW(Income!A$3:A$502)-2),1)),0)=0,"",IFERROR(-INDEX(Expenses!D$3:D$999,SMALL(IF((Expenses!E$3:E$999="GBP")*(Expenses!A$3:A$999=DATE(2026,2,3)),ROW(Expenses!A$3:A$999)-2),1)),0)+IFERROR(INDEX(Income!C$3:C$502,SMALL(IF((Income!D$3:D$502="GBP")*(Income!A$3:A$502=DATE(2026,2,3)),ROW(Income!A$3:A$502)-2),1)),0))</f>
        <v/>
      </c>
      <c r="F29" s="126">
        <f t="array" ref="F29">IF(IFERROR(INDEX(Expenses!B$3:B$999,SMALL(IF((Expenses!E$3:E$999="GBP")*(Expenses!A$3:A$999=DATE(2026,2,3)),ROW(Expenses!A$3:A$999)-2),1)),"")&lt;&gt;"",IFERROR(INDEX(Expenses!B$3:B$999,SMALL(IF((Expenses!E$3:E$999="GBP")*(Expenses!A$3:A$999=DATE(2026,2,3)),ROW(Expenses!A$3:A$999)-2),1)),""),IF(IFERROR(INDEX(Income!B$3:B$502,SMALL(IF((Income!D$3:D$502="GBP")*(Income!A$3:A$502=DATE(2026,2,3)),ROW(Income!A$3:A$502)-2),1)),"")&lt;&gt;"",IFERROR(INDEX(Income!B$3:B$502,SMALL(IF((Income!D$3:D$502="GBP")*(Income!A$3:A$502=DATE(2026,2,3)),ROW(Income!A$3:A$502)-2),1)),""),""))</f>
        <v/>
      </c>
      <c r="G29" s="152">
        <f t="array" ref="G29">IF(IFERROR(-INDEX(Expenses!D$3:D$999,SMALL(IF((Expenses!E$3:E$999="GBP")*(Expenses!A$3:A$999=DATE(2026,2,4)),ROW(Expenses!A$3:A$999)-2),1)),0)+IFERROR(INDEX(Income!C$3:C$502,SMALL(IF((Income!D$3:D$502="GBP")*(Income!A$3:A$502=DATE(2026,2,4)),ROW(Income!A$3:A$502)-2),1)),0)=0,"",IFERROR(-INDEX(Expenses!D$3:D$999,SMALL(IF((Expenses!E$3:E$999="GBP")*(Expenses!A$3:A$999=DATE(2026,2,4)),ROW(Expenses!A$3:A$999)-2),1)),0)+IFERROR(INDEX(Income!C$3:C$502,SMALL(IF((Income!D$3:D$502="GBP")*(Income!A$3:A$502=DATE(2026,2,4)),ROW(Income!A$3:A$502)-2),1)),0))</f>
        <v/>
      </c>
      <c r="H29" s="126">
        <f t="array" ref="H29">IF(IFERROR(INDEX(Expenses!B$3:B$999,SMALL(IF((Expenses!E$3:E$999="GBP")*(Expenses!A$3:A$999=DATE(2026,2,4)),ROW(Expenses!A$3:A$999)-2),1)),"")&lt;&gt;"",IFERROR(INDEX(Expenses!B$3:B$999,SMALL(IF((Expenses!E$3:E$999="GBP")*(Expenses!A$3:A$999=DATE(2026,2,4)),ROW(Expenses!A$3:A$999)-2),1)),""),IF(IFERROR(INDEX(Income!B$3:B$502,SMALL(IF((Income!D$3:D$502="GBP")*(Income!A$3:A$502=DATE(2026,2,4)),ROW(Income!A$3:A$502)-2),1)),"")&lt;&gt;"",IFERROR(INDEX(Income!B$3:B$502,SMALL(IF((Income!D$3:D$502="GBP")*(Income!A$3:A$502=DATE(2026,2,4)),ROW(Income!A$3:A$502)-2),1)),""),""))</f>
        <v/>
      </c>
      <c r="I29" s="152">
        <f t="array" ref="I29">IF(IFERROR(-INDEX(Expenses!D$3:D$999,SMALL(IF((Expenses!E$3:E$999="GBP")*(Expenses!A$3:A$999=DATE(2026,2,5)),ROW(Expenses!A$3:A$999)-2),1)),0)+IFERROR(INDEX(Income!C$3:C$502,SMALL(IF((Income!D$3:D$502="GBP")*(Income!A$3:A$502=DATE(2026,2,5)),ROW(Income!A$3:A$502)-2),1)),0)=0,"",IFERROR(-INDEX(Expenses!D$3:D$999,SMALL(IF((Expenses!E$3:E$999="GBP")*(Expenses!A$3:A$999=DATE(2026,2,5)),ROW(Expenses!A$3:A$999)-2),1)),0)+IFERROR(INDEX(Income!C$3:C$502,SMALL(IF((Income!D$3:D$502="GBP")*(Income!A$3:A$502=DATE(2026,2,5)),ROW(Income!A$3:A$502)-2),1)),0))</f>
        <v/>
      </c>
      <c r="J29" s="126">
        <f t="array" ref="J29">IF(IFERROR(INDEX(Expenses!B$3:B$999,SMALL(IF((Expenses!E$3:E$999="GBP")*(Expenses!A$3:A$999=DATE(2026,2,5)),ROW(Expenses!A$3:A$999)-2),1)),"")&lt;&gt;"",IFERROR(INDEX(Expenses!B$3:B$999,SMALL(IF((Expenses!E$3:E$999="GBP")*(Expenses!A$3:A$999=DATE(2026,2,5)),ROW(Expenses!A$3:A$999)-2),1)),""),IF(IFERROR(INDEX(Income!B$3:B$502,SMALL(IF((Income!D$3:D$502="GBP")*(Income!A$3:A$502=DATE(2026,2,5)),ROW(Income!A$3:A$502)-2),1)),"")&lt;&gt;"",IFERROR(INDEX(Income!B$3:B$502,SMALL(IF((Income!D$3:D$502="GBP")*(Income!A$3:A$502=DATE(2026,2,5)),ROW(Income!A$3:A$502)-2),1)),""),""))</f>
        <v/>
      </c>
      <c r="K29" s="152">
        <f t="array" ref="K29">IF(IFERROR(-INDEX(Expenses!D$3:D$999,SMALL(IF((Expenses!E$3:E$999="GBP")*(Expenses!A$3:A$999=DATE(2026,2,6)),ROW(Expenses!A$3:A$999)-2),1)),0)+IFERROR(INDEX(Income!C$3:C$502,SMALL(IF((Income!D$3:D$502="GBP")*(Income!A$3:A$502=DATE(2026,2,6)),ROW(Income!A$3:A$502)-2),1)),0)=0,"",IFERROR(-INDEX(Expenses!D$3:D$999,SMALL(IF((Expenses!E$3:E$999="GBP")*(Expenses!A$3:A$999=DATE(2026,2,6)),ROW(Expenses!A$3:A$999)-2),1)),0)+IFERROR(INDEX(Income!C$3:C$502,SMALL(IF((Income!D$3:D$502="GBP")*(Income!A$3:A$502=DATE(2026,2,6)),ROW(Income!A$3:A$502)-2),1)),0))</f>
        <v/>
      </c>
      <c r="L29" s="126">
        <f t="array" ref="L29">IF(IFERROR(INDEX(Expenses!B$3:B$999,SMALL(IF((Expenses!E$3:E$999="GBP")*(Expenses!A$3:A$999=DATE(2026,2,6)),ROW(Expenses!A$3:A$999)-2),1)),"")&lt;&gt;"",IFERROR(INDEX(Expenses!B$3:B$999,SMALL(IF((Expenses!E$3:E$999="GBP")*(Expenses!A$3:A$999=DATE(2026,2,6)),ROW(Expenses!A$3:A$999)-2),1)),""),IF(IFERROR(INDEX(Income!B$3:B$502,SMALL(IF((Income!D$3:D$502="GBP")*(Income!A$3:A$502=DATE(2026,2,6)),ROW(Income!A$3:A$502)-2),1)),"")&lt;&gt;"",IFERROR(INDEX(Income!B$3:B$502,SMALL(IF((Income!D$3:D$502="GBP")*(Income!A$3:A$502=DATE(2026,2,6)),ROW(Income!A$3:A$502)-2),1)),""),""))</f>
        <v/>
      </c>
      <c r="M29" s="152">
        <f t="array" ref="M29">IF(IFERROR(-INDEX(Expenses!D$3:D$999,SMALL(IF((Expenses!E$3:E$999="GBP")*(Expenses!A$3:A$999=DATE(2026,2,7)),ROW(Expenses!A$3:A$999)-2),1)),0)+IFERROR(INDEX(Income!C$3:C$502,SMALL(IF((Income!D$3:D$502="GBP")*(Income!A$3:A$502=DATE(2026,2,7)),ROW(Income!A$3:A$502)-2),1)),0)=0,"",IFERROR(-INDEX(Expenses!D$3:D$999,SMALL(IF((Expenses!E$3:E$999="GBP")*(Expenses!A$3:A$999=DATE(2026,2,7)),ROW(Expenses!A$3:A$999)-2),1)),0)+IFERROR(INDEX(Income!C$3:C$502,SMALL(IF((Income!D$3:D$502="GBP")*(Income!A$3:A$502=DATE(2026,2,7)),ROW(Income!A$3:A$502)-2),1)),0))</f>
        <v/>
      </c>
      <c r="N29" s="126">
        <f t="array" ref="N29">IF(IFERROR(INDEX(Expenses!B$3:B$999,SMALL(IF((Expenses!E$3:E$999="GBP")*(Expenses!A$3:A$999=DATE(2026,2,7)),ROW(Expenses!A$3:A$999)-2),1)),"")&lt;&gt;"",IFERROR(INDEX(Expenses!B$3:B$999,SMALL(IF((Expenses!E$3:E$999="GBP")*(Expenses!A$3:A$999=DATE(2026,2,7)),ROW(Expenses!A$3:A$999)-2),1)),""),IF(IFERROR(INDEX(Income!B$3:B$502,SMALL(IF((Income!D$3:D$502="GBP")*(Income!A$3:A$502=DATE(2026,2,7)),ROW(Income!A$3:A$502)-2),1)),"")&lt;&gt;"",IFERROR(INDEX(Income!B$3:B$502,SMALL(IF((Income!D$3:D$502="GBP")*(Income!A$3:A$502=DATE(2026,2,7)),ROW(Income!A$3:A$502)-2),1)),""),""))</f>
        <v/>
      </c>
      <c r="O29" s="152">
        <f t="array" ref="O29">IF(IFERROR(-INDEX(Expenses!D$3:D$999,SMALL(IF((Expenses!E$3:E$999="GBP")*(Expenses!A$3:A$999=DATE(2026,2,8)),ROW(Expenses!A$3:A$999)-2),1)),0)+IFERROR(INDEX(Income!C$3:C$502,SMALL(IF((Income!D$3:D$502="GBP")*(Income!A$3:A$502=DATE(2026,2,8)),ROW(Income!A$3:A$502)-2),1)),0)=0,"",IFERROR(-INDEX(Expenses!D$3:D$999,SMALL(IF((Expenses!E$3:E$999="GBP")*(Expenses!A$3:A$999=DATE(2026,2,8)),ROW(Expenses!A$3:A$999)-2),1)),0)+IFERROR(INDEX(Income!C$3:C$502,SMALL(IF((Income!D$3:D$502="GBP")*(Income!A$3:A$502=DATE(2026,2,8)),ROW(Income!A$3:A$502)-2),1)),0))</f>
        <v/>
      </c>
      <c r="P29" s="126">
        <f t="array" ref="P29">IF(IFERROR(INDEX(Expenses!B$3:B$999,SMALL(IF((Expenses!E$3:E$999="GBP")*(Expenses!A$3:A$999=DATE(2026,2,8)),ROW(Expenses!A$3:A$999)-2),1)),"")&lt;&gt;"",IFERROR(INDEX(Expenses!B$3:B$999,SMALL(IF((Expenses!E$3:E$999="GBP")*(Expenses!A$3:A$999=DATE(2026,2,8)),ROW(Expenses!A$3:A$999)-2),1)),""),IF(IFERROR(INDEX(Income!B$3:B$502,SMALL(IF((Income!D$3:D$502="GBP")*(Income!A$3:A$502=DATE(2026,2,8)),ROW(Income!A$3:A$502)-2),1)),"")&lt;&gt;"",IFERROR(INDEX(Income!B$3:B$502,SMALL(IF((Income!D$3:D$502="GBP")*(Income!A$3:A$502=DATE(2026,2,8)),ROW(Income!A$3:A$502)-2),1)),""),""))</f>
        <v/>
      </c>
      <c r="Q29" s="103" t="n">
        <v>6</v>
      </c>
      <c r="R29" s="134">
        <f>SUM(C29:C33)+SUM(E29:E33)+SUM(G29:G33)+SUM(I29:I33)+SUM(K29:K33)+SUM(M29:M33)+SUM(O29:O33)</f>
        <v/>
      </c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68">
      <c r="A30" s="9" t="n"/>
      <c r="B30" s="9" t="n"/>
      <c r="C30" s="152">
        <f t="array" ref="C30">IF(IFERROR(-INDEX(Expenses!D$3:D$999,SMALL(IF((Expenses!E$3:E$999="GBP")*(Expenses!A$3:A$999=DATE(2026,2,2)),ROW(Expenses!A$3:A$999)-2),2)),0)+IFERROR(INDEX(Income!C$3:C$502,SMALL(IF((Income!D$3:D$502="GBP")*(Income!A$3:A$502=DATE(2026,2,2)),ROW(Income!A$3:A$502)-2),2)),0)=0,"",IFERROR(-INDEX(Expenses!D$3:D$999,SMALL(IF((Expenses!E$3:E$999="GBP")*(Expenses!A$3:A$999=DATE(2026,2,2)),ROW(Expenses!A$3:A$999)-2),2)),0)+IFERROR(INDEX(Income!C$3:C$502,SMALL(IF((Income!D$3:D$502="GBP")*(Income!A$3:A$502=DATE(2026,2,2)),ROW(Income!A$3:A$502)-2),2)),0))</f>
        <v/>
      </c>
      <c r="D30" s="126">
        <f t="array" ref="D30">IF(IFERROR(INDEX(Expenses!B$3:B$999,SMALL(IF((Expenses!E$3:E$999="GBP")*(Expenses!A$3:A$999=DATE(2026,2,2)),ROW(Expenses!A$3:A$999)-2),2)),"")&lt;&gt;"",IFERROR(INDEX(Expenses!B$3:B$999,SMALL(IF((Expenses!E$3:E$999="GBP")*(Expenses!A$3:A$999=DATE(2026,2,2)),ROW(Expenses!A$3:A$999)-2),2)),""),IF(IFERROR(INDEX(Income!B$3:B$502,SMALL(IF((Income!D$3:D$502="GBP")*(Income!A$3:A$502=DATE(2026,2,2)),ROW(Income!A$3:A$502)-2),2)),"")&lt;&gt;"",IFERROR(INDEX(Income!B$3:B$502,SMALL(IF((Income!D$3:D$502="GBP")*(Income!A$3:A$502=DATE(2026,2,2)),ROW(Income!A$3:A$502)-2),2)),""),""))</f>
        <v/>
      </c>
      <c r="E30" s="152">
        <f t="array" ref="E30">IF(IFERROR(-INDEX(Expenses!D$3:D$999,SMALL(IF((Expenses!E$3:E$999="GBP")*(Expenses!A$3:A$999=DATE(2026,2,3)),ROW(Expenses!A$3:A$999)-2),2)),0)+IFERROR(INDEX(Income!C$3:C$502,SMALL(IF((Income!D$3:D$502="GBP")*(Income!A$3:A$502=DATE(2026,2,3)),ROW(Income!A$3:A$502)-2),2)),0)=0,"",IFERROR(-INDEX(Expenses!D$3:D$999,SMALL(IF((Expenses!E$3:E$999="GBP")*(Expenses!A$3:A$999=DATE(2026,2,3)),ROW(Expenses!A$3:A$999)-2),2)),0)+IFERROR(INDEX(Income!C$3:C$502,SMALL(IF((Income!D$3:D$502="GBP")*(Income!A$3:A$502=DATE(2026,2,3)),ROW(Income!A$3:A$502)-2),2)),0))</f>
        <v/>
      </c>
      <c r="F30" s="126">
        <f t="array" ref="F30">IF(IFERROR(INDEX(Expenses!B$3:B$999,SMALL(IF((Expenses!E$3:E$999="GBP")*(Expenses!A$3:A$999=DATE(2026,2,3)),ROW(Expenses!A$3:A$999)-2),2)),"")&lt;&gt;"",IFERROR(INDEX(Expenses!B$3:B$999,SMALL(IF((Expenses!E$3:E$999="GBP")*(Expenses!A$3:A$999=DATE(2026,2,3)),ROW(Expenses!A$3:A$999)-2),2)),""),IF(IFERROR(INDEX(Income!B$3:B$502,SMALL(IF((Income!D$3:D$502="GBP")*(Income!A$3:A$502=DATE(2026,2,3)),ROW(Income!A$3:A$502)-2),2)),"")&lt;&gt;"",IFERROR(INDEX(Income!B$3:B$502,SMALL(IF((Income!D$3:D$502="GBP")*(Income!A$3:A$502=DATE(2026,2,3)),ROW(Income!A$3:A$502)-2),2)),""),""))</f>
        <v/>
      </c>
      <c r="G30" s="152">
        <f t="array" ref="G30">IF(IFERROR(-INDEX(Expenses!D$3:D$999,SMALL(IF((Expenses!E$3:E$999="GBP")*(Expenses!A$3:A$999=DATE(2026,2,4)),ROW(Expenses!A$3:A$999)-2),2)),0)+IFERROR(INDEX(Income!C$3:C$502,SMALL(IF((Income!D$3:D$502="GBP")*(Income!A$3:A$502=DATE(2026,2,4)),ROW(Income!A$3:A$502)-2),2)),0)=0,"",IFERROR(-INDEX(Expenses!D$3:D$999,SMALL(IF((Expenses!E$3:E$999="GBP")*(Expenses!A$3:A$999=DATE(2026,2,4)),ROW(Expenses!A$3:A$999)-2),2)),0)+IFERROR(INDEX(Income!C$3:C$502,SMALL(IF((Income!D$3:D$502="GBP")*(Income!A$3:A$502=DATE(2026,2,4)),ROW(Income!A$3:A$502)-2),2)),0))</f>
        <v/>
      </c>
      <c r="H30" s="126">
        <f t="array" ref="H30">IF(IFERROR(INDEX(Expenses!B$3:B$999,SMALL(IF((Expenses!E$3:E$999="GBP")*(Expenses!A$3:A$999=DATE(2026,2,4)),ROW(Expenses!A$3:A$999)-2),2)),"")&lt;&gt;"",IFERROR(INDEX(Expenses!B$3:B$999,SMALL(IF((Expenses!E$3:E$999="GBP")*(Expenses!A$3:A$999=DATE(2026,2,4)),ROW(Expenses!A$3:A$999)-2),2)),""),IF(IFERROR(INDEX(Income!B$3:B$502,SMALL(IF((Income!D$3:D$502="GBP")*(Income!A$3:A$502=DATE(2026,2,4)),ROW(Income!A$3:A$502)-2),2)),"")&lt;&gt;"",IFERROR(INDEX(Income!B$3:B$502,SMALL(IF((Income!D$3:D$502="GBP")*(Income!A$3:A$502=DATE(2026,2,4)),ROW(Income!A$3:A$502)-2),2)),""),""))</f>
        <v/>
      </c>
      <c r="I30" s="152">
        <f t="array" ref="I30">IF(IFERROR(-INDEX(Expenses!D$3:D$999,SMALL(IF((Expenses!E$3:E$999="GBP")*(Expenses!A$3:A$999=DATE(2026,2,5)),ROW(Expenses!A$3:A$999)-2),2)),0)+IFERROR(INDEX(Income!C$3:C$502,SMALL(IF((Income!D$3:D$502="GBP")*(Income!A$3:A$502=DATE(2026,2,5)),ROW(Income!A$3:A$502)-2),2)),0)=0,"",IFERROR(-INDEX(Expenses!D$3:D$999,SMALL(IF((Expenses!E$3:E$999="GBP")*(Expenses!A$3:A$999=DATE(2026,2,5)),ROW(Expenses!A$3:A$999)-2),2)),0)+IFERROR(INDEX(Income!C$3:C$502,SMALL(IF((Income!D$3:D$502="GBP")*(Income!A$3:A$502=DATE(2026,2,5)),ROW(Income!A$3:A$502)-2),2)),0))</f>
        <v/>
      </c>
      <c r="J30" s="126">
        <f t="array" ref="J30">IF(IFERROR(INDEX(Expenses!B$3:B$999,SMALL(IF((Expenses!E$3:E$999="GBP")*(Expenses!A$3:A$999=DATE(2026,2,5)),ROW(Expenses!A$3:A$999)-2),2)),"")&lt;&gt;"",IFERROR(INDEX(Expenses!B$3:B$999,SMALL(IF((Expenses!E$3:E$999="GBP")*(Expenses!A$3:A$999=DATE(2026,2,5)),ROW(Expenses!A$3:A$999)-2),2)),""),IF(IFERROR(INDEX(Income!B$3:B$502,SMALL(IF((Income!D$3:D$502="GBP")*(Income!A$3:A$502=DATE(2026,2,5)),ROW(Income!A$3:A$502)-2),2)),"")&lt;&gt;"",IFERROR(INDEX(Income!B$3:B$502,SMALL(IF((Income!D$3:D$502="GBP")*(Income!A$3:A$502=DATE(2026,2,5)),ROW(Income!A$3:A$502)-2),2)),""),""))</f>
        <v/>
      </c>
      <c r="K30" s="152">
        <f t="array" ref="K30">IF(IFERROR(-INDEX(Expenses!D$3:D$999,SMALL(IF((Expenses!E$3:E$999="GBP")*(Expenses!A$3:A$999=DATE(2026,2,6)),ROW(Expenses!A$3:A$999)-2),2)),0)+IFERROR(INDEX(Income!C$3:C$502,SMALL(IF((Income!D$3:D$502="GBP")*(Income!A$3:A$502=DATE(2026,2,6)),ROW(Income!A$3:A$502)-2),2)),0)=0,"",IFERROR(-INDEX(Expenses!D$3:D$999,SMALL(IF((Expenses!E$3:E$999="GBP")*(Expenses!A$3:A$999=DATE(2026,2,6)),ROW(Expenses!A$3:A$999)-2),2)),0)+IFERROR(INDEX(Income!C$3:C$502,SMALL(IF((Income!D$3:D$502="GBP")*(Income!A$3:A$502=DATE(2026,2,6)),ROW(Income!A$3:A$502)-2),2)),0))</f>
        <v/>
      </c>
      <c r="L30" s="126">
        <f t="array" ref="L30">IF(IFERROR(INDEX(Expenses!B$3:B$999,SMALL(IF((Expenses!E$3:E$999="GBP")*(Expenses!A$3:A$999=DATE(2026,2,6)),ROW(Expenses!A$3:A$999)-2),2)),"")&lt;&gt;"",IFERROR(INDEX(Expenses!B$3:B$999,SMALL(IF((Expenses!E$3:E$999="GBP")*(Expenses!A$3:A$999=DATE(2026,2,6)),ROW(Expenses!A$3:A$999)-2),2)),""),IF(IFERROR(INDEX(Income!B$3:B$502,SMALL(IF((Income!D$3:D$502="GBP")*(Income!A$3:A$502=DATE(2026,2,6)),ROW(Income!A$3:A$502)-2),2)),"")&lt;&gt;"",IFERROR(INDEX(Income!B$3:B$502,SMALL(IF((Income!D$3:D$502="GBP")*(Income!A$3:A$502=DATE(2026,2,6)),ROW(Income!A$3:A$502)-2),2)),""),""))</f>
        <v/>
      </c>
      <c r="M30" s="152">
        <f t="array" ref="M30">IF(IFERROR(-INDEX(Expenses!D$3:D$999,SMALL(IF((Expenses!E$3:E$999="GBP")*(Expenses!A$3:A$999=DATE(2026,2,7)),ROW(Expenses!A$3:A$999)-2),2)),0)+IFERROR(INDEX(Income!C$3:C$502,SMALL(IF((Income!D$3:D$502="GBP")*(Income!A$3:A$502=DATE(2026,2,7)),ROW(Income!A$3:A$502)-2),2)),0)=0,"",IFERROR(-INDEX(Expenses!D$3:D$999,SMALL(IF((Expenses!E$3:E$999="GBP")*(Expenses!A$3:A$999=DATE(2026,2,7)),ROW(Expenses!A$3:A$999)-2),2)),0)+IFERROR(INDEX(Income!C$3:C$502,SMALL(IF((Income!D$3:D$502="GBP")*(Income!A$3:A$502=DATE(2026,2,7)),ROW(Income!A$3:A$502)-2),2)),0))</f>
        <v/>
      </c>
      <c r="N30" s="126">
        <f t="array" ref="N30">IF(IFERROR(INDEX(Expenses!B$3:B$999,SMALL(IF((Expenses!E$3:E$999="GBP")*(Expenses!A$3:A$999=DATE(2026,2,7)),ROW(Expenses!A$3:A$999)-2),2)),"")&lt;&gt;"",IFERROR(INDEX(Expenses!B$3:B$999,SMALL(IF((Expenses!E$3:E$999="GBP")*(Expenses!A$3:A$999=DATE(2026,2,7)),ROW(Expenses!A$3:A$999)-2),2)),""),IF(IFERROR(INDEX(Income!B$3:B$502,SMALL(IF((Income!D$3:D$502="GBP")*(Income!A$3:A$502=DATE(2026,2,7)),ROW(Income!A$3:A$502)-2),2)),"")&lt;&gt;"",IFERROR(INDEX(Income!B$3:B$502,SMALL(IF((Income!D$3:D$502="GBP")*(Income!A$3:A$502=DATE(2026,2,7)),ROW(Income!A$3:A$502)-2),2)),""),""))</f>
        <v/>
      </c>
      <c r="O30" s="152">
        <f t="array" ref="O30">IF(IFERROR(-INDEX(Expenses!D$3:D$999,SMALL(IF((Expenses!E$3:E$999="GBP")*(Expenses!A$3:A$999=DATE(2026,2,8)),ROW(Expenses!A$3:A$999)-2),2)),0)+IFERROR(INDEX(Income!C$3:C$502,SMALL(IF((Income!D$3:D$502="GBP")*(Income!A$3:A$502=DATE(2026,2,8)),ROW(Income!A$3:A$502)-2),2)),0)=0,"",IFERROR(-INDEX(Expenses!D$3:D$999,SMALL(IF((Expenses!E$3:E$999="GBP")*(Expenses!A$3:A$999=DATE(2026,2,8)),ROW(Expenses!A$3:A$999)-2),2)),0)+IFERROR(INDEX(Income!C$3:C$502,SMALL(IF((Income!D$3:D$502="GBP")*(Income!A$3:A$502=DATE(2026,2,8)),ROW(Income!A$3:A$502)-2),2)),0))</f>
        <v/>
      </c>
      <c r="P30" s="126">
        <f t="array" ref="P30">IF(IFERROR(INDEX(Expenses!B$3:B$999,SMALL(IF((Expenses!E$3:E$999="GBP")*(Expenses!A$3:A$999=DATE(2026,2,8)),ROW(Expenses!A$3:A$999)-2),2)),"")&lt;&gt;"",IFERROR(INDEX(Expenses!B$3:B$999,SMALL(IF((Expenses!E$3:E$999="GBP")*(Expenses!A$3:A$999=DATE(2026,2,8)),ROW(Expenses!A$3:A$999)-2),2)),""),IF(IFERROR(INDEX(Income!B$3:B$502,SMALL(IF((Income!D$3:D$502="GBP")*(Income!A$3:A$502=DATE(2026,2,8)),ROW(Income!A$3:A$502)-2),2)),"")&lt;&gt;"",IFERROR(INDEX(Income!B$3:B$502,SMALL(IF((Income!D$3:D$502="GBP")*(Income!A$3:A$502=DATE(2026,2,8)),ROW(Income!A$3:A$502)-2),2)),""),""))</f>
        <v/>
      </c>
      <c r="Q30" s="9" t="n"/>
      <c r="R30" s="9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68">
      <c r="A31" s="9" t="n"/>
      <c r="B31" s="9" t="n"/>
      <c r="C31" s="152">
        <f t="array" ref="C31">IF(IFERROR(-INDEX(Expenses!D$3:D$999,SMALL(IF((Expenses!E$3:E$999="GBP")*(Expenses!A$3:A$999=DATE(2026,2,2)),ROW(Expenses!A$3:A$999)-2),3)),0)+IFERROR(INDEX(Income!C$3:C$502,SMALL(IF((Income!D$3:D$502="GBP")*(Income!A$3:A$502=DATE(2026,2,2)),ROW(Income!A$3:A$502)-2),3)),0)=0,"",IFERROR(-INDEX(Expenses!D$3:D$999,SMALL(IF((Expenses!E$3:E$999="GBP")*(Expenses!A$3:A$999=DATE(2026,2,2)),ROW(Expenses!A$3:A$999)-2),3)),0)+IFERROR(INDEX(Income!C$3:C$502,SMALL(IF((Income!D$3:D$502="GBP")*(Income!A$3:A$502=DATE(2026,2,2)),ROW(Income!A$3:A$502)-2),3)),0))</f>
        <v/>
      </c>
      <c r="D31" s="126">
        <f t="array" ref="D31">IF(IFERROR(INDEX(Expenses!B$3:B$999,SMALL(IF((Expenses!E$3:E$999="GBP")*(Expenses!A$3:A$999=DATE(2026,2,2)),ROW(Expenses!A$3:A$999)-2),3)),"")&lt;&gt;"",IFERROR(INDEX(Expenses!B$3:B$999,SMALL(IF((Expenses!E$3:E$999="GBP")*(Expenses!A$3:A$999=DATE(2026,2,2)),ROW(Expenses!A$3:A$999)-2),3)),""),IF(IFERROR(INDEX(Income!B$3:B$502,SMALL(IF((Income!D$3:D$502="GBP")*(Income!A$3:A$502=DATE(2026,2,2)),ROW(Income!A$3:A$502)-2),3)),"")&lt;&gt;"",IFERROR(INDEX(Income!B$3:B$502,SMALL(IF((Income!D$3:D$502="GBP")*(Income!A$3:A$502=DATE(2026,2,2)),ROW(Income!A$3:A$502)-2),3)),""),""))</f>
        <v/>
      </c>
      <c r="E31" s="152">
        <f t="array" ref="E31">IF(IFERROR(-INDEX(Expenses!D$3:D$999,SMALL(IF((Expenses!E$3:E$999="GBP")*(Expenses!A$3:A$999=DATE(2026,2,3)),ROW(Expenses!A$3:A$999)-2),3)),0)+IFERROR(INDEX(Income!C$3:C$502,SMALL(IF((Income!D$3:D$502="GBP")*(Income!A$3:A$502=DATE(2026,2,3)),ROW(Income!A$3:A$502)-2),3)),0)=0,"",IFERROR(-INDEX(Expenses!D$3:D$999,SMALL(IF((Expenses!E$3:E$999="GBP")*(Expenses!A$3:A$999=DATE(2026,2,3)),ROW(Expenses!A$3:A$999)-2),3)),0)+IFERROR(INDEX(Income!C$3:C$502,SMALL(IF((Income!D$3:D$502="GBP")*(Income!A$3:A$502=DATE(2026,2,3)),ROW(Income!A$3:A$502)-2),3)),0))</f>
        <v/>
      </c>
      <c r="F31" s="126">
        <f t="array" ref="F31">IF(IFERROR(INDEX(Expenses!B$3:B$999,SMALL(IF((Expenses!E$3:E$999="GBP")*(Expenses!A$3:A$999=DATE(2026,2,3)),ROW(Expenses!A$3:A$999)-2),3)),"")&lt;&gt;"",IFERROR(INDEX(Expenses!B$3:B$999,SMALL(IF((Expenses!E$3:E$999="GBP")*(Expenses!A$3:A$999=DATE(2026,2,3)),ROW(Expenses!A$3:A$999)-2),3)),""),IF(IFERROR(INDEX(Income!B$3:B$502,SMALL(IF((Income!D$3:D$502="GBP")*(Income!A$3:A$502=DATE(2026,2,3)),ROW(Income!A$3:A$502)-2),3)),"")&lt;&gt;"",IFERROR(INDEX(Income!B$3:B$502,SMALL(IF((Income!D$3:D$502="GBP")*(Income!A$3:A$502=DATE(2026,2,3)),ROW(Income!A$3:A$502)-2),3)),""),""))</f>
        <v/>
      </c>
      <c r="G31" s="152">
        <f t="array" ref="G31">IF(IFERROR(-INDEX(Expenses!D$3:D$999,SMALL(IF((Expenses!E$3:E$999="GBP")*(Expenses!A$3:A$999=DATE(2026,2,4)),ROW(Expenses!A$3:A$999)-2),3)),0)+IFERROR(INDEX(Income!C$3:C$502,SMALL(IF((Income!D$3:D$502="GBP")*(Income!A$3:A$502=DATE(2026,2,4)),ROW(Income!A$3:A$502)-2),3)),0)=0,"",IFERROR(-INDEX(Expenses!D$3:D$999,SMALL(IF((Expenses!E$3:E$999="GBP")*(Expenses!A$3:A$999=DATE(2026,2,4)),ROW(Expenses!A$3:A$999)-2),3)),0)+IFERROR(INDEX(Income!C$3:C$502,SMALL(IF((Income!D$3:D$502="GBP")*(Income!A$3:A$502=DATE(2026,2,4)),ROW(Income!A$3:A$502)-2),3)),0))</f>
        <v/>
      </c>
      <c r="H31" s="126">
        <f t="array" ref="H31">IF(IFERROR(INDEX(Expenses!B$3:B$999,SMALL(IF((Expenses!E$3:E$999="GBP")*(Expenses!A$3:A$999=DATE(2026,2,4)),ROW(Expenses!A$3:A$999)-2),3)),"")&lt;&gt;"",IFERROR(INDEX(Expenses!B$3:B$999,SMALL(IF((Expenses!E$3:E$999="GBP")*(Expenses!A$3:A$999=DATE(2026,2,4)),ROW(Expenses!A$3:A$999)-2),3)),""),IF(IFERROR(INDEX(Income!B$3:B$502,SMALL(IF((Income!D$3:D$502="GBP")*(Income!A$3:A$502=DATE(2026,2,4)),ROW(Income!A$3:A$502)-2),3)),"")&lt;&gt;"",IFERROR(INDEX(Income!B$3:B$502,SMALL(IF((Income!D$3:D$502="GBP")*(Income!A$3:A$502=DATE(2026,2,4)),ROW(Income!A$3:A$502)-2),3)),""),""))</f>
        <v/>
      </c>
      <c r="I31" s="152">
        <f t="array" ref="I31">IF(IFERROR(-INDEX(Expenses!D$3:D$999,SMALL(IF((Expenses!E$3:E$999="GBP")*(Expenses!A$3:A$999=DATE(2026,2,5)),ROW(Expenses!A$3:A$999)-2),3)),0)+IFERROR(INDEX(Income!C$3:C$502,SMALL(IF((Income!D$3:D$502="GBP")*(Income!A$3:A$502=DATE(2026,2,5)),ROW(Income!A$3:A$502)-2),3)),0)=0,"",IFERROR(-INDEX(Expenses!D$3:D$999,SMALL(IF((Expenses!E$3:E$999="GBP")*(Expenses!A$3:A$999=DATE(2026,2,5)),ROW(Expenses!A$3:A$999)-2),3)),0)+IFERROR(INDEX(Income!C$3:C$502,SMALL(IF((Income!D$3:D$502="GBP")*(Income!A$3:A$502=DATE(2026,2,5)),ROW(Income!A$3:A$502)-2),3)),0))</f>
        <v/>
      </c>
      <c r="J31" s="126">
        <f t="array" ref="J31">IF(IFERROR(INDEX(Expenses!B$3:B$999,SMALL(IF((Expenses!E$3:E$999="GBP")*(Expenses!A$3:A$999=DATE(2026,2,5)),ROW(Expenses!A$3:A$999)-2),3)),"")&lt;&gt;"",IFERROR(INDEX(Expenses!B$3:B$999,SMALL(IF((Expenses!E$3:E$999="GBP")*(Expenses!A$3:A$999=DATE(2026,2,5)),ROW(Expenses!A$3:A$999)-2),3)),""),IF(IFERROR(INDEX(Income!B$3:B$502,SMALL(IF((Income!D$3:D$502="GBP")*(Income!A$3:A$502=DATE(2026,2,5)),ROW(Income!A$3:A$502)-2),3)),"")&lt;&gt;"",IFERROR(INDEX(Income!B$3:B$502,SMALL(IF((Income!D$3:D$502="GBP")*(Income!A$3:A$502=DATE(2026,2,5)),ROW(Income!A$3:A$502)-2),3)),""),""))</f>
        <v/>
      </c>
      <c r="K31" s="152">
        <f t="array" ref="K31">IF(IFERROR(-INDEX(Expenses!D$3:D$999,SMALL(IF((Expenses!E$3:E$999="GBP")*(Expenses!A$3:A$999=DATE(2026,2,6)),ROW(Expenses!A$3:A$999)-2),3)),0)+IFERROR(INDEX(Income!C$3:C$502,SMALL(IF((Income!D$3:D$502="GBP")*(Income!A$3:A$502=DATE(2026,2,6)),ROW(Income!A$3:A$502)-2),3)),0)=0,"",IFERROR(-INDEX(Expenses!D$3:D$999,SMALL(IF((Expenses!E$3:E$999="GBP")*(Expenses!A$3:A$999=DATE(2026,2,6)),ROW(Expenses!A$3:A$999)-2),3)),0)+IFERROR(INDEX(Income!C$3:C$502,SMALL(IF((Income!D$3:D$502="GBP")*(Income!A$3:A$502=DATE(2026,2,6)),ROW(Income!A$3:A$502)-2),3)),0))</f>
        <v/>
      </c>
      <c r="L31" s="126">
        <f t="array" ref="L31">IF(IFERROR(INDEX(Expenses!B$3:B$999,SMALL(IF((Expenses!E$3:E$999="GBP")*(Expenses!A$3:A$999=DATE(2026,2,6)),ROW(Expenses!A$3:A$999)-2),3)),"")&lt;&gt;"",IFERROR(INDEX(Expenses!B$3:B$999,SMALL(IF((Expenses!E$3:E$999="GBP")*(Expenses!A$3:A$999=DATE(2026,2,6)),ROW(Expenses!A$3:A$999)-2),3)),""),IF(IFERROR(INDEX(Income!B$3:B$502,SMALL(IF((Income!D$3:D$502="GBP")*(Income!A$3:A$502=DATE(2026,2,6)),ROW(Income!A$3:A$502)-2),3)),"")&lt;&gt;"",IFERROR(INDEX(Income!B$3:B$502,SMALL(IF((Income!D$3:D$502="GBP")*(Income!A$3:A$502=DATE(2026,2,6)),ROW(Income!A$3:A$502)-2),3)),""),""))</f>
        <v/>
      </c>
      <c r="M31" s="152">
        <f t="array" ref="M31">IF(IFERROR(-INDEX(Expenses!D$3:D$999,SMALL(IF((Expenses!E$3:E$999="GBP")*(Expenses!A$3:A$999=DATE(2026,2,7)),ROW(Expenses!A$3:A$999)-2),3)),0)+IFERROR(INDEX(Income!C$3:C$502,SMALL(IF((Income!D$3:D$502="GBP")*(Income!A$3:A$502=DATE(2026,2,7)),ROW(Income!A$3:A$502)-2),3)),0)=0,"",IFERROR(-INDEX(Expenses!D$3:D$999,SMALL(IF((Expenses!E$3:E$999="GBP")*(Expenses!A$3:A$999=DATE(2026,2,7)),ROW(Expenses!A$3:A$999)-2),3)),0)+IFERROR(INDEX(Income!C$3:C$502,SMALL(IF((Income!D$3:D$502="GBP")*(Income!A$3:A$502=DATE(2026,2,7)),ROW(Income!A$3:A$502)-2),3)),0))</f>
        <v/>
      </c>
      <c r="N31" s="126">
        <f t="array" ref="N31">IF(IFERROR(INDEX(Expenses!B$3:B$999,SMALL(IF((Expenses!E$3:E$999="GBP")*(Expenses!A$3:A$999=DATE(2026,2,7)),ROW(Expenses!A$3:A$999)-2),3)),"")&lt;&gt;"",IFERROR(INDEX(Expenses!B$3:B$999,SMALL(IF((Expenses!E$3:E$999="GBP")*(Expenses!A$3:A$999=DATE(2026,2,7)),ROW(Expenses!A$3:A$999)-2),3)),""),IF(IFERROR(INDEX(Income!B$3:B$502,SMALL(IF((Income!D$3:D$502="GBP")*(Income!A$3:A$502=DATE(2026,2,7)),ROW(Income!A$3:A$502)-2),3)),"")&lt;&gt;"",IFERROR(INDEX(Income!B$3:B$502,SMALL(IF((Income!D$3:D$502="GBP")*(Income!A$3:A$502=DATE(2026,2,7)),ROW(Income!A$3:A$502)-2),3)),""),""))</f>
        <v/>
      </c>
      <c r="O31" s="152">
        <f t="array" ref="O31">IF(IFERROR(-INDEX(Expenses!D$3:D$999,SMALL(IF((Expenses!E$3:E$999="GBP")*(Expenses!A$3:A$999=DATE(2026,2,8)),ROW(Expenses!A$3:A$999)-2),3)),0)+IFERROR(INDEX(Income!C$3:C$502,SMALL(IF((Income!D$3:D$502="GBP")*(Income!A$3:A$502=DATE(2026,2,8)),ROW(Income!A$3:A$502)-2),3)),0)=0,"",IFERROR(-INDEX(Expenses!D$3:D$999,SMALL(IF((Expenses!E$3:E$999="GBP")*(Expenses!A$3:A$999=DATE(2026,2,8)),ROW(Expenses!A$3:A$999)-2),3)),0)+IFERROR(INDEX(Income!C$3:C$502,SMALL(IF((Income!D$3:D$502="GBP")*(Income!A$3:A$502=DATE(2026,2,8)),ROW(Income!A$3:A$502)-2),3)),0))</f>
        <v/>
      </c>
      <c r="P31" s="126">
        <f t="array" ref="P31">IF(IFERROR(INDEX(Expenses!B$3:B$999,SMALL(IF((Expenses!E$3:E$999="GBP")*(Expenses!A$3:A$999=DATE(2026,2,8)),ROW(Expenses!A$3:A$999)-2),3)),"")&lt;&gt;"",IFERROR(INDEX(Expenses!B$3:B$999,SMALL(IF((Expenses!E$3:E$999="GBP")*(Expenses!A$3:A$999=DATE(2026,2,8)),ROW(Expenses!A$3:A$999)-2),3)),""),IF(IFERROR(INDEX(Income!B$3:B$502,SMALL(IF((Income!D$3:D$502="GBP")*(Income!A$3:A$502=DATE(2026,2,8)),ROW(Income!A$3:A$502)-2),3)),"")&lt;&gt;"",IFERROR(INDEX(Income!B$3:B$502,SMALL(IF((Income!D$3:D$502="GBP")*(Income!A$3:A$502=DATE(2026,2,8)),ROW(Income!A$3:A$502)-2),3)),""),""))</f>
        <v/>
      </c>
      <c r="Q31" s="9" t="n"/>
      <c r="R31" s="9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68">
      <c r="A32" s="9" t="n"/>
      <c r="B32" s="9" t="n"/>
      <c r="C32" s="152">
        <f t="array" ref="C32">IF(IFERROR(-INDEX(Expenses!D$3:D$999,SMALL(IF((Expenses!E$3:E$999="GBP")*(Expenses!A$3:A$999=DATE(2026,2,2)),ROW(Expenses!A$3:A$999)-2),4)),0)+IFERROR(INDEX(Income!C$3:C$502,SMALL(IF((Income!D$3:D$502="GBP")*(Income!A$3:A$502=DATE(2026,2,2)),ROW(Income!A$3:A$502)-2),4)),0)=0,"",IFERROR(-INDEX(Expenses!D$3:D$999,SMALL(IF((Expenses!E$3:E$999="GBP")*(Expenses!A$3:A$999=DATE(2026,2,2)),ROW(Expenses!A$3:A$999)-2),4)),0)+IFERROR(INDEX(Income!C$3:C$502,SMALL(IF((Income!D$3:D$502="GBP")*(Income!A$3:A$502=DATE(2026,2,2)),ROW(Income!A$3:A$502)-2),4)),0))</f>
        <v/>
      </c>
      <c r="D32" s="126">
        <f t="array" ref="D32">IF(IFERROR(INDEX(Expenses!B$3:B$999,SMALL(IF((Expenses!E$3:E$999="GBP")*(Expenses!A$3:A$999=DATE(2026,2,2)),ROW(Expenses!A$3:A$999)-2),4)),"")&lt;&gt;"",IFERROR(INDEX(Expenses!B$3:B$999,SMALL(IF((Expenses!E$3:E$999="GBP")*(Expenses!A$3:A$999=DATE(2026,2,2)),ROW(Expenses!A$3:A$999)-2),4)),""),IF(IFERROR(INDEX(Income!B$3:B$502,SMALL(IF((Income!D$3:D$502="GBP")*(Income!A$3:A$502=DATE(2026,2,2)),ROW(Income!A$3:A$502)-2),4)),"")&lt;&gt;"",IFERROR(INDEX(Income!B$3:B$502,SMALL(IF((Income!D$3:D$502="GBP")*(Income!A$3:A$502=DATE(2026,2,2)),ROW(Income!A$3:A$502)-2),4)),""),""))</f>
        <v/>
      </c>
      <c r="E32" s="152">
        <f t="array" ref="E32">IF(IFERROR(-INDEX(Expenses!D$3:D$999,SMALL(IF((Expenses!E$3:E$999="GBP")*(Expenses!A$3:A$999=DATE(2026,2,3)),ROW(Expenses!A$3:A$999)-2),4)),0)+IFERROR(INDEX(Income!C$3:C$502,SMALL(IF((Income!D$3:D$502="GBP")*(Income!A$3:A$502=DATE(2026,2,3)),ROW(Income!A$3:A$502)-2),4)),0)=0,"",IFERROR(-INDEX(Expenses!D$3:D$999,SMALL(IF((Expenses!E$3:E$999="GBP")*(Expenses!A$3:A$999=DATE(2026,2,3)),ROW(Expenses!A$3:A$999)-2),4)),0)+IFERROR(INDEX(Income!C$3:C$502,SMALL(IF((Income!D$3:D$502="GBP")*(Income!A$3:A$502=DATE(2026,2,3)),ROW(Income!A$3:A$502)-2),4)),0))</f>
        <v/>
      </c>
      <c r="F32" s="126">
        <f t="array" ref="F32">IF(IFERROR(INDEX(Expenses!B$3:B$999,SMALL(IF((Expenses!E$3:E$999="GBP")*(Expenses!A$3:A$999=DATE(2026,2,3)),ROW(Expenses!A$3:A$999)-2),4)),"")&lt;&gt;"",IFERROR(INDEX(Expenses!B$3:B$999,SMALL(IF((Expenses!E$3:E$999="GBP")*(Expenses!A$3:A$999=DATE(2026,2,3)),ROW(Expenses!A$3:A$999)-2),4)),""),IF(IFERROR(INDEX(Income!B$3:B$502,SMALL(IF((Income!D$3:D$502="GBP")*(Income!A$3:A$502=DATE(2026,2,3)),ROW(Income!A$3:A$502)-2),4)),"")&lt;&gt;"",IFERROR(INDEX(Income!B$3:B$502,SMALL(IF((Income!D$3:D$502="GBP")*(Income!A$3:A$502=DATE(2026,2,3)),ROW(Income!A$3:A$502)-2),4)),""),""))</f>
        <v/>
      </c>
      <c r="G32" s="152">
        <f t="array" ref="G32">IF(IFERROR(-INDEX(Expenses!D$3:D$999,SMALL(IF((Expenses!E$3:E$999="GBP")*(Expenses!A$3:A$999=DATE(2026,2,4)),ROW(Expenses!A$3:A$999)-2),4)),0)+IFERROR(INDEX(Income!C$3:C$502,SMALL(IF((Income!D$3:D$502="GBP")*(Income!A$3:A$502=DATE(2026,2,4)),ROW(Income!A$3:A$502)-2),4)),0)=0,"",IFERROR(-INDEX(Expenses!D$3:D$999,SMALL(IF((Expenses!E$3:E$999="GBP")*(Expenses!A$3:A$999=DATE(2026,2,4)),ROW(Expenses!A$3:A$999)-2),4)),0)+IFERROR(INDEX(Income!C$3:C$502,SMALL(IF((Income!D$3:D$502="GBP")*(Income!A$3:A$502=DATE(2026,2,4)),ROW(Income!A$3:A$502)-2),4)),0))</f>
        <v/>
      </c>
      <c r="H32" s="126">
        <f t="array" ref="H32">IF(IFERROR(INDEX(Expenses!B$3:B$999,SMALL(IF((Expenses!E$3:E$999="GBP")*(Expenses!A$3:A$999=DATE(2026,2,4)),ROW(Expenses!A$3:A$999)-2),4)),"")&lt;&gt;"",IFERROR(INDEX(Expenses!B$3:B$999,SMALL(IF((Expenses!E$3:E$999="GBP")*(Expenses!A$3:A$999=DATE(2026,2,4)),ROW(Expenses!A$3:A$999)-2),4)),""),IF(IFERROR(INDEX(Income!B$3:B$502,SMALL(IF((Income!D$3:D$502="GBP")*(Income!A$3:A$502=DATE(2026,2,4)),ROW(Income!A$3:A$502)-2),4)),"")&lt;&gt;"",IFERROR(INDEX(Income!B$3:B$502,SMALL(IF((Income!D$3:D$502="GBP")*(Income!A$3:A$502=DATE(2026,2,4)),ROW(Income!A$3:A$502)-2),4)),""),""))</f>
        <v/>
      </c>
      <c r="I32" s="152">
        <f t="array" ref="I32">IF(IFERROR(-INDEX(Expenses!D$3:D$999,SMALL(IF((Expenses!E$3:E$999="GBP")*(Expenses!A$3:A$999=DATE(2026,2,5)),ROW(Expenses!A$3:A$999)-2),4)),0)+IFERROR(INDEX(Income!C$3:C$502,SMALL(IF((Income!D$3:D$502="GBP")*(Income!A$3:A$502=DATE(2026,2,5)),ROW(Income!A$3:A$502)-2),4)),0)=0,"",IFERROR(-INDEX(Expenses!D$3:D$999,SMALL(IF((Expenses!E$3:E$999="GBP")*(Expenses!A$3:A$999=DATE(2026,2,5)),ROW(Expenses!A$3:A$999)-2),4)),0)+IFERROR(INDEX(Income!C$3:C$502,SMALL(IF((Income!D$3:D$502="GBP")*(Income!A$3:A$502=DATE(2026,2,5)),ROW(Income!A$3:A$502)-2),4)),0))</f>
        <v/>
      </c>
      <c r="J32" s="126">
        <f t="array" ref="J32">IF(IFERROR(INDEX(Expenses!B$3:B$999,SMALL(IF((Expenses!E$3:E$999="GBP")*(Expenses!A$3:A$999=DATE(2026,2,5)),ROW(Expenses!A$3:A$999)-2),4)),"")&lt;&gt;"",IFERROR(INDEX(Expenses!B$3:B$999,SMALL(IF((Expenses!E$3:E$999="GBP")*(Expenses!A$3:A$999=DATE(2026,2,5)),ROW(Expenses!A$3:A$999)-2),4)),""),IF(IFERROR(INDEX(Income!B$3:B$502,SMALL(IF((Income!D$3:D$502="GBP")*(Income!A$3:A$502=DATE(2026,2,5)),ROW(Income!A$3:A$502)-2),4)),"")&lt;&gt;"",IFERROR(INDEX(Income!B$3:B$502,SMALL(IF((Income!D$3:D$502="GBP")*(Income!A$3:A$502=DATE(2026,2,5)),ROW(Income!A$3:A$502)-2),4)),""),""))</f>
        <v/>
      </c>
      <c r="K32" s="152">
        <f t="array" ref="K32">IF(IFERROR(-INDEX(Expenses!D$3:D$999,SMALL(IF((Expenses!E$3:E$999="GBP")*(Expenses!A$3:A$999=DATE(2026,2,6)),ROW(Expenses!A$3:A$999)-2),4)),0)+IFERROR(INDEX(Income!C$3:C$502,SMALL(IF((Income!D$3:D$502="GBP")*(Income!A$3:A$502=DATE(2026,2,6)),ROW(Income!A$3:A$502)-2),4)),0)=0,"",IFERROR(-INDEX(Expenses!D$3:D$999,SMALL(IF((Expenses!E$3:E$999="GBP")*(Expenses!A$3:A$999=DATE(2026,2,6)),ROW(Expenses!A$3:A$999)-2),4)),0)+IFERROR(INDEX(Income!C$3:C$502,SMALL(IF((Income!D$3:D$502="GBP")*(Income!A$3:A$502=DATE(2026,2,6)),ROW(Income!A$3:A$502)-2),4)),0))</f>
        <v/>
      </c>
      <c r="L32" s="126">
        <f t="array" ref="L32">IF(IFERROR(INDEX(Expenses!B$3:B$999,SMALL(IF((Expenses!E$3:E$999="GBP")*(Expenses!A$3:A$999=DATE(2026,2,6)),ROW(Expenses!A$3:A$999)-2),4)),"")&lt;&gt;"",IFERROR(INDEX(Expenses!B$3:B$999,SMALL(IF((Expenses!E$3:E$999="GBP")*(Expenses!A$3:A$999=DATE(2026,2,6)),ROW(Expenses!A$3:A$999)-2),4)),""),IF(IFERROR(INDEX(Income!B$3:B$502,SMALL(IF((Income!D$3:D$502="GBP")*(Income!A$3:A$502=DATE(2026,2,6)),ROW(Income!A$3:A$502)-2),4)),"")&lt;&gt;"",IFERROR(INDEX(Income!B$3:B$502,SMALL(IF((Income!D$3:D$502="GBP")*(Income!A$3:A$502=DATE(2026,2,6)),ROW(Income!A$3:A$502)-2),4)),""),""))</f>
        <v/>
      </c>
      <c r="M32" s="152">
        <f t="array" ref="M32">IF(IFERROR(-INDEX(Expenses!D$3:D$999,SMALL(IF((Expenses!E$3:E$999="GBP")*(Expenses!A$3:A$999=DATE(2026,2,7)),ROW(Expenses!A$3:A$999)-2),4)),0)+IFERROR(INDEX(Income!C$3:C$502,SMALL(IF((Income!D$3:D$502="GBP")*(Income!A$3:A$502=DATE(2026,2,7)),ROW(Income!A$3:A$502)-2),4)),0)=0,"",IFERROR(-INDEX(Expenses!D$3:D$999,SMALL(IF((Expenses!E$3:E$999="GBP")*(Expenses!A$3:A$999=DATE(2026,2,7)),ROW(Expenses!A$3:A$999)-2),4)),0)+IFERROR(INDEX(Income!C$3:C$502,SMALL(IF((Income!D$3:D$502="GBP")*(Income!A$3:A$502=DATE(2026,2,7)),ROW(Income!A$3:A$502)-2),4)),0))</f>
        <v/>
      </c>
      <c r="N32" s="126">
        <f t="array" ref="N32">IF(IFERROR(INDEX(Expenses!B$3:B$999,SMALL(IF((Expenses!E$3:E$999="GBP")*(Expenses!A$3:A$999=DATE(2026,2,7)),ROW(Expenses!A$3:A$999)-2),4)),"")&lt;&gt;"",IFERROR(INDEX(Expenses!B$3:B$999,SMALL(IF((Expenses!E$3:E$999="GBP")*(Expenses!A$3:A$999=DATE(2026,2,7)),ROW(Expenses!A$3:A$999)-2),4)),""),IF(IFERROR(INDEX(Income!B$3:B$502,SMALL(IF((Income!D$3:D$502="GBP")*(Income!A$3:A$502=DATE(2026,2,7)),ROW(Income!A$3:A$502)-2),4)),"")&lt;&gt;"",IFERROR(INDEX(Income!B$3:B$502,SMALL(IF((Income!D$3:D$502="GBP")*(Income!A$3:A$502=DATE(2026,2,7)),ROW(Income!A$3:A$502)-2),4)),""),""))</f>
        <v/>
      </c>
      <c r="O32" s="152">
        <f t="array" ref="O32">IF(IFERROR(-INDEX(Expenses!D$3:D$999,SMALL(IF((Expenses!E$3:E$999="GBP")*(Expenses!A$3:A$999=DATE(2026,2,8)),ROW(Expenses!A$3:A$999)-2),4)),0)+IFERROR(INDEX(Income!C$3:C$502,SMALL(IF((Income!D$3:D$502="GBP")*(Income!A$3:A$502=DATE(2026,2,8)),ROW(Income!A$3:A$502)-2),4)),0)=0,"",IFERROR(-INDEX(Expenses!D$3:D$999,SMALL(IF((Expenses!E$3:E$999="GBP")*(Expenses!A$3:A$999=DATE(2026,2,8)),ROW(Expenses!A$3:A$999)-2),4)),0)+IFERROR(INDEX(Income!C$3:C$502,SMALL(IF((Income!D$3:D$502="GBP")*(Income!A$3:A$502=DATE(2026,2,8)),ROW(Income!A$3:A$502)-2),4)),0))</f>
        <v/>
      </c>
      <c r="P32" s="126">
        <f t="array" ref="P32">IF(IFERROR(INDEX(Expenses!B$3:B$999,SMALL(IF((Expenses!E$3:E$999="GBP")*(Expenses!A$3:A$999=DATE(2026,2,8)),ROW(Expenses!A$3:A$999)-2),4)),"")&lt;&gt;"",IFERROR(INDEX(Expenses!B$3:B$999,SMALL(IF((Expenses!E$3:E$999="GBP")*(Expenses!A$3:A$999=DATE(2026,2,8)),ROW(Expenses!A$3:A$999)-2),4)),""),IF(IFERROR(INDEX(Income!B$3:B$502,SMALL(IF((Income!D$3:D$502="GBP")*(Income!A$3:A$502=DATE(2026,2,8)),ROW(Income!A$3:A$502)-2),4)),"")&lt;&gt;"",IFERROR(INDEX(Income!B$3:B$502,SMALL(IF((Income!D$3:D$502="GBP")*(Income!A$3:A$502=DATE(2026,2,8)),ROW(Income!A$3:A$502)-2),4)),""),""))</f>
        <v/>
      </c>
      <c r="Q32" s="9" t="n"/>
      <c r="R32" s="9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68">
      <c r="A33" s="9" t="n"/>
      <c r="B33" s="9" t="n"/>
      <c r="C33" s="152">
        <f t="array" ref="C33">IF(IFERROR(-INDEX(Expenses!D$3:D$999,SMALL(IF((Expenses!E$3:E$999="GBP")*(Expenses!A$3:A$999=DATE(2026,2,2)),ROW(Expenses!A$3:A$999)-2),5)),0)+IFERROR(INDEX(Income!C$3:C$502,SMALL(IF((Income!D$3:D$502="GBP")*(Income!A$3:A$502=DATE(2026,2,2)),ROW(Income!A$3:A$502)-2),5)),0)=0,"",IFERROR(-INDEX(Expenses!D$3:D$999,SMALL(IF((Expenses!E$3:E$999="GBP")*(Expenses!A$3:A$999=DATE(2026,2,2)),ROW(Expenses!A$3:A$999)-2),5)),0)+IFERROR(INDEX(Income!C$3:C$502,SMALL(IF((Income!D$3:D$502="GBP")*(Income!A$3:A$502=DATE(2026,2,2)),ROW(Income!A$3:A$502)-2),5)),0))</f>
        <v/>
      </c>
      <c r="D33" s="126">
        <f t="array" ref="D33">IF(IFERROR(INDEX(Expenses!B$3:B$999,SMALL(IF((Expenses!E$3:E$999="GBP")*(Expenses!A$3:A$999=DATE(2026,2,2)),ROW(Expenses!A$3:A$999)-2),5)),"")&lt;&gt;"",IFERROR(INDEX(Expenses!B$3:B$999,SMALL(IF((Expenses!E$3:E$999="GBP")*(Expenses!A$3:A$999=DATE(2026,2,2)),ROW(Expenses!A$3:A$999)-2),5)),""),IF(IFERROR(INDEX(Income!B$3:B$502,SMALL(IF((Income!D$3:D$502="GBP")*(Income!A$3:A$502=DATE(2026,2,2)),ROW(Income!A$3:A$502)-2),5)),"")&lt;&gt;"",IFERROR(INDEX(Income!B$3:B$502,SMALL(IF((Income!D$3:D$502="GBP")*(Income!A$3:A$502=DATE(2026,2,2)),ROW(Income!A$3:A$502)-2),5)),""),""))</f>
        <v/>
      </c>
      <c r="E33" s="152">
        <f t="array" ref="E33">IF(IFERROR(-INDEX(Expenses!D$3:D$999,SMALL(IF((Expenses!E$3:E$999="GBP")*(Expenses!A$3:A$999=DATE(2026,2,3)),ROW(Expenses!A$3:A$999)-2),5)),0)+IFERROR(INDEX(Income!C$3:C$502,SMALL(IF((Income!D$3:D$502="GBP")*(Income!A$3:A$502=DATE(2026,2,3)),ROW(Income!A$3:A$502)-2),5)),0)=0,"",IFERROR(-INDEX(Expenses!D$3:D$999,SMALL(IF((Expenses!E$3:E$999="GBP")*(Expenses!A$3:A$999=DATE(2026,2,3)),ROW(Expenses!A$3:A$999)-2),5)),0)+IFERROR(INDEX(Income!C$3:C$502,SMALL(IF((Income!D$3:D$502="GBP")*(Income!A$3:A$502=DATE(2026,2,3)),ROW(Income!A$3:A$502)-2),5)),0))</f>
        <v/>
      </c>
      <c r="F33" s="126">
        <f t="array" ref="F33">IF(IFERROR(INDEX(Expenses!B$3:B$999,SMALL(IF((Expenses!E$3:E$999="GBP")*(Expenses!A$3:A$999=DATE(2026,2,3)),ROW(Expenses!A$3:A$999)-2),5)),"")&lt;&gt;"",IFERROR(INDEX(Expenses!B$3:B$999,SMALL(IF((Expenses!E$3:E$999="GBP")*(Expenses!A$3:A$999=DATE(2026,2,3)),ROW(Expenses!A$3:A$999)-2),5)),""),IF(IFERROR(INDEX(Income!B$3:B$502,SMALL(IF((Income!D$3:D$502="GBP")*(Income!A$3:A$502=DATE(2026,2,3)),ROW(Income!A$3:A$502)-2),5)),"")&lt;&gt;"",IFERROR(INDEX(Income!B$3:B$502,SMALL(IF((Income!D$3:D$502="GBP")*(Income!A$3:A$502=DATE(2026,2,3)),ROW(Income!A$3:A$502)-2),5)),""),""))</f>
        <v/>
      </c>
      <c r="G33" s="152">
        <f t="array" ref="G33">IF(IFERROR(-INDEX(Expenses!D$3:D$999,SMALL(IF((Expenses!E$3:E$999="GBP")*(Expenses!A$3:A$999=DATE(2026,2,4)),ROW(Expenses!A$3:A$999)-2),5)),0)+IFERROR(INDEX(Income!C$3:C$502,SMALL(IF((Income!D$3:D$502="GBP")*(Income!A$3:A$502=DATE(2026,2,4)),ROW(Income!A$3:A$502)-2),5)),0)=0,"",IFERROR(-INDEX(Expenses!D$3:D$999,SMALL(IF((Expenses!E$3:E$999="GBP")*(Expenses!A$3:A$999=DATE(2026,2,4)),ROW(Expenses!A$3:A$999)-2),5)),0)+IFERROR(INDEX(Income!C$3:C$502,SMALL(IF((Income!D$3:D$502="GBP")*(Income!A$3:A$502=DATE(2026,2,4)),ROW(Income!A$3:A$502)-2),5)),0))</f>
        <v/>
      </c>
      <c r="H33" s="126">
        <f t="array" ref="H33">IF(IFERROR(INDEX(Expenses!B$3:B$999,SMALL(IF((Expenses!E$3:E$999="GBP")*(Expenses!A$3:A$999=DATE(2026,2,4)),ROW(Expenses!A$3:A$999)-2),5)),"")&lt;&gt;"",IFERROR(INDEX(Expenses!B$3:B$999,SMALL(IF((Expenses!E$3:E$999="GBP")*(Expenses!A$3:A$999=DATE(2026,2,4)),ROW(Expenses!A$3:A$999)-2),5)),""),IF(IFERROR(INDEX(Income!B$3:B$502,SMALL(IF((Income!D$3:D$502="GBP")*(Income!A$3:A$502=DATE(2026,2,4)),ROW(Income!A$3:A$502)-2),5)),"")&lt;&gt;"",IFERROR(INDEX(Income!B$3:B$502,SMALL(IF((Income!D$3:D$502="GBP")*(Income!A$3:A$502=DATE(2026,2,4)),ROW(Income!A$3:A$502)-2),5)),""),""))</f>
        <v/>
      </c>
      <c r="I33" s="152">
        <f t="array" ref="I33">IF(IFERROR(-INDEX(Expenses!D$3:D$999,SMALL(IF((Expenses!E$3:E$999="GBP")*(Expenses!A$3:A$999=DATE(2026,2,5)),ROW(Expenses!A$3:A$999)-2),5)),0)+IFERROR(INDEX(Income!C$3:C$502,SMALL(IF((Income!D$3:D$502="GBP")*(Income!A$3:A$502=DATE(2026,2,5)),ROW(Income!A$3:A$502)-2),5)),0)=0,"",IFERROR(-INDEX(Expenses!D$3:D$999,SMALL(IF((Expenses!E$3:E$999="GBP")*(Expenses!A$3:A$999=DATE(2026,2,5)),ROW(Expenses!A$3:A$999)-2),5)),0)+IFERROR(INDEX(Income!C$3:C$502,SMALL(IF((Income!D$3:D$502="GBP")*(Income!A$3:A$502=DATE(2026,2,5)),ROW(Income!A$3:A$502)-2),5)),0))</f>
        <v/>
      </c>
      <c r="J33" s="126">
        <f t="array" ref="J33">IF(IFERROR(INDEX(Expenses!B$3:B$999,SMALL(IF((Expenses!E$3:E$999="GBP")*(Expenses!A$3:A$999=DATE(2026,2,5)),ROW(Expenses!A$3:A$999)-2),5)),"")&lt;&gt;"",IFERROR(INDEX(Expenses!B$3:B$999,SMALL(IF((Expenses!E$3:E$999="GBP")*(Expenses!A$3:A$999=DATE(2026,2,5)),ROW(Expenses!A$3:A$999)-2),5)),""),IF(IFERROR(INDEX(Income!B$3:B$502,SMALL(IF((Income!D$3:D$502="GBP")*(Income!A$3:A$502=DATE(2026,2,5)),ROW(Income!A$3:A$502)-2),5)),"")&lt;&gt;"",IFERROR(INDEX(Income!B$3:B$502,SMALL(IF((Income!D$3:D$502="GBP")*(Income!A$3:A$502=DATE(2026,2,5)),ROW(Income!A$3:A$502)-2),5)),""),""))</f>
        <v/>
      </c>
      <c r="K33" s="152">
        <f t="array" ref="K33">IF(IFERROR(-INDEX(Expenses!D$3:D$999,SMALL(IF((Expenses!E$3:E$999="GBP")*(Expenses!A$3:A$999=DATE(2026,2,6)),ROW(Expenses!A$3:A$999)-2),5)),0)+IFERROR(INDEX(Income!C$3:C$502,SMALL(IF((Income!D$3:D$502="GBP")*(Income!A$3:A$502=DATE(2026,2,6)),ROW(Income!A$3:A$502)-2),5)),0)=0,"",IFERROR(-INDEX(Expenses!D$3:D$999,SMALL(IF((Expenses!E$3:E$999="GBP")*(Expenses!A$3:A$999=DATE(2026,2,6)),ROW(Expenses!A$3:A$999)-2),5)),0)+IFERROR(INDEX(Income!C$3:C$502,SMALL(IF((Income!D$3:D$502="GBP")*(Income!A$3:A$502=DATE(2026,2,6)),ROW(Income!A$3:A$502)-2),5)),0))</f>
        <v/>
      </c>
      <c r="L33" s="126">
        <f t="array" ref="L33">IF(IFERROR(INDEX(Expenses!B$3:B$999,SMALL(IF((Expenses!E$3:E$999="GBP")*(Expenses!A$3:A$999=DATE(2026,2,6)),ROW(Expenses!A$3:A$999)-2),5)),"")&lt;&gt;"",IFERROR(INDEX(Expenses!B$3:B$999,SMALL(IF((Expenses!E$3:E$999="GBP")*(Expenses!A$3:A$999=DATE(2026,2,6)),ROW(Expenses!A$3:A$999)-2),5)),""),IF(IFERROR(INDEX(Income!B$3:B$502,SMALL(IF((Income!D$3:D$502="GBP")*(Income!A$3:A$502=DATE(2026,2,6)),ROW(Income!A$3:A$502)-2),5)),"")&lt;&gt;"",IFERROR(INDEX(Income!B$3:B$502,SMALL(IF((Income!D$3:D$502="GBP")*(Income!A$3:A$502=DATE(2026,2,6)),ROW(Income!A$3:A$502)-2),5)),""),""))</f>
        <v/>
      </c>
      <c r="M33" s="152">
        <f t="array" ref="M33">IF(IFERROR(-INDEX(Expenses!D$3:D$999,SMALL(IF((Expenses!E$3:E$999="GBP")*(Expenses!A$3:A$999=DATE(2026,2,7)),ROW(Expenses!A$3:A$999)-2),5)),0)+IFERROR(INDEX(Income!C$3:C$502,SMALL(IF((Income!D$3:D$502="GBP")*(Income!A$3:A$502=DATE(2026,2,7)),ROW(Income!A$3:A$502)-2),5)),0)=0,"",IFERROR(-INDEX(Expenses!D$3:D$999,SMALL(IF((Expenses!E$3:E$999="GBP")*(Expenses!A$3:A$999=DATE(2026,2,7)),ROW(Expenses!A$3:A$999)-2),5)),0)+IFERROR(INDEX(Income!C$3:C$502,SMALL(IF((Income!D$3:D$502="GBP")*(Income!A$3:A$502=DATE(2026,2,7)),ROW(Income!A$3:A$502)-2),5)),0))</f>
        <v/>
      </c>
      <c r="N33" s="126">
        <f t="array" ref="N33">IF(IFERROR(INDEX(Expenses!B$3:B$999,SMALL(IF((Expenses!E$3:E$999="GBP")*(Expenses!A$3:A$999=DATE(2026,2,7)),ROW(Expenses!A$3:A$999)-2),5)),"")&lt;&gt;"",IFERROR(INDEX(Expenses!B$3:B$999,SMALL(IF((Expenses!E$3:E$999="GBP")*(Expenses!A$3:A$999=DATE(2026,2,7)),ROW(Expenses!A$3:A$999)-2),5)),""),IF(IFERROR(INDEX(Income!B$3:B$502,SMALL(IF((Income!D$3:D$502="GBP")*(Income!A$3:A$502=DATE(2026,2,7)),ROW(Income!A$3:A$502)-2),5)),"")&lt;&gt;"",IFERROR(INDEX(Income!B$3:B$502,SMALL(IF((Income!D$3:D$502="GBP")*(Income!A$3:A$502=DATE(2026,2,7)),ROW(Income!A$3:A$502)-2),5)),""),""))</f>
        <v/>
      </c>
      <c r="O33" s="152">
        <f t="array" ref="O33">IF(IFERROR(-INDEX(Expenses!D$3:D$999,SMALL(IF((Expenses!E$3:E$999="GBP")*(Expenses!A$3:A$999=DATE(2026,2,8)),ROW(Expenses!A$3:A$999)-2),5)),0)+IFERROR(INDEX(Income!C$3:C$502,SMALL(IF((Income!D$3:D$502="GBP")*(Income!A$3:A$502=DATE(2026,2,8)),ROW(Income!A$3:A$502)-2),5)),0)=0,"",IFERROR(-INDEX(Expenses!D$3:D$999,SMALL(IF((Expenses!E$3:E$999="GBP")*(Expenses!A$3:A$999=DATE(2026,2,8)),ROW(Expenses!A$3:A$999)-2),5)),0)+IFERROR(INDEX(Income!C$3:C$502,SMALL(IF((Income!D$3:D$502="GBP")*(Income!A$3:A$502=DATE(2026,2,8)),ROW(Income!A$3:A$502)-2),5)),0))</f>
        <v/>
      </c>
      <c r="P33" s="126">
        <f t="array" ref="P33">IF(IFERROR(INDEX(Expenses!B$3:B$999,SMALL(IF((Expenses!E$3:E$999="GBP")*(Expenses!A$3:A$999=DATE(2026,2,8)),ROW(Expenses!A$3:A$999)-2),5)),"")&lt;&gt;"",IFERROR(INDEX(Expenses!B$3:B$999,SMALL(IF((Expenses!E$3:E$999="GBP")*(Expenses!A$3:A$999=DATE(2026,2,8)),ROW(Expenses!A$3:A$999)-2),5)),""),IF(IFERROR(INDEX(Income!B$3:B$502,SMALL(IF((Income!D$3:D$502="GBP")*(Income!A$3:A$502=DATE(2026,2,8)),ROW(Income!A$3:A$502)-2),5)),"")&lt;&gt;"",IFERROR(INDEX(Income!B$3:B$502,SMALL(IF((Income!D$3:D$502="GBP")*(Income!A$3:A$502=DATE(2026,2,8)),ROW(Income!A$3:A$502)-2),5)),""),""))</f>
        <v/>
      </c>
      <c r="Q33" s="9" t="n"/>
      <c r="R33" s="9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68">
      <c r="A34" s="151" t="n">
        <v>46062</v>
      </c>
      <c r="B34" s="103" t="n">
        <v>7</v>
      </c>
      <c r="C34" s="152">
        <f t="array" ref="C34">IF(IFERROR(-INDEX(Expenses!D$3:D$999,SMALL(IF((Expenses!E$3:E$999="GBP")*(Expenses!A$3:A$999=DATE(2026,2,9)),ROW(Expenses!A$3:A$999)-2),1)),0)+IFERROR(INDEX(Income!C$3:C$502,SMALL(IF((Income!D$3:D$502="GBP")*(Income!A$3:A$502=DATE(2026,2,9)),ROW(Income!A$3:A$502)-2),1)),0)=0,"",IFERROR(-INDEX(Expenses!D$3:D$999,SMALL(IF((Expenses!E$3:E$999="GBP")*(Expenses!A$3:A$999=DATE(2026,2,9)),ROW(Expenses!A$3:A$999)-2),1)),0)+IFERROR(INDEX(Income!C$3:C$502,SMALL(IF((Income!D$3:D$502="GBP")*(Income!A$3:A$502=DATE(2026,2,9)),ROW(Income!A$3:A$502)-2),1)),0))</f>
        <v/>
      </c>
      <c r="D34" s="126">
        <f t="array" ref="D34">IF(IFERROR(INDEX(Expenses!B$3:B$999,SMALL(IF((Expenses!E$3:E$999="GBP")*(Expenses!A$3:A$999=DATE(2026,2,9)),ROW(Expenses!A$3:A$999)-2),1)),"")&lt;&gt;"",IFERROR(INDEX(Expenses!B$3:B$999,SMALL(IF((Expenses!E$3:E$999="GBP")*(Expenses!A$3:A$999=DATE(2026,2,9)),ROW(Expenses!A$3:A$999)-2),1)),""),IF(IFERROR(INDEX(Income!B$3:B$502,SMALL(IF((Income!D$3:D$502="GBP")*(Income!A$3:A$502=DATE(2026,2,9)),ROW(Income!A$3:A$502)-2),1)),"")&lt;&gt;"",IFERROR(INDEX(Income!B$3:B$502,SMALL(IF((Income!D$3:D$502="GBP")*(Income!A$3:A$502=DATE(2026,2,9)),ROW(Income!A$3:A$502)-2),1)),""),""))</f>
        <v/>
      </c>
      <c r="E34" s="152">
        <f t="array" ref="E34">IF(IFERROR(-INDEX(Expenses!D$3:D$999,SMALL(IF((Expenses!E$3:E$999="GBP")*(Expenses!A$3:A$999=DATE(2026,2,10)),ROW(Expenses!A$3:A$999)-2),1)),0)+IFERROR(INDEX(Income!C$3:C$502,SMALL(IF((Income!D$3:D$502="GBP")*(Income!A$3:A$502=DATE(2026,2,10)),ROW(Income!A$3:A$502)-2),1)),0)=0,"",IFERROR(-INDEX(Expenses!D$3:D$999,SMALL(IF((Expenses!E$3:E$999="GBP")*(Expenses!A$3:A$999=DATE(2026,2,10)),ROW(Expenses!A$3:A$999)-2),1)),0)+IFERROR(INDEX(Income!C$3:C$502,SMALL(IF((Income!D$3:D$502="GBP")*(Income!A$3:A$502=DATE(2026,2,10)),ROW(Income!A$3:A$502)-2),1)),0))</f>
        <v/>
      </c>
      <c r="F34" s="126">
        <f t="array" ref="F34">IF(IFERROR(INDEX(Expenses!B$3:B$999,SMALL(IF((Expenses!E$3:E$999="GBP")*(Expenses!A$3:A$999=DATE(2026,2,10)),ROW(Expenses!A$3:A$999)-2),1)),"")&lt;&gt;"",IFERROR(INDEX(Expenses!B$3:B$999,SMALL(IF((Expenses!E$3:E$999="GBP")*(Expenses!A$3:A$999=DATE(2026,2,10)),ROW(Expenses!A$3:A$999)-2),1)),""),IF(IFERROR(INDEX(Income!B$3:B$502,SMALL(IF((Income!D$3:D$502="GBP")*(Income!A$3:A$502=DATE(2026,2,10)),ROW(Income!A$3:A$502)-2),1)),"")&lt;&gt;"",IFERROR(INDEX(Income!B$3:B$502,SMALL(IF((Income!D$3:D$502="GBP")*(Income!A$3:A$502=DATE(2026,2,10)),ROW(Income!A$3:A$502)-2),1)),""),""))</f>
        <v/>
      </c>
      <c r="G34" s="152">
        <f t="array" ref="G34">IF(IFERROR(-INDEX(Expenses!D$3:D$999,SMALL(IF((Expenses!E$3:E$999="GBP")*(Expenses!A$3:A$999=DATE(2026,2,11)),ROW(Expenses!A$3:A$999)-2),1)),0)+IFERROR(INDEX(Income!C$3:C$502,SMALL(IF((Income!D$3:D$502="GBP")*(Income!A$3:A$502=DATE(2026,2,11)),ROW(Income!A$3:A$502)-2),1)),0)=0,"",IFERROR(-INDEX(Expenses!D$3:D$999,SMALL(IF((Expenses!E$3:E$999="GBP")*(Expenses!A$3:A$999=DATE(2026,2,11)),ROW(Expenses!A$3:A$999)-2),1)),0)+IFERROR(INDEX(Income!C$3:C$502,SMALL(IF((Income!D$3:D$502="GBP")*(Income!A$3:A$502=DATE(2026,2,11)),ROW(Income!A$3:A$502)-2),1)),0))</f>
        <v/>
      </c>
      <c r="H34" s="126">
        <f t="array" ref="H34">IF(IFERROR(INDEX(Expenses!B$3:B$999,SMALL(IF((Expenses!E$3:E$999="GBP")*(Expenses!A$3:A$999=DATE(2026,2,11)),ROW(Expenses!A$3:A$999)-2),1)),"")&lt;&gt;"",IFERROR(INDEX(Expenses!B$3:B$999,SMALL(IF((Expenses!E$3:E$999="GBP")*(Expenses!A$3:A$999=DATE(2026,2,11)),ROW(Expenses!A$3:A$999)-2),1)),""),IF(IFERROR(INDEX(Income!B$3:B$502,SMALL(IF((Income!D$3:D$502="GBP")*(Income!A$3:A$502=DATE(2026,2,11)),ROW(Income!A$3:A$502)-2),1)),"")&lt;&gt;"",IFERROR(INDEX(Income!B$3:B$502,SMALL(IF((Income!D$3:D$502="GBP")*(Income!A$3:A$502=DATE(2026,2,11)),ROW(Income!A$3:A$502)-2),1)),""),""))</f>
        <v/>
      </c>
      <c r="I34" s="152">
        <f t="array" ref="I34">IF(IFERROR(-INDEX(Expenses!D$3:D$999,SMALL(IF((Expenses!E$3:E$999="GBP")*(Expenses!A$3:A$999=DATE(2026,2,12)),ROW(Expenses!A$3:A$999)-2),1)),0)+IFERROR(INDEX(Income!C$3:C$502,SMALL(IF((Income!D$3:D$502="GBP")*(Income!A$3:A$502=DATE(2026,2,12)),ROW(Income!A$3:A$502)-2),1)),0)=0,"",IFERROR(-INDEX(Expenses!D$3:D$999,SMALL(IF((Expenses!E$3:E$999="GBP")*(Expenses!A$3:A$999=DATE(2026,2,12)),ROW(Expenses!A$3:A$999)-2),1)),0)+IFERROR(INDEX(Income!C$3:C$502,SMALL(IF((Income!D$3:D$502="GBP")*(Income!A$3:A$502=DATE(2026,2,12)),ROW(Income!A$3:A$502)-2),1)),0))</f>
        <v/>
      </c>
      <c r="J34" s="126">
        <f t="array" ref="J34">IF(IFERROR(INDEX(Expenses!B$3:B$999,SMALL(IF((Expenses!E$3:E$999="GBP")*(Expenses!A$3:A$999=DATE(2026,2,12)),ROW(Expenses!A$3:A$999)-2),1)),"")&lt;&gt;"",IFERROR(INDEX(Expenses!B$3:B$999,SMALL(IF((Expenses!E$3:E$999="GBP")*(Expenses!A$3:A$999=DATE(2026,2,12)),ROW(Expenses!A$3:A$999)-2),1)),""),IF(IFERROR(INDEX(Income!B$3:B$502,SMALL(IF((Income!D$3:D$502="GBP")*(Income!A$3:A$502=DATE(2026,2,12)),ROW(Income!A$3:A$502)-2),1)),"")&lt;&gt;"",IFERROR(INDEX(Income!B$3:B$502,SMALL(IF((Income!D$3:D$502="GBP")*(Income!A$3:A$502=DATE(2026,2,12)),ROW(Income!A$3:A$502)-2),1)),""),""))</f>
        <v/>
      </c>
      <c r="K34" s="152">
        <f t="array" ref="K34">IF(IFERROR(-INDEX(Expenses!D$3:D$999,SMALL(IF((Expenses!E$3:E$999="GBP")*(Expenses!A$3:A$999=DATE(2026,2,13)),ROW(Expenses!A$3:A$999)-2),1)),0)+IFERROR(INDEX(Income!C$3:C$502,SMALL(IF((Income!D$3:D$502="GBP")*(Income!A$3:A$502=DATE(2026,2,13)),ROW(Income!A$3:A$502)-2),1)),0)=0,"",IFERROR(-INDEX(Expenses!D$3:D$999,SMALL(IF((Expenses!E$3:E$999="GBP")*(Expenses!A$3:A$999=DATE(2026,2,13)),ROW(Expenses!A$3:A$999)-2),1)),0)+IFERROR(INDEX(Income!C$3:C$502,SMALL(IF((Income!D$3:D$502="GBP")*(Income!A$3:A$502=DATE(2026,2,13)),ROW(Income!A$3:A$502)-2),1)),0))</f>
        <v/>
      </c>
      <c r="L34" s="126">
        <f t="array" ref="L34">IF(IFERROR(INDEX(Expenses!B$3:B$999,SMALL(IF((Expenses!E$3:E$999="GBP")*(Expenses!A$3:A$999=DATE(2026,2,13)),ROW(Expenses!A$3:A$999)-2),1)),"")&lt;&gt;"",IFERROR(INDEX(Expenses!B$3:B$999,SMALL(IF((Expenses!E$3:E$999="GBP")*(Expenses!A$3:A$999=DATE(2026,2,13)),ROW(Expenses!A$3:A$999)-2),1)),""),IF(IFERROR(INDEX(Income!B$3:B$502,SMALL(IF((Income!D$3:D$502="GBP")*(Income!A$3:A$502=DATE(2026,2,13)),ROW(Income!A$3:A$502)-2),1)),"")&lt;&gt;"",IFERROR(INDEX(Income!B$3:B$502,SMALL(IF((Income!D$3:D$502="GBP")*(Income!A$3:A$502=DATE(2026,2,13)),ROW(Income!A$3:A$502)-2),1)),""),""))</f>
        <v/>
      </c>
      <c r="M34" s="152">
        <f t="array" ref="M34">IF(IFERROR(-INDEX(Expenses!D$3:D$999,SMALL(IF((Expenses!E$3:E$999="GBP")*(Expenses!A$3:A$999=DATE(2026,2,14)),ROW(Expenses!A$3:A$999)-2),1)),0)+IFERROR(INDEX(Income!C$3:C$502,SMALL(IF((Income!D$3:D$502="GBP")*(Income!A$3:A$502=DATE(2026,2,14)),ROW(Income!A$3:A$502)-2),1)),0)=0,"",IFERROR(-INDEX(Expenses!D$3:D$999,SMALL(IF((Expenses!E$3:E$999="GBP")*(Expenses!A$3:A$999=DATE(2026,2,14)),ROW(Expenses!A$3:A$999)-2),1)),0)+IFERROR(INDEX(Income!C$3:C$502,SMALL(IF((Income!D$3:D$502="GBP")*(Income!A$3:A$502=DATE(2026,2,14)),ROW(Income!A$3:A$502)-2),1)),0))</f>
        <v/>
      </c>
      <c r="N34" s="126">
        <f t="array" ref="N34">IF(IFERROR(INDEX(Expenses!B$3:B$999,SMALL(IF((Expenses!E$3:E$999="GBP")*(Expenses!A$3:A$999=DATE(2026,2,14)),ROW(Expenses!A$3:A$999)-2),1)),"")&lt;&gt;"",IFERROR(INDEX(Expenses!B$3:B$999,SMALL(IF((Expenses!E$3:E$999="GBP")*(Expenses!A$3:A$999=DATE(2026,2,14)),ROW(Expenses!A$3:A$999)-2),1)),""),IF(IFERROR(INDEX(Income!B$3:B$502,SMALL(IF((Income!D$3:D$502="GBP")*(Income!A$3:A$502=DATE(2026,2,14)),ROW(Income!A$3:A$502)-2),1)),"")&lt;&gt;"",IFERROR(INDEX(Income!B$3:B$502,SMALL(IF((Income!D$3:D$502="GBP")*(Income!A$3:A$502=DATE(2026,2,14)),ROW(Income!A$3:A$502)-2),1)),""),""))</f>
        <v/>
      </c>
      <c r="O34" s="152">
        <f t="array" ref="O34">IF(IFERROR(-INDEX(Expenses!D$3:D$999,SMALL(IF((Expenses!E$3:E$999="GBP")*(Expenses!A$3:A$999=DATE(2026,2,15)),ROW(Expenses!A$3:A$999)-2),1)),0)+IFERROR(INDEX(Income!C$3:C$502,SMALL(IF((Income!D$3:D$502="GBP")*(Income!A$3:A$502=DATE(2026,2,15)),ROW(Income!A$3:A$502)-2),1)),0)=0,"",IFERROR(-INDEX(Expenses!D$3:D$999,SMALL(IF((Expenses!E$3:E$999="GBP")*(Expenses!A$3:A$999=DATE(2026,2,15)),ROW(Expenses!A$3:A$999)-2),1)),0)+IFERROR(INDEX(Income!C$3:C$502,SMALL(IF((Income!D$3:D$502="GBP")*(Income!A$3:A$502=DATE(2026,2,15)),ROW(Income!A$3:A$502)-2),1)),0))</f>
        <v/>
      </c>
      <c r="P34" s="126">
        <f t="array" ref="P34">IF(IFERROR(INDEX(Expenses!B$3:B$999,SMALL(IF((Expenses!E$3:E$999="GBP")*(Expenses!A$3:A$999=DATE(2026,2,15)),ROW(Expenses!A$3:A$999)-2),1)),"")&lt;&gt;"",IFERROR(INDEX(Expenses!B$3:B$999,SMALL(IF((Expenses!E$3:E$999="GBP")*(Expenses!A$3:A$999=DATE(2026,2,15)),ROW(Expenses!A$3:A$999)-2),1)),""),IF(IFERROR(INDEX(Income!B$3:B$502,SMALL(IF((Income!D$3:D$502="GBP")*(Income!A$3:A$502=DATE(2026,2,15)),ROW(Income!A$3:A$502)-2),1)),"")&lt;&gt;"",IFERROR(INDEX(Income!B$3:B$502,SMALL(IF((Income!D$3:D$502="GBP")*(Income!A$3:A$502=DATE(2026,2,15)),ROW(Income!A$3:A$502)-2),1)),""),""))</f>
        <v/>
      </c>
      <c r="Q34" s="103" t="n">
        <v>7</v>
      </c>
      <c r="R34" s="134">
        <f>SUM(C34:C38)+SUM(E34:E38)+SUM(G34:G38)+SUM(I34:I38)+SUM(K34:K38)+SUM(M34:M38)+SUM(O34:O38)</f>
        <v/>
      </c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68">
      <c r="A35" s="9" t="n"/>
      <c r="B35" s="9" t="n"/>
      <c r="C35" s="152">
        <f t="array" ref="C35">IF(IFERROR(-INDEX(Expenses!D$3:D$999,SMALL(IF((Expenses!E$3:E$999="GBP")*(Expenses!A$3:A$999=DATE(2026,2,9)),ROW(Expenses!A$3:A$999)-2),2)),0)+IFERROR(INDEX(Income!C$3:C$502,SMALL(IF((Income!D$3:D$502="GBP")*(Income!A$3:A$502=DATE(2026,2,9)),ROW(Income!A$3:A$502)-2),2)),0)=0,"",IFERROR(-INDEX(Expenses!D$3:D$999,SMALL(IF((Expenses!E$3:E$999="GBP")*(Expenses!A$3:A$999=DATE(2026,2,9)),ROW(Expenses!A$3:A$999)-2),2)),0)+IFERROR(INDEX(Income!C$3:C$502,SMALL(IF((Income!D$3:D$502="GBP")*(Income!A$3:A$502=DATE(2026,2,9)),ROW(Income!A$3:A$502)-2),2)),0))</f>
        <v/>
      </c>
      <c r="D35" s="126">
        <f t="array" ref="D35">IF(IFERROR(INDEX(Expenses!B$3:B$999,SMALL(IF((Expenses!E$3:E$999="GBP")*(Expenses!A$3:A$999=DATE(2026,2,9)),ROW(Expenses!A$3:A$999)-2),2)),"")&lt;&gt;"",IFERROR(INDEX(Expenses!B$3:B$999,SMALL(IF((Expenses!E$3:E$999="GBP")*(Expenses!A$3:A$999=DATE(2026,2,9)),ROW(Expenses!A$3:A$999)-2),2)),""),IF(IFERROR(INDEX(Income!B$3:B$502,SMALL(IF((Income!D$3:D$502="GBP")*(Income!A$3:A$502=DATE(2026,2,9)),ROW(Income!A$3:A$502)-2),2)),"")&lt;&gt;"",IFERROR(INDEX(Income!B$3:B$502,SMALL(IF((Income!D$3:D$502="GBP")*(Income!A$3:A$502=DATE(2026,2,9)),ROW(Income!A$3:A$502)-2),2)),""),""))</f>
        <v/>
      </c>
      <c r="E35" s="152">
        <f t="array" ref="E35">IF(IFERROR(-INDEX(Expenses!D$3:D$999,SMALL(IF((Expenses!E$3:E$999="GBP")*(Expenses!A$3:A$999=DATE(2026,2,10)),ROW(Expenses!A$3:A$999)-2),2)),0)+IFERROR(INDEX(Income!C$3:C$502,SMALL(IF((Income!D$3:D$502="GBP")*(Income!A$3:A$502=DATE(2026,2,10)),ROW(Income!A$3:A$502)-2),2)),0)=0,"",IFERROR(-INDEX(Expenses!D$3:D$999,SMALL(IF((Expenses!E$3:E$999="GBP")*(Expenses!A$3:A$999=DATE(2026,2,10)),ROW(Expenses!A$3:A$999)-2),2)),0)+IFERROR(INDEX(Income!C$3:C$502,SMALL(IF((Income!D$3:D$502="GBP")*(Income!A$3:A$502=DATE(2026,2,10)),ROW(Income!A$3:A$502)-2),2)),0))</f>
        <v/>
      </c>
      <c r="F35" s="126">
        <f t="array" ref="F35">IF(IFERROR(INDEX(Expenses!B$3:B$999,SMALL(IF((Expenses!E$3:E$999="GBP")*(Expenses!A$3:A$999=DATE(2026,2,10)),ROW(Expenses!A$3:A$999)-2),2)),"")&lt;&gt;"",IFERROR(INDEX(Expenses!B$3:B$999,SMALL(IF((Expenses!E$3:E$999="GBP")*(Expenses!A$3:A$999=DATE(2026,2,10)),ROW(Expenses!A$3:A$999)-2),2)),""),IF(IFERROR(INDEX(Income!B$3:B$502,SMALL(IF((Income!D$3:D$502="GBP")*(Income!A$3:A$502=DATE(2026,2,10)),ROW(Income!A$3:A$502)-2),2)),"")&lt;&gt;"",IFERROR(INDEX(Income!B$3:B$502,SMALL(IF((Income!D$3:D$502="GBP")*(Income!A$3:A$502=DATE(2026,2,10)),ROW(Income!A$3:A$502)-2),2)),""),""))</f>
        <v/>
      </c>
      <c r="G35" s="152">
        <f t="array" ref="G35">IF(IFERROR(-INDEX(Expenses!D$3:D$999,SMALL(IF((Expenses!E$3:E$999="GBP")*(Expenses!A$3:A$999=DATE(2026,2,11)),ROW(Expenses!A$3:A$999)-2),2)),0)+IFERROR(INDEX(Income!C$3:C$502,SMALL(IF((Income!D$3:D$502="GBP")*(Income!A$3:A$502=DATE(2026,2,11)),ROW(Income!A$3:A$502)-2),2)),0)=0,"",IFERROR(-INDEX(Expenses!D$3:D$999,SMALL(IF((Expenses!E$3:E$999="GBP")*(Expenses!A$3:A$999=DATE(2026,2,11)),ROW(Expenses!A$3:A$999)-2),2)),0)+IFERROR(INDEX(Income!C$3:C$502,SMALL(IF((Income!D$3:D$502="GBP")*(Income!A$3:A$502=DATE(2026,2,11)),ROW(Income!A$3:A$502)-2),2)),0))</f>
        <v/>
      </c>
      <c r="H35" s="126">
        <f t="array" ref="H35">IF(IFERROR(INDEX(Expenses!B$3:B$999,SMALL(IF((Expenses!E$3:E$999="GBP")*(Expenses!A$3:A$999=DATE(2026,2,11)),ROW(Expenses!A$3:A$999)-2),2)),"")&lt;&gt;"",IFERROR(INDEX(Expenses!B$3:B$999,SMALL(IF((Expenses!E$3:E$999="GBP")*(Expenses!A$3:A$999=DATE(2026,2,11)),ROW(Expenses!A$3:A$999)-2),2)),""),IF(IFERROR(INDEX(Income!B$3:B$502,SMALL(IF((Income!D$3:D$502="GBP")*(Income!A$3:A$502=DATE(2026,2,11)),ROW(Income!A$3:A$502)-2),2)),"")&lt;&gt;"",IFERROR(INDEX(Income!B$3:B$502,SMALL(IF((Income!D$3:D$502="GBP")*(Income!A$3:A$502=DATE(2026,2,11)),ROW(Income!A$3:A$502)-2),2)),""),""))</f>
        <v/>
      </c>
      <c r="I35" s="152">
        <f t="array" ref="I35">IF(IFERROR(-INDEX(Expenses!D$3:D$999,SMALL(IF((Expenses!E$3:E$999="GBP")*(Expenses!A$3:A$999=DATE(2026,2,12)),ROW(Expenses!A$3:A$999)-2),2)),0)+IFERROR(INDEX(Income!C$3:C$502,SMALL(IF((Income!D$3:D$502="GBP")*(Income!A$3:A$502=DATE(2026,2,12)),ROW(Income!A$3:A$502)-2),2)),0)=0,"",IFERROR(-INDEX(Expenses!D$3:D$999,SMALL(IF((Expenses!E$3:E$999="GBP")*(Expenses!A$3:A$999=DATE(2026,2,12)),ROW(Expenses!A$3:A$999)-2),2)),0)+IFERROR(INDEX(Income!C$3:C$502,SMALL(IF((Income!D$3:D$502="GBP")*(Income!A$3:A$502=DATE(2026,2,12)),ROW(Income!A$3:A$502)-2),2)),0))</f>
        <v/>
      </c>
      <c r="J35" s="126">
        <f t="array" ref="J35">IF(IFERROR(INDEX(Expenses!B$3:B$999,SMALL(IF((Expenses!E$3:E$999="GBP")*(Expenses!A$3:A$999=DATE(2026,2,12)),ROW(Expenses!A$3:A$999)-2),2)),"")&lt;&gt;"",IFERROR(INDEX(Expenses!B$3:B$999,SMALL(IF((Expenses!E$3:E$999="GBP")*(Expenses!A$3:A$999=DATE(2026,2,12)),ROW(Expenses!A$3:A$999)-2),2)),""),IF(IFERROR(INDEX(Income!B$3:B$502,SMALL(IF((Income!D$3:D$502="GBP")*(Income!A$3:A$502=DATE(2026,2,12)),ROW(Income!A$3:A$502)-2),2)),"")&lt;&gt;"",IFERROR(INDEX(Income!B$3:B$502,SMALL(IF((Income!D$3:D$502="GBP")*(Income!A$3:A$502=DATE(2026,2,12)),ROW(Income!A$3:A$502)-2),2)),""),""))</f>
        <v/>
      </c>
      <c r="K35" s="152">
        <f t="array" ref="K35">IF(IFERROR(-INDEX(Expenses!D$3:D$999,SMALL(IF((Expenses!E$3:E$999="GBP")*(Expenses!A$3:A$999=DATE(2026,2,13)),ROW(Expenses!A$3:A$999)-2),2)),0)+IFERROR(INDEX(Income!C$3:C$502,SMALL(IF((Income!D$3:D$502="GBP")*(Income!A$3:A$502=DATE(2026,2,13)),ROW(Income!A$3:A$502)-2),2)),0)=0,"",IFERROR(-INDEX(Expenses!D$3:D$999,SMALL(IF((Expenses!E$3:E$999="GBP")*(Expenses!A$3:A$999=DATE(2026,2,13)),ROW(Expenses!A$3:A$999)-2),2)),0)+IFERROR(INDEX(Income!C$3:C$502,SMALL(IF((Income!D$3:D$502="GBP")*(Income!A$3:A$502=DATE(2026,2,13)),ROW(Income!A$3:A$502)-2),2)),0))</f>
        <v/>
      </c>
      <c r="L35" s="126">
        <f t="array" ref="L35">IF(IFERROR(INDEX(Expenses!B$3:B$999,SMALL(IF((Expenses!E$3:E$999="GBP")*(Expenses!A$3:A$999=DATE(2026,2,13)),ROW(Expenses!A$3:A$999)-2),2)),"")&lt;&gt;"",IFERROR(INDEX(Expenses!B$3:B$999,SMALL(IF((Expenses!E$3:E$999="GBP")*(Expenses!A$3:A$999=DATE(2026,2,13)),ROW(Expenses!A$3:A$999)-2),2)),""),IF(IFERROR(INDEX(Income!B$3:B$502,SMALL(IF((Income!D$3:D$502="GBP")*(Income!A$3:A$502=DATE(2026,2,13)),ROW(Income!A$3:A$502)-2),2)),"")&lt;&gt;"",IFERROR(INDEX(Income!B$3:B$502,SMALL(IF((Income!D$3:D$502="GBP")*(Income!A$3:A$502=DATE(2026,2,13)),ROW(Income!A$3:A$502)-2),2)),""),""))</f>
        <v/>
      </c>
      <c r="M35" s="152">
        <f t="array" ref="M35">IF(IFERROR(-INDEX(Expenses!D$3:D$999,SMALL(IF((Expenses!E$3:E$999="GBP")*(Expenses!A$3:A$999=DATE(2026,2,14)),ROW(Expenses!A$3:A$999)-2),2)),0)+IFERROR(INDEX(Income!C$3:C$502,SMALL(IF((Income!D$3:D$502="GBP")*(Income!A$3:A$502=DATE(2026,2,14)),ROW(Income!A$3:A$502)-2),2)),0)=0,"",IFERROR(-INDEX(Expenses!D$3:D$999,SMALL(IF((Expenses!E$3:E$999="GBP")*(Expenses!A$3:A$999=DATE(2026,2,14)),ROW(Expenses!A$3:A$999)-2),2)),0)+IFERROR(INDEX(Income!C$3:C$502,SMALL(IF((Income!D$3:D$502="GBP")*(Income!A$3:A$502=DATE(2026,2,14)),ROW(Income!A$3:A$502)-2),2)),0))</f>
        <v/>
      </c>
      <c r="N35" s="126">
        <f t="array" ref="N35">IF(IFERROR(INDEX(Expenses!B$3:B$999,SMALL(IF((Expenses!E$3:E$999="GBP")*(Expenses!A$3:A$999=DATE(2026,2,14)),ROW(Expenses!A$3:A$999)-2),2)),"")&lt;&gt;"",IFERROR(INDEX(Expenses!B$3:B$999,SMALL(IF((Expenses!E$3:E$999="GBP")*(Expenses!A$3:A$999=DATE(2026,2,14)),ROW(Expenses!A$3:A$999)-2),2)),""),IF(IFERROR(INDEX(Income!B$3:B$502,SMALL(IF((Income!D$3:D$502="GBP")*(Income!A$3:A$502=DATE(2026,2,14)),ROW(Income!A$3:A$502)-2),2)),"")&lt;&gt;"",IFERROR(INDEX(Income!B$3:B$502,SMALL(IF((Income!D$3:D$502="GBP")*(Income!A$3:A$502=DATE(2026,2,14)),ROW(Income!A$3:A$502)-2),2)),""),""))</f>
        <v/>
      </c>
      <c r="O35" s="152">
        <f t="array" ref="O35">IF(IFERROR(-INDEX(Expenses!D$3:D$999,SMALL(IF((Expenses!E$3:E$999="GBP")*(Expenses!A$3:A$999=DATE(2026,2,15)),ROW(Expenses!A$3:A$999)-2),2)),0)+IFERROR(INDEX(Income!C$3:C$502,SMALL(IF((Income!D$3:D$502="GBP")*(Income!A$3:A$502=DATE(2026,2,15)),ROW(Income!A$3:A$502)-2),2)),0)=0,"",IFERROR(-INDEX(Expenses!D$3:D$999,SMALL(IF((Expenses!E$3:E$999="GBP")*(Expenses!A$3:A$999=DATE(2026,2,15)),ROW(Expenses!A$3:A$999)-2),2)),0)+IFERROR(INDEX(Income!C$3:C$502,SMALL(IF((Income!D$3:D$502="GBP")*(Income!A$3:A$502=DATE(2026,2,15)),ROW(Income!A$3:A$502)-2),2)),0))</f>
        <v/>
      </c>
      <c r="P35" s="126">
        <f t="array" ref="P35">IF(IFERROR(INDEX(Expenses!B$3:B$999,SMALL(IF((Expenses!E$3:E$999="GBP")*(Expenses!A$3:A$999=DATE(2026,2,15)),ROW(Expenses!A$3:A$999)-2),2)),"")&lt;&gt;"",IFERROR(INDEX(Expenses!B$3:B$999,SMALL(IF((Expenses!E$3:E$999="GBP")*(Expenses!A$3:A$999=DATE(2026,2,15)),ROW(Expenses!A$3:A$999)-2),2)),""),IF(IFERROR(INDEX(Income!B$3:B$502,SMALL(IF((Income!D$3:D$502="GBP")*(Income!A$3:A$502=DATE(2026,2,15)),ROW(Income!A$3:A$502)-2),2)),"")&lt;&gt;"",IFERROR(INDEX(Income!B$3:B$502,SMALL(IF((Income!D$3:D$502="GBP")*(Income!A$3:A$502=DATE(2026,2,15)),ROW(Income!A$3:A$502)-2),2)),""),""))</f>
        <v/>
      </c>
      <c r="Q35" s="9" t="n"/>
      <c r="R35" s="9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68">
      <c r="A36" s="9" t="n"/>
      <c r="B36" s="9" t="n"/>
      <c r="C36" s="152">
        <f t="array" ref="C36">IF(IFERROR(-INDEX(Expenses!D$3:D$999,SMALL(IF((Expenses!E$3:E$999="GBP")*(Expenses!A$3:A$999=DATE(2026,2,9)),ROW(Expenses!A$3:A$999)-2),3)),0)+IFERROR(INDEX(Income!C$3:C$502,SMALL(IF((Income!D$3:D$502="GBP")*(Income!A$3:A$502=DATE(2026,2,9)),ROW(Income!A$3:A$502)-2),3)),0)=0,"",IFERROR(-INDEX(Expenses!D$3:D$999,SMALL(IF((Expenses!E$3:E$999="GBP")*(Expenses!A$3:A$999=DATE(2026,2,9)),ROW(Expenses!A$3:A$999)-2),3)),0)+IFERROR(INDEX(Income!C$3:C$502,SMALL(IF((Income!D$3:D$502="GBP")*(Income!A$3:A$502=DATE(2026,2,9)),ROW(Income!A$3:A$502)-2),3)),0))</f>
        <v/>
      </c>
      <c r="D36" s="126">
        <f t="array" ref="D36">IF(IFERROR(INDEX(Expenses!B$3:B$999,SMALL(IF((Expenses!E$3:E$999="GBP")*(Expenses!A$3:A$999=DATE(2026,2,9)),ROW(Expenses!A$3:A$999)-2),3)),"")&lt;&gt;"",IFERROR(INDEX(Expenses!B$3:B$999,SMALL(IF((Expenses!E$3:E$999="GBP")*(Expenses!A$3:A$999=DATE(2026,2,9)),ROW(Expenses!A$3:A$999)-2),3)),""),IF(IFERROR(INDEX(Income!B$3:B$502,SMALL(IF((Income!D$3:D$502="GBP")*(Income!A$3:A$502=DATE(2026,2,9)),ROW(Income!A$3:A$502)-2),3)),"")&lt;&gt;"",IFERROR(INDEX(Income!B$3:B$502,SMALL(IF((Income!D$3:D$502="GBP")*(Income!A$3:A$502=DATE(2026,2,9)),ROW(Income!A$3:A$502)-2),3)),""),""))</f>
        <v/>
      </c>
      <c r="E36" s="152">
        <f t="array" ref="E36">IF(IFERROR(-INDEX(Expenses!D$3:D$999,SMALL(IF((Expenses!E$3:E$999="GBP")*(Expenses!A$3:A$999=DATE(2026,2,10)),ROW(Expenses!A$3:A$999)-2),3)),0)+IFERROR(INDEX(Income!C$3:C$502,SMALL(IF((Income!D$3:D$502="GBP")*(Income!A$3:A$502=DATE(2026,2,10)),ROW(Income!A$3:A$502)-2),3)),0)=0,"",IFERROR(-INDEX(Expenses!D$3:D$999,SMALL(IF((Expenses!E$3:E$999="GBP")*(Expenses!A$3:A$999=DATE(2026,2,10)),ROW(Expenses!A$3:A$999)-2),3)),0)+IFERROR(INDEX(Income!C$3:C$502,SMALL(IF((Income!D$3:D$502="GBP")*(Income!A$3:A$502=DATE(2026,2,10)),ROW(Income!A$3:A$502)-2),3)),0))</f>
        <v/>
      </c>
      <c r="F36" s="126">
        <f t="array" ref="F36">IF(IFERROR(INDEX(Expenses!B$3:B$999,SMALL(IF((Expenses!E$3:E$999="GBP")*(Expenses!A$3:A$999=DATE(2026,2,10)),ROW(Expenses!A$3:A$999)-2),3)),"")&lt;&gt;"",IFERROR(INDEX(Expenses!B$3:B$999,SMALL(IF((Expenses!E$3:E$999="GBP")*(Expenses!A$3:A$999=DATE(2026,2,10)),ROW(Expenses!A$3:A$999)-2),3)),""),IF(IFERROR(INDEX(Income!B$3:B$502,SMALL(IF((Income!D$3:D$502="GBP")*(Income!A$3:A$502=DATE(2026,2,10)),ROW(Income!A$3:A$502)-2),3)),"")&lt;&gt;"",IFERROR(INDEX(Income!B$3:B$502,SMALL(IF((Income!D$3:D$502="GBP")*(Income!A$3:A$502=DATE(2026,2,10)),ROW(Income!A$3:A$502)-2),3)),""),""))</f>
        <v/>
      </c>
      <c r="G36" s="152">
        <f t="array" ref="G36">IF(IFERROR(-INDEX(Expenses!D$3:D$999,SMALL(IF((Expenses!E$3:E$999="GBP")*(Expenses!A$3:A$999=DATE(2026,2,11)),ROW(Expenses!A$3:A$999)-2),3)),0)+IFERROR(INDEX(Income!C$3:C$502,SMALL(IF((Income!D$3:D$502="GBP")*(Income!A$3:A$502=DATE(2026,2,11)),ROW(Income!A$3:A$502)-2),3)),0)=0,"",IFERROR(-INDEX(Expenses!D$3:D$999,SMALL(IF((Expenses!E$3:E$999="GBP")*(Expenses!A$3:A$999=DATE(2026,2,11)),ROW(Expenses!A$3:A$999)-2),3)),0)+IFERROR(INDEX(Income!C$3:C$502,SMALL(IF((Income!D$3:D$502="GBP")*(Income!A$3:A$502=DATE(2026,2,11)),ROW(Income!A$3:A$502)-2),3)),0))</f>
        <v/>
      </c>
      <c r="H36" s="126">
        <f t="array" ref="H36">IF(IFERROR(INDEX(Expenses!B$3:B$999,SMALL(IF((Expenses!E$3:E$999="GBP")*(Expenses!A$3:A$999=DATE(2026,2,11)),ROW(Expenses!A$3:A$999)-2),3)),"")&lt;&gt;"",IFERROR(INDEX(Expenses!B$3:B$999,SMALL(IF((Expenses!E$3:E$999="GBP")*(Expenses!A$3:A$999=DATE(2026,2,11)),ROW(Expenses!A$3:A$999)-2),3)),""),IF(IFERROR(INDEX(Income!B$3:B$502,SMALL(IF((Income!D$3:D$502="GBP")*(Income!A$3:A$502=DATE(2026,2,11)),ROW(Income!A$3:A$502)-2),3)),"")&lt;&gt;"",IFERROR(INDEX(Income!B$3:B$502,SMALL(IF((Income!D$3:D$502="GBP")*(Income!A$3:A$502=DATE(2026,2,11)),ROW(Income!A$3:A$502)-2),3)),""),""))</f>
        <v/>
      </c>
      <c r="I36" s="152">
        <f t="array" ref="I36">IF(IFERROR(-INDEX(Expenses!D$3:D$999,SMALL(IF((Expenses!E$3:E$999="GBP")*(Expenses!A$3:A$999=DATE(2026,2,12)),ROW(Expenses!A$3:A$999)-2),3)),0)+IFERROR(INDEX(Income!C$3:C$502,SMALL(IF((Income!D$3:D$502="GBP")*(Income!A$3:A$502=DATE(2026,2,12)),ROW(Income!A$3:A$502)-2),3)),0)=0,"",IFERROR(-INDEX(Expenses!D$3:D$999,SMALL(IF((Expenses!E$3:E$999="GBP")*(Expenses!A$3:A$999=DATE(2026,2,12)),ROW(Expenses!A$3:A$999)-2),3)),0)+IFERROR(INDEX(Income!C$3:C$502,SMALL(IF((Income!D$3:D$502="GBP")*(Income!A$3:A$502=DATE(2026,2,12)),ROW(Income!A$3:A$502)-2),3)),0))</f>
        <v/>
      </c>
      <c r="J36" s="126">
        <f t="array" ref="J36">IF(IFERROR(INDEX(Expenses!B$3:B$999,SMALL(IF((Expenses!E$3:E$999="GBP")*(Expenses!A$3:A$999=DATE(2026,2,12)),ROW(Expenses!A$3:A$999)-2),3)),"")&lt;&gt;"",IFERROR(INDEX(Expenses!B$3:B$999,SMALL(IF((Expenses!E$3:E$999="GBP")*(Expenses!A$3:A$999=DATE(2026,2,12)),ROW(Expenses!A$3:A$999)-2),3)),""),IF(IFERROR(INDEX(Income!B$3:B$502,SMALL(IF((Income!D$3:D$502="GBP")*(Income!A$3:A$502=DATE(2026,2,12)),ROW(Income!A$3:A$502)-2),3)),"")&lt;&gt;"",IFERROR(INDEX(Income!B$3:B$502,SMALL(IF((Income!D$3:D$502="GBP")*(Income!A$3:A$502=DATE(2026,2,12)),ROW(Income!A$3:A$502)-2),3)),""),""))</f>
        <v/>
      </c>
      <c r="K36" s="152">
        <f t="array" ref="K36">IF(IFERROR(-INDEX(Expenses!D$3:D$999,SMALL(IF((Expenses!E$3:E$999="GBP")*(Expenses!A$3:A$999=DATE(2026,2,13)),ROW(Expenses!A$3:A$999)-2),3)),0)+IFERROR(INDEX(Income!C$3:C$502,SMALL(IF((Income!D$3:D$502="GBP")*(Income!A$3:A$502=DATE(2026,2,13)),ROW(Income!A$3:A$502)-2),3)),0)=0,"",IFERROR(-INDEX(Expenses!D$3:D$999,SMALL(IF((Expenses!E$3:E$999="GBP")*(Expenses!A$3:A$999=DATE(2026,2,13)),ROW(Expenses!A$3:A$999)-2),3)),0)+IFERROR(INDEX(Income!C$3:C$502,SMALL(IF((Income!D$3:D$502="GBP")*(Income!A$3:A$502=DATE(2026,2,13)),ROW(Income!A$3:A$502)-2),3)),0))</f>
        <v/>
      </c>
      <c r="L36" s="126">
        <f t="array" ref="L36">IF(IFERROR(INDEX(Expenses!B$3:B$999,SMALL(IF((Expenses!E$3:E$999="GBP")*(Expenses!A$3:A$999=DATE(2026,2,13)),ROW(Expenses!A$3:A$999)-2),3)),"")&lt;&gt;"",IFERROR(INDEX(Expenses!B$3:B$999,SMALL(IF((Expenses!E$3:E$999="GBP")*(Expenses!A$3:A$999=DATE(2026,2,13)),ROW(Expenses!A$3:A$999)-2),3)),""),IF(IFERROR(INDEX(Income!B$3:B$502,SMALL(IF((Income!D$3:D$502="GBP")*(Income!A$3:A$502=DATE(2026,2,13)),ROW(Income!A$3:A$502)-2),3)),"")&lt;&gt;"",IFERROR(INDEX(Income!B$3:B$502,SMALL(IF((Income!D$3:D$502="GBP")*(Income!A$3:A$502=DATE(2026,2,13)),ROW(Income!A$3:A$502)-2),3)),""),""))</f>
        <v/>
      </c>
      <c r="M36" s="152">
        <f t="array" ref="M36">IF(IFERROR(-INDEX(Expenses!D$3:D$999,SMALL(IF((Expenses!E$3:E$999="GBP")*(Expenses!A$3:A$999=DATE(2026,2,14)),ROW(Expenses!A$3:A$999)-2),3)),0)+IFERROR(INDEX(Income!C$3:C$502,SMALL(IF((Income!D$3:D$502="GBP")*(Income!A$3:A$502=DATE(2026,2,14)),ROW(Income!A$3:A$502)-2),3)),0)=0,"",IFERROR(-INDEX(Expenses!D$3:D$999,SMALL(IF((Expenses!E$3:E$999="GBP")*(Expenses!A$3:A$999=DATE(2026,2,14)),ROW(Expenses!A$3:A$999)-2),3)),0)+IFERROR(INDEX(Income!C$3:C$502,SMALL(IF((Income!D$3:D$502="GBP")*(Income!A$3:A$502=DATE(2026,2,14)),ROW(Income!A$3:A$502)-2),3)),0))</f>
        <v/>
      </c>
      <c r="N36" s="126">
        <f t="array" ref="N36">IF(IFERROR(INDEX(Expenses!B$3:B$999,SMALL(IF((Expenses!E$3:E$999="GBP")*(Expenses!A$3:A$999=DATE(2026,2,14)),ROW(Expenses!A$3:A$999)-2),3)),"")&lt;&gt;"",IFERROR(INDEX(Expenses!B$3:B$999,SMALL(IF((Expenses!E$3:E$999="GBP")*(Expenses!A$3:A$999=DATE(2026,2,14)),ROW(Expenses!A$3:A$999)-2),3)),""),IF(IFERROR(INDEX(Income!B$3:B$502,SMALL(IF((Income!D$3:D$502="GBP")*(Income!A$3:A$502=DATE(2026,2,14)),ROW(Income!A$3:A$502)-2),3)),"")&lt;&gt;"",IFERROR(INDEX(Income!B$3:B$502,SMALL(IF((Income!D$3:D$502="GBP")*(Income!A$3:A$502=DATE(2026,2,14)),ROW(Income!A$3:A$502)-2),3)),""),""))</f>
        <v/>
      </c>
      <c r="O36" s="152">
        <f t="array" ref="O36">IF(IFERROR(-INDEX(Expenses!D$3:D$999,SMALL(IF((Expenses!E$3:E$999="GBP")*(Expenses!A$3:A$999=DATE(2026,2,15)),ROW(Expenses!A$3:A$999)-2),3)),0)+IFERROR(INDEX(Income!C$3:C$502,SMALL(IF((Income!D$3:D$502="GBP")*(Income!A$3:A$502=DATE(2026,2,15)),ROW(Income!A$3:A$502)-2),3)),0)=0,"",IFERROR(-INDEX(Expenses!D$3:D$999,SMALL(IF((Expenses!E$3:E$999="GBP")*(Expenses!A$3:A$999=DATE(2026,2,15)),ROW(Expenses!A$3:A$999)-2),3)),0)+IFERROR(INDEX(Income!C$3:C$502,SMALL(IF((Income!D$3:D$502="GBP")*(Income!A$3:A$502=DATE(2026,2,15)),ROW(Income!A$3:A$502)-2),3)),0))</f>
        <v/>
      </c>
      <c r="P36" s="126">
        <f t="array" ref="P36">IF(IFERROR(INDEX(Expenses!B$3:B$999,SMALL(IF((Expenses!E$3:E$999="GBP")*(Expenses!A$3:A$999=DATE(2026,2,15)),ROW(Expenses!A$3:A$999)-2),3)),"")&lt;&gt;"",IFERROR(INDEX(Expenses!B$3:B$999,SMALL(IF((Expenses!E$3:E$999="GBP")*(Expenses!A$3:A$999=DATE(2026,2,15)),ROW(Expenses!A$3:A$999)-2),3)),""),IF(IFERROR(INDEX(Income!B$3:B$502,SMALL(IF((Income!D$3:D$502="GBP")*(Income!A$3:A$502=DATE(2026,2,15)),ROW(Income!A$3:A$502)-2),3)),"")&lt;&gt;"",IFERROR(INDEX(Income!B$3:B$502,SMALL(IF((Income!D$3:D$502="GBP")*(Income!A$3:A$502=DATE(2026,2,15)),ROW(Income!A$3:A$502)-2),3)),""),""))</f>
        <v/>
      </c>
      <c r="Q36" s="9" t="n"/>
      <c r="R36" s="9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68">
      <c r="A37" s="9" t="n"/>
      <c r="B37" s="9" t="n"/>
      <c r="C37" s="152">
        <f t="array" ref="C37">IF(IFERROR(-INDEX(Expenses!D$3:D$999,SMALL(IF((Expenses!E$3:E$999="GBP")*(Expenses!A$3:A$999=DATE(2026,2,9)),ROW(Expenses!A$3:A$999)-2),4)),0)+IFERROR(INDEX(Income!C$3:C$502,SMALL(IF((Income!D$3:D$502="GBP")*(Income!A$3:A$502=DATE(2026,2,9)),ROW(Income!A$3:A$502)-2),4)),0)=0,"",IFERROR(-INDEX(Expenses!D$3:D$999,SMALL(IF((Expenses!E$3:E$999="GBP")*(Expenses!A$3:A$999=DATE(2026,2,9)),ROW(Expenses!A$3:A$999)-2),4)),0)+IFERROR(INDEX(Income!C$3:C$502,SMALL(IF((Income!D$3:D$502="GBP")*(Income!A$3:A$502=DATE(2026,2,9)),ROW(Income!A$3:A$502)-2),4)),0))</f>
        <v/>
      </c>
      <c r="D37" s="126">
        <f t="array" ref="D37">IF(IFERROR(INDEX(Expenses!B$3:B$999,SMALL(IF((Expenses!E$3:E$999="GBP")*(Expenses!A$3:A$999=DATE(2026,2,9)),ROW(Expenses!A$3:A$999)-2),4)),"")&lt;&gt;"",IFERROR(INDEX(Expenses!B$3:B$999,SMALL(IF((Expenses!E$3:E$999="GBP")*(Expenses!A$3:A$999=DATE(2026,2,9)),ROW(Expenses!A$3:A$999)-2),4)),""),IF(IFERROR(INDEX(Income!B$3:B$502,SMALL(IF((Income!D$3:D$502="GBP")*(Income!A$3:A$502=DATE(2026,2,9)),ROW(Income!A$3:A$502)-2),4)),"")&lt;&gt;"",IFERROR(INDEX(Income!B$3:B$502,SMALL(IF((Income!D$3:D$502="GBP")*(Income!A$3:A$502=DATE(2026,2,9)),ROW(Income!A$3:A$502)-2),4)),""),""))</f>
        <v/>
      </c>
      <c r="E37" s="152">
        <f t="array" ref="E37">IF(IFERROR(-INDEX(Expenses!D$3:D$999,SMALL(IF((Expenses!E$3:E$999="GBP")*(Expenses!A$3:A$999=DATE(2026,2,10)),ROW(Expenses!A$3:A$999)-2),4)),0)+IFERROR(INDEX(Income!C$3:C$502,SMALL(IF((Income!D$3:D$502="GBP")*(Income!A$3:A$502=DATE(2026,2,10)),ROW(Income!A$3:A$502)-2),4)),0)=0,"",IFERROR(-INDEX(Expenses!D$3:D$999,SMALL(IF((Expenses!E$3:E$999="GBP")*(Expenses!A$3:A$999=DATE(2026,2,10)),ROW(Expenses!A$3:A$999)-2),4)),0)+IFERROR(INDEX(Income!C$3:C$502,SMALL(IF((Income!D$3:D$502="GBP")*(Income!A$3:A$502=DATE(2026,2,10)),ROW(Income!A$3:A$502)-2),4)),0))</f>
        <v/>
      </c>
      <c r="F37" s="126">
        <f t="array" ref="F37">IF(IFERROR(INDEX(Expenses!B$3:B$999,SMALL(IF((Expenses!E$3:E$999="GBP")*(Expenses!A$3:A$999=DATE(2026,2,10)),ROW(Expenses!A$3:A$999)-2),4)),"")&lt;&gt;"",IFERROR(INDEX(Expenses!B$3:B$999,SMALL(IF((Expenses!E$3:E$999="GBP")*(Expenses!A$3:A$999=DATE(2026,2,10)),ROW(Expenses!A$3:A$999)-2),4)),""),IF(IFERROR(INDEX(Income!B$3:B$502,SMALL(IF((Income!D$3:D$502="GBP")*(Income!A$3:A$502=DATE(2026,2,10)),ROW(Income!A$3:A$502)-2),4)),"")&lt;&gt;"",IFERROR(INDEX(Income!B$3:B$502,SMALL(IF((Income!D$3:D$502="GBP")*(Income!A$3:A$502=DATE(2026,2,10)),ROW(Income!A$3:A$502)-2),4)),""),""))</f>
        <v/>
      </c>
      <c r="G37" s="152">
        <f t="array" ref="G37">IF(IFERROR(-INDEX(Expenses!D$3:D$999,SMALL(IF((Expenses!E$3:E$999="GBP")*(Expenses!A$3:A$999=DATE(2026,2,11)),ROW(Expenses!A$3:A$999)-2),4)),0)+IFERROR(INDEX(Income!C$3:C$502,SMALL(IF((Income!D$3:D$502="GBP")*(Income!A$3:A$502=DATE(2026,2,11)),ROW(Income!A$3:A$502)-2),4)),0)=0,"",IFERROR(-INDEX(Expenses!D$3:D$999,SMALL(IF((Expenses!E$3:E$999="GBP")*(Expenses!A$3:A$999=DATE(2026,2,11)),ROW(Expenses!A$3:A$999)-2),4)),0)+IFERROR(INDEX(Income!C$3:C$502,SMALL(IF((Income!D$3:D$502="GBP")*(Income!A$3:A$502=DATE(2026,2,11)),ROW(Income!A$3:A$502)-2),4)),0))</f>
        <v/>
      </c>
      <c r="H37" s="126">
        <f t="array" ref="H37">IF(IFERROR(INDEX(Expenses!B$3:B$999,SMALL(IF((Expenses!E$3:E$999="GBP")*(Expenses!A$3:A$999=DATE(2026,2,11)),ROW(Expenses!A$3:A$999)-2),4)),"")&lt;&gt;"",IFERROR(INDEX(Expenses!B$3:B$999,SMALL(IF((Expenses!E$3:E$999="GBP")*(Expenses!A$3:A$999=DATE(2026,2,11)),ROW(Expenses!A$3:A$999)-2),4)),""),IF(IFERROR(INDEX(Income!B$3:B$502,SMALL(IF((Income!D$3:D$502="GBP")*(Income!A$3:A$502=DATE(2026,2,11)),ROW(Income!A$3:A$502)-2),4)),"")&lt;&gt;"",IFERROR(INDEX(Income!B$3:B$502,SMALL(IF((Income!D$3:D$502="GBP")*(Income!A$3:A$502=DATE(2026,2,11)),ROW(Income!A$3:A$502)-2),4)),""),""))</f>
        <v/>
      </c>
      <c r="I37" s="152">
        <f t="array" ref="I37">IF(IFERROR(-INDEX(Expenses!D$3:D$999,SMALL(IF((Expenses!E$3:E$999="GBP")*(Expenses!A$3:A$999=DATE(2026,2,12)),ROW(Expenses!A$3:A$999)-2),4)),0)+IFERROR(INDEX(Income!C$3:C$502,SMALL(IF((Income!D$3:D$502="GBP")*(Income!A$3:A$502=DATE(2026,2,12)),ROW(Income!A$3:A$502)-2),4)),0)=0,"",IFERROR(-INDEX(Expenses!D$3:D$999,SMALL(IF((Expenses!E$3:E$999="GBP")*(Expenses!A$3:A$999=DATE(2026,2,12)),ROW(Expenses!A$3:A$999)-2),4)),0)+IFERROR(INDEX(Income!C$3:C$502,SMALL(IF((Income!D$3:D$502="GBP")*(Income!A$3:A$502=DATE(2026,2,12)),ROW(Income!A$3:A$502)-2),4)),0))</f>
        <v/>
      </c>
      <c r="J37" s="126">
        <f t="array" ref="J37">IF(IFERROR(INDEX(Expenses!B$3:B$999,SMALL(IF((Expenses!E$3:E$999="GBP")*(Expenses!A$3:A$999=DATE(2026,2,12)),ROW(Expenses!A$3:A$999)-2),4)),"")&lt;&gt;"",IFERROR(INDEX(Expenses!B$3:B$999,SMALL(IF((Expenses!E$3:E$999="GBP")*(Expenses!A$3:A$999=DATE(2026,2,12)),ROW(Expenses!A$3:A$999)-2),4)),""),IF(IFERROR(INDEX(Income!B$3:B$502,SMALL(IF((Income!D$3:D$502="GBP")*(Income!A$3:A$502=DATE(2026,2,12)),ROW(Income!A$3:A$502)-2),4)),"")&lt;&gt;"",IFERROR(INDEX(Income!B$3:B$502,SMALL(IF((Income!D$3:D$502="GBP")*(Income!A$3:A$502=DATE(2026,2,12)),ROW(Income!A$3:A$502)-2),4)),""),""))</f>
        <v/>
      </c>
      <c r="K37" s="152">
        <f t="array" ref="K37">IF(IFERROR(-INDEX(Expenses!D$3:D$999,SMALL(IF((Expenses!E$3:E$999="GBP")*(Expenses!A$3:A$999=DATE(2026,2,13)),ROW(Expenses!A$3:A$999)-2),4)),0)+IFERROR(INDEX(Income!C$3:C$502,SMALL(IF((Income!D$3:D$502="GBP")*(Income!A$3:A$502=DATE(2026,2,13)),ROW(Income!A$3:A$502)-2),4)),0)=0,"",IFERROR(-INDEX(Expenses!D$3:D$999,SMALL(IF((Expenses!E$3:E$999="GBP")*(Expenses!A$3:A$999=DATE(2026,2,13)),ROW(Expenses!A$3:A$999)-2),4)),0)+IFERROR(INDEX(Income!C$3:C$502,SMALL(IF((Income!D$3:D$502="GBP")*(Income!A$3:A$502=DATE(2026,2,13)),ROW(Income!A$3:A$502)-2),4)),0))</f>
        <v/>
      </c>
      <c r="L37" s="126">
        <f t="array" ref="L37">IF(IFERROR(INDEX(Expenses!B$3:B$999,SMALL(IF((Expenses!E$3:E$999="GBP")*(Expenses!A$3:A$999=DATE(2026,2,13)),ROW(Expenses!A$3:A$999)-2),4)),"")&lt;&gt;"",IFERROR(INDEX(Expenses!B$3:B$999,SMALL(IF((Expenses!E$3:E$999="GBP")*(Expenses!A$3:A$999=DATE(2026,2,13)),ROW(Expenses!A$3:A$999)-2),4)),""),IF(IFERROR(INDEX(Income!B$3:B$502,SMALL(IF((Income!D$3:D$502="GBP")*(Income!A$3:A$502=DATE(2026,2,13)),ROW(Income!A$3:A$502)-2),4)),"")&lt;&gt;"",IFERROR(INDEX(Income!B$3:B$502,SMALL(IF((Income!D$3:D$502="GBP")*(Income!A$3:A$502=DATE(2026,2,13)),ROW(Income!A$3:A$502)-2),4)),""),""))</f>
        <v/>
      </c>
      <c r="M37" s="152">
        <f t="array" ref="M37">IF(IFERROR(-INDEX(Expenses!D$3:D$999,SMALL(IF((Expenses!E$3:E$999="GBP")*(Expenses!A$3:A$999=DATE(2026,2,14)),ROW(Expenses!A$3:A$999)-2),4)),0)+IFERROR(INDEX(Income!C$3:C$502,SMALL(IF((Income!D$3:D$502="GBP")*(Income!A$3:A$502=DATE(2026,2,14)),ROW(Income!A$3:A$502)-2),4)),0)=0,"",IFERROR(-INDEX(Expenses!D$3:D$999,SMALL(IF((Expenses!E$3:E$999="GBP")*(Expenses!A$3:A$999=DATE(2026,2,14)),ROW(Expenses!A$3:A$999)-2),4)),0)+IFERROR(INDEX(Income!C$3:C$502,SMALL(IF((Income!D$3:D$502="GBP")*(Income!A$3:A$502=DATE(2026,2,14)),ROW(Income!A$3:A$502)-2),4)),0))</f>
        <v/>
      </c>
      <c r="N37" s="126">
        <f t="array" ref="N37">IF(IFERROR(INDEX(Expenses!B$3:B$999,SMALL(IF((Expenses!E$3:E$999="GBP")*(Expenses!A$3:A$999=DATE(2026,2,14)),ROW(Expenses!A$3:A$999)-2),4)),"")&lt;&gt;"",IFERROR(INDEX(Expenses!B$3:B$999,SMALL(IF((Expenses!E$3:E$999="GBP")*(Expenses!A$3:A$999=DATE(2026,2,14)),ROW(Expenses!A$3:A$999)-2),4)),""),IF(IFERROR(INDEX(Income!B$3:B$502,SMALL(IF((Income!D$3:D$502="GBP")*(Income!A$3:A$502=DATE(2026,2,14)),ROW(Income!A$3:A$502)-2),4)),"")&lt;&gt;"",IFERROR(INDEX(Income!B$3:B$502,SMALL(IF((Income!D$3:D$502="GBP")*(Income!A$3:A$502=DATE(2026,2,14)),ROW(Income!A$3:A$502)-2),4)),""),""))</f>
        <v/>
      </c>
      <c r="O37" s="152">
        <f t="array" ref="O37">IF(IFERROR(-INDEX(Expenses!D$3:D$999,SMALL(IF((Expenses!E$3:E$999="GBP")*(Expenses!A$3:A$999=DATE(2026,2,15)),ROW(Expenses!A$3:A$999)-2),4)),0)+IFERROR(INDEX(Income!C$3:C$502,SMALL(IF((Income!D$3:D$502="GBP")*(Income!A$3:A$502=DATE(2026,2,15)),ROW(Income!A$3:A$502)-2),4)),0)=0,"",IFERROR(-INDEX(Expenses!D$3:D$999,SMALL(IF((Expenses!E$3:E$999="GBP")*(Expenses!A$3:A$999=DATE(2026,2,15)),ROW(Expenses!A$3:A$999)-2),4)),0)+IFERROR(INDEX(Income!C$3:C$502,SMALL(IF((Income!D$3:D$502="GBP")*(Income!A$3:A$502=DATE(2026,2,15)),ROW(Income!A$3:A$502)-2),4)),0))</f>
        <v/>
      </c>
      <c r="P37" s="126">
        <f t="array" ref="P37">IF(IFERROR(INDEX(Expenses!B$3:B$999,SMALL(IF((Expenses!E$3:E$999="GBP")*(Expenses!A$3:A$999=DATE(2026,2,15)),ROW(Expenses!A$3:A$999)-2),4)),"")&lt;&gt;"",IFERROR(INDEX(Expenses!B$3:B$999,SMALL(IF((Expenses!E$3:E$999="GBP")*(Expenses!A$3:A$999=DATE(2026,2,15)),ROW(Expenses!A$3:A$999)-2),4)),""),IF(IFERROR(INDEX(Income!B$3:B$502,SMALL(IF((Income!D$3:D$502="GBP")*(Income!A$3:A$502=DATE(2026,2,15)),ROW(Income!A$3:A$502)-2),4)),"")&lt;&gt;"",IFERROR(INDEX(Income!B$3:B$502,SMALL(IF((Income!D$3:D$502="GBP")*(Income!A$3:A$502=DATE(2026,2,15)),ROW(Income!A$3:A$502)-2),4)),""),""))</f>
        <v/>
      </c>
      <c r="Q37" s="9" t="n"/>
      <c r="R37" s="9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68">
      <c r="A38" s="9" t="n"/>
      <c r="B38" s="9" t="n"/>
      <c r="C38" s="152">
        <f t="array" ref="C38">IF(IFERROR(-INDEX(Expenses!D$3:D$999,SMALL(IF((Expenses!E$3:E$999="GBP")*(Expenses!A$3:A$999=DATE(2026,2,9)),ROW(Expenses!A$3:A$999)-2),5)),0)+IFERROR(INDEX(Income!C$3:C$502,SMALL(IF((Income!D$3:D$502="GBP")*(Income!A$3:A$502=DATE(2026,2,9)),ROW(Income!A$3:A$502)-2),5)),0)=0,"",IFERROR(-INDEX(Expenses!D$3:D$999,SMALL(IF((Expenses!E$3:E$999="GBP")*(Expenses!A$3:A$999=DATE(2026,2,9)),ROW(Expenses!A$3:A$999)-2),5)),0)+IFERROR(INDEX(Income!C$3:C$502,SMALL(IF((Income!D$3:D$502="GBP")*(Income!A$3:A$502=DATE(2026,2,9)),ROW(Income!A$3:A$502)-2),5)),0))</f>
        <v/>
      </c>
      <c r="D38" s="126">
        <f t="array" ref="D38">IF(IFERROR(INDEX(Expenses!B$3:B$999,SMALL(IF((Expenses!E$3:E$999="GBP")*(Expenses!A$3:A$999=DATE(2026,2,9)),ROW(Expenses!A$3:A$999)-2),5)),"")&lt;&gt;"",IFERROR(INDEX(Expenses!B$3:B$999,SMALL(IF((Expenses!E$3:E$999="GBP")*(Expenses!A$3:A$999=DATE(2026,2,9)),ROW(Expenses!A$3:A$999)-2),5)),""),IF(IFERROR(INDEX(Income!B$3:B$502,SMALL(IF((Income!D$3:D$502="GBP")*(Income!A$3:A$502=DATE(2026,2,9)),ROW(Income!A$3:A$502)-2),5)),"")&lt;&gt;"",IFERROR(INDEX(Income!B$3:B$502,SMALL(IF((Income!D$3:D$502="GBP")*(Income!A$3:A$502=DATE(2026,2,9)),ROW(Income!A$3:A$502)-2),5)),""),""))</f>
        <v/>
      </c>
      <c r="E38" s="152">
        <f t="array" ref="E38">IF(IFERROR(-INDEX(Expenses!D$3:D$999,SMALL(IF((Expenses!E$3:E$999="GBP")*(Expenses!A$3:A$999=DATE(2026,2,10)),ROW(Expenses!A$3:A$999)-2),5)),0)+IFERROR(INDEX(Income!C$3:C$502,SMALL(IF((Income!D$3:D$502="GBP")*(Income!A$3:A$502=DATE(2026,2,10)),ROW(Income!A$3:A$502)-2),5)),0)=0,"",IFERROR(-INDEX(Expenses!D$3:D$999,SMALL(IF((Expenses!E$3:E$999="GBP")*(Expenses!A$3:A$999=DATE(2026,2,10)),ROW(Expenses!A$3:A$999)-2),5)),0)+IFERROR(INDEX(Income!C$3:C$502,SMALL(IF((Income!D$3:D$502="GBP")*(Income!A$3:A$502=DATE(2026,2,10)),ROW(Income!A$3:A$502)-2),5)),0))</f>
        <v/>
      </c>
      <c r="F38" s="126">
        <f t="array" ref="F38">IF(IFERROR(INDEX(Expenses!B$3:B$999,SMALL(IF((Expenses!E$3:E$999="GBP")*(Expenses!A$3:A$999=DATE(2026,2,10)),ROW(Expenses!A$3:A$999)-2),5)),"")&lt;&gt;"",IFERROR(INDEX(Expenses!B$3:B$999,SMALL(IF((Expenses!E$3:E$999="GBP")*(Expenses!A$3:A$999=DATE(2026,2,10)),ROW(Expenses!A$3:A$999)-2),5)),""),IF(IFERROR(INDEX(Income!B$3:B$502,SMALL(IF((Income!D$3:D$502="GBP")*(Income!A$3:A$502=DATE(2026,2,10)),ROW(Income!A$3:A$502)-2),5)),"")&lt;&gt;"",IFERROR(INDEX(Income!B$3:B$502,SMALL(IF((Income!D$3:D$502="GBP")*(Income!A$3:A$502=DATE(2026,2,10)),ROW(Income!A$3:A$502)-2),5)),""),""))</f>
        <v/>
      </c>
      <c r="G38" s="152">
        <f t="array" ref="G38">IF(IFERROR(-INDEX(Expenses!D$3:D$999,SMALL(IF((Expenses!E$3:E$999="GBP")*(Expenses!A$3:A$999=DATE(2026,2,11)),ROW(Expenses!A$3:A$999)-2),5)),0)+IFERROR(INDEX(Income!C$3:C$502,SMALL(IF((Income!D$3:D$502="GBP")*(Income!A$3:A$502=DATE(2026,2,11)),ROW(Income!A$3:A$502)-2),5)),0)=0,"",IFERROR(-INDEX(Expenses!D$3:D$999,SMALL(IF((Expenses!E$3:E$999="GBP")*(Expenses!A$3:A$999=DATE(2026,2,11)),ROW(Expenses!A$3:A$999)-2),5)),0)+IFERROR(INDEX(Income!C$3:C$502,SMALL(IF((Income!D$3:D$502="GBP")*(Income!A$3:A$502=DATE(2026,2,11)),ROW(Income!A$3:A$502)-2),5)),0))</f>
        <v/>
      </c>
      <c r="H38" s="126">
        <f t="array" ref="H38">IF(IFERROR(INDEX(Expenses!B$3:B$999,SMALL(IF((Expenses!E$3:E$999="GBP")*(Expenses!A$3:A$999=DATE(2026,2,11)),ROW(Expenses!A$3:A$999)-2),5)),"")&lt;&gt;"",IFERROR(INDEX(Expenses!B$3:B$999,SMALL(IF((Expenses!E$3:E$999="GBP")*(Expenses!A$3:A$999=DATE(2026,2,11)),ROW(Expenses!A$3:A$999)-2),5)),""),IF(IFERROR(INDEX(Income!B$3:B$502,SMALL(IF((Income!D$3:D$502="GBP")*(Income!A$3:A$502=DATE(2026,2,11)),ROW(Income!A$3:A$502)-2),5)),"")&lt;&gt;"",IFERROR(INDEX(Income!B$3:B$502,SMALL(IF((Income!D$3:D$502="GBP")*(Income!A$3:A$502=DATE(2026,2,11)),ROW(Income!A$3:A$502)-2),5)),""),""))</f>
        <v/>
      </c>
      <c r="I38" s="152">
        <f t="array" ref="I38">IF(IFERROR(-INDEX(Expenses!D$3:D$999,SMALL(IF((Expenses!E$3:E$999="GBP")*(Expenses!A$3:A$999=DATE(2026,2,12)),ROW(Expenses!A$3:A$999)-2),5)),0)+IFERROR(INDEX(Income!C$3:C$502,SMALL(IF((Income!D$3:D$502="GBP")*(Income!A$3:A$502=DATE(2026,2,12)),ROW(Income!A$3:A$502)-2),5)),0)=0,"",IFERROR(-INDEX(Expenses!D$3:D$999,SMALL(IF((Expenses!E$3:E$999="GBP")*(Expenses!A$3:A$999=DATE(2026,2,12)),ROW(Expenses!A$3:A$999)-2),5)),0)+IFERROR(INDEX(Income!C$3:C$502,SMALL(IF((Income!D$3:D$502="GBP")*(Income!A$3:A$502=DATE(2026,2,12)),ROW(Income!A$3:A$502)-2),5)),0))</f>
        <v/>
      </c>
      <c r="J38" s="126">
        <f t="array" ref="J38">IF(IFERROR(INDEX(Expenses!B$3:B$999,SMALL(IF((Expenses!E$3:E$999="GBP")*(Expenses!A$3:A$999=DATE(2026,2,12)),ROW(Expenses!A$3:A$999)-2),5)),"")&lt;&gt;"",IFERROR(INDEX(Expenses!B$3:B$999,SMALL(IF((Expenses!E$3:E$999="GBP")*(Expenses!A$3:A$999=DATE(2026,2,12)),ROW(Expenses!A$3:A$999)-2),5)),""),IF(IFERROR(INDEX(Income!B$3:B$502,SMALL(IF((Income!D$3:D$502="GBP")*(Income!A$3:A$502=DATE(2026,2,12)),ROW(Income!A$3:A$502)-2),5)),"")&lt;&gt;"",IFERROR(INDEX(Income!B$3:B$502,SMALL(IF((Income!D$3:D$502="GBP")*(Income!A$3:A$502=DATE(2026,2,12)),ROW(Income!A$3:A$502)-2),5)),""),""))</f>
        <v/>
      </c>
      <c r="K38" s="152">
        <f t="array" ref="K38">IF(IFERROR(-INDEX(Expenses!D$3:D$999,SMALL(IF((Expenses!E$3:E$999="GBP")*(Expenses!A$3:A$999=DATE(2026,2,13)),ROW(Expenses!A$3:A$999)-2),5)),0)+IFERROR(INDEX(Income!C$3:C$502,SMALL(IF((Income!D$3:D$502="GBP")*(Income!A$3:A$502=DATE(2026,2,13)),ROW(Income!A$3:A$502)-2),5)),0)=0,"",IFERROR(-INDEX(Expenses!D$3:D$999,SMALL(IF((Expenses!E$3:E$999="GBP")*(Expenses!A$3:A$999=DATE(2026,2,13)),ROW(Expenses!A$3:A$999)-2),5)),0)+IFERROR(INDEX(Income!C$3:C$502,SMALL(IF((Income!D$3:D$502="GBP")*(Income!A$3:A$502=DATE(2026,2,13)),ROW(Income!A$3:A$502)-2),5)),0))</f>
        <v/>
      </c>
      <c r="L38" s="126">
        <f t="array" ref="L38">IF(IFERROR(INDEX(Expenses!B$3:B$999,SMALL(IF((Expenses!E$3:E$999="GBP")*(Expenses!A$3:A$999=DATE(2026,2,13)),ROW(Expenses!A$3:A$999)-2),5)),"")&lt;&gt;"",IFERROR(INDEX(Expenses!B$3:B$999,SMALL(IF((Expenses!E$3:E$999="GBP")*(Expenses!A$3:A$999=DATE(2026,2,13)),ROW(Expenses!A$3:A$999)-2),5)),""),IF(IFERROR(INDEX(Income!B$3:B$502,SMALL(IF((Income!D$3:D$502="GBP")*(Income!A$3:A$502=DATE(2026,2,13)),ROW(Income!A$3:A$502)-2),5)),"")&lt;&gt;"",IFERROR(INDEX(Income!B$3:B$502,SMALL(IF((Income!D$3:D$502="GBP")*(Income!A$3:A$502=DATE(2026,2,13)),ROW(Income!A$3:A$502)-2),5)),""),""))</f>
        <v/>
      </c>
      <c r="M38" s="152">
        <f t="array" ref="M38">IF(IFERROR(-INDEX(Expenses!D$3:D$999,SMALL(IF((Expenses!E$3:E$999="GBP")*(Expenses!A$3:A$999=DATE(2026,2,14)),ROW(Expenses!A$3:A$999)-2),5)),0)+IFERROR(INDEX(Income!C$3:C$502,SMALL(IF((Income!D$3:D$502="GBP")*(Income!A$3:A$502=DATE(2026,2,14)),ROW(Income!A$3:A$502)-2),5)),0)=0,"",IFERROR(-INDEX(Expenses!D$3:D$999,SMALL(IF((Expenses!E$3:E$999="GBP")*(Expenses!A$3:A$999=DATE(2026,2,14)),ROW(Expenses!A$3:A$999)-2),5)),0)+IFERROR(INDEX(Income!C$3:C$502,SMALL(IF((Income!D$3:D$502="GBP")*(Income!A$3:A$502=DATE(2026,2,14)),ROW(Income!A$3:A$502)-2),5)),0))</f>
        <v/>
      </c>
      <c r="N38" s="126">
        <f t="array" ref="N38">IF(IFERROR(INDEX(Expenses!B$3:B$999,SMALL(IF((Expenses!E$3:E$999="GBP")*(Expenses!A$3:A$999=DATE(2026,2,14)),ROW(Expenses!A$3:A$999)-2),5)),"")&lt;&gt;"",IFERROR(INDEX(Expenses!B$3:B$999,SMALL(IF((Expenses!E$3:E$999="GBP")*(Expenses!A$3:A$999=DATE(2026,2,14)),ROW(Expenses!A$3:A$999)-2),5)),""),IF(IFERROR(INDEX(Income!B$3:B$502,SMALL(IF((Income!D$3:D$502="GBP")*(Income!A$3:A$502=DATE(2026,2,14)),ROW(Income!A$3:A$502)-2),5)),"")&lt;&gt;"",IFERROR(INDEX(Income!B$3:B$502,SMALL(IF((Income!D$3:D$502="GBP")*(Income!A$3:A$502=DATE(2026,2,14)),ROW(Income!A$3:A$502)-2),5)),""),""))</f>
        <v/>
      </c>
      <c r="O38" s="152">
        <f t="array" ref="O38">IF(IFERROR(-INDEX(Expenses!D$3:D$999,SMALL(IF((Expenses!E$3:E$999="GBP")*(Expenses!A$3:A$999=DATE(2026,2,15)),ROW(Expenses!A$3:A$999)-2),5)),0)+IFERROR(INDEX(Income!C$3:C$502,SMALL(IF((Income!D$3:D$502="GBP")*(Income!A$3:A$502=DATE(2026,2,15)),ROW(Income!A$3:A$502)-2),5)),0)=0,"",IFERROR(-INDEX(Expenses!D$3:D$999,SMALL(IF((Expenses!E$3:E$999="GBP")*(Expenses!A$3:A$999=DATE(2026,2,15)),ROW(Expenses!A$3:A$999)-2),5)),0)+IFERROR(INDEX(Income!C$3:C$502,SMALL(IF((Income!D$3:D$502="GBP")*(Income!A$3:A$502=DATE(2026,2,15)),ROW(Income!A$3:A$502)-2),5)),0))</f>
        <v/>
      </c>
      <c r="P38" s="126">
        <f t="array" ref="P38">IF(IFERROR(INDEX(Expenses!B$3:B$999,SMALL(IF((Expenses!E$3:E$999="GBP")*(Expenses!A$3:A$999=DATE(2026,2,15)),ROW(Expenses!A$3:A$999)-2),5)),"")&lt;&gt;"",IFERROR(INDEX(Expenses!B$3:B$999,SMALL(IF((Expenses!E$3:E$999="GBP")*(Expenses!A$3:A$999=DATE(2026,2,15)),ROW(Expenses!A$3:A$999)-2),5)),""),IF(IFERROR(INDEX(Income!B$3:B$502,SMALL(IF((Income!D$3:D$502="GBP")*(Income!A$3:A$502=DATE(2026,2,15)),ROW(Income!A$3:A$502)-2),5)),"")&lt;&gt;"",IFERROR(INDEX(Income!B$3:B$502,SMALL(IF((Income!D$3:D$502="GBP")*(Income!A$3:A$502=DATE(2026,2,15)),ROW(Income!A$3:A$502)-2),5)),""),""))</f>
        <v/>
      </c>
      <c r="Q38" s="9" t="n"/>
      <c r="R38" s="9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68">
      <c r="A39" s="151" t="n">
        <v>46069</v>
      </c>
      <c r="B39" s="103" t="n">
        <v>8</v>
      </c>
      <c r="C39" s="152">
        <f t="array" ref="C39">IF(IFERROR(-INDEX(Expenses!D$3:D$999,SMALL(IF((Expenses!E$3:E$999="GBP")*(Expenses!A$3:A$999=DATE(2026,2,16)),ROW(Expenses!A$3:A$999)-2),1)),0)+IFERROR(INDEX(Income!C$3:C$502,SMALL(IF((Income!D$3:D$502="GBP")*(Income!A$3:A$502=DATE(2026,2,16)),ROW(Income!A$3:A$502)-2),1)),0)=0,"",IFERROR(-INDEX(Expenses!D$3:D$999,SMALL(IF((Expenses!E$3:E$999="GBP")*(Expenses!A$3:A$999=DATE(2026,2,16)),ROW(Expenses!A$3:A$999)-2),1)),0)+IFERROR(INDEX(Income!C$3:C$502,SMALL(IF((Income!D$3:D$502="GBP")*(Income!A$3:A$502=DATE(2026,2,16)),ROW(Income!A$3:A$502)-2),1)),0))</f>
        <v/>
      </c>
      <c r="D39" s="126">
        <f t="array" ref="D39">IF(IFERROR(INDEX(Expenses!B$3:B$999,SMALL(IF((Expenses!E$3:E$999="GBP")*(Expenses!A$3:A$999=DATE(2026,2,16)),ROW(Expenses!A$3:A$999)-2),1)),"")&lt;&gt;"",IFERROR(INDEX(Expenses!B$3:B$999,SMALL(IF((Expenses!E$3:E$999="GBP")*(Expenses!A$3:A$999=DATE(2026,2,16)),ROW(Expenses!A$3:A$999)-2),1)),""),IF(IFERROR(INDEX(Income!B$3:B$502,SMALL(IF((Income!D$3:D$502="GBP")*(Income!A$3:A$502=DATE(2026,2,16)),ROW(Income!A$3:A$502)-2),1)),"")&lt;&gt;"",IFERROR(INDEX(Income!B$3:B$502,SMALL(IF((Income!D$3:D$502="GBP")*(Income!A$3:A$502=DATE(2026,2,16)),ROW(Income!A$3:A$502)-2),1)),""),""))</f>
        <v/>
      </c>
      <c r="E39" s="152">
        <f t="array" ref="E39">IF(IFERROR(-INDEX(Expenses!D$3:D$999,SMALL(IF((Expenses!E$3:E$999="GBP")*(Expenses!A$3:A$999=DATE(2026,2,17)),ROW(Expenses!A$3:A$999)-2),1)),0)+IFERROR(INDEX(Income!C$3:C$502,SMALL(IF((Income!D$3:D$502="GBP")*(Income!A$3:A$502=DATE(2026,2,17)),ROW(Income!A$3:A$502)-2),1)),0)=0,"",IFERROR(-INDEX(Expenses!D$3:D$999,SMALL(IF((Expenses!E$3:E$999="GBP")*(Expenses!A$3:A$999=DATE(2026,2,17)),ROW(Expenses!A$3:A$999)-2),1)),0)+IFERROR(INDEX(Income!C$3:C$502,SMALL(IF((Income!D$3:D$502="GBP")*(Income!A$3:A$502=DATE(2026,2,17)),ROW(Income!A$3:A$502)-2),1)),0))</f>
        <v/>
      </c>
      <c r="F39" s="126">
        <f t="array" ref="F39">IF(IFERROR(INDEX(Expenses!B$3:B$999,SMALL(IF((Expenses!E$3:E$999="GBP")*(Expenses!A$3:A$999=DATE(2026,2,17)),ROW(Expenses!A$3:A$999)-2),1)),"")&lt;&gt;"",IFERROR(INDEX(Expenses!B$3:B$999,SMALL(IF((Expenses!E$3:E$999="GBP")*(Expenses!A$3:A$999=DATE(2026,2,17)),ROW(Expenses!A$3:A$999)-2),1)),""),IF(IFERROR(INDEX(Income!B$3:B$502,SMALL(IF((Income!D$3:D$502="GBP")*(Income!A$3:A$502=DATE(2026,2,17)),ROW(Income!A$3:A$502)-2),1)),"")&lt;&gt;"",IFERROR(INDEX(Income!B$3:B$502,SMALL(IF((Income!D$3:D$502="GBP")*(Income!A$3:A$502=DATE(2026,2,17)),ROW(Income!A$3:A$502)-2),1)),""),""))</f>
        <v/>
      </c>
      <c r="G39" s="152">
        <f t="array" ref="G39">IF(IFERROR(-INDEX(Expenses!D$3:D$999,SMALL(IF((Expenses!E$3:E$999="GBP")*(Expenses!A$3:A$999=DATE(2026,2,18)),ROW(Expenses!A$3:A$999)-2),1)),0)+IFERROR(INDEX(Income!C$3:C$502,SMALL(IF((Income!D$3:D$502="GBP")*(Income!A$3:A$502=DATE(2026,2,18)),ROW(Income!A$3:A$502)-2),1)),0)=0,"",IFERROR(-INDEX(Expenses!D$3:D$999,SMALL(IF((Expenses!E$3:E$999="GBP")*(Expenses!A$3:A$999=DATE(2026,2,18)),ROW(Expenses!A$3:A$999)-2),1)),0)+IFERROR(INDEX(Income!C$3:C$502,SMALL(IF((Income!D$3:D$502="GBP")*(Income!A$3:A$502=DATE(2026,2,18)),ROW(Income!A$3:A$502)-2),1)),0))</f>
        <v/>
      </c>
      <c r="H39" s="126">
        <f t="array" ref="H39">IF(IFERROR(INDEX(Expenses!B$3:B$999,SMALL(IF((Expenses!E$3:E$999="GBP")*(Expenses!A$3:A$999=DATE(2026,2,18)),ROW(Expenses!A$3:A$999)-2),1)),"")&lt;&gt;"",IFERROR(INDEX(Expenses!B$3:B$999,SMALL(IF((Expenses!E$3:E$999="GBP")*(Expenses!A$3:A$999=DATE(2026,2,18)),ROW(Expenses!A$3:A$999)-2),1)),""),IF(IFERROR(INDEX(Income!B$3:B$502,SMALL(IF((Income!D$3:D$502="GBP")*(Income!A$3:A$502=DATE(2026,2,18)),ROW(Income!A$3:A$502)-2),1)),"")&lt;&gt;"",IFERROR(INDEX(Income!B$3:B$502,SMALL(IF((Income!D$3:D$502="GBP")*(Income!A$3:A$502=DATE(2026,2,18)),ROW(Income!A$3:A$502)-2),1)),""),""))</f>
        <v/>
      </c>
      <c r="I39" s="152">
        <f t="array" ref="I39">IF(IFERROR(-INDEX(Expenses!D$3:D$999,SMALL(IF((Expenses!E$3:E$999="GBP")*(Expenses!A$3:A$999=DATE(2026,2,19)),ROW(Expenses!A$3:A$999)-2),1)),0)+IFERROR(INDEX(Income!C$3:C$502,SMALL(IF((Income!D$3:D$502="GBP")*(Income!A$3:A$502=DATE(2026,2,19)),ROW(Income!A$3:A$502)-2),1)),0)=0,"",IFERROR(-INDEX(Expenses!D$3:D$999,SMALL(IF((Expenses!E$3:E$999="GBP")*(Expenses!A$3:A$999=DATE(2026,2,19)),ROW(Expenses!A$3:A$999)-2),1)),0)+IFERROR(INDEX(Income!C$3:C$502,SMALL(IF((Income!D$3:D$502="GBP")*(Income!A$3:A$502=DATE(2026,2,19)),ROW(Income!A$3:A$502)-2),1)),0))</f>
        <v/>
      </c>
      <c r="J39" s="126">
        <f t="array" ref="J39">IF(IFERROR(INDEX(Expenses!B$3:B$999,SMALL(IF((Expenses!E$3:E$999="GBP")*(Expenses!A$3:A$999=DATE(2026,2,19)),ROW(Expenses!A$3:A$999)-2),1)),"")&lt;&gt;"",IFERROR(INDEX(Expenses!B$3:B$999,SMALL(IF((Expenses!E$3:E$999="GBP")*(Expenses!A$3:A$999=DATE(2026,2,19)),ROW(Expenses!A$3:A$999)-2),1)),""),IF(IFERROR(INDEX(Income!B$3:B$502,SMALL(IF((Income!D$3:D$502="GBP")*(Income!A$3:A$502=DATE(2026,2,19)),ROW(Income!A$3:A$502)-2),1)),"")&lt;&gt;"",IFERROR(INDEX(Income!B$3:B$502,SMALL(IF((Income!D$3:D$502="GBP")*(Income!A$3:A$502=DATE(2026,2,19)),ROW(Income!A$3:A$502)-2),1)),""),""))</f>
        <v/>
      </c>
      <c r="K39" s="152">
        <f t="array" ref="K39">IF(IFERROR(-INDEX(Expenses!D$3:D$999,SMALL(IF((Expenses!E$3:E$999="GBP")*(Expenses!A$3:A$999=DATE(2026,2,20)),ROW(Expenses!A$3:A$999)-2),1)),0)+IFERROR(INDEX(Income!C$3:C$502,SMALL(IF((Income!D$3:D$502="GBP")*(Income!A$3:A$502=DATE(2026,2,20)),ROW(Income!A$3:A$502)-2),1)),0)=0,"",IFERROR(-INDEX(Expenses!D$3:D$999,SMALL(IF((Expenses!E$3:E$999="GBP")*(Expenses!A$3:A$999=DATE(2026,2,20)),ROW(Expenses!A$3:A$999)-2),1)),0)+IFERROR(INDEX(Income!C$3:C$502,SMALL(IF((Income!D$3:D$502="GBP")*(Income!A$3:A$502=DATE(2026,2,20)),ROW(Income!A$3:A$502)-2),1)),0))</f>
        <v/>
      </c>
      <c r="L39" s="126">
        <f t="array" ref="L39">IF(IFERROR(INDEX(Expenses!B$3:B$999,SMALL(IF((Expenses!E$3:E$999="GBP")*(Expenses!A$3:A$999=DATE(2026,2,20)),ROW(Expenses!A$3:A$999)-2),1)),"")&lt;&gt;"",IFERROR(INDEX(Expenses!B$3:B$999,SMALL(IF((Expenses!E$3:E$999="GBP")*(Expenses!A$3:A$999=DATE(2026,2,20)),ROW(Expenses!A$3:A$999)-2),1)),""),IF(IFERROR(INDEX(Income!B$3:B$502,SMALL(IF((Income!D$3:D$502="GBP")*(Income!A$3:A$502=DATE(2026,2,20)),ROW(Income!A$3:A$502)-2),1)),"")&lt;&gt;"",IFERROR(INDEX(Income!B$3:B$502,SMALL(IF((Income!D$3:D$502="GBP")*(Income!A$3:A$502=DATE(2026,2,20)),ROW(Income!A$3:A$502)-2),1)),""),""))</f>
        <v/>
      </c>
      <c r="M39" s="152">
        <f t="array" ref="M39">IF(IFERROR(-INDEX(Expenses!D$3:D$999,SMALL(IF((Expenses!E$3:E$999="GBP")*(Expenses!A$3:A$999=DATE(2026,2,21)),ROW(Expenses!A$3:A$999)-2),1)),0)+IFERROR(INDEX(Income!C$3:C$502,SMALL(IF((Income!D$3:D$502="GBP")*(Income!A$3:A$502=DATE(2026,2,21)),ROW(Income!A$3:A$502)-2),1)),0)=0,"",IFERROR(-INDEX(Expenses!D$3:D$999,SMALL(IF((Expenses!E$3:E$999="GBP")*(Expenses!A$3:A$999=DATE(2026,2,21)),ROW(Expenses!A$3:A$999)-2),1)),0)+IFERROR(INDEX(Income!C$3:C$502,SMALL(IF((Income!D$3:D$502="GBP")*(Income!A$3:A$502=DATE(2026,2,21)),ROW(Income!A$3:A$502)-2),1)),0))</f>
        <v/>
      </c>
      <c r="N39" s="126">
        <f t="array" ref="N39">IF(IFERROR(INDEX(Expenses!B$3:B$999,SMALL(IF((Expenses!E$3:E$999="GBP")*(Expenses!A$3:A$999=DATE(2026,2,21)),ROW(Expenses!A$3:A$999)-2),1)),"")&lt;&gt;"",IFERROR(INDEX(Expenses!B$3:B$999,SMALL(IF((Expenses!E$3:E$999="GBP")*(Expenses!A$3:A$999=DATE(2026,2,21)),ROW(Expenses!A$3:A$999)-2),1)),""),IF(IFERROR(INDEX(Income!B$3:B$502,SMALL(IF((Income!D$3:D$502="GBP")*(Income!A$3:A$502=DATE(2026,2,21)),ROW(Income!A$3:A$502)-2),1)),"")&lt;&gt;"",IFERROR(INDEX(Income!B$3:B$502,SMALL(IF((Income!D$3:D$502="GBP")*(Income!A$3:A$502=DATE(2026,2,21)),ROW(Income!A$3:A$502)-2),1)),""),""))</f>
        <v/>
      </c>
      <c r="O39" s="152">
        <f t="array" ref="O39">IF(IFERROR(-INDEX(Expenses!D$3:D$999,SMALL(IF((Expenses!E$3:E$999="GBP")*(Expenses!A$3:A$999=DATE(2026,2,22)),ROW(Expenses!A$3:A$999)-2),1)),0)+IFERROR(INDEX(Income!C$3:C$502,SMALL(IF((Income!D$3:D$502="GBP")*(Income!A$3:A$502=DATE(2026,2,22)),ROW(Income!A$3:A$502)-2),1)),0)=0,"",IFERROR(-INDEX(Expenses!D$3:D$999,SMALL(IF((Expenses!E$3:E$999="GBP")*(Expenses!A$3:A$999=DATE(2026,2,22)),ROW(Expenses!A$3:A$999)-2),1)),0)+IFERROR(INDEX(Income!C$3:C$502,SMALL(IF((Income!D$3:D$502="GBP")*(Income!A$3:A$502=DATE(2026,2,22)),ROW(Income!A$3:A$502)-2),1)),0))</f>
        <v/>
      </c>
      <c r="P39" s="126">
        <f t="array" ref="P39">IF(IFERROR(INDEX(Expenses!B$3:B$999,SMALL(IF((Expenses!E$3:E$999="GBP")*(Expenses!A$3:A$999=DATE(2026,2,22)),ROW(Expenses!A$3:A$999)-2),1)),"")&lt;&gt;"",IFERROR(INDEX(Expenses!B$3:B$999,SMALL(IF((Expenses!E$3:E$999="GBP")*(Expenses!A$3:A$999=DATE(2026,2,22)),ROW(Expenses!A$3:A$999)-2),1)),""),IF(IFERROR(INDEX(Income!B$3:B$502,SMALL(IF((Income!D$3:D$502="GBP")*(Income!A$3:A$502=DATE(2026,2,22)),ROW(Income!A$3:A$502)-2),1)),"")&lt;&gt;"",IFERROR(INDEX(Income!B$3:B$502,SMALL(IF((Income!D$3:D$502="GBP")*(Income!A$3:A$502=DATE(2026,2,22)),ROW(Income!A$3:A$502)-2),1)),""),""))</f>
        <v/>
      </c>
      <c r="Q39" s="103" t="n">
        <v>8</v>
      </c>
      <c r="R39" s="134">
        <f>SUM(C39:C43)+SUM(E39:E43)+SUM(G39:G43)+SUM(I39:I43)+SUM(K39:K43)+SUM(M39:M43)+SUM(O39:O43)</f>
        <v/>
      </c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68">
      <c r="A40" s="9" t="n"/>
      <c r="B40" s="9" t="n"/>
      <c r="C40" s="152">
        <f t="array" ref="C40">IF(IFERROR(-INDEX(Expenses!D$3:D$999,SMALL(IF((Expenses!E$3:E$999="GBP")*(Expenses!A$3:A$999=DATE(2026,2,16)),ROW(Expenses!A$3:A$999)-2),2)),0)+IFERROR(INDEX(Income!C$3:C$502,SMALL(IF((Income!D$3:D$502="GBP")*(Income!A$3:A$502=DATE(2026,2,16)),ROW(Income!A$3:A$502)-2),2)),0)=0,"",IFERROR(-INDEX(Expenses!D$3:D$999,SMALL(IF((Expenses!E$3:E$999="GBP")*(Expenses!A$3:A$999=DATE(2026,2,16)),ROW(Expenses!A$3:A$999)-2),2)),0)+IFERROR(INDEX(Income!C$3:C$502,SMALL(IF((Income!D$3:D$502="GBP")*(Income!A$3:A$502=DATE(2026,2,16)),ROW(Income!A$3:A$502)-2),2)),0))</f>
        <v/>
      </c>
      <c r="D40" s="126">
        <f t="array" ref="D40">IF(IFERROR(INDEX(Expenses!B$3:B$999,SMALL(IF((Expenses!E$3:E$999="GBP")*(Expenses!A$3:A$999=DATE(2026,2,16)),ROW(Expenses!A$3:A$999)-2),2)),"")&lt;&gt;"",IFERROR(INDEX(Expenses!B$3:B$999,SMALL(IF((Expenses!E$3:E$999="GBP")*(Expenses!A$3:A$999=DATE(2026,2,16)),ROW(Expenses!A$3:A$999)-2),2)),""),IF(IFERROR(INDEX(Income!B$3:B$502,SMALL(IF((Income!D$3:D$502="GBP")*(Income!A$3:A$502=DATE(2026,2,16)),ROW(Income!A$3:A$502)-2),2)),"")&lt;&gt;"",IFERROR(INDEX(Income!B$3:B$502,SMALL(IF((Income!D$3:D$502="GBP")*(Income!A$3:A$502=DATE(2026,2,16)),ROW(Income!A$3:A$502)-2),2)),""),""))</f>
        <v/>
      </c>
      <c r="E40" s="152">
        <f t="array" ref="E40">IF(IFERROR(-INDEX(Expenses!D$3:D$999,SMALL(IF((Expenses!E$3:E$999="GBP")*(Expenses!A$3:A$999=DATE(2026,2,17)),ROW(Expenses!A$3:A$999)-2),2)),0)+IFERROR(INDEX(Income!C$3:C$502,SMALL(IF((Income!D$3:D$502="GBP")*(Income!A$3:A$502=DATE(2026,2,17)),ROW(Income!A$3:A$502)-2),2)),0)=0,"",IFERROR(-INDEX(Expenses!D$3:D$999,SMALL(IF((Expenses!E$3:E$999="GBP")*(Expenses!A$3:A$999=DATE(2026,2,17)),ROW(Expenses!A$3:A$999)-2),2)),0)+IFERROR(INDEX(Income!C$3:C$502,SMALL(IF((Income!D$3:D$502="GBP")*(Income!A$3:A$502=DATE(2026,2,17)),ROW(Income!A$3:A$502)-2),2)),0))</f>
        <v/>
      </c>
      <c r="F40" s="126">
        <f t="array" ref="F40">IF(IFERROR(INDEX(Expenses!B$3:B$999,SMALL(IF((Expenses!E$3:E$999="GBP")*(Expenses!A$3:A$999=DATE(2026,2,17)),ROW(Expenses!A$3:A$999)-2),2)),"")&lt;&gt;"",IFERROR(INDEX(Expenses!B$3:B$999,SMALL(IF((Expenses!E$3:E$999="GBP")*(Expenses!A$3:A$999=DATE(2026,2,17)),ROW(Expenses!A$3:A$999)-2),2)),""),IF(IFERROR(INDEX(Income!B$3:B$502,SMALL(IF((Income!D$3:D$502="GBP")*(Income!A$3:A$502=DATE(2026,2,17)),ROW(Income!A$3:A$502)-2),2)),"")&lt;&gt;"",IFERROR(INDEX(Income!B$3:B$502,SMALL(IF((Income!D$3:D$502="GBP")*(Income!A$3:A$502=DATE(2026,2,17)),ROW(Income!A$3:A$502)-2),2)),""),""))</f>
        <v/>
      </c>
      <c r="G40" s="152">
        <f t="array" ref="G40">IF(IFERROR(-INDEX(Expenses!D$3:D$999,SMALL(IF((Expenses!E$3:E$999="GBP")*(Expenses!A$3:A$999=DATE(2026,2,18)),ROW(Expenses!A$3:A$999)-2),2)),0)+IFERROR(INDEX(Income!C$3:C$502,SMALL(IF((Income!D$3:D$502="GBP")*(Income!A$3:A$502=DATE(2026,2,18)),ROW(Income!A$3:A$502)-2),2)),0)=0,"",IFERROR(-INDEX(Expenses!D$3:D$999,SMALL(IF((Expenses!E$3:E$999="GBP")*(Expenses!A$3:A$999=DATE(2026,2,18)),ROW(Expenses!A$3:A$999)-2),2)),0)+IFERROR(INDEX(Income!C$3:C$502,SMALL(IF((Income!D$3:D$502="GBP")*(Income!A$3:A$502=DATE(2026,2,18)),ROW(Income!A$3:A$502)-2),2)),0))</f>
        <v/>
      </c>
      <c r="H40" s="126">
        <f t="array" ref="H40">IF(IFERROR(INDEX(Expenses!B$3:B$999,SMALL(IF((Expenses!E$3:E$999="GBP")*(Expenses!A$3:A$999=DATE(2026,2,18)),ROW(Expenses!A$3:A$999)-2),2)),"")&lt;&gt;"",IFERROR(INDEX(Expenses!B$3:B$999,SMALL(IF((Expenses!E$3:E$999="GBP")*(Expenses!A$3:A$999=DATE(2026,2,18)),ROW(Expenses!A$3:A$999)-2),2)),""),IF(IFERROR(INDEX(Income!B$3:B$502,SMALL(IF((Income!D$3:D$502="GBP")*(Income!A$3:A$502=DATE(2026,2,18)),ROW(Income!A$3:A$502)-2),2)),"")&lt;&gt;"",IFERROR(INDEX(Income!B$3:B$502,SMALL(IF((Income!D$3:D$502="GBP")*(Income!A$3:A$502=DATE(2026,2,18)),ROW(Income!A$3:A$502)-2),2)),""),""))</f>
        <v/>
      </c>
      <c r="I40" s="152">
        <f t="array" ref="I40">IF(IFERROR(-INDEX(Expenses!D$3:D$999,SMALL(IF((Expenses!E$3:E$999="GBP")*(Expenses!A$3:A$999=DATE(2026,2,19)),ROW(Expenses!A$3:A$999)-2),2)),0)+IFERROR(INDEX(Income!C$3:C$502,SMALL(IF((Income!D$3:D$502="GBP")*(Income!A$3:A$502=DATE(2026,2,19)),ROW(Income!A$3:A$502)-2),2)),0)=0,"",IFERROR(-INDEX(Expenses!D$3:D$999,SMALL(IF((Expenses!E$3:E$999="GBP")*(Expenses!A$3:A$999=DATE(2026,2,19)),ROW(Expenses!A$3:A$999)-2),2)),0)+IFERROR(INDEX(Income!C$3:C$502,SMALL(IF((Income!D$3:D$502="GBP")*(Income!A$3:A$502=DATE(2026,2,19)),ROW(Income!A$3:A$502)-2),2)),0))</f>
        <v/>
      </c>
      <c r="J40" s="126">
        <f t="array" ref="J40">IF(IFERROR(INDEX(Expenses!B$3:B$999,SMALL(IF((Expenses!E$3:E$999="GBP")*(Expenses!A$3:A$999=DATE(2026,2,19)),ROW(Expenses!A$3:A$999)-2),2)),"")&lt;&gt;"",IFERROR(INDEX(Expenses!B$3:B$999,SMALL(IF((Expenses!E$3:E$999="GBP")*(Expenses!A$3:A$999=DATE(2026,2,19)),ROW(Expenses!A$3:A$999)-2),2)),""),IF(IFERROR(INDEX(Income!B$3:B$502,SMALL(IF((Income!D$3:D$502="GBP")*(Income!A$3:A$502=DATE(2026,2,19)),ROW(Income!A$3:A$502)-2),2)),"")&lt;&gt;"",IFERROR(INDEX(Income!B$3:B$502,SMALL(IF((Income!D$3:D$502="GBP")*(Income!A$3:A$502=DATE(2026,2,19)),ROW(Income!A$3:A$502)-2),2)),""),""))</f>
        <v/>
      </c>
      <c r="K40" s="152">
        <f t="array" ref="K40">IF(IFERROR(-INDEX(Expenses!D$3:D$999,SMALL(IF((Expenses!E$3:E$999="GBP")*(Expenses!A$3:A$999=DATE(2026,2,20)),ROW(Expenses!A$3:A$999)-2),2)),0)+IFERROR(INDEX(Income!C$3:C$502,SMALL(IF((Income!D$3:D$502="GBP")*(Income!A$3:A$502=DATE(2026,2,20)),ROW(Income!A$3:A$502)-2),2)),0)=0,"",IFERROR(-INDEX(Expenses!D$3:D$999,SMALL(IF((Expenses!E$3:E$999="GBP")*(Expenses!A$3:A$999=DATE(2026,2,20)),ROW(Expenses!A$3:A$999)-2),2)),0)+IFERROR(INDEX(Income!C$3:C$502,SMALL(IF((Income!D$3:D$502="GBP")*(Income!A$3:A$502=DATE(2026,2,20)),ROW(Income!A$3:A$502)-2),2)),0))</f>
        <v/>
      </c>
      <c r="L40" s="126">
        <f t="array" ref="L40">IF(IFERROR(INDEX(Expenses!B$3:B$999,SMALL(IF((Expenses!E$3:E$999="GBP")*(Expenses!A$3:A$999=DATE(2026,2,20)),ROW(Expenses!A$3:A$999)-2),2)),"")&lt;&gt;"",IFERROR(INDEX(Expenses!B$3:B$999,SMALL(IF((Expenses!E$3:E$999="GBP")*(Expenses!A$3:A$999=DATE(2026,2,20)),ROW(Expenses!A$3:A$999)-2),2)),""),IF(IFERROR(INDEX(Income!B$3:B$502,SMALL(IF((Income!D$3:D$502="GBP")*(Income!A$3:A$502=DATE(2026,2,20)),ROW(Income!A$3:A$502)-2),2)),"")&lt;&gt;"",IFERROR(INDEX(Income!B$3:B$502,SMALL(IF((Income!D$3:D$502="GBP")*(Income!A$3:A$502=DATE(2026,2,20)),ROW(Income!A$3:A$502)-2),2)),""),""))</f>
        <v/>
      </c>
      <c r="M40" s="152">
        <f t="array" ref="M40">IF(IFERROR(-INDEX(Expenses!D$3:D$999,SMALL(IF((Expenses!E$3:E$999="GBP")*(Expenses!A$3:A$999=DATE(2026,2,21)),ROW(Expenses!A$3:A$999)-2),2)),0)+IFERROR(INDEX(Income!C$3:C$502,SMALL(IF((Income!D$3:D$502="GBP")*(Income!A$3:A$502=DATE(2026,2,21)),ROW(Income!A$3:A$502)-2),2)),0)=0,"",IFERROR(-INDEX(Expenses!D$3:D$999,SMALL(IF((Expenses!E$3:E$999="GBP")*(Expenses!A$3:A$999=DATE(2026,2,21)),ROW(Expenses!A$3:A$999)-2),2)),0)+IFERROR(INDEX(Income!C$3:C$502,SMALL(IF((Income!D$3:D$502="GBP")*(Income!A$3:A$502=DATE(2026,2,21)),ROW(Income!A$3:A$502)-2),2)),0))</f>
        <v/>
      </c>
      <c r="N40" s="126">
        <f t="array" ref="N40">IF(IFERROR(INDEX(Expenses!B$3:B$999,SMALL(IF((Expenses!E$3:E$999="GBP")*(Expenses!A$3:A$999=DATE(2026,2,21)),ROW(Expenses!A$3:A$999)-2),2)),"")&lt;&gt;"",IFERROR(INDEX(Expenses!B$3:B$999,SMALL(IF((Expenses!E$3:E$999="GBP")*(Expenses!A$3:A$999=DATE(2026,2,21)),ROW(Expenses!A$3:A$999)-2),2)),""),IF(IFERROR(INDEX(Income!B$3:B$502,SMALL(IF((Income!D$3:D$502="GBP")*(Income!A$3:A$502=DATE(2026,2,21)),ROW(Income!A$3:A$502)-2),2)),"")&lt;&gt;"",IFERROR(INDEX(Income!B$3:B$502,SMALL(IF((Income!D$3:D$502="GBP")*(Income!A$3:A$502=DATE(2026,2,21)),ROW(Income!A$3:A$502)-2),2)),""),""))</f>
        <v/>
      </c>
      <c r="O40" s="152">
        <f t="array" ref="O40">IF(IFERROR(-INDEX(Expenses!D$3:D$999,SMALL(IF((Expenses!E$3:E$999="GBP")*(Expenses!A$3:A$999=DATE(2026,2,22)),ROW(Expenses!A$3:A$999)-2),2)),0)+IFERROR(INDEX(Income!C$3:C$502,SMALL(IF((Income!D$3:D$502="GBP")*(Income!A$3:A$502=DATE(2026,2,22)),ROW(Income!A$3:A$502)-2),2)),0)=0,"",IFERROR(-INDEX(Expenses!D$3:D$999,SMALL(IF((Expenses!E$3:E$999="GBP")*(Expenses!A$3:A$999=DATE(2026,2,22)),ROW(Expenses!A$3:A$999)-2),2)),0)+IFERROR(INDEX(Income!C$3:C$502,SMALL(IF((Income!D$3:D$502="GBP")*(Income!A$3:A$502=DATE(2026,2,22)),ROW(Income!A$3:A$502)-2),2)),0))</f>
        <v/>
      </c>
      <c r="P40" s="126">
        <f t="array" ref="P40">IF(IFERROR(INDEX(Expenses!B$3:B$999,SMALL(IF((Expenses!E$3:E$999="GBP")*(Expenses!A$3:A$999=DATE(2026,2,22)),ROW(Expenses!A$3:A$999)-2),2)),"")&lt;&gt;"",IFERROR(INDEX(Expenses!B$3:B$999,SMALL(IF((Expenses!E$3:E$999="GBP")*(Expenses!A$3:A$999=DATE(2026,2,22)),ROW(Expenses!A$3:A$999)-2),2)),""),IF(IFERROR(INDEX(Income!B$3:B$502,SMALL(IF((Income!D$3:D$502="GBP")*(Income!A$3:A$502=DATE(2026,2,22)),ROW(Income!A$3:A$502)-2),2)),"")&lt;&gt;"",IFERROR(INDEX(Income!B$3:B$502,SMALL(IF((Income!D$3:D$502="GBP")*(Income!A$3:A$502=DATE(2026,2,22)),ROW(Income!A$3:A$502)-2),2)),""),""))</f>
        <v/>
      </c>
      <c r="Q40" s="9" t="n"/>
      <c r="R40" s="9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68">
      <c r="A41" s="9" t="n"/>
      <c r="B41" s="9" t="n"/>
      <c r="C41" s="152">
        <f t="array" ref="C41">IF(IFERROR(-INDEX(Expenses!D$3:D$999,SMALL(IF((Expenses!E$3:E$999="GBP")*(Expenses!A$3:A$999=DATE(2026,2,16)),ROW(Expenses!A$3:A$999)-2),3)),0)+IFERROR(INDEX(Income!C$3:C$502,SMALL(IF((Income!D$3:D$502="GBP")*(Income!A$3:A$502=DATE(2026,2,16)),ROW(Income!A$3:A$502)-2),3)),0)=0,"",IFERROR(-INDEX(Expenses!D$3:D$999,SMALL(IF((Expenses!E$3:E$999="GBP")*(Expenses!A$3:A$999=DATE(2026,2,16)),ROW(Expenses!A$3:A$999)-2),3)),0)+IFERROR(INDEX(Income!C$3:C$502,SMALL(IF((Income!D$3:D$502="GBP")*(Income!A$3:A$502=DATE(2026,2,16)),ROW(Income!A$3:A$502)-2),3)),0))</f>
        <v/>
      </c>
      <c r="D41" s="126">
        <f t="array" ref="D41">IF(IFERROR(INDEX(Expenses!B$3:B$999,SMALL(IF((Expenses!E$3:E$999="GBP")*(Expenses!A$3:A$999=DATE(2026,2,16)),ROW(Expenses!A$3:A$999)-2),3)),"")&lt;&gt;"",IFERROR(INDEX(Expenses!B$3:B$999,SMALL(IF((Expenses!E$3:E$999="GBP")*(Expenses!A$3:A$999=DATE(2026,2,16)),ROW(Expenses!A$3:A$999)-2),3)),""),IF(IFERROR(INDEX(Income!B$3:B$502,SMALL(IF((Income!D$3:D$502="GBP")*(Income!A$3:A$502=DATE(2026,2,16)),ROW(Income!A$3:A$502)-2),3)),"")&lt;&gt;"",IFERROR(INDEX(Income!B$3:B$502,SMALL(IF((Income!D$3:D$502="GBP")*(Income!A$3:A$502=DATE(2026,2,16)),ROW(Income!A$3:A$502)-2),3)),""),""))</f>
        <v/>
      </c>
      <c r="E41" s="152">
        <f t="array" ref="E41">IF(IFERROR(-INDEX(Expenses!D$3:D$999,SMALL(IF((Expenses!E$3:E$999="GBP")*(Expenses!A$3:A$999=DATE(2026,2,17)),ROW(Expenses!A$3:A$999)-2),3)),0)+IFERROR(INDEX(Income!C$3:C$502,SMALL(IF((Income!D$3:D$502="GBP")*(Income!A$3:A$502=DATE(2026,2,17)),ROW(Income!A$3:A$502)-2),3)),0)=0,"",IFERROR(-INDEX(Expenses!D$3:D$999,SMALL(IF((Expenses!E$3:E$999="GBP")*(Expenses!A$3:A$999=DATE(2026,2,17)),ROW(Expenses!A$3:A$999)-2),3)),0)+IFERROR(INDEX(Income!C$3:C$502,SMALL(IF((Income!D$3:D$502="GBP")*(Income!A$3:A$502=DATE(2026,2,17)),ROW(Income!A$3:A$502)-2),3)),0))</f>
        <v/>
      </c>
      <c r="F41" s="126">
        <f t="array" ref="F41">IF(IFERROR(INDEX(Expenses!B$3:B$999,SMALL(IF((Expenses!E$3:E$999="GBP")*(Expenses!A$3:A$999=DATE(2026,2,17)),ROW(Expenses!A$3:A$999)-2),3)),"")&lt;&gt;"",IFERROR(INDEX(Expenses!B$3:B$999,SMALL(IF((Expenses!E$3:E$999="GBP")*(Expenses!A$3:A$999=DATE(2026,2,17)),ROW(Expenses!A$3:A$999)-2),3)),""),IF(IFERROR(INDEX(Income!B$3:B$502,SMALL(IF((Income!D$3:D$502="GBP")*(Income!A$3:A$502=DATE(2026,2,17)),ROW(Income!A$3:A$502)-2),3)),"")&lt;&gt;"",IFERROR(INDEX(Income!B$3:B$502,SMALL(IF((Income!D$3:D$502="GBP")*(Income!A$3:A$502=DATE(2026,2,17)),ROW(Income!A$3:A$502)-2),3)),""),""))</f>
        <v/>
      </c>
      <c r="G41" s="152">
        <f t="array" ref="G41">IF(IFERROR(-INDEX(Expenses!D$3:D$999,SMALL(IF((Expenses!E$3:E$999="GBP")*(Expenses!A$3:A$999=DATE(2026,2,18)),ROW(Expenses!A$3:A$999)-2),3)),0)+IFERROR(INDEX(Income!C$3:C$502,SMALL(IF((Income!D$3:D$502="GBP")*(Income!A$3:A$502=DATE(2026,2,18)),ROW(Income!A$3:A$502)-2),3)),0)=0,"",IFERROR(-INDEX(Expenses!D$3:D$999,SMALL(IF((Expenses!E$3:E$999="GBP")*(Expenses!A$3:A$999=DATE(2026,2,18)),ROW(Expenses!A$3:A$999)-2),3)),0)+IFERROR(INDEX(Income!C$3:C$502,SMALL(IF((Income!D$3:D$502="GBP")*(Income!A$3:A$502=DATE(2026,2,18)),ROW(Income!A$3:A$502)-2),3)),0))</f>
        <v/>
      </c>
      <c r="H41" s="126">
        <f t="array" ref="H41">IF(IFERROR(INDEX(Expenses!B$3:B$999,SMALL(IF((Expenses!E$3:E$999="GBP")*(Expenses!A$3:A$999=DATE(2026,2,18)),ROW(Expenses!A$3:A$999)-2),3)),"")&lt;&gt;"",IFERROR(INDEX(Expenses!B$3:B$999,SMALL(IF((Expenses!E$3:E$999="GBP")*(Expenses!A$3:A$999=DATE(2026,2,18)),ROW(Expenses!A$3:A$999)-2),3)),""),IF(IFERROR(INDEX(Income!B$3:B$502,SMALL(IF((Income!D$3:D$502="GBP")*(Income!A$3:A$502=DATE(2026,2,18)),ROW(Income!A$3:A$502)-2),3)),"")&lt;&gt;"",IFERROR(INDEX(Income!B$3:B$502,SMALL(IF((Income!D$3:D$502="GBP")*(Income!A$3:A$502=DATE(2026,2,18)),ROW(Income!A$3:A$502)-2),3)),""),""))</f>
        <v/>
      </c>
      <c r="I41" s="152">
        <f t="array" ref="I41">IF(IFERROR(-INDEX(Expenses!D$3:D$999,SMALL(IF((Expenses!E$3:E$999="GBP")*(Expenses!A$3:A$999=DATE(2026,2,19)),ROW(Expenses!A$3:A$999)-2),3)),0)+IFERROR(INDEX(Income!C$3:C$502,SMALL(IF((Income!D$3:D$502="GBP")*(Income!A$3:A$502=DATE(2026,2,19)),ROW(Income!A$3:A$502)-2),3)),0)=0,"",IFERROR(-INDEX(Expenses!D$3:D$999,SMALL(IF((Expenses!E$3:E$999="GBP")*(Expenses!A$3:A$999=DATE(2026,2,19)),ROW(Expenses!A$3:A$999)-2),3)),0)+IFERROR(INDEX(Income!C$3:C$502,SMALL(IF((Income!D$3:D$502="GBP")*(Income!A$3:A$502=DATE(2026,2,19)),ROW(Income!A$3:A$502)-2),3)),0))</f>
        <v/>
      </c>
      <c r="J41" s="126">
        <f t="array" ref="J41">IF(IFERROR(INDEX(Expenses!B$3:B$999,SMALL(IF((Expenses!E$3:E$999="GBP")*(Expenses!A$3:A$999=DATE(2026,2,19)),ROW(Expenses!A$3:A$999)-2),3)),"")&lt;&gt;"",IFERROR(INDEX(Expenses!B$3:B$999,SMALL(IF((Expenses!E$3:E$999="GBP")*(Expenses!A$3:A$999=DATE(2026,2,19)),ROW(Expenses!A$3:A$999)-2),3)),""),IF(IFERROR(INDEX(Income!B$3:B$502,SMALL(IF((Income!D$3:D$502="GBP")*(Income!A$3:A$502=DATE(2026,2,19)),ROW(Income!A$3:A$502)-2),3)),"")&lt;&gt;"",IFERROR(INDEX(Income!B$3:B$502,SMALL(IF((Income!D$3:D$502="GBP")*(Income!A$3:A$502=DATE(2026,2,19)),ROW(Income!A$3:A$502)-2),3)),""),""))</f>
        <v/>
      </c>
      <c r="K41" s="152">
        <f t="array" ref="K41">IF(IFERROR(-INDEX(Expenses!D$3:D$999,SMALL(IF((Expenses!E$3:E$999="GBP")*(Expenses!A$3:A$999=DATE(2026,2,20)),ROW(Expenses!A$3:A$999)-2),3)),0)+IFERROR(INDEX(Income!C$3:C$502,SMALL(IF((Income!D$3:D$502="GBP")*(Income!A$3:A$502=DATE(2026,2,20)),ROW(Income!A$3:A$502)-2),3)),0)=0,"",IFERROR(-INDEX(Expenses!D$3:D$999,SMALL(IF((Expenses!E$3:E$999="GBP")*(Expenses!A$3:A$999=DATE(2026,2,20)),ROW(Expenses!A$3:A$999)-2),3)),0)+IFERROR(INDEX(Income!C$3:C$502,SMALL(IF((Income!D$3:D$502="GBP")*(Income!A$3:A$502=DATE(2026,2,20)),ROW(Income!A$3:A$502)-2),3)),0))</f>
        <v/>
      </c>
      <c r="L41" s="126">
        <f t="array" ref="L41">IF(IFERROR(INDEX(Expenses!B$3:B$999,SMALL(IF((Expenses!E$3:E$999="GBP")*(Expenses!A$3:A$999=DATE(2026,2,20)),ROW(Expenses!A$3:A$999)-2),3)),"")&lt;&gt;"",IFERROR(INDEX(Expenses!B$3:B$999,SMALL(IF((Expenses!E$3:E$999="GBP")*(Expenses!A$3:A$999=DATE(2026,2,20)),ROW(Expenses!A$3:A$999)-2),3)),""),IF(IFERROR(INDEX(Income!B$3:B$502,SMALL(IF((Income!D$3:D$502="GBP")*(Income!A$3:A$502=DATE(2026,2,20)),ROW(Income!A$3:A$502)-2),3)),"")&lt;&gt;"",IFERROR(INDEX(Income!B$3:B$502,SMALL(IF((Income!D$3:D$502="GBP")*(Income!A$3:A$502=DATE(2026,2,20)),ROW(Income!A$3:A$502)-2),3)),""),""))</f>
        <v/>
      </c>
      <c r="M41" s="152">
        <f t="array" ref="M41">IF(IFERROR(-INDEX(Expenses!D$3:D$999,SMALL(IF((Expenses!E$3:E$999="GBP")*(Expenses!A$3:A$999=DATE(2026,2,21)),ROW(Expenses!A$3:A$999)-2),3)),0)+IFERROR(INDEX(Income!C$3:C$502,SMALL(IF((Income!D$3:D$502="GBP")*(Income!A$3:A$502=DATE(2026,2,21)),ROW(Income!A$3:A$502)-2),3)),0)=0,"",IFERROR(-INDEX(Expenses!D$3:D$999,SMALL(IF((Expenses!E$3:E$999="GBP")*(Expenses!A$3:A$999=DATE(2026,2,21)),ROW(Expenses!A$3:A$999)-2),3)),0)+IFERROR(INDEX(Income!C$3:C$502,SMALL(IF((Income!D$3:D$502="GBP")*(Income!A$3:A$502=DATE(2026,2,21)),ROW(Income!A$3:A$502)-2),3)),0))</f>
        <v/>
      </c>
      <c r="N41" s="126">
        <f t="array" ref="N41">IF(IFERROR(INDEX(Expenses!B$3:B$999,SMALL(IF((Expenses!E$3:E$999="GBP")*(Expenses!A$3:A$999=DATE(2026,2,21)),ROW(Expenses!A$3:A$999)-2),3)),"")&lt;&gt;"",IFERROR(INDEX(Expenses!B$3:B$999,SMALL(IF((Expenses!E$3:E$999="GBP")*(Expenses!A$3:A$999=DATE(2026,2,21)),ROW(Expenses!A$3:A$999)-2),3)),""),IF(IFERROR(INDEX(Income!B$3:B$502,SMALL(IF((Income!D$3:D$502="GBP")*(Income!A$3:A$502=DATE(2026,2,21)),ROW(Income!A$3:A$502)-2),3)),"")&lt;&gt;"",IFERROR(INDEX(Income!B$3:B$502,SMALL(IF((Income!D$3:D$502="GBP")*(Income!A$3:A$502=DATE(2026,2,21)),ROW(Income!A$3:A$502)-2),3)),""),""))</f>
        <v/>
      </c>
      <c r="O41" s="152">
        <f t="array" ref="O41">IF(IFERROR(-INDEX(Expenses!D$3:D$999,SMALL(IF((Expenses!E$3:E$999="GBP")*(Expenses!A$3:A$999=DATE(2026,2,22)),ROW(Expenses!A$3:A$999)-2),3)),0)+IFERROR(INDEX(Income!C$3:C$502,SMALL(IF((Income!D$3:D$502="GBP")*(Income!A$3:A$502=DATE(2026,2,22)),ROW(Income!A$3:A$502)-2),3)),0)=0,"",IFERROR(-INDEX(Expenses!D$3:D$999,SMALL(IF((Expenses!E$3:E$999="GBP")*(Expenses!A$3:A$999=DATE(2026,2,22)),ROW(Expenses!A$3:A$999)-2),3)),0)+IFERROR(INDEX(Income!C$3:C$502,SMALL(IF((Income!D$3:D$502="GBP")*(Income!A$3:A$502=DATE(2026,2,22)),ROW(Income!A$3:A$502)-2),3)),0))</f>
        <v/>
      </c>
      <c r="P41" s="126">
        <f t="array" ref="P41">IF(IFERROR(INDEX(Expenses!B$3:B$999,SMALL(IF((Expenses!E$3:E$999="GBP")*(Expenses!A$3:A$999=DATE(2026,2,22)),ROW(Expenses!A$3:A$999)-2),3)),"")&lt;&gt;"",IFERROR(INDEX(Expenses!B$3:B$999,SMALL(IF((Expenses!E$3:E$999="GBP")*(Expenses!A$3:A$999=DATE(2026,2,22)),ROW(Expenses!A$3:A$999)-2),3)),""),IF(IFERROR(INDEX(Income!B$3:B$502,SMALL(IF((Income!D$3:D$502="GBP")*(Income!A$3:A$502=DATE(2026,2,22)),ROW(Income!A$3:A$502)-2),3)),"")&lt;&gt;"",IFERROR(INDEX(Income!B$3:B$502,SMALL(IF((Income!D$3:D$502="GBP")*(Income!A$3:A$502=DATE(2026,2,22)),ROW(Income!A$3:A$502)-2),3)),""),""))</f>
        <v/>
      </c>
      <c r="Q41" s="9" t="n"/>
      <c r="R41" s="9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68">
      <c r="A42" s="9" t="n"/>
      <c r="B42" s="9" t="n"/>
      <c r="C42" s="152">
        <f t="array" ref="C42">IF(IFERROR(-INDEX(Expenses!D$3:D$999,SMALL(IF((Expenses!E$3:E$999="GBP")*(Expenses!A$3:A$999=DATE(2026,2,16)),ROW(Expenses!A$3:A$999)-2),4)),0)+IFERROR(INDEX(Income!C$3:C$502,SMALL(IF((Income!D$3:D$502="GBP")*(Income!A$3:A$502=DATE(2026,2,16)),ROW(Income!A$3:A$502)-2),4)),0)=0,"",IFERROR(-INDEX(Expenses!D$3:D$999,SMALL(IF((Expenses!E$3:E$999="GBP")*(Expenses!A$3:A$999=DATE(2026,2,16)),ROW(Expenses!A$3:A$999)-2),4)),0)+IFERROR(INDEX(Income!C$3:C$502,SMALL(IF((Income!D$3:D$502="GBP")*(Income!A$3:A$502=DATE(2026,2,16)),ROW(Income!A$3:A$502)-2),4)),0))</f>
        <v/>
      </c>
      <c r="D42" s="126">
        <f t="array" ref="D42">IF(IFERROR(INDEX(Expenses!B$3:B$999,SMALL(IF((Expenses!E$3:E$999="GBP")*(Expenses!A$3:A$999=DATE(2026,2,16)),ROW(Expenses!A$3:A$999)-2),4)),"")&lt;&gt;"",IFERROR(INDEX(Expenses!B$3:B$999,SMALL(IF((Expenses!E$3:E$999="GBP")*(Expenses!A$3:A$999=DATE(2026,2,16)),ROW(Expenses!A$3:A$999)-2),4)),""),IF(IFERROR(INDEX(Income!B$3:B$502,SMALL(IF((Income!D$3:D$502="GBP")*(Income!A$3:A$502=DATE(2026,2,16)),ROW(Income!A$3:A$502)-2),4)),"")&lt;&gt;"",IFERROR(INDEX(Income!B$3:B$502,SMALL(IF((Income!D$3:D$502="GBP")*(Income!A$3:A$502=DATE(2026,2,16)),ROW(Income!A$3:A$502)-2),4)),""),""))</f>
        <v/>
      </c>
      <c r="E42" s="152">
        <f t="array" ref="E42">IF(IFERROR(-INDEX(Expenses!D$3:D$999,SMALL(IF((Expenses!E$3:E$999="GBP")*(Expenses!A$3:A$999=DATE(2026,2,17)),ROW(Expenses!A$3:A$999)-2),4)),0)+IFERROR(INDEX(Income!C$3:C$502,SMALL(IF((Income!D$3:D$502="GBP")*(Income!A$3:A$502=DATE(2026,2,17)),ROW(Income!A$3:A$502)-2),4)),0)=0,"",IFERROR(-INDEX(Expenses!D$3:D$999,SMALL(IF((Expenses!E$3:E$999="GBP")*(Expenses!A$3:A$999=DATE(2026,2,17)),ROW(Expenses!A$3:A$999)-2),4)),0)+IFERROR(INDEX(Income!C$3:C$502,SMALL(IF((Income!D$3:D$502="GBP")*(Income!A$3:A$502=DATE(2026,2,17)),ROW(Income!A$3:A$502)-2),4)),0))</f>
        <v/>
      </c>
      <c r="F42" s="126">
        <f t="array" ref="F42">IF(IFERROR(INDEX(Expenses!B$3:B$999,SMALL(IF((Expenses!E$3:E$999="GBP")*(Expenses!A$3:A$999=DATE(2026,2,17)),ROW(Expenses!A$3:A$999)-2),4)),"")&lt;&gt;"",IFERROR(INDEX(Expenses!B$3:B$999,SMALL(IF((Expenses!E$3:E$999="GBP")*(Expenses!A$3:A$999=DATE(2026,2,17)),ROW(Expenses!A$3:A$999)-2),4)),""),IF(IFERROR(INDEX(Income!B$3:B$502,SMALL(IF((Income!D$3:D$502="GBP")*(Income!A$3:A$502=DATE(2026,2,17)),ROW(Income!A$3:A$502)-2),4)),"")&lt;&gt;"",IFERROR(INDEX(Income!B$3:B$502,SMALL(IF((Income!D$3:D$502="GBP")*(Income!A$3:A$502=DATE(2026,2,17)),ROW(Income!A$3:A$502)-2),4)),""),""))</f>
        <v/>
      </c>
      <c r="G42" s="152">
        <f t="array" ref="G42">IF(IFERROR(-INDEX(Expenses!D$3:D$999,SMALL(IF((Expenses!E$3:E$999="GBP")*(Expenses!A$3:A$999=DATE(2026,2,18)),ROW(Expenses!A$3:A$999)-2),4)),0)+IFERROR(INDEX(Income!C$3:C$502,SMALL(IF((Income!D$3:D$502="GBP")*(Income!A$3:A$502=DATE(2026,2,18)),ROW(Income!A$3:A$502)-2),4)),0)=0,"",IFERROR(-INDEX(Expenses!D$3:D$999,SMALL(IF((Expenses!E$3:E$999="GBP")*(Expenses!A$3:A$999=DATE(2026,2,18)),ROW(Expenses!A$3:A$999)-2),4)),0)+IFERROR(INDEX(Income!C$3:C$502,SMALL(IF((Income!D$3:D$502="GBP")*(Income!A$3:A$502=DATE(2026,2,18)),ROW(Income!A$3:A$502)-2),4)),0))</f>
        <v/>
      </c>
      <c r="H42" s="126">
        <f t="array" ref="H42">IF(IFERROR(INDEX(Expenses!B$3:B$999,SMALL(IF((Expenses!E$3:E$999="GBP")*(Expenses!A$3:A$999=DATE(2026,2,18)),ROW(Expenses!A$3:A$999)-2),4)),"")&lt;&gt;"",IFERROR(INDEX(Expenses!B$3:B$999,SMALL(IF((Expenses!E$3:E$999="GBP")*(Expenses!A$3:A$999=DATE(2026,2,18)),ROW(Expenses!A$3:A$999)-2),4)),""),IF(IFERROR(INDEX(Income!B$3:B$502,SMALL(IF((Income!D$3:D$502="GBP")*(Income!A$3:A$502=DATE(2026,2,18)),ROW(Income!A$3:A$502)-2),4)),"")&lt;&gt;"",IFERROR(INDEX(Income!B$3:B$502,SMALL(IF((Income!D$3:D$502="GBP")*(Income!A$3:A$502=DATE(2026,2,18)),ROW(Income!A$3:A$502)-2),4)),""),""))</f>
        <v/>
      </c>
      <c r="I42" s="152">
        <f t="array" ref="I42">IF(IFERROR(-INDEX(Expenses!D$3:D$999,SMALL(IF((Expenses!E$3:E$999="GBP")*(Expenses!A$3:A$999=DATE(2026,2,19)),ROW(Expenses!A$3:A$999)-2),4)),0)+IFERROR(INDEX(Income!C$3:C$502,SMALL(IF((Income!D$3:D$502="GBP")*(Income!A$3:A$502=DATE(2026,2,19)),ROW(Income!A$3:A$502)-2),4)),0)=0,"",IFERROR(-INDEX(Expenses!D$3:D$999,SMALL(IF((Expenses!E$3:E$999="GBP")*(Expenses!A$3:A$999=DATE(2026,2,19)),ROW(Expenses!A$3:A$999)-2),4)),0)+IFERROR(INDEX(Income!C$3:C$502,SMALL(IF((Income!D$3:D$502="GBP")*(Income!A$3:A$502=DATE(2026,2,19)),ROW(Income!A$3:A$502)-2),4)),0))</f>
        <v/>
      </c>
      <c r="J42" s="126">
        <f t="array" ref="J42">IF(IFERROR(INDEX(Expenses!B$3:B$999,SMALL(IF((Expenses!E$3:E$999="GBP")*(Expenses!A$3:A$999=DATE(2026,2,19)),ROW(Expenses!A$3:A$999)-2),4)),"")&lt;&gt;"",IFERROR(INDEX(Expenses!B$3:B$999,SMALL(IF((Expenses!E$3:E$999="GBP")*(Expenses!A$3:A$999=DATE(2026,2,19)),ROW(Expenses!A$3:A$999)-2),4)),""),IF(IFERROR(INDEX(Income!B$3:B$502,SMALL(IF((Income!D$3:D$502="GBP")*(Income!A$3:A$502=DATE(2026,2,19)),ROW(Income!A$3:A$502)-2),4)),"")&lt;&gt;"",IFERROR(INDEX(Income!B$3:B$502,SMALL(IF((Income!D$3:D$502="GBP")*(Income!A$3:A$502=DATE(2026,2,19)),ROW(Income!A$3:A$502)-2),4)),""),""))</f>
        <v/>
      </c>
      <c r="K42" s="152">
        <f t="array" ref="K42">IF(IFERROR(-INDEX(Expenses!D$3:D$999,SMALL(IF((Expenses!E$3:E$999="GBP")*(Expenses!A$3:A$999=DATE(2026,2,20)),ROW(Expenses!A$3:A$999)-2),4)),0)+IFERROR(INDEX(Income!C$3:C$502,SMALL(IF((Income!D$3:D$502="GBP")*(Income!A$3:A$502=DATE(2026,2,20)),ROW(Income!A$3:A$502)-2),4)),0)=0,"",IFERROR(-INDEX(Expenses!D$3:D$999,SMALL(IF((Expenses!E$3:E$999="GBP")*(Expenses!A$3:A$999=DATE(2026,2,20)),ROW(Expenses!A$3:A$999)-2),4)),0)+IFERROR(INDEX(Income!C$3:C$502,SMALL(IF((Income!D$3:D$502="GBP")*(Income!A$3:A$502=DATE(2026,2,20)),ROW(Income!A$3:A$502)-2),4)),0))</f>
        <v/>
      </c>
      <c r="L42" s="126">
        <f t="array" ref="L42">IF(IFERROR(INDEX(Expenses!B$3:B$999,SMALL(IF((Expenses!E$3:E$999="GBP")*(Expenses!A$3:A$999=DATE(2026,2,20)),ROW(Expenses!A$3:A$999)-2),4)),"")&lt;&gt;"",IFERROR(INDEX(Expenses!B$3:B$999,SMALL(IF((Expenses!E$3:E$999="GBP")*(Expenses!A$3:A$999=DATE(2026,2,20)),ROW(Expenses!A$3:A$999)-2),4)),""),IF(IFERROR(INDEX(Income!B$3:B$502,SMALL(IF((Income!D$3:D$502="GBP")*(Income!A$3:A$502=DATE(2026,2,20)),ROW(Income!A$3:A$502)-2),4)),"")&lt;&gt;"",IFERROR(INDEX(Income!B$3:B$502,SMALL(IF((Income!D$3:D$502="GBP")*(Income!A$3:A$502=DATE(2026,2,20)),ROW(Income!A$3:A$502)-2),4)),""),""))</f>
        <v/>
      </c>
      <c r="M42" s="152">
        <f t="array" ref="M42">IF(IFERROR(-INDEX(Expenses!D$3:D$999,SMALL(IF((Expenses!E$3:E$999="GBP")*(Expenses!A$3:A$999=DATE(2026,2,21)),ROW(Expenses!A$3:A$999)-2),4)),0)+IFERROR(INDEX(Income!C$3:C$502,SMALL(IF((Income!D$3:D$502="GBP")*(Income!A$3:A$502=DATE(2026,2,21)),ROW(Income!A$3:A$502)-2),4)),0)=0,"",IFERROR(-INDEX(Expenses!D$3:D$999,SMALL(IF((Expenses!E$3:E$999="GBP")*(Expenses!A$3:A$999=DATE(2026,2,21)),ROW(Expenses!A$3:A$999)-2),4)),0)+IFERROR(INDEX(Income!C$3:C$502,SMALL(IF((Income!D$3:D$502="GBP")*(Income!A$3:A$502=DATE(2026,2,21)),ROW(Income!A$3:A$502)-2),4)),0))</f>
        <v/>
      </c>
      <c r="N42" s="126">
        <f t="array" ref="N42">IF(IFERROR(INDEX(Expenses!B$3:B$999,SMALL(IF((Expenses!E$3:E$999="GBP")*(Expenses!A$3:A$999=DATE(2026,2,21)),ROW(Expenses!A$3:A$999)-2),4)),"")&lt;&gt;"",IFERROR(INDEX(Expenses!B$3:B$999,SMALL(IF((Expenses!E$3:E$999="GBP")*(Expenses!A$3:A$999=DATE(2026,2,21)),ROW(Expenses!A$3:A$999)-2),4)),""),IF(IFERROR(INDEX(Income!B$3:B$502,SMALL(IF((Income!D$3:D$502="GBP")*(Income!A$3:A$502=DATE(2026,2,21)),ROW(Income!A$3:A$502)-2),4)),"")&lt;&gt;"",IFERROR(INDEX(Income!B$3:B$502,SMALL(IF((Income!D$3:D$502="GBP")*(Income!A$3:A$502=DATE(2026,2,21)),ROW(Income!A$3:A$502)-2),4)),""),""))</f>
        <v/>
      </c>
      <c r="O42" s="152">
        <f t="array" ref="O42">IF(IFERROR(-INDEX(Expenses!D$3:D$999,SMALL(IF((Expenses!E$3:E$999="GBP")*(Expenses!A$3:A$999=DATE(2026,2,22)),ROW(Expenses!A$3:A$999)-2),4)),0)+IFERROR(INDEX(Income!C$3:C$502,SMALL(IF((Income!D$3:D$502="GBP")*(Income!A$3:A$502=DATE(2026,2,22)),ROW(Income!A$3:A$502)-2),4)),0)=0,"",IFERROR(-INDEX(Expenses!D$3:D$999,SMALL(IF((Expenses!E$3:E$999="GBP")*(Expenses!A$3:A$999=DATE(2026,2,22)),ROW(Expenses!A$3:A$999)-2),4)),0)+IFERROR(INDEX(Income!C$3:C$502,SMALL(IF((Income!D$3:D$502="GBP")*(Income!A$3:A$502=DATE(2026,2,22)),ROW(Income!A$3:A$502)-2),4)),0))</f>
        <v/>
      </c>
      <c r="P42" s="126">
        <f t="array" ref="P42">IF(IFERROR(INDEX(Expenses!B$3:B$999,SMALL(IF((Expenses!E$3:E$999="GBP")*(Expenses!A$3:A$999=DATE(2026,2,22)),ROW(Expenses!A$3:A$999)-2),4)),"")&lt;&gt;"",IFERROR(INDEX(Expenses!B$3:B$999,SMALL(IF((Expenses!E$3:E$999="GBP")*(Expenses!A$3:A$999=DATE(2026,2,22)),ROW(Expenses!A$3:A$999)-2),4)),""),IF(IFERROR(INDEX(Income!B$3:B$502,SMALL(IF((Income!D$3:D$502="GBP")*(Income!A$3:A$502=DATE(2026,2,22)),ROW(Income!A$3:A$502)-2),4)),"")&lt;&gt;"",IFERROR(INDEX(Income!B$3:B$502,SMALL(IF((Income!D$3:D$502="GBP")*(Income!A$3:A$502=DATE(2026,2,22)),ROW(Income!A$3:A$502)-2),4)),""),""))</f>
        <v/>
      </c>
      <c r="Q42" s="9" t="n"/>
      <c r="R42" s="9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68">
      <c r="A43" s="9" t="n"/>
      <c r="B43" s="9" t="n"/>
      <c r="C43" s="152">
        <f t="array" ref="C43">IF(IFERROR(-INDEX(Expenses!D$3:D$999,SMALL(IF((Expenses!E$3:E$999="GBP")*(Expenses!A$3:A$999=DATE(2026,2,16)),ROW(Expenses!A$3:A$999)-2),5)),0)+IFERROR(INDEX(Income!C$3:C$502,SMALL(IF((Income!D$3:D$502="GBP")*(Income!A$3:A$502=DATE(2026,2,16)),ROW(Income!A$3:A$502)-2),5)),0)=0,"",IFERROR(-INDEX(Expenses!D$3:D$999,SMALL(IF((Expenses!E$3:E$999="GBP")*(Expenses!A$3:A$999=DATE(2026,2,16)),ROW(Expenses!A$3:A$999)-2),5)),0)+IFERROR(INDEX(Income!C$3:C$502,SMALL(IF((Income!D$3:D$502="GBP")*(Income!A$3:A$502=DATE(2026,2,16)),ROW(Income!A$3:A$502)-2),5)),0))</f>
        <v/>
      </c>
      <c r="D43" s="126">
        <f t="array" ref="D43">IF(IFERROR(INDEX(Expenses!B$3:B$999,SMALL(IF((Expenses!E$3:E$999="GBP")*(Expenses!A$3:A$999=DATE(2026,2,16)),ROW(Expenses!A$3:A$999)-2),5)),"")&lt;&gt;"",IFERROR(INDEX(Expenses!B$3:B$999,SMALL(IF((Expenses!E$3:E$999="GBP")*(Expenses!A$3:A$999=DATE(2026,2,16)),ROW(Expenses!A$3:A$999)-2),5)),""),IF(IFERROR(INDEX(Income!B$3:B$502,SMALL(IF((Income!D$3:D$502="GBP")*(Income!A$3:A$502=DATE(2026,2,16)),ROW(Income!A$3:A$502)-2),5)),"")&lt;&gt;"",IFERROR(INDEX(Income!B$3:B$502,SMALL(IF((Income!D$3:D$502="GBP")*(Income!A$3:A$502=DATE(2026,2,16)),ROW(Income!A$3:A$502)-2),5)),""),""))</f>
        <v/>
      </c>
      <c r="E43" s="152">
        <f t="array" ref="E43">IF(IFERROR(-INDEX(Expenses!D$3:D$999,SMALL(IF((Expenses!E$3:E$999="GBP")*(Expenses!A$3:A$999=DATE(2026,2,17)),ROW(Expenses!A$3:A$999)-2),5)),0)+IFERROR(INDEX(Income!C$3:C$502,SMALL(IF((Income!D$3:D$502="GBP")*(Income!A$3:A$502=DATE(2026,2,17)),ROW(Income!A$3:A$502)-2),5)),0)=0,"",IFERROR(-INDEX(Expenses!D$3:D$999,SMALL(IF((Expenses!E$3:E$999="GBP")*(Expenses!A$3:A$999=DATE(2026,2,17)),ROW(Expenses!A$3:A$999)-2),5)),0)+IFERROR(INDEX(Income!C$3:C$502,SMALL(IF((Income!D$3:D$502="GBP")*(Income!A$3:A$502=DATE(2026,2,17)),ROW(Income!A$3:A$502)-2),5)),0))</f>
        <v/>
      </c>
      <c r="F43" s="126">
        <f t="array" ref="F43">IF(IFERROR(INDEX(Expenses!B$3:B$999,SMALL(IF((Expenses!E$3:E$999="GBP")*(Expenses!A$3:A$999=DATE(2026,2,17)),ROW(Expenses!A$3:A$999)-2),5)),"")&lt;&gt;"",IFERROR(INDEX(Expenses!B$3:B$999,SMALL(IF((Expenses!E$3:E$999="GBP")*(Expenses!A$3:A$999=DATE(2026,2,17)),ROW(Expenses!A$3:A$999)-2),5)),""),IF(IFERROR(INDEX(Income!B$3:B$502,SMALL(IF((Income!D$3:D$502="GBP")*(Income!A$3:A$502=DATE(2026,2,17)),ROW(Income!A$3:A$502)-2),5)),"")&lt;&gt;"",IFERROR(INDEX(Income!B$3:B$502,SMALL(IF((Income!D$3:D$502="GBP")*(Income!A$3:A$502=DATE(2026,2,17)),ROW(Income!A$3:A$502)-2),5)),""),""))</f>
        <v/>
      </c>
      <c r="G43" s="152">
        <f t="array" ref="G43">IF(IFERROR(-INDEX(Expenses!D$3:D$999,SMALL(IF((Expenses!E$3:E$999="GBP")*(Expenses!A$3:A$999=DATE(2026,2,18)),ROW(Expenses!A$3:A$999)-2),5)),0)+IFERROR(INDEX(Income!C$3:C$502,SMALL(IF((Income!D$3:D$502="GBP")*(Income!A$3:A$502=DATE(2026,2,18)),ROW(Income!A$3:A$502)-2),5)),0)=0,"",IFERROR(-INDEX(Expenses!D$3:D$999,SMALL(IF((Expenses!E$3:E$999="GBP")*(Expenses!A$3:A$999=DATE(2026,2,18)),ROW(Expenses!A$3:A$999)-2),5)),0)+IFERROR(INDEX(Income!C$3:C$502,SMALL(IF((Income!D$3:D$502="GBP")*(Income!A$3:A$502=DATE(2026,2,18)),ROW(Income!A$3:A$502)-2),5)),0))</f>
        <v/>
      </c>
      <c r="H43" s="126">
        <f t="array" ref="H43">IF(IFERROR(INDEX(Expenses!B$3:B$999,SMALL(IF((Expenses!E$3:E$999="GBP")*(Expenses!A$3:A$999=DATE(2026,2,18)),ROW(Expenses!A$3:A$999)-2),5)),"")&lt;&gt;"",IFERROR(INDEX(Expenses!B$3:B$999,SMALL(IF((Expenses!E$3:E$999="GBP")*(Expenses!A$3:A$999=DATE(2026,2,18)),ROW(Expenses!A$3:A$999)-2),5)),""),IF(IFERROR(INDEX(Income!B$3:B$502,SMALL(IF((Income!D$3:D$502="GBP")*(Income!A$3:A$502=DATE(2026,2,18)),ROW(Income!A$3:A$502)-2),5)),"")&lt;&gt;"",IFERROR(INDEX(Income!B$3:B$502,SMALL(IF((Income!D$3:D$502="GBP")*(Income!A$3:A$502=DATE(2026,2,18)),ROW(Income!A$3:A$502)-2),5)),""),""))</f>
        <v/>
      </c>
      <c r="I43" s="152">
        <f t="array" ref="I43">IF(IFERROR(-INDEX(Expenses!D$3:D$999,SMALL(IF((Expenses!E$3:E$999="GBP")*(Expenses!A$3:A$999=DATE(2026,2,19)),ROW(Expenses!A$3:A$999)-2),5)),0)+IFERROR(INDEX(Income!C$3:C$502,SMALL(IF((Income!D$3:D$502="GBP")*(Income!A$3:A$502=DATE(2026,2,19)),ROW(Income!A$3:A$502)-2),5)),0)=0,"",IFERROR(-INDEX(Expenses!D$3:D$999,SMALL(IF((Expenses!E$3:E$999="GBP")*(Expenses!A$3:A$999=DATE(2026,2,19)),ROW(Expenses!A$3:A$999)-2),5)),0)+IFERROR(INDEX(Income!C$3:C$502,SMALL(IF((Income!D$3:D$502="GBP")*(Income!A$3:A$502=DATE(2026,2,19)),ROW(Income!A$3:A$502)-2),5)),0))</f>
        <v/>
      </c>
      <c r="J43" s="126">
        <f t="array" ref="J43">IF(IFERROR(INDEX(Expenses!B$3:B$999,SMALL(IF((Expenses!E$3:E$999="GBP")*(Expenses!A$3:A$999=DATE(2026,2,19)),ROW(Expenses!A$3:A$999)-2),5)),"")&lt;&gt;"",IFERROR(INDEX(Expenses!B$3:B$999,SMALL(IF((Expenses!E$3:E$999="GBP")*(Expenses!A$3:A$999=DATE(2026,2,19)),ROW(Expenses!A$3:A$999)-2),5)),""),IF(IFERROR(INDEX(Income!B$3:B$502,SMALL(IF((Income!D$3:D$502="GBP")*(Income!A$3:A$502=DATE(2026,2,19)),ROW(Income!A$3:A$502)-2),5)),"")&lt;&gt;"",IFERROR(INDEX(Income!B$3:B$502,SMALL(IF((Income!D$3:D$502="GBP")*(Income!A$3:A$502=DATE(2026,2,19)),ROW(Income!A$3:A$502)-2),5)),""),""))</f>
        <v/>
      </c>
      <c r="K43" s="152">
        <f t="array" ref="K43">IF(IFERROR(-INDEX(Expenses!D$3:D$999,SMALL(IF((Expenses!E$3:E$999="GBP")*(Expenses!A$3:A$999=DATE(2026,2,20)),ROW(Expenses!A$3:A$999)-2),5)),0)+IFERROR(INDEX(Income!C$3:C$502,SMALL(IF((Income!D$3:D$502="GBP")*(Income!A$3:A$502=DATE(2026,2,20)),ROW(Income!A$3:A$502)-2),5)),0)=0,"",IFERROR(-INDEX(Expenses!D$3:D$999,SMALL(IF((Expenses!E$3:E$999="GBP")*(Expenses!A$3:A$999=DATE(2026,2,20)),ROW(Expenses!A$3:A$999)-2),5)),0)+IFERROR(INDEX(Income!C$3:C$502,SMALL(IF((Income!D$3:D$502="GBP")*(Income!A$3:A$502=DATE(2026,2,20)),ROW(Income!A$3:A$502)-2),5)),0))</f>
        <v/>
      </c>
      <c r="L43" s="126">
        <f t="array" ref="L43">IF(IFERROR(INDEX(Expenses!B$3:B$999,SMALL(IF((Expenses!E$3:E$999="GBP")*(Expenses!A$3:A$999=DATE(2026,2,20)),ROW(Expenses!A$3:A$999)-2),5)),"")&lt;&gt;"",IFERROR(INDEX(Expenses!B$3:B$999,SMALL(IF((Expenses!E$3:E$999="GBP")*(Expenses!A$3:A$999=DATE(2026,2,20)),ROW(Expenses!A$3:A$999)-2),5)),""),IF(IFERROR(INDEX(Income!B$3:B$502,SMALL(IF((Income!D$3:D$502="GBP")*(Income!A$3:A$502=DATE(2026,2,20)),ROW(Income!A$3:A$502)-2),5)),"")&lt;&gt;"",IFERROR(INDEX(Income!B$3:B$502,SMALL(IF((Income!D$3:D$502="GBP")*(Income!A$3:A$502=DATE(2026,2,20)),ROW(Income!A$3:A$502)-2),5)),""),""))</f>
        <v/>
      </c>
      <c r="M43" s="152">
        <f t="array" ref="M43">IF(IFERROR(-INDEX(Expenses!D$3:D$999,SMALL(IF((Expenses!E$3:E$999="GBP")*(Expenses!A$3:A$999=DATE(2026,2,21)),ROW(Expenses!A$3:A$999)-2),5)),0)+IFERROR(INDEX(Income!C$3:C$502,SMALL(IF((Income!D$3:D$502="GBP")*(Income!A$3:A$502=DATE(2026,2,21)),ROW(Income!A$3:A$502)-2),5)),0)=0,"",IFERROR(-INDEX(Expenses!D$3:D$999,SMALL(IF((Expenses!E$3:E$999="GBP")*(Expenses!A$3:A$999=DATE(2026,2,21)),ROW(Expenses!A$3:A$999)-2),5)),0)+IFERROR(INDEX(Income!C$3:C$502,SMALL(IF((Income!D$3:D$502="GBP")*(Income!A$3:A$502=DATE(2026,2,21)),ROW(Income!A$3:A$502)-2),5)),0))</f>
        <v/>
      </c>
      <c r="N43" s="126">
        <f t="array" ref="N43">IF(IFERROR(INDEX(Expenses!B$3:B$999,SMALL(IF((Expenses!E$3:E$999="GBP")*(Expenses!A$3:A$999=DATE(2026,2,21)),ROW(Expenses!A$3:A$999)-2),5)),"")&lt;&gt;"",IFERROR(INDEX(Expenses!B$3:B$999,SMALL(IF((Expenses!E$3:E$999="GBP")*(Expenses!A$3:A$999=DATE(2026,2,21)),ROW(Expenses!A$3:A$999)-2),5)),""),IF(IFERROR(INDEX(Income!B$3:B$502,SMALL(IF((Income!D$3:D$502="GBP")*(Income!A$3:A$502=DATE(2026,2,21)),ROW(Income!A$3:A$502)-2),5)),"")&lt;&gt;"",IFERROR(INDEX(Income!B$3:B$502,SMALL(IF((Income!D$3:D$502="GBP")*(Income!A$3:A$502=DATE(2026,2,21)),ROW(Income!A$3:A$502)-2),5)),""),""))</f>
        <v/>
      </c>
      <c r="O43" s="152">
        <f t="array" ref="O43">IF(IFERROR(-INDEX(Expenses!D$3:D$999,SMALL(IF((Expenses!E$3:E$999="GBP")*(Expenses!A$3:A$999=DATE(2026,2,22)),ROW(Expenses!A$3:A$999)-2),5)),0)+IFERROR(INDEX(Income!C$3:C$502,SMALL(IF((Income!D$3:D$502="GBP")*(Income!A$3:A$502=DATE(2026,2,22)),ROW(Income!A$3:A$502)-2),5)),0)=0,"",IFERROR(-INDEX(Expenses!D$3:D$999,SMALL(IF((Expenses!E$3:E$999="GBP")*(Expenses!A$3:A$999=DATE(2026,2,22)),ROW(Expenses!A$3:A$999)-2),5)),0)+IFERROR(INDEX(Income!C$3:C$502,SMALL(IF((Income!D$3:D$502="GBP")*(Income!A$3:A$502=DATE(2026,2,22)),ROW(Income!A$3:A$502)-2),5)),0))</f>
        <v/>
      </c>
      <c r="P43" s="126">
        <f t="array" ref="P43">IF(IFERROR(INDEX(Expenses!B$3:B$999,SMALL(IF((Expenses!E$3:E$999="GBP")*(Expenses!A$3:A$999=DATE(2026,2,22)),ROW(Expenses!A$3:A$999)-2),5)),"")&lt;&gt;"",IFERROR(INDEX(Expenses!B$3:B$999,SMALL(IF((Expenses!E$3:E$999="GBP")*(Expenses!A$3:A$999=DATE(2026,2,22)),ROW(Expenses!A$3:A$999)-2),5)),""),IF(IFERROR(INDEX(Income!B$3:B$502,SMALL(IF((Income!D$3:D$502="GBP")*(Income!A$3:A$502=DATE(2026,2,22)),ROW(Income!A$3:A$502)-2),5)),"")&lt;&gt;"",IFERROR(INDEX(Income!B$3:B$502,SMALL(IF((Income!D$3:D$502="GBP")*(Income!A$3:A$502=DATE(2026,2,22)),ROW(Income!A$3:A$502)-2),5)),""),""))</f>
        <v/>
      </c>
      <c r="Q43" s="9" t="n"/>
      <c r="R43" s="9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68">
      <c r="A44" s="151" t="n">
        <v>46076</v>
      </c>
      <c r="B44" s="103" t="n">
        <v>9</v>
      </c>
      <c r="C44" s="152">
        <f t="array" ref="C44">IF(IFERROR(-INDEX(Expenses!D$3:D$999,SMALL(IF((Expenses!E$3:E$999="GBP")*(Expenses!A$3:A$999=DATE(2026,2,23)),ROW(Expenses!A$3:A$999)-2),1)),0)+IFERROR(INDEX(Income!C$3:C$502,SMALL(IF((Income!D$3:D$502="GBP")*(Income!A$3:A$502=DATE(2026,2,23)),ROW(Income!A$3:A$502)-2),1)),0)=0,"",IFERROR(-INDEX(Expenses!D$3:D$999,SMALL(IF((Expenses!E$3:E$999="GBP")*(Expenses!A$3:A$999=DATE(2026,2,23)),ROW(Expenses!A$3:A$999)-2),1)),0)+IFERROR(INDEX(Income!C$3:C$502,SMALL(IF((Income!D$3:D$502="GBP")*(Income!A$3:A$502=DATE(2026,2,23)),ROW(Income!A$3:A$502)-2),1)),0))</f>
        <v/>
      </c>
      <c r="D44" s="126">
        <f t="array" ref="D44">IF(IFERROR(INDEX(Expenses!B$3:B$999,SMALL(IF((Expenses!E$3:E$999="GBP")*(Expenses!A$3:A$999=DATE(2026,2,23)),ROW(Expenses!A$3:A$999)-2),1)),"")&lt;&gt;"",IFERROR(INDEX(Expenses!B$3:B$999,SMALL(IF((Expenses!E$3:E$999="GBP")*(Expenses!A$3:A$999=DATE(2026,2,23)),ROW(Expenses!A$3:A$999)-2),1)),""),IF(IFERROR(INDEX(Income!B$3:B$502,SMALL(IF((Income!D$3:D$502="GBP")*(Income!A$3:A$502=DATE(2026,2,23)),ROW(Income!A$3:A$502)-2),1)),"")&lt;&gt;"",IFERROR(INDEX(Income!B$3:B$502,SMALL(IF((Income!D$3:D$502="GBP")*(Income!A$3:A$502=DATE(2026,2,23)),ROW(Income!A$3:A$502)-2),1)),""),""))</f>
        <v/>
      </c>
      <c r="E44" s="152">
        <f t="array" ref="E44">IF(IFERROR(-INDEX(Expenses!D$3:D$999,SMALL(IF((Expenses!E$3:E$999="GBP")*(Expenses!A$3:A$999=DATE(2026,2,24)),ROW(Expenses!A$3:A$999)-2),1)),0)+IFERROR(INDEX(Income!C$3:C$502,SMALL(IF((Income!D$3:D$502="GBP")*(Income!A$3:A$502=DATE(2026,2,24)),ROW(Income!A$3:A$502)-2),1)),0)=0,"",IFERROR(-INDEX(Expenses!D$3:D$999,SMALL(IF((Expenses!E$3:E$999="GBP")*(Expenses!A$3:A$999=DATE(2026,2,24)),ROW(Expenses!A$3:A$999)-2),1)),0)+IFERROR(INDEX(Income!C$3:C$502,SMALL(IF((Income!D$3:D$502="GBP")*(Income!A$3:A$502=DATE(2026,2,24)),ROW(Income!A$3:A$502)-2),1)),0))</f>
        <v/>
      </c>
      <c r="F44" s="126">
        <f t="array" ref="F44">IF(IFERROR(INDEX(Expenses!B$3:B$999,SMALL(IF((Expenses!E$3:E$999="GBP")*(Expenses!A$3:A$999=DATE(2026,2,24)),ROW(Expenses!A$3:A$999)-2),1)),"")&lt;&gt;"",IFERROR(INDEX(Expenses!B$3:B$999,SMALL(IF((Expenses!E$3:E$999="GBP")*(Expenses!A$3:A$999=DATE(2026,2,24)),ROW(Expenses!A$3:A$999)-2),1)),""),IF(IFERROR(INDEX(Income!B$3:B$502,SMALL(IF((Income!D$3:D$502="GBP")*(Income!A$3:A$502=DATE(2026,2,24)),ROW(Income!A$3:A$502)-2),1)),"")&lt;&gt;"",IFERROR(INDEX(Income!B$3:B$502,SMALL(IF((Income!D$3:D$502="GBP")*(Income!A$3:A$502=DATE(2026,2,24)),ROW(Income!A$3:A$502)-2),1)),""),""))</f>
        <v/>
      </c>
      <c r="G44" s="152">
        <f t="array" ref="G44">IF(IFERROR(-INDEX(Expenses!D$3:D$999,SMALL(IF((Expenses!E$3:E$999="GBP")*(Expenses!A$3:A$999=DATE(2026,2,25)),ROW(Expenses!A$3:A$999)-2),1)),0)+IFERROR(INDEX(Income!C$3:C$502,SMALL(IF((Income!D$3:D$502="GBP")*(Income!A$3:A$502=DATE(2026,2,25)),ROW(Income!A$3:A$502)-2),1)),0)=0,"",IFERROR(-INDEX(Expenses!D$3:D$999,SMALL(IF((Expenses!E$3:E$999="GBP")*(Expenses!A$3:A$999=DATE(2026,2,25)),ROW(Expenses!A$3:A$999)-2),1)),0)+IFERROR(INDEX(Income!C$3:C$502,SMALL(IF((Income!D$3:D$502="GBP")*(Income!A$3:A$502=DATE(2026,2,25)),ROW(Income!A$3:A$502)-2),1)),0))</f>
        <v/>
      </c>
      <c r="H44" s="126">
        <f t="array" ref="H44">IF(IFERROR(INDEX(Expenses!B$3:B$999,SMALL(IF((Expenses!E$3:E$999="GBP")*(Expenses!A$3:A$999=DATE(2026,2,25)),ROW(Expenses!A$3:A$999)-2),1)),"")&lt;&gt;"",IFERROR(INDEX(Expenses!B$3:B$999,SMALL(IF((Expenses!E$3:E$999="GBP")*(Expenses!A$3:A$999=DATE(2026,2,25)),ROW(Expenses!A$3:A$999)-2),1)),""),IF(IFERROR(INDEX(Income!B$3:B$502,SMALL(IF((Income!D$3:D$502="GBP")*(Income!A$3:A$502=DATE(2026,2,25)),ROW(Income!A$3:A$502)-2),1)),"")&lt;&gt;"",IFERROR(INDEX(Income!B$3:B$502,SMALL(IF((Income!D$3:D$502="GBP")*(Income!A$3:A$502=DATE(2026,2,25)),ROW(Income!A$3:A$502)-2),1)),""),""))</f>
        <v/>
      </c>
      <c r="I44" s="152">
        <f t="array" ref="I44">IF(IFERROR(-INDEX(Expenses!D$3:D$999,SMALL(IF((Expenses!E$3:E$999="GBP")*(Expenses!A$3:A$999=DATE(2026,2,26)),ROW(Expenses!A$3:A$999)-2),1)),0)+IFERROR(INDEX(Income!C$3:C$502,SMALL(IF((Income!D$3:D$502="GBP")*(Income!A$3:A$502=DATE(2026,2,26)),ROW(Income!A$3:A$502)-2),1)),0)=0,"",IFERROR(-INDEX(Expenses!D$3:D$999,SMALL(IF((Expenses!E$3:E$999="GBP")*(Expenses!A$3:A$999=DATE(2026,2,26)),ROW(Expenses!A$3:A$999)-2),1)),0)+IFERROR(INDEX(Income!C$3:C$502,SMALL(IF((Income!D$3:D$502="GBP")*(Income!A$3:A$502=DATE(2026,2,26)),ROW(Income!A$3:A$502)-2),1)),0))</f>
        <v/>
      </c>
      <c r="J44" s="126">
        <f t="array" ref="J44">IF(IFERROR(INDEX(Expenses!B$3:B$999,SMALL(IF((Expenses!E$3:E$999="GBP")*(Expenses!A$3:A$999=DATE(2026,2,26)),ROW(Expenses!A$3:A$999)-2),1)),"")&lt;&gt;"",IFERROR(INDEX(Expenses!B$3:B$999,SMALL(IF((Expenses!E$3:E$999="GBP")*(Expenses!A$3:A$999=DATE(2026,2,26)),ROW(Expenses!A$3:A$999)-2),1)),""),IF(IFERROR(INDEX(Income!B$3:B$502,SMALL(IF((Income!D$3:D$502="GBP")*(Income!A$3:A$502=DATE(2026,2,26)),ROW(Income!A$3:A$502)-2),1)),"")&lt;&gt;"",IFERROR(INDEX(Income!B$3:B$502,SMALL(IF((Income!D$3:D$502="GBP")*(Income!A$3:A$502=DATE(2026,2,26)),ROW(Income!A$3:A$502)-2),1)),""),""))</f>
        <v/>
      </c>
      <c r="K44" s="152">
        <f t="array" ref="K44">IF(IFERROR(-INDEX(Expenses!D$3:D$999,SMALL(IF((Expenses!E$3:E$999="GBP")*(Expenses!A$3:A$999=DATE(2026,2,27)),ROW(Expenses!A$3:A$999)-2),1)),0)+IFERROR(INDEX(Income!C$3:C$502,SMALL(IF((Income!D$3:D$502="GBP")*(Income!A$3:A$502=DATE(2026,2,27)),ROW(Income!A$3:A$502)-2),1)),0)=0,"",IFERROR(-INDEX(Expenses!D$3:D$999,SMALL(IF((Expenses!E$3:E$999="GBP")*(Expenses!A$3:A$999=DATE(2026,2,27)),ROW(Expenses!A$3:A$999)-2),1)),0)+IFERROR(INDEX(Income!C$3:C$502,SMALL(IF((Income!D$3:D$502="GBP")*(Income!A$3:A$502=DATE(2026,2,27)),ROW(Income!A$3:A$502)-2),1)),0))</f>
        <v/>
      </c>
      <c r="L44" s="126">
        <f t="array" ref="L44">IF(IFERROR(INDEX(Expenses!B$3:B$999,SMALL(IF((Expenses!E$3:E$999="GBP")*(Expenses!A$3:A$999=DATE(2026,2,27)),ROW(Expenses!A$3:A$999)-2),1)),"")&lt;&gt;"",IFERROR(INDEX(Expenses!B$3:B$999,SMALL(IF((Expenses!E$3:E$999="GBP")*(Expenses!A$3:A$999=DATE(2026,2,27)),ROW(Expenses!A$3:A$999)-2),1)),""),IF(IFERROR(INDEX(Income!B$3:B$502,SMALL(IF((Income!D$3:D$502="GBP")*(Income!A$3:A$502=DATE(2026,2,27)),ROW(Income!A$3:A$502)-2),1)),"")&lt;&gt;"",IFERROR(INDEX(Income!B$3:B$502,SMALL(IF((Income!D$3:D$502="GBP")*(Income!A$3:A$502=DATE(2026,2,27)),ROW(Income!A$3:A$502)-2),1)),""),""))</f>
        <v/>
      </c>
      <c r="M44" s="152">
        <f t="array" ref="M44">IF(IFERROR(-INDEX(Expenses!D$3:D$999,SMALL(IF((Expenses!E$3:E$999="GBP")*(Expenses!A$3:A$999=DATE(2026,2,28)),ROW(Expenses!A$3:A$999)-2),1)),0)+IFERROR(INDEX(Income!C$3:C$502,SMALL(IF((Income!D$3:D$502="GBP")*(Income!A$3:A$502=DATE(2026,2,28)),ROW(Income!A$3:A$502)-2),1)),0)=0,"",IFERROR(-INDEX(Expenses!D$3:D$999,SMALL(IF((Expenses!E$3:E$999="GBP")*(Expenses!A$3:A$999=DATE(2026,2,28)),ROW(Expenses!A$3:A$999)-2),1)),0)+IFERROR(INDEX(Income!C$3:C$502,SMALL(IF((Income!D$3:D$502="GBP")*(Income!A$3:A$502=DATE(2026,2,28)),ROW(Income!A$3:A$502)-2),1)),0))</f>
        <v/>
      </c>
      <c r="N44" s="126">
        <f t="array" ref="N44">IF(IFERROR(INDEX(Expenses!B$3:B$999,SMALL(IF((Expenses!E$3:E$999="GBP")*(Expenses!A$3:A$999=DATE(2026,2,28)),ROW(Expenses!A$3:A$999)-2),1)),"")&lt;&gt;"",IFERROR(INDEX(Expenses!B$3:B$999,SMALL(IF((Expenses!E$3:E$999="GBP")*(Expenses!A$3:A$999=DATE(2026,2,28)),ROW(Expenses!A$3:A$999)-2),1)),""),IF(IFERROR(INDEX(Income!B$3:B$502,SMALL(IF((Income!D$3:D$502="GBP")*(Income!A$3:A$502=DATE(2026,2,28)),ROW(Income!A$3:A$502)-2),1)),"")&lt;&gt;"",IFERROR(INDEX(Income!B$3:B$502,SMALL(IF((Income!D$3:D$502="GBP")*(Income!A$3:A$502=DATE(2026,2,28)),ROW(Income!A$3:A$502)-2),1)),""),""))</f>
        <v/>
      </c>
      <c r="O44" s="152">
        <f t="array" ref="O44">IF(IFERROR(-INDEX(Expenses!D$3:D$999,SMALL(IF((Expenses!E$3:E$999="GBP")*(Expenses!A$3:A$999=DATE(2026,3,1)),ROW(Expenses!A$3:A$999)-2),1)),0)+IFERROR(INDEX(Income!C$3:C$502,SMALL(IF((Income!D$3:D$502="GBP")*(Income!A$3:A$502=DATE(2026,3,1)),ROW(Income!A$3:A$502)-2),1)),0)=0,"",IFERROR(-INDEX(Expenses!D$3:D$999,SMALL(IF((Expenses!E$3:E$999="GBP")*(Expenses!A$3:A$999=DATE(2026,3,1)),ROW(Expenses!A$3:A$999)-2),1)),0)+IFERROR(INDEX(Income!C$3:C$502,SMALL(IF((Income!D$3:D$502="GBP")*(Income!A$3:A$502=DATE(2026,3,1)),ROW(Income!A$3:A$502)-2),1)),0))</f>
        <v/>
      </c>
      <c r="P44" s="126">
        <f t="array" ref="P44">IF(IFERROR(INDEX(Expenses!B$3:B$999,SMALL(IF((Expenses!E$3:E$999="GBP")*(Expenses!A$3:A$999=DATE(2026,3,1)),ROW(Expenses!A$3:A$999)-2),1)),"")&lt;&gt;"",IFERROR(INDEX(Expenses!B$3:B$999,SMALL(IF((Expenses!E$3:E$999="GBP")*(Expenses!A$3:A$999=DATE(2026,3,1)),ROW(Expenses!A$3:A$999)-2),1)),""),IF(IFERROR(INDEX(Income!B$3:B$502,SMALL(IF((Income!D$3:D$502="GBP")*(Income!A$3:A$502=DATE(2026,3,1)),ROW(Income!A$3:A$502)-2),1)),"")&lt;&gt;"",IFERROR(INDEX(Income!B$3:B$502,SMALL(IF((Income!D$3:D$502="GBP")*(Income!A$3:A$502=DATE(2026,3,1)),ROW(Income!A$3:A$502)-2),1)),""),""))</f>
        <v/>
      </c>
      <c r="Q44" s="103" t="n">
        <v>9</v>
      </c>
      <c r="R44" s="134">
        <f>SUM(C44:C48)+SUM(E44:E48)+SUM(G44:G48)+SUM(I44:I48)+SUM(K44:K48)+SUM(M44:M48)+SUM(O44:O48)</f>
        <v/>
      </c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68">
      <c r="A45" s="9" t="n"/>
      <c r="B45" s="9" t="n"/>
      <c r="C45" s="152">
        <f t="array" ref="C45">IF(IFERROR(-INDEX(Expenses!D$3:D$999,SMALL(IF((Expenses!E$3:E$999="GBP")*(Expenses!A$3:A$999=DATE(2026,2,23)),ROW(Expenses!A$3:A$999)-2),2)),0)+IFERROR(INDEX(Income!C$3:C$502,SMALL(IF((Income!D$3:D$502="GBP")*(Income!A$3:A$502=DATE(2026,2,23)),ROW(Income!A$3:A$502)-2),2)),0)=0,"",IFERROR(-INDEX(Expenses!D$3:D$999,SMALL(IF((Expenses!E$3:E$999="GBP")*(Expenses!A$3:A$999=DATE(2026,2,23)),ROW(Expenses!A$3:A$999)-2),2)),0)+IFERROR(INDEX(Income!C$3:C$502,SMALL(IF((Income!D$3:D$502="GBP")*(Income!A$3:A$502=DATE(2026,2,23)),ROW(Income!A$3:A$502)-2),2)),0))</f>
        <v/>
      </c>
      <c r="D45" s="126">
        <f t="array" ref="D45">IF(IFERROR(INDEX(Expenses!B$3:B$999,SMALL(IF((Expenses!E$3:E$999="GBP")*(Expenses!A$3:A$999=DATE(2026,2,23)),ROW(Expenses!A$3:A$999)-2),2)),"")&lt;&gt;"",IFERROR(INDEX(Expenses!B$3:B$999,SMALL(IF((Expenses!E$3:E$999="GBP")*(Expenses!A$3:A$999=DATE(2026,2,23)),ROW(Expenses!A$3:A$999)-2),2)),""),IF(IFERROR(INDEX(Income!B$3:B$502,SMALL(IF((Income!D$3:D$502="GBP")*(Income!A$3:A$502=DATE(2026,2,23)),ROW(Income!A$3:A$502)-2),2)),"")&lt;&gt;"",IFERROR(INDEX(Income!B$3:B$502,SMALL(IF((Income!D$3:D$502="GBP")*(Income!A$3:A$502=DATE(2026,2,23)),ROW(Income!A$3:A$502)-2),2)),""),""))</f>
        <v/>
      </c>
      <c r="E45" s="152">
        <f t="array" ref="E45">IF(IFERROR(-INDEX(Expenses!D$3:D$999,SMALL(IF((Expenses!E$3:E$999="GBP")*(Expenses!A$3:A$999=DATE(2026,2,24)),ROW(Expenses!A$3:A$999)-2),2)),0)+IFERROR(INDEX(Income!C$3:C$502,SMALL(IF((Income!D$3:D$502="GBP")*(Income!A$3:A$502=DATE(2026,2,24)),ROW(Income!A$3:A$502)-2),2)),0)=0,"",IFERROR(-INDEX(Expenses!D$3:D$999,SMALL(IF((Expenses!E$3:E$999="GBP")*(Expenses!A$3:A$999=DATE(2026,2,24)),ROW(Expenses!A$3:A$999)-2),2)),0)+IFERROR(INDEX(Income!C$3:C$502,SMALL(IF((Income!D$3:D$502="GBP")*(Income!A$3:A$502=DATE(2026,2,24)),ROW(Income!A$3:A$502)-2),2)),0))</f>
        <v/>
      </c>
      <c r="F45" s="126">
        <f t="array" ref="F45">IF(IFERROR(INDEX(Expenses!B$3:B$999,SMALL(IF((Expenses!E$3:E$999="GBP")*(Expenses!A$3:A$999=DATE(2026,2,24)),ROW(Expenses!A$3:A$999)-2),2)),"")&lt;&gt;"",IFERROR(INDEX(Expenses!B$3:B$999,SMALL(IF((Expenses!E$3:E$999="GBP")*(Expenses!A$3:A$999=DATE(2026,2,24)),ROW(Expenses!A$3:A$999)-2),2)),""),IF(IFERROR(INDEX(Income!B$3:B$502,SMALL(IF((Income!D$3:D$502="GBP")*(Income!A$3:A$502=DATE(2026,2,24)),ROW(Income!A$3:A$502)-2),2)),"")&lt;&gt;"",IFERROR(INDEX(Income!B$3:B$502,SMALL(IF((Income!D$3:D$502="GBP")*(Income!A$3:A$502=DATE(2026,2,24)),ROW(Income!A$3:A$502)-2),2)),""),""))</f>
        <v/>
      </c>
      <c r="G45" s="152">
        <f t="array" ref="G45">IF(IFERROR(-INDEX(Expenses!D$3:D$999,SMALL(IF((Expenses!E$3:E$999="GBP")*(Expenses!A$3:A$999=DATE(2026,2,25)),ROW(Expenses!A$3:A$999)-2),2)),0)+IFERROR(INDEX(Income!C$3:C$502,SMALL(IF((Income!D$3:D$502="GBP")*(Income!A$3:A$502=DATE(2026,2,25)),ROW(Income!A$3:A$502)-2),2)),0)=0,"",IFERROR(-INDEX(Expenses!D$3:D$999,SMALL(IF((Expenses!E$3:E$999="GBP")*(Expenses!A$3:A$999=DATE(2026,2,25)),ROW(Expenses!A$3:A$999)-2),2)),0)+IFERROR(INDEX(Income!C$3:C$502,SMALL(IF((Income!D$3:D$502="GBP")*(Income!A$3:A$502=DATE(2026,2,25)),ROW(Income!A$3:A$502)-2),2)),0))</f>
        <v/>
      </c>
      <c r="H45" s="126">
        <f t="array" ref="H45">IF(IFERROR(INDEX(Expenses!B$3:B$999,SMALL(IF((Expenses!E$3:E$999="GBP")*(Expenses!A$3:A$999=DATE(2026,2,25)),ROW(Expenses!A$3:A$999)-2),2)),"")&lt;&gt;"",IFERROR(INDEX(Expenses!B$3:B$999,SMALL(IF((Expenses!E$3:E$999="GBP")*(Expenses!A$3:A$999=DATE(2026,2,25)),ROW(Expenses!A$3:A$999)-2),2)),""),IF(IFERROR(INDEX(Income!B$3:B$502,SMALL(IF((Income!D$3:D$502="GBP")*(Income!A$3:A$502=DATE(2026,2,25)),ROW(Income!A$3:A$502)-2),2)),"")&lt;&gt;"",IFERROR(INDEX(Income!B$3:B$502,SMALL(IF((Income!D$3:D$502="GBP")*(Income!A$3:A$502=DATE(2026,2,25)),ROW(Income!A$3:A$502)-2),2)),""),""))</f>
        <v/>
      </c>
      <c r="I45" s="152">
        <f t="array" ref="I45">IF(IFERROR(-INDEX(Expenses!D$3:D$999,SMALL(IF((Expenses!E$3:E$999="GBP")*(Expenses!A$3:A$999=DATE(2026,2,26)),ROW(Expenses!A$3:A$999)-2),2)),0)+IFERROR(INDEX(Income!C$3:C$502,SMALL(IF((Income!D$3:D$502="GBP")*(Income!A$3:A$502=DATE(2026,2,26)),ROW(Income!A$3:A$502)-2),2)),0)=0,"",IFERROR(-INDEX(Expenses!D$3:D$999,SMALL(IF((Expenses!E$3:E$999="GBP")*(Expenses!A$3:A$999=DATE(2026,2,26)),ROW(Expenses!A$3:A$999)-2),2)),0)+IFERROR(INDEX(Income!C$3:C$502,SMALL(IF((Income!D$3:D$502="GBP")*(Income!A$3:A$502=DATE(2026,2,26)),ROW(Income!A$3:A$502)-2),2)),0))</f>
        <v/>
      </c>
      <c r="J45" s="126">
        <f t="array" ref="J45">IF(IFERROR(INDEX(Expenses!B$3:B$999,SMALL(IF((Expenses!E$3:E$999="GBP")*(Expenses!A$3:A$999=DATE(2026,2,26)),ROW(Expenses!A$3:A$999)-2),2)),"")&lt;&gt;"",IFERROR(INDEX(Expenses!B$3:B$999,SMALL(IF((Expenses!E$3:E$999="GBP")*(Expenses!A$3:A$999=DATE(2026,2,26)),ROW(Expenses!A$3:A$999)-2),2)),""),IF(IFERROR(INDEX(Income!B$3:B$502,SMALL(IF((Income!D$3:D$502="GBP")*(Income!A$3:A$502=DATE(2026,2,26)),ROW(Income!A$3:A$502)-2),2)),"")&lt;&gt;"",IFERROR(INDEX(Income!B$3:B$502,SMALL(IF((Income!D$3:D$502="GBP")*(Income!A$3:A$502=DATE(2026,2,26)),ROW(Income!A$3:A$502)-2),2)),""),""))</f>
        <v/>
      </c>
      <c r="K45" s="152">
        <f t="array" ref="K45">IF(IFERROR(-INDEX(Expenses!D$3:D$999,SMALL(IF((Expenses!E$3:E$999="GBP")*(Expenses!A$3:A$999=DATE(2026,2,27)),ROW(Expenses!A$3:A$999)-2),2)),0)+IFERROR(INDEX(Income!C$3:C$502,SMALL(IF((Income!D$3:D$502="GBP")*(Income!A$3:A$502=DATE(2026,2,27)),ROW(Income!A$3:A$502)-2),2)),0)=0,"",IFERROR(-INDEX(Expenses!D$3:D$999,SMALL(IF((Expenses!E$3:E$999="GBP")*(Expenses!A$3:A$999=DATE(2026,2,27)),ROW(Expenses!A$3:A$999)-2),2)),0)+IFERROR(INDEX(Income!C$3:C$502,SMALL(IF((Income!D$3:D$502="GBP")*(Income!A$3:A$502=DATE(2026,2,27)),ROW(Income!A$3:A$502)-2),2)),0))</f>
        <v/>
      </c>
      <c r="L45" s="126">
        <f t="array" ref="L45">IF(IFERROR(INDEX(Expenses!B$3:B$999,SMALL(IF((Expenses!E$3:E$999="GBP")*(Expenses!A$3:A$999=DATE(2026,2,27)),ROW(Expenses!A$3:A$999)-2),2)),"")&lt;&gt;"",IFERROR(INDEX(Expenses!B$3:B$999,SMALL(IF((Expenses!E$3:E$999="GBP")*(Expenses!A$3:A$999=DATE(2026,2,27)),ROW(Expenses!A$3:A$999)-2),2)),""),IF(IFERROR(INDEX(Income!B$3:B$502,SMALL(IF((Income!D$3:D$502="GBP")*(Income!A$3:A$502=DATE(2026,2,27)),ROW(Income!A$3:A$502)-2),2)),"")&lt;&gt;"",IFERROR(INDEX(Income!B$3:B$502,SMALL(IF((Income!D$3:D$502="GBP")*(Income!A$3:A$502=DATE(2026,2,27)),ROW(Income!A$3:A$502)-2),2)),""),""))</f>
        <v/>
      </c>
      <c r="M45" s="152">
        <f t="array" ref="M45">IF(IFERROR(-INDEX(Expenses!D$3:D$999,SMALL(IF((Expenses!E$3:E$999="GBP")*(Expenses!A$3:A$999=DATE(2026,2,28)),ROW(Expenses!A$3:A$999)-2),2)),0)+IFERROR(INDEX(Income!C$3:C$502,SMALL(IF((Income!D$3:D$502="GBP")*(Income!A$3:A$502=DATE(2026,2,28)),ROW(Income!A$3:A$502)-2),2)),0)=0,"",IFERROR(-INDEX(Expenses!D$3:D$999,SMALL(IF((Expenses!E$3:E$999="GBP")*(Expenses!A$3:A$999=DATE(2026,2,28)),ROW(Expenses!A$3:A$999)-2),2)),0)+IFERROR(INDEX(Income!C$3:C$502,SMALL(IF((Income!D$3:D$502="GBP")*(Income!A$3:A$502=DATE(2026,2,28)),ROW(Income!A$3:A$502)-2),2)),0))</f>
        <v/>
      </c>
      <c r="N45" s="126">
        <f t="array" ref="N45">IF(IFERROR(INDEX(Expenses!B$3:B$999,SMALL(IF((Expenses!E$3:E$999="GBP")*(Expenses!A$3:A$999=DATE(2026,2,28)),ROW(Expenses!A$3:A$999)-2),2)),"")&lt;&gt;"",IFERROR(INDEX(Expenses!B$3:B$999,SMALL(IF((Expenses!E$3:E$999="GBP")*(Expenses!A$3:A$999=DATE(2026,2,28)),ROW(Expenses!A$3:A$999)-2),2)),""),IF(IFERROR(INDEX(Income!B$3:B$502,SMALL(IF((Income!D$3:D$502="GBP")*(Income!A$3:A$502=DATE(2026,2,28)),ROW(Income!A$3:A$502)-2),2)),"")&lt;&gt;"",IFERROR(INDEX(Income!B$3:B$502,SMALL(IF((Income!D$3:D$502="GBP")*(Income!A$3:A$502=DATE(2026,2,28)),ROW(Income!A$3:A$502)-2),2)),""),""))</f>
        <v/>
      </c>
      <c r="O45" s="152">
        <f t="array" ref="O45">IF(IFERROR(-INDEX(Expenses!D$3:D$999,SMALL(IF((Expenses!E$3:E$999="GBP")*(Expenses!A$3:A$999=DATE(2026,3,1)),ROW(Expenses!A$3:A$999)-2),2)),0)+IFERROR(INDEX(Income!C$3:C$502,SMALL(IF((Income!D$3:D$502="GBP")*(Income!A$3:A$502=DATE(2026,3,1)),ROW(Income!A$3:A$502)-2),2)),0)=0,"",IFERROR(-INDEX(Expenses!D$3:D$999,SMALL(IF((Expenses!E$3:E$999="GBP")*(Expenses!A$3:A$999=DATE(2026,3,1)),ROW(Expenses!A$3:A$999)-2),2)),0)+IFERROR(INDEX(Income!C$3:C$502,SMALL(IF((Income!D$3:D$502="GBP")*(Income!A$3:A$502=DATE(2026,3,1)),ROW(Income!A$3:A$502)-2),2)),0))</f>
        <v/>
      </c>
      <c r="P45" s="126">
        <f t="array" ref="P45">IF(IFERROR(INDEX(Expenses!B$3:B$999,SMALL(IF((Expenses!E$3:E$999="GBP")*(Expenses!A$3:A$999=DATE(2026,3,1)),ROW(Expenses!A$3:A$999)-2),2)),"")&lt;&gt;"",IFERROR(INDEX(Expenses!B$3:B$999,SMALL(IF((Expenses!E$3:E$999="GBP")*(Expenses!A$3:A$999=DATE(2026,3,1)),ROW(Expenses!A$3:A$999)-2),2)),""),IF(IFERROR(INDEX(Income!B$3:B$502,SMALL(IF((Income!D$3:D$502="GBP")*(Income!A$3:A$502=DATE(2026,3,1)),ROW(Income!A$3:A$502)-2),2)),"")&lt;&gt;"",IFERROR(INDEX(Income!B$3:B$502,SMALL(IF((Income!D$3:D$502="GBP")*(Income!A$3:A$502=DATE(2026,3,1)),ROW(Income!A$3:A$502)-2),2)),""),""))</f>
        <v/>
      </c>
      <c r="Q45" s="9" t="n"/>
      <c r="R45" s="9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68">
      <c r="A46" s="9" t="n"/>
      <c r="B46" s="9" t="n"/>
      <c r="C46" s="152">
        <f t="array" ref="C46">IF(IFERROR(-INDEX(Expenses!D$3:D$999,SMALL(IF((Expenses!E$3:E$999="GBP")*(Expenses!A$3:A$999=DATE(2026,2,23)),ROW(Expenses!A$3:A$999)-2),3)),0)+IFERROR(INDEX(Income!C$3:C$502,SMALL(IF((Income!D$3:D$502="GBP")*(Income!A$3:A$502=DATE(2026,2,23)),ROW(Income!A$3:A$502)-2),3)),0)=0,"",IFERROR(-INDEX(Expenses!D$3:D$999,SMALL(IF((Expenses!E$3:E$999="GBP")*(Expenses!A$3:A$999=DATE(2026,2,23)),ROW(Expenses!A$3:A$999)-2),3)),0)+IFERROR(INDEX(Income!C$3:C$502,SMALL(IF((Income!D$3:D$502="GBP")*(Income!A$3:A$502=DATE(2026,2,23)),ROW(Income!A$3:A$502)-2),3)),0))</f>
        <v/>
      </c>
      <c r="D46" s="126">
        <f t="array" ref="D46">IF(IFERROR(INDEX(Expenses!B$3:B$999,SMALL(IF((Expenses!E$3:E$999="GBP")*(Expenses!A$3:A$999=DATE(2026,2,23)),ROW(Expenses!A$3:A$999)-2),3)),"")&lt;&gt;"",IFERROR(INDEX(Expenses!B$3:B$999,SMALL(IF((Expenses!E$3:E$999="GBP")*(Expenses!A$3:A$999=DATE(2026,2,23)),ROW(Expenses!A$3:A$999)-2),3)),""),IF(IFERROR(INDEX(Income!B$3:B$502,SMALL(IF((Income!D$3:D$502="GBP")*(Income!A$3:A$502=DATE(2026,2,23)),ROW(Income!A$3:A$502)-2),3)),"")&lt;&gt;"",IFERROR(INDEX(Income!B$3:B$502,SMALL(IF((Income!D$3:D$502="GBP")*(Income!A$3:A$502=DATE(2026,2,23)),ROW(Income!A$3:A$502)-2),3)),""),""))</f>
        <v/>
      </c>
      <c r="E46" s="152">
        <f t="array" ref="E46">IF(IFERROR(-INDEX(Expenses!D$3:D$999,SMALL(IF((Expenses!E$3:E$999="GBP")*(Expenses!A$3:A$999=DATE(2026,2,24)),ROW(Expenses!A$3:A$999)-2),3)),0)+IFERROR(INDEX(Income!C$3:C$502,SMALL(IF((Income!D$3:D$502="GBP")*(Income!A$3:A$502=DATE(2026,2,24)),ROW(Income!A$3:A$502)-2),3)),0)=0,"",IFERROR(-INDEX(Expenses!D$3:D$999,SMALL(IF((Expenses!E$3:E$999="GBP")*(Expenses!A$3:A$999=DATE(2026,2,24)),ROW(Expenses!A$3:A$999)-2),3)),0)+IFERROR(INDEX(Income!C$3:C$502,SMALL(IF((Income!D$3:D$502="GBP")*(Income!A$3:A$502=DATE(2026,2,24)),ROW(Income!A$3:A$502)-2),3)),0))</f>
        <v/>
      </c>
      <c r="F46" s="126">
        <f t="array" ref="F46">IF(IFERROR(INDEX(Expenses!B$3:B$999,SMALL(IF((Expenses!E$3:E$999="GBP")*(Expenses!A$3:A$999=DATE(2026,2,24)),ROW(Expenses!A$3:A$999)-2),3)),"")&lt;&gt;"",IFERROR(INDEX(Expenses!B$3:B$999,SMALL(IF((Expenses!E$3:E$999="GBP")*(Expenses!A$3:A$999=DATE(2026,2,24)),ROW(Expenses!A$3:A$999)-2),3)),""),IF(IFERROR(INDEX(Income!B$3:B$502,SMALL(IF((Income!D$3:D$502="GBP")*(Income!A$3:A$502=DATE(2026,2,24)),ROW(Income!A$3:A$502)-2),3)),"")&lt;&gt;"",IFERROR(INDEX(Income!B$3:B$502,SMALL(IF((Income!D$3:D$502="GBP")*(Income!A$3:A$502=DATE(2026,2,24)),ROW(Income!A$3:A$502)-2),3)),""),""))</f>
        <v/>
      </c>
      <c r="G46" s="152">
        <f t="array" ref="G46">IF(IFERROR(-INDEX(Expenses!D$3:D$999,SMALL(IF((Expenses!E$3:E$999="GBP")*(Expenses!A$3:A$999=DATE(2026,2,25)),ROW(Expenses!A$3:A$999)-2),3)),0)+IFERROR(INDEX(Income!C$3:C$502,SMALL(IF((Income!D$3:D$502="GBP")*(Income!A$3:A$502=DATE(2026,2,25)),ROW(Income!A$3:A$502)-2),3)),0)=0,"",IFERROR(-INDEX(Expenses!D$3:D$999,SMALL(IF((Expenses!E$3:E$999="GBP")*(Expenses!A$3:A$999=DATE(2026,2,25)),ROW(Expenses!A$3:A$999)-2),3)),0)+IFERROR(INDEX(Income!C$3:C$502,SMALL(IF((Income!D$3:D$502="GBP")*(Income!A$3:A$502=DATE(2026,2,25)),ROW(Income!A$3:A$502)-2),3)),0))</f>
        <v/>
      </c>
      <c r="H46" s="126">
        <f t="array" ref="H46">IF(IFERROR(INDEX(Expenses!B$3:B$999,SMALL(IF((Expenses!E$3:E$999="GBP")*(Expenses!A$3:A$999=DATE(2026,2,25)),ROW(Expenses!A$3:A$999)-2),3)),"")&lt;&gt;"",IFERROR(INDEX(Expenses!B$3:B$999,SMALL(IF((Expenses!E$3:E$999="GBP")*(Expenses!A$3:A$999=DATE(2026,2,25)),ROW(Expenses!A$3:A$999)-2),3)),""),IF(IFERROR(INDEX(Income!B$3:B$502,SMALL(IF((Income!D$3:D$502="GBP")*(Income!A$3:A$502=DATE(2026,2,25)),ROW(Income!A$3:A$502)-2),3)),"")&lt;&gt;"",IFERROR(INDEX(Income!B$3:B$502,SMALL(IF((Income!D$3:D$502="GBP")*(Income!A$3:A$502=DATE(2026,2,25)),ROW(Income!A$3:A$502)-2),3)),""),""))</f>
        <v/>
      </c>
      <c r="I46" s="152">
        <f t="array" ref="I46">IF(IFERROR(-INDEX(Expenses!D$3:D$999,SMALL(IF((Expenses!E$3:E$999="GBP")*(Expenses!A$3:A$999=DATE(2026,2,26)),ROW(Expenses!A$3:A$999)-2),3)),0)+IFERROR(INDEX(Income!C$3:C$502,SMALL(IF((Income!D$3:D$502="GBP")*(Income!A$3:A$502=DATE(2026,2,26)),ROW(Income!A$3:A$502)-2),3)),0)=0,"",IFERROR(-INDEX(Expenses!D$3:D$999,SMALL(IF((Expenses!E$3:E$999="GBP")*(Expenses!A$3:A$999=DATE(2026,2,26)),ROW(Expenses!A$3:A$999)-2),3)),0)+IFERROR(INDEX(Income!C$3:C$502,SMALL(IF((Income!D$3:D$502="GBP")*(Income!A$3:A$502=DATE(2026,2,26)),ROW(Income!A$3:A$502)-2),3)),0))</f>
        <v/>
      </c>
      <c r="J46" s="126">
        <f t="array" ref="J46">IF(IFERROR(INDEX(Expenses!B$3:B$999,SMALL(IF((Expenses!E$3:E$999="GBP")*(Expenses!A$3:A$999=DATE(2026,2,26)),ROW(Expenses!A$3:A$999)-2),3)),"")&lt;&gt;"",IFERROR(INDEX(Expenses!B$3:B$999,SMALL(IF((Expenses!E$3:E$999="GBP")*(Expenses!A$3:A$999=DATE(2026,2,26)),ROW(Expenses!A$3:A$999)-2),3)),""),IF(IFERROR(INDEX(Income!B$3:B$502,SMALL(IF((Income!D$3:D$502="GBP")*(Income!A$3:A$502=DATE(2026,2,26)),ROW(Income!A$3:A$502)-2),3)),"")&lt;&gt;"",IFERROR(INDEX(Income!B$3:B$502,SMALL(IF((Income!D$3:D$502="GBP")*(Income!A$3:A$502=DATE(2026,2,26)),ROW(Income!A$3:A$502)-2),3)),""),""))</f>
        <v/>
      </c>
      <c r="K46" s="152">
        <f t="array" ref="K46">IF(IFERROR(-INDEX(Expenses!D$3:D$999,SMALL(IF((Expenses!E$3:E$999="GBP")*(Expenses!A$3:A$999=DATE(2026,2,27)),ROW(Expenses!A$3:A$999)-2),3)),0)+IFERROR(INDEX(Income!C$3:C$502,SMALL(IF((Income!D$3:D$502="GBP")*(Income!A$3:A$502=DATE(2026,2,27)),ROW(Income!A$3:A$502)-2),3)),0)=0,"",IFERROR(-INDEX(Expenses!D$3:D$999,SMALL(IF((Expenses!E$3:E$999="GBP")*(Expenses!A$3:A$999=DATE(2026,2,27)),ROW(Expenses!A$3:A$999)-2),3)),0)+IFERROR(INDEX(Income!C$3:C$502,SMALL(IF((Income!D$3:D$502="GBP")*(Income!A$3:A$502=DATE(2026,2,27)),ROW(Income!A$3:A$502)-2),3)),0))</f>
        <v/>
      </c>
      <c r="L46" s="126">
        <f t="array" ref="L46">IF(IFERROR(INDEX(Expenses!B$3:B$999,SMALL(IF((Expenses!E$3:E$999="GBP")*(Expenses!A$3:A$999=DATE(2026,2,27)),ROW(Expenses!A$3:A$999)-2),3)),"")&lt;&gt;"",IFERROR(INDEX(Expenses!B$3:B$999,SMALL(IF((Expenses!E$3:E$999="GBP")*(Expenses!A$3:A$999=DATE(2026,2,27)),ROW(Expenses!A$3:A$999)-2),3)),""),IF(IFERROR(INDEX(Income!B$3:B$502,SMALL(IF((Income!D$3:D$502="GBP")*(Income!A$3:A$502=DATE(2026,2,27)),ROW(Income!A$3:A$502)-2),3)),"")&lt;&gt;"",IFERROR(INDEX(Income!B$3:B$502,SMALL(IF((Income!D$3:D$502="GBP")*(Income!A$3:A$502=DATE(2026,2,27)),ROW(Income!A$3:A$502)-2),3)),""),""))</f>
        <v/>
      </c>
      <c r="M46" s="152">
        <f t="array" ref="M46">IF(IFERROR(-INDEX(Expenses!D$3:D$999,SMALL(IF((Expenses!E$3:E$999="GBP")*(Expenses!A$3:A$999=DATE(2026,2,28)),ROW(Expenses!A$3:A$999)-2),3)),0)+IFERROR(INDEX(Income!C$3:C$502,SMALL(IF((Income!D$3:D$502="GBP")*(Income!A$3:A$502=DATE(2026,2,28)),ROW(Income!A$3:A$502)-2),3)),0)=0,"",IFERROR(-INDEX(Expenses!D$3:D$999,SMALL(IF((Expenses!E$3:E$999="GBP")*(Expenses!A$3:A$999=DATE(2026,2,28)),ROW(Expenses!A$3:A$999)-2),3)),0)+IFERROR(INDEX(Income!C$3:C$502,SMALL(IF((Income!D$3:D$502="GBP")*(Income!A$3:A$502=DATE(2026,2,28)),ROW(Income!A$3:A$502)-2),3)),0))</f>
        <v/>
      </c>
      <c r="N46" s="126">
        <f t="array" ref="N46">IF(IFERROR(INDEX(Expenses!B$3:B$999,SMALL(IF((Expenses!E$3:E$999="GBP")*(Expenses!A$3:A$999=DATE(2026,2,28)),ROW(Expenses!A$3:A$999)-2),3)),"")&lt;&gt;"",IFERROR(INDEX(Expenses!B$3:B$999,SMALL(IF((Expenses!E$3:E$999="GBP")*(Expenses!A$3:A$999=DATE(2026,2,28)),ROW(Expenses!A$3:A$999)-2),3)),""),IF(IFERROR(INDEX(Income!B$3:B$502,SMALL(IF((Income!D$3:D$502="GBP")*(Income!A$3:A$502=DATE(2026,2,28)),ROW(Income!A$3:A$502)-2),3)),"")&lt;&gt;"",IFERROR(INDEX(Income!B$3:B$502,SMALL(IF((Income!D$3:D$502="GBP")*(Income!A$3:A$502=DATE(2026,2,28)),ROW(Income!A$3:A$502)-2),3)),""),""))</f>
        <v/>
      </c>
      <c r="O46" s="152">
        <f t="array" ref="O46">IF(IFERROR(-INDEX(Expenses!D$3:D$999,SMALL(IF((Expenses!E$3:E$999="GBP")*(Expenses!A$3:A$999=DATE(2026,3,1)),ROW(Expenses!A$3:A$999)-2),3)),0)+IFERROR(INDEX(Income!C$3:C$502,SMALL(IF((Income!D$3:D$502="GBP")*(Income!A$3:A$502=DATE(2026,3,1)),ROW(Income!A$3:A$502)-2),3)),0)=0,"",IFERROR(-INDEX(Expenses!D$3:D$999,SMALL(IF((Expenses!E$3:E$999="GBP")*(Expenses!A$3:A$999=DATE(2026,3,1)),ROW(Expenses!A$3:A$999)-2),3)),0)+IFERROR(INDEX(Income!C$3:C$502,SMALL(IF((Income!D$3:D$502="GBP")*(Income!A$3:A$502=DATE(2026,3,1)),ROW(Income!A$3:A$502)-2),3)),0))</f>
        <v/>
      </c>
      <c r="P46" s="126">
        <f t="array" ref="P46">IF(IFERROR(INDEX(Expenses!B$3:B$999,SMALL(IF((Expenses!E$3:E$999="GBP")*(Expenses!A$3:A$999=DATE(2026,3,1)),ROW(Expenses!A$3:A$999)-2),3)),"")&lt;&gt;"",IFERROR(INDEX(Expenses!B$3:B$999,SMALL(IF((Expenses!E$3:E$999="GBP")*(Expenses!A$3:A$999=DATE(2026,3,1)),ROW(Expenses!A$3:A$999)-2),3)),""),IF(IFERROR(INDEX(Income!B$3:B$502,SMALL(IF((Income!D$3:D$502="GBP")*(Income!A$3:A$502=DATE(2026,3,1)),ROW(Income!A$3:A$502)-2),3)),"")&lt;&gt;"",IFERROR(INDEX(Income!B$3:B$502,SMALL(IF((Income!D$3:D$502="GBP")*(Income!A$3:A$502=DATE(2026,3,1)),ROW(Income!A$3:A$502)-2),3)),""),""))</f>
        <v/>
      </c>
      <c r="Q46" s="9" t="n"/>
      <c r="R46" s="9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68">
      <c r="A47" s="9" t="n"/>
      <c r="B47" s="9" t="n"/>
      <c r="C47" s="152">
        <f t="array" ref="C47">IF(IFERROR(-INDEX(Expenses!D$3:D$999,SMALL(IF((Expenses!E$3:E$999="GBP")*(Expenses!A$3:A$999=DATE(2026,2,23)),ROW(Expenses!A$3:A$999)-2),4)),0)+IFERROR(INDEX(Income!C$3:C$502,SMALL(IF((Income!D$3:D$502="GBP")*(Income!A$3:A$502=DATE(2026,2,23)),ROW(Income!A$3:A$502)-2),4)),0)=0,"",IFERROR(-INDEX(Expenses!D$3:D$999,SMALL(IF((Expenses!E$3:E$999="GBP")*(Expenses!A$3:A$999=DATE(2026,2,23)),ROW(Expenses!A$3:A$999)-2),4)),0)+IFERROR(INDEX(Income!C$3:C$502,SMALL(IF((Income!D$3:D$502="GBP")*(Income!A$3:A$502=DATE(2026,2,23)),ROW(Income!A$3:A$502)-2),4)),0))</f>
        <v/>
      </c>
      <c r="D47" s="126">
        <f t="array" ref="D47">IF(IFERROR(INDEX(Expenses!B$3:B$999,SMALL(IF((Expenses!E$3:E$999="GBP")*(Expenses!A$3:A$999=DATE(2026,2,23)),ROW(Expenses!A$3:A$999)-2),4)),"")&lt;&gt;"",IFERROR(INDEX(Expenses!B$3:B$999,SMALL(IF((Expenses!E$3:E$999="GBP")*(Expenses!A$3:A$999=DATE(2026,2,23)),ROW(Expenses!A$3:A$999)-2),4)),""),IF(IFERROR(INDEX(Income!B$3:B$502,SMALL(IF((Income!D$3:D$502="GBP")*(Income!A$3:A$502=DATE(2026,2,23)),ROW(Income!A$3:A$502)-2),4)),"")&lt;&gt;"",IFERROR(INDEX(Income!B$3:B$502,SMALL(IF((Income!D$3:D$502="GBP")*(Income!A$3:A$502=DATE(2026,2,23)),ROW(Income!A$3:A$502)-2),4)),""),""))</f>
        <v/>
      </c>
      <c r="E47" s="152">
        <f t="array" ref="E47">IF(IFERROR(-INDEX(Expenses!D$3:D$999,SMALL(IF((Expenses!E$3:E$999="GBP")*(Expenses!A$3:A$999=DATE(2026,2,24)),ROW(Expenses!A$3:A$999)-2),4)),0)+IFERROR(INDEX(Income!C$3:C$502,SMALL(IF((Income!D$3:D$502="GBP")*(Income!A$3:A$502=DATE(2026,2,24)),ROW(Income!A$3:A$502)-2),4)),0)=0,"",IFERROR(-INDEX(Expenses!D$3:D$999,SMALL(IF((Expenses!E$3:E$999="GBP")*(Expenses!A$3:A$999=DATE(2026,2,24)),ROW(Expenses!A$3:A$999)-2),4)),0)+IFERROR(INDEX(Income!C$3:C$502,SMALL(IF((Income!D$3:D$502="GBP")*(Income!A$3:A$502=DATE(2026,2,24)),ROW(Income!A$3:A$502)-2),4)),0))</f>
        <v/>
      </c>
      <c r="F47" s="126">
        <f t="array" ref="F47">IF(IFERROR(INDEX(Expenses!B$3:B$999,SMALL(IF((Expenses!E$3:E$999="GBP")*(Expenses!A$3:A$999=DATE(2026,2,24)),ROW(Expenses!A$3:A$999)-2),4)),"")&lt;&gt;"",IFERROR(INDEX(Expenses!B$3:B$999,SMALL(IF((Expenses!E$3:E$999="GBP")*(Expenses!A$3:A$999=DATE(2026,2,24)),ROW(Expenses!A$3:A$999)-2),4)),""),IF(IFERROR(INDEX(Income!B$3:B$502,SMALL(IF((Income!D$3:D$502="GBP")*(Income!A$3:A$502=DATE(2026,2,24)),ROW(Income!A$3:A$502)-2),4)),"")&lt;&gt;"",IFERROR(INDEX(Income!B$3:B$502,SMALL(IF((Income!D$3:D$502="GBP")*(Income!A$3:A$502=DATE(2026,2,24)),ROW(Income!A$3:A$502)-2),4)),""),""))</f>
        <v/>
      </c>
      <c r="G47" s="152">
        <f t="array" ref="G47">IF(IFERROR(-INDEX(Expenses!D$3:D$999,SMALL(IF((Expenses!E$3:E$999="GBP")*(Expenses!A$3:A$999=DATE(2026,2,25)),ROW(Expenses!A$3:A$999)-2),4)),0)+IFERROR(INDEX(Income!C$3:C$502,SMALL(IF((Income!D$3:D$502="GBP")*(Income!A$3:A$502=DATE(2026,2,25)),ROW(Income!A$3:A$502)-2),4)),0)=0,"",IFERROR(-INDEX(Expenses!D$3:D$999,SMALL(IF((Expenses!E$3:E$999="GBP")*(Expenses!A$3:A$999=DATE(2026,2,25)),ROW(Expenses!A$3:A$999)-2),4)),0)+IFERROR(INDEX(Income!C$3:C$502,SMALL(IF((Income!D$3:D$502="GBP")*(Income!A$3:A$502=DATE(2026,2,25)),ROW(Income!A$3:A$502)-2),4)),0))</f>
        <v/>
      </c>
      <c r="H47" s="126">
        <f t="array" ref="H47">IF(IFERROR(INDEX(Expenses!B$3:B$999,SMALL(IF((Expenses!E$3:E$999="GBP")*(Expenses!A$3:A$999=DATE(2026,2,25)),ROW(Expenses!A$3:A$999)-2),4)),"")&lt;&gt;"",IFERROR(INDEX(Expenses!B$3:B$999,SMALL(IF((Expenses!E$3:E$999="GBP")*(Expenses!A$3:A$999=DATE(2026,2,25)),ROW(Expenses!A$3:A$999)-2),4)),""),IF(IFERROR(INDEX(Income!B$3:B$502,SMALL(IF((Income!D$3:D$502="GBP")*(Income!A$3:A$502=DATE(2026,2,25)),ROW(Income!A$3:A$502)-2),4)),"")&lt;&gt;"",IFERROR(INDEX(Income!B$3:B$502,SMALL(IF((Income!D$3:D$502="GBP")*(Income!A$3:A$502=DATE(2026,2,25)),ROW(Income!A$3:A$502)-2),4)),""),""))</f>
        <v/>
      </c>
      <c r="I47" s="152">
        <f t="array" ref="I47">IF(IFERROR(-INDEX(Expenses!D$3:D$999,SMALL(IF((Expenses!E$3:E$999="GBP")*(Expenses!A$3:A$999=DATE(2026,2,26)),ROW(Expenses!A$3:A$999)-2),4)),0)+IFERROR(INDEX(Income!C$3:C$502,SMALL(IF((Income!D$3:D$502="GBP")*(Income!A$3:A$502=DATE(2026,2,26)),ROW(Income!A$3:A$502)-2),4)),0)=0,"",IFERROR(-INDEX(Expenses!D$3:D$999,SMALL(IF((Expenses!E$3:E$999="GBP")*(Expenses!A$3:A$999=DATE(2026,2,26)),ROW(Expenses!A$3:A$999)-2),4)),0)+IFERROR(INDEX(Income!C$3:C$502,SMALL(IF((Income!D$3:D$502="GBP")*(Income!A$3:A$502=DATE(2026,2,26)),ROW(Income!A$3:A$502)-2),4)),0))</f>
        <v/>
      </c>
      <c r="J47" s="126">
        <f t="array" ref="J47">IF(IFERROR(INDEX(Expenses!B$3:B$999,SMALL(IF((Expenses!E$3:E$999="GBP")*(Expenses!A$3:A$999=DATE(2026,2,26)),ROW(Expenses!A$3:A$999)-2),4)),"")&lt;&gt;"",IFERROR(INDEX(Expenses!B$3:B$999,SMALL(IF((Expenses!E$3:E$999="GBP")*(Expenses!A$3:A$999=DATE(2026,2,26)),ROW(Expenses!A$3:A$999)-2),4)),""),IF(IFERROR(INDEX(Income!B$3:B$502,SMALL(IF((Income!D$3:D$502="GBP")*(Income!A$3:A$502=DATE(2026,2,26)),ROW(Income!A$3:A$502)-2),4)),"")&lt;&gt;"",IFERROR(INDEX(Income!B$3:B$502,SMALL(IF((Income!D$3:D$502="GBP")*(Income!A$3:A$502=DATE(2026,2,26)),ROW(Income!A$3:A$502)-2),4)),""),""))</f>
        <v/>
      </c>
      <c r="K47" s="152">
        <f t="array" ref="K47">IF(IFERROR(-INDEX(Expenses!D$3:D$999,SMALL(IF((Expenses!E$3:E$999="GBP")*(Expenses!A$3:A$999=DATE(2026,2,27)),ROW(Expenses!A$3:A$999)-2),4)),0)+IFERROR(INDEX(Income!C$3:C$502,SMALL(IF((Income!D$3:D$502="GBP")*(Income!A$3:A$502=DATE(2026,2,27)),ROW(Income!A$3:A$502)-2),4)),0)=0,"",IFERROR(-INDEX(Expenses!D$3:D$999,SMALL(IF((Expenses!E$3:E$999="GBP")*(Expenses!A$3:A$999=DATE(2026,2,27)),ROW(Expenses!A$3:A$999)-2),4)),0)+IFERROR(INDEX(Income!C$3:C$502,SMALL(IF((Income!D$3:D$502="GBP")*(Income!A$3:A$502=DATE(2026,2,27)),ROW(Income!A$3:A$502)-2),4)),0))</f>
        <v/>
      </c>
      <c r="L47" s="126">
        <f t="array" ref="L47">IF(IFERROR(INDEX(Expenses!B$3:B$999,SMALL(IF((Expenses!E$3:E$999="GBP")*(Expenses!A$3:A$999=DATE(2026,2,27)),ROW(Expenses!A$3:A$999)-2),4)),"")&lt;&gt;"",IFERROR(INDEX(Expenses!B$3:B$999,SMALL(IF((Expenses!E$3:E$999="GBP")*(Expenses!A$3:A$999=DATE(2026,2,27)),ROW(Expenses!A$3:A$999)-2),4)),""),IF(IFERROR(INDEX(Income!B$3:B$502,SMALL(IF((Income!D$3:D$502="GBP")*(Income!A$3:A$502=DATE(2026,2,27)),ROW(Income!A$3:A$502)-2),4)),"")&lt;&gt;"",IFERROR(INDEX(Income!B$3:B$502,SMALL(IF((Income!D$3:D$502="GBP")*(Income!A$3:A$502=DATE(2026,2,27)),ROW(Income!A$3:A$502)-2),4)),""),""))</f>
        <v/>
      </c>
      <c r="M47" s="152">
        <f t="array" ref="M47">IF(IFERROR(-INDEX(Expenses!D$3:D$999,SMALL(IF((Expenses!E$3:E$999="GBP")*(Expenses!A$3:A$999=DATE(2026,2,28)),ROW(Expenses!A$3:A$999)-2),4)),0)+IFERROR(INDEX(Income!C$3:C$502,SMALL(IF((Income!D$3:D$502="GBP")*(Income!A$3:A$502=DATE(2026,2,28)),ROW(Income!A$3:A$502)-2),4)),0)=0,"",IFERROR(-INDEX(Expenses!D$3:D$999,SMALL(IF((Expenses!E$3:E$999="GBP")*(Expenses!A$3:A$999=DATE(2026,2,28)),ROW(Expenses!A$3:A$999)-2),4)),0)+IFERROR(INDEX(Income!C$3:C$502,SMALL(IF((Income!D$3:D$502="GBP")*(Income!A$3:A$502=DATE(2026,2,28)),ROW(Income!A$3:A$502)-2),4)),0))</f>
        <v/>
      </c>
      <c r="N47" s="126">
        <f t="array" ref="N47">IF(IFERROR(INDEX(Expenses!B$3:B$999,SMALL(IF((Expenses!E$3:E$999="GBP")*(Expenses!A$3:A$999=DATE(2026,2,28)),ROW(Expenses!A$3:A$999)-2),4)),"")&lt;&gt;"",IFERROR(INDEX(Expenses!B$3:B$999,SMALL(IF((Expenses!E$3:E$999="GBP")*(Expenses!A$3:A$999=DATE(2026,2,28)),ROW(Expenses!A$3:A$999)-2),4)),""),IF(IFERROR(INDEX(Income!B$3:B$502,SMALL(IF((Income!D$3:D$502="GBP")*(Income!A$3:A$502=DATE(2026,2,28)),ROW(Income!A$3:A$502)-2),4)),"")&lt;&gt;"",IFERROR(INDEX(Income!B$3:B$502,SMALL(IF((Income!D$3:D$502="GBP")*(Income!A$3:A$502=DATE(2026,2,28)),ROW(Income!A$3:A$502)-2),4)),""),""))</f>
        <v/>
      </c>
      <c r="O47" s="152">
        <f t="array" ref="O47">IF(IFERROR(-INDEX(Expenses!D$3:D$999,SMALL(IF((Expenses!E$3:E$999="GBP")*(Expenses!A$3:A$999=DATE(2026,3,1)),ROW(Expenses!A$3:A$999)-2),4)),0)+IFERROR(INDEX(Income!C$3:C$502,SMALL(IF((Income!D$3:D$502="GBP")*(Income!A$3:A$502=DATE(2026,3,1)),ROW(Income!A$3:A$502)-2),4)),0)=0,"",IFERROR(-INDEX(Expenses!D$3:D$999,SMALL(IF((Expenses!E$3:E$999="GBP")*(Expenses!A$3:A$999=DATE(2026,3,1)),ROW(Expenses!A$3:A$999)-2),4)),0)+IFERROR(INDEX(Income!C$3:C$502,SMALL(IF((Income!D$3:D$502="GBP")*(Income!A$3:A$502=DATE(2026,3,1)),ROW(Income!A$3:A$502)-2),4)),0))</f>
        <v/>
      </c>
      <c r="P47" s="126">
        <f t="array" ref="P47">IF(IFERROR(INDEX(Expenses!B$3:B$999,SMALL(IF((Expenses!E$3:E$999="GBP")*(Expenses!A$3:A$999=DATE(2026,3,1)),ROW(Expenses!A$3:A$999)-2),4)),"")&lt;&gt;"",IFERROR(INDEX(Expenses!B$3:B$999,SMALL(IF((Expenses!E$3:E$999="GBP")*(Expenses!A$3:A$999=DATE(2026,3,1)),ROW(Expenses!A$3:A$999)-2),4)),""),IF(IFERROR(INDEX(Income!B$3:B$502,SMALL(IF((Income!D$3:D$502="GBP")*(Income!A$3:A$502=DATE(2026,3,1)),ROW(Income!A$3:A$502)-2),4)),"")&lt;&gt;"",IFERROR(INDEX(Income!B$3:B$502,SMALL(IF((Income!D$3:D$502="GBP")*(Income!A$3:A$502=DATE(2026,3,1)),ROW(Income!A$3:A$502)-2),4)),""),""))</f>
        <v/>
      </c>
      <c r="Q47" s="9" t="n"/>
      <c r="R47" s="9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68">
      <c r="A48" s="9" t="n"/>
      <c r="B48" s="9" t="n"/>
      <c r="C48" s="152">
        <f t="array" ref="C48">IF(IFERROR(-INDEX(Expenses!D$3:D$999,SMALL(IF((Expenses!E$3:E$999="GBP")*(Expenses!A$3:A$999=DATE(2026,2,23)),ROW(Expenses!A$3:A$999)-2),5)),0)+IFERROR(INDEX(Income!C$3:C$502,SMALL(IF((Income!D$3:D$502="GBP")*(Income!A$3:A$502=DATE(2026,2,23)),ROW(Income!A$3:A$502)-2),5)),0)=0,"",IFERROR(-INDEX(Expenses!D$3:D$999,SMALL(IF((Expenses!E$3:E$999="GBP")*(Expenses!A$3:A$999=DATE(2026,2,23)),ROW(Expenses!A$3:A$999)-2),5)),0)+IFERROR(INDEX(Income!C$3:C$502,SMALL(IF((Income!D$3:D$502="GBP")*(Income!A$3:A$502=DATE(2026,2,23)),ROW(Income!A$3:A$502)-2),5)),0))</f>
        <v/>
      </c>
      <c r="D48" s="126">
        <f t="array" ref="D48">IF(IFERROR(INDEX(Expenses!B$3:B$999,SMALL(IF((Expenses!E$3:E$999="GBP")*(Expenses!A$3:A$999=DATE(2026,2,23)),ROW(Expenses!A$3:A$999)-2),5)),"")&lt;&gt;"",IFERROR(INDEX(Expenses!B$3:B$999,SMALL(IF((Expenses!E$3:E$999="GBP")*(Expenses!A$3:A$999=DATE(2026,2,23)),ROW(Expenses!A$3:A$999)-2),5)),""),IF(IFERROR(INDEX(Income!B$3:B$502,SMALL(IF((Income!D$3:D$502="GBP")*(Income!A$3:A$502=DATE(2026,2,23)),ROW(Income!A$3:A$502)-2),5)),"")&lt;&gt;"",IFERROR(INDEX(Income!B$3:B$502,SMALL(IF((Income!D$3:D$502="GBP")*(Income!A$3:A$502=DATE(2026,2,23)),ROW(Income!A$3:A$502)-2),5)),""),""))</f>
        <v/>
      </c>
      <c r="E48" s="152">
        <f t="array" ref="E48">IF(IFERROR(-INDEX(Expenses!D$3:D$999,SMALL(IF((Expenses!E$3:E$999="GBP")*(Expenses!A$3:A$999=DATE(2026,2,24)),ROW(Expenses!A$3:A$999)-2),5)),0)+IFERROR(INDEX(Income!C$3:C$502,SMALL(IF((Income!D$3:D$502="GBP")*(Income!A$3:A$502=DATE(2026,2,24)),ROW(Income!A$3:A$502)-2),5)),0)=0,"",IFERROR(-INDEX(Expenses!D$3:D$999,SMALL(IF((Expenses!E$3:E$999="GBP")*(Expenses!A$3:A$999=DATE(2026,2,24)),ROW(Expenses!A$3:A$999)-2),5)),0)+IFERROR(INDEX(Income!C$3:C$502,SMALL(IF((Income!D$3:D$502="GBP")*(Income!A$3:A$502=DATE(2026,2,24)),ROW(Income!A$3:A$502)-2),5)),0))</f>
        <v/>
      </c>
      <c r="F48" s="126">
        <f t="array" ref="F48">IF(IFERROR(INDEX(Expenses!B$3:B$999,SMALL(IF((Expenses!E$3:E$999="GBP")*(Expenses!A$3:A$999=DATE(2026,2,24)),ROW(Expenses!A$3:A$999)-2),5)),"")&lt;&gt;"",IFERROR(INDEX(Expenses!B$3:B$999,SMALL(IF((Expenses!E$3:E$999="GBP")*(Expenses!A$3:A$999=DATE(2026,2,24)),ROW(Expenses!A$3:A$999)-2),5)),""),IF(IFERROR(INDEX(Income!B$3:B$502,SMALL(IF((Income!D$3:D$502="GBP")*(Income!A$3:A$502=DATE(2026,2,24)),ROW(Income!A$3:A$502)-2),5)),"")&lt;&gt;"",IFERROR(INDEX(Income!B$3:B$502,SMALL(IF((Income!D$3:D$502="GBP")*(Income!A$3:A$502=DATE(2026,2,24)),ROW(Income!A$3:A$502)-2),5)),""),""))</f>
        <v/>
      </c>
      <c r="G48" s="152">
        <f t="array" ref="G48">IF(IFERROR(-INDEX(Expenses!D$3:D$999,SMALL(IF((Expenses!E$3:E$999="GBP")*(Expenses!A$3:A$999=DATE(2026,2,25)),ROW(Expenses!A$3:A$999)-2),5)),0)+IFERROR(INDEX(Income!C$3:C$502,SMALL(IF((Income!D$3:D$502="GBP")*(Income!A$3:A$502=DATE(2026,2,25)),ROW(Income!A$3:A$502)-2),5)),0)=0,"",IFERROR(-INDEX(Expenses!D$3:D$999,SMALL(IF((Expenses!E$3:E$999="GBP")*(Expenses!A$3:A$999=DATE(2026,2,25)),ROW(Expenses!A$3:A$999)-2),5)),0)+IFERROR(INDEX(Income!C$3:C$502,SMALL(IF((Income!D$3:D$502="GBP")*(Income!A$3:A$502=DATE(2026,2,25)),ROW(Income!A$3:A$502)-2),5)),0))</f>
        <v/>
      </c>
      <c r="H48" s="126">
        <f t="array" ref="H48">IF(IFERROR(INDEX(Expenses!B$3:B$999,SMALL(IF((Expenses!E$3:E$999="GBP")*(Expenses!A$3:A$999=DATE(2026,2,25)),ROW(Expenses!A$3:A$999)-2),5)),"")&lt;&gt;"",IFERROR(INDEX(Expenses!B$3:B$999,SMALL(IF((Expenses!E$3:E$999="GBP")*(Expenses!A$3:A$999=DATE(2026,2,25)),ROW(Expenses!A$3:A$999)-2),5)),""),IF(IFERROR(INDEX(Income!B$3:B$502,SMALL(IF((Income!D$3:D$502="GBP")*(Income!A$3:A$502=DATE(2026,2,25)),ROW(Income!A$3:A$502)-2),5)),"")&lt;&gt;"",IFERROR(INDEX(Income!B$3:B$502,SMALL(IF((Income!D$3:D$502="GBP")*(Income!A$3:A$502=DATE(2026,2,25)),ROW(Income!A$3:A$502)-2),5)),""),""))</f>
        <v/>
      </c>
      <c r="I48" s="152">
        <f t="array" ref="I48">IF(IFERROR(-INDEX(Expenses!D$3:D$999,SMALL(IF((Expenses!E$3:E$999="GBP")*(Expenses!A$3:A$999=DATE(2026,2,26)),ROW(Expenses!A$3:A$999)-2),5)),0)+IFERROR(INDEX(Income!C$3:C$502,SMALL(IF((Income!D$3:D$502="GBP")*(Income!A$3:A$502=DATE(2026,2,26)),ROW(Income!A$3:A$502)-2),5)),0)=0,"",IFERROR(-INDEX(Expenses!D$3:D$999,SMALL(IF((Expenses!E$3:E$999="GBP")*(Expenses!A$3:A$999=DATE(2026,2,26)),ROW(Expenses!A$3:A$999)-2),5)),0)+IFERROR(INDEX(Income!C$3:C$502,SMALL(IF((Income!D$3:D$502="GBP")*(Income!A$3:A$502=DATE(2026,2,26)),ROW(Income!A$3:A$502)-2),5)),0))</f>
        <v/>
      </c>
      <c r="J48" s="126">
        <f t="array" ref="J48">IF(IFERROR(INDEX(Expenses!B$3:B$999,SMALL(IF((Expenses!E$3:E$999="GBP")*(Expenses!A$3:A$999=DATE(2026,2,26)),ROW(Expenses!A$3:A$999)-2),5)),"")&lt;&gt;"",IFERROR(INDEX(Expenses!B$3:B$999,SMALL(IF((Expenses!E$3:E$999="GBP")*(Expenses!A$3:A$999=DATE(2026,2,26)),ROW(Expenses!A$3:A$999)-2),5)),""),IF(IFERROR(INDEX(Income!B$3:B$502,SMALL(IF((Income!D$3:D$502="GBP")*(Income!A$3:A$502=DATE(2026,2,26)),ROW(Income!A$3:A$502)-2),5)),"")&lt;&gt;"",IFERROR(INDEX(Income!B$3:B$502,SMALL(IF((Income!D$3:D$502="GBP")*(Income!A$3:A$502=DATE(2026,2,26)),ROW(Income!A$3:A$502)-2),5)),""),""))</f>
        <v/>
      </c>
      <c r="K48" s="152">
        <f t="array" ref="K48">IF(IFERROR(-INDEX(Expenses!D$3:D$999,SMALL(IF((Expenses!E$3:E$999="GBP")*(Expenses!A$3:A$999=DATE(2026,2,27)),ROW(Expenses!A$3:A$999)-2),5)),0)+IFERROR(INDEX(Income!C$3:C$502,SMALL(IF((Income!D$3:D$502="GBP")*(Income!A$3:A$502=DATE(2026,2,27)),ROW(Income!A$3:A$502)-2),5)),0)=0,"",IFERROR(-INDEX(Expenses!D$3:D$999,SMALL(IF((Expenses!E$3:E$999="GBP")*(Expenses!A$3:A$999=DATE(2026,2,27)),ROW(Expenses!A$3:A$999)-2),5)),0)+IFERROR(INDEX(Income!C$3:C$502,SMALL(IF((Income!D$3:D$502="GBP")*(Income!A$3:A$502=DATE(2026,2,27)),ROW(Income!A$3:A$502)-2),5)),0))</f>
        <v/>
      </c>
      <c r="L48" s="126">
        <f t="array" ref="L48">IF(IFERROR(INDEX(Expenses!B$3:B$999,SMALL(IF((Expenses!E$3:E$999="GBP")*(Expenses!A$3:A$999=DATE(2026,2,27)),ROW(Expenses!A$3:A$999)-2),5)),"")&lt;&gt;"",IFERROR(INDEX(Expenses!B$3:B$999,SMALL(IF((Expenses!E$3:E$999="GBP")*(Expenses!A$3:A$999=DATE(2026,2,27)),ROW(Expenses!A$3:A$999)-2),5)),""),IF(IFERROR(INDEX(Income!B$3:B$502,SMALL(IF((Income!D$3:D$502="GBP")*(Income!A$3:A$502=DATE(2026,2,27)),ROW(Income!A$3:A$502)-2),5)),"")&lt;&gt;"",IFERROR(INDEX(Income!B$3:B$502,SMALL(IF((Income!D$3:D$502="GBP")*(Income!A$3:A$502=DATE(2026,2,27)),ROW(Income!A$3:A$502)-2),5)),""),""))</f>
        <v/>
      </c>
      <c r="M48" s="152">
        <f t="array" ref="M48">IF(IFERROR(-INDEX(Expenses!D$3:D$999,SMALL(IF((Expenses!E$3:E$999="GBP")*(Expenses!A$3:A$999=DATE(2026,2,28)),ROW(Expenses!A$3:A$999)-2),5)),0)+IFERROR(INDEX(Income!C$3:C$502,SMALL(IF((Income!D$3:D$502="GBP")*(Income!A$3:A$502=DATE(2026,2,28)),ROW(Income!A$3:A$502)-2),5)),0)=0,"",IFERROR(-INDEX(Expenses!D$3:D$999,SMALL(IF((Expenses!E$3:E$999="GBP")*(Expenses!A$3:A$999=DATE(2026,2,28)),ROW(Expenses!A$3:A$999)-2),5)),0)+IFERROR(INDEX(Income!C$3:C$502,SMALL(IF((Income!D$3:D$502="GBP")*(Income!A$3:A$502=DATE(2026,2,28)),ROW(Income!A$3:A$502)-2),5)),0))</f>
        <v/>
      </c>
      <c r="N48" s="126">
        <f t="array" ref="N48">IF(IFERROR(INDEX(Expenses!B$3:B$999,SMALL(IF((Expenses!E$3:E$999="GBP")*(Expenses!A$3:A$999=DATE(2026,2,28)),ROW(Expenses!A$3:A$999)-2),5)),"")&lt;&gt;"",IFERROR(INDEX(Expenses!B$3:B$999,SMALL(IF((Expenses!E$3:E$999="GBP")*(Expenses!A$3:A$999=DATE(2026,2,28)),ROW(Expenses!A$3:A$999)-2),5)),""),IF(IFERROR(INDEX(Income!B$3:B$502,SMALL(IF((Income!D$3:D$502="GBP")*(Income!A$3:A$502=DATE(2026,2,28)),ROW(Income!A$3:A$502)-2),5)),"")&lt;&gt;"",IFERROR(INDEX(Income!B$3:B$502,SMALL(IF((Income!D$3:D$502="GBP")*(Income!A$3:A$502=DATE(2026,2,28)),ROW(Income!A$3:A$502)-2),5)),""),""))</f>
        <v/>
      </c>
      <c r="O48" s="152">
        <f t="array" ref="O48">IF(IFERROR(-INDEX(Expenses!D$3:D$999,SMALL(IF((Expenses!E$3:E$999="GBP")*(Expenses!A$3:A$999=DATE(2026,3,1)),ROW(Expenses!A$3:A$999)-2),5)),0)+IFERROR(INDEX(Income!C$3:C$502,SMALL(IF((Income!D$3:D$502="GBP")*(Income!A$3:A$502=DATE(2026,3,1)),ROW(Income!A$3:A$502)-2),5)),0)=0,"",IFERROR(-INDEX(Expenses!D$3:D$999,SMALL(IF((Expenses!E$3:E$999="GBP")*(Expenses!A$3:A$999=DATE(2026,3,1)),ROW(Expenses!A$3:A$999)-2),5)),0)+IFERROR(INDEX(Income!C$3:C$502,SMALL(IF((Income!D$3:D$502="GBP")*(Income!A$3:A$502=DATE(2026,3,1)),ROW(Income!A$3:A$502)-2),5)),0))</f>
        <v/>
      </c>
      <c r="P48" s="126">
        <f t="array" ref="P48">IF(IFERROR(INDEX(Expenses!B$3:B$999,SMALL(IF((Expenses!E$3:E$999="GBP")*(Expenses!A$3:A$999=DATE(2026,3,1)),ROW(Expenses!A$3:A$999)-2),5)),"")&lt;&gt;"",IFERROR(INDEX(Expenses!B$3:B$999,SMALL(IF((Expenses!E$3:E$999="GBP")*(Expenses!A$3:A$999=DATE(2026,3,1)),ROW(Expenses!A$3:A$999)-2),5)),""),IF(IFERROR(INDEX(Income!B$3:B$502,SMALL(IF((Income!D$3:D$502="GBP")*(Income!A$3:A$502=DATE(2026,3,1)),ROW(Income!A$3:A$502)-2),5)),"")&lt;&gt;"",IFERROR(INDEX(Income!B$3:B$502,SMALL(IF((Income!D$3:D$502="GBP")*(Income!A$3:A$502=DATE(2026,3,1)),ROW(Income!A$3:A$502)-2),5)),""),""))</f>
        <v/>
      </c>
      <c r="Q48" s="9" t="n"/>
      <c r="R48" s="9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68">
      <c r="A49" s="151" t="n">
        <v>46083</v>
      </c>
      <c r="B49" s="103" t="n">
        <v>10</v>
      </c>
      <c r="C49" s="152">
        <f t="array" ref="C49">IF(IFERROR(-INDEX(Expenses!D$3:D$999,SMALL(IF((Expenses!E$3:E$999="GBP")*(Expenses!A$3:A$999=DATE(2026,3,2)),ROW(Expenses!A$3:A$999)-2),1)),0)+IFERROR(INDEX(Income!C$3:C$502,SMALL(IF((Income!D$3:D$502="GBP")*(Income!A$3:A$502=DATE(2026,3,2)),ROW(Income!A$3:A$502)-2),1)),0)=0,"",IFERROR(-INDEX(Expenses!D$3:D$999,SMALL(IF((Expenses!E$3:E$999="GBP")*(Expenses!A$3:A$999=DATE(2026,3,2)),ROW(Expenses!A$3:A$999)-2),1)),0)+IFERROR(INDEX(Income!C$3:C$502,SMALL(IF((Income!D$3:D$502="GBP")*(Income!A$3:A$502=DATE(2026,3,2)),ROW(Income!A$3:A$502)-2),1)),0))</f>
        <v/>
      </c>
      <c r="D49" s="126">
        <f t="array" ref="D49">IF(IFERROR(INDEX(Expenses!B$3:B$999,SMALL(IF((Expenses!E$3:E$999="GBP")*(Expenses!A$3:A$999=DATE(2026,3,2)),ROW(Expenses!A$3:A$999)-2),1)),"")&lt;&gt;"",IFERROR(INDEX(Expenses!B$3:B$999,SMALL(IF((Expenses!E$3:E$999="GBP")*(Expenses!A$3:A$999=DATE(2026,3,2)),ROW(Expenses!A$3:A$999)-2),1)),""),IF(IFERROR(INDEX(Income!B$3:B$502,SMALL(IF((Income!D$3:D$502="GBP")*(Income!A$3:A$502=DATE(2026,3,2)),ROW(Income!A$3:A$502)-2),1)),"")&lt;&gt;"",IFERROR(INDEX(Income!B$3:B$502,SMALL(IF((Income!D$3:D$502="GBP")*(Income!A$3:A$502=DATE(2026,3,2)),ROW(Income!A$3:A$502)-2),1)),""),""))</f>
        <v/>
      </c>
      <c r="E49" s="152">
        <f t="array" ref="E49">IF(IFERROR(-INDEX(Expenses!D$3:D$999,SMALL(IF((Expenses!E$3:E$999="GBP")*(Expenses!A$3:A$999=DATE(2026,3,3)),ROW(Expenses!A$3:A$999)-2),1)),0)+IFERROR(INDEX(Income!C$3:C$502,SMALL(IF((Income!D$3:D$502="GBP")*(Income!A$3:A$502=DATE(2026,3,3)),ROW(Income!A$3:A$502)-2),1)),0)=0,"",IFERROR(-INDEX(Expenses!D$3:D$999,SMALL(IF((Expenses!E$3:E$999="GBP")*(Expenses!A$3:A$999=DATE(2026,3,3)),ROW(Expenses!A$3:A$999)-2),1)),0)+IFERROR(INDEX(Income!C$3:C$502,SMALL(IF((Income!D$3:D$502="GBP")*(Income!A$3:A$502=DATE(2026,3,3)),ROW(Income!A$3:A$502)-2),1)),0))</f>
        <v/>
      </c>
      <c r="F49" s="126">
        <f t="array" ref="F49">IF(IFERROR(INDEX(Expenses!B$3:B$999,SMALL(IF((Expenses!E$3:E$999="GBP")*(Expenses!A$3:A$999=DATE(2026,3,3)),ROW(Expenses!A$3:A$999)-2),1)),"")&lt;&gt;"",IFERROR(INDEX(Expenses!B$3:B$999,SMALL(IF((Expenses!E$3:E$999="GBP")*(Expenses!A$3:A$999=DATE(2026,3,3)),ROW(Expenses!A$3:A$999)-2),1)),""),IF(IFERROR(INDEX(Income!B$3:B$502,SMALL(IF((Income!D$3:D$502="GBP")*(Income!A$3:A$502=DATE(2026,3,3)),ROW(Income!A$3:A$502)-2),1)),"")&lt;&gt;"",IFERROR(INDEX(Income!B$3:B$502,SMALL(IF((Income!D$3:D$502="GBP")*(Income!A$3:A$502=DATE(2026,3,3)),ROW(Income!A$3:A$502)-2),1)),""),""))</f>
        <v/>
      </c>
      <c r="G49" s="152">
        <f t="array" ref="G49">IF(IFERROR(-INDEX(Expenses!D$3:D$999,SMALL(IF((Expenses!E$3:E$999="GBP")*(Expenses!A$3:A$999=DATE(2026,3,4)),ROW(Expenses!A$3:A$999)-2),1)),0)+IFERROR(INDEX(Income!C$3:C$502,SMALL(IF((Income!D$3:D$502="GBP")*(Income!A$3:A$502=DATE(2026,3,4)),ROW(Income!A$3:A$502)-2),1)),0)=0,"",IFERROR(-INDEX(Expenses!D$3:D$999,SMALL(IF((Expenses!E$3:E$999="GBP")*(Expenses!A$3:A$999=DATE(2026,3,4)),ROW(Expenses!A$3:A$999)-2),1)),0)+IFERROR(INDEX(Income!C$3:C$502,SMALL(IF((Income!D$3:D$502="GBP")*(Income!A$3:A$502=DATE(2026,3,4)),ROW(Income!A$3:A$502)-2),1)),0))</f>
        <v/>
      </c>
      <c r="H49" s="126">
        <f t="array" ref="H49">IF(IFERROR(INDEX(Expenses!B$3:B$999,SMALL(IF((Expenses!E$3:E$999="GBP")*(Expenses!A$3:A$999=DATE(2026,3,4)),ROW(Expenses!A$3:A$999)-2),1)),"")&lt;&gt;"",IFERROR(INDEX(Expenses!B$3:B$999,SMALL(IF((Expenses!E$3:E$999="GBP")*(Expenses!A$3:A$999=DATE(2026,3,4)),ROW(Expenses!A$3:A$999)-2),1)),""),IF(IFERROR(INDEX(Income!B$3:B$502,SMALL(IF((Income!D$3:D$502="GBP")*(Income!A$3:A$502=DATE(2026,3,4)),ROW(Income!A$3:A$502)-2),1)),"")&lt;&gt;"",IFERROR(INDEX(Income!B$3:B$502,SMALL(IF((Income!D$3:D$502="GBP")*(Income!A$3:A$502=DATE(2026,3,4)),ROW(Income!A$3:A$502)-2),1)),""),""))</f>
        <v/>
      </c>
      <c r="I49" s="152">
        <f t="array" ref="I49">IF(IFERROR(-INDEX(Expenses!D$3:D$999,SMALL(IF((Expenses!E$3:E$999="GBP")*(Expenses!A$3:A$999=DATE(2026,3,5)),ROW(Expenses!A$3:A$999)-2),1)),0)+IFERROR(INDEX(Income!C$3:C$502,SMALL(IF((Income!D$3:D$502="GBP")*(Income!A$3:A$502=DATE(2026,3,5)),ROW(Income!A$3:A$502)-2),1)),0)=0,"",IFERROR(-INDEX(Expenses!D$3:D$999,SMALL(IF((Expenses!E$3:E$999="GBP")*(Expenses!A$3:A$999=DATE(2026,3,5)),ROW(Expenses!A$3:A$999)-2),1)),0)+IFERROR(INDEX(Income!C$3:C$502,SMALL(IF((Income!D$3:D$502="GBP")*(Income!A$3:A$502=DATE(2026,3,5)),ROW(Income!A$3:A$502)-2),1)),0))</f>
        <v/>
      </c>
      <c r="J49" s="126">
        <f t="array" ref="J49">IF(IFERROR(INDEX(Expenses!B$3:B$999,SMALL(IF((Expenses!E$3:E$999="GBP")*(Expenses!A$3:A$999=DATE(2026,3,5)),ROW(Expenses!A$3:A$999)-2),1)),"")&lt;&gt;"",IFERROR(INDEX(Expenses!B$3:B$999,SMALL(IF((Expenses!E$3:E$999="GBP")*(Expenses!A$3:A$999=DATE(2026,3,5)),ROW(Expenses!A$3:A$999)-2),1)),""),IF(IFERROR(INDEX(Income!B$3:B$502,SMALL(IF((Income!D$3:D$502="GBP")*(Income!A$3:A$502=DATE(2026,3,5)),ROW(Income!A$3:A$502)-2),1)),"")&lt;&gt;"",IFERROR(INDEX(Income!B$3:B$502,SMALL(IF((Income!D$3:D$502="GBP")*(Income!A$3:A$502=DATE(2026,3,5)),ROW(Income!A$3:A$502)-2),1)),""),""))</f>
        <v/>
      </c>
      <c r="K49" s="152">
        <f t="array" ref="K49">IF(IFERROR(-INDEX(Expenses!D$3:D$999,SMALL(IF((Expenses!E$3:E$999="GBP")*(Expenses!A$3:A$999=DATE(2026,3,6)),ROW(Expenses!A$3:A$999)-2),1)),0)+IFERROR(INDEX(Income!C$3:C$502,SMALL(IF((Income!D$3:D$502="GBP")*(Income!A$3:A$502=DATE(2026,3,6)),ROW(Income!A$3:A$502)-2),1)),0)=0,"",IFERROR(-INDEX(Expenses!D$3:D$999,SMALL(IF((Expenses!E$3:E$999="GBP")*(Expenses!A$3:A$999=DATE(2026,3,6)),ROW(Expenses!A$3:A$999)-2),1)),0)+IFERROR(INDEX(Income!C$3:C$502,SMALL(IF((Income!D$3:D$502="GBP")*(Income!A$3:A$502=DATE(2026,3,6)),ROW(Income!A$3:A$502)-2),1)),0))</f>
        <v/>
      </c>
      <c r="L49" s="126">
        <f t="array" ref="L49">IF(IFERROR(INDEX(Expenses!B$3:B$999,SMALL(IF((Expenses!E$3:E$999="GBP")*(Expenses!A$3:A$999=DATE(2026,3,6)),ROW(Expenses!A$3:A$999)-2),1)),"")&lt;&gt;"",IFERROR(INDEX(Expenses!B$3:B$999,SMALL(IF((Expenses!E$3:E$999="GBP")*(Expenses!A$3:A$999=DATE(2026,3,6)),ROW(Expenses!A$3:A$999)-2),1)),""),IF(IFERROR(INDEX(Income!B$3:B$502,SMALL(IF((Income!D$3:D$502="GBP")*(Income!A$3:A$502=DATE(2026,3,6)),ROW(Income!A$3:A$502)-2),1)),"")&lt;&gt;"",IFERROR(INDEX(Income!B$3:B$502,SMALL(IF((Income!D$3:D$502="GBP")*(Income!A$3:A$502=DATE(2026,3,6)),ROW(Income!A$3:A$502)-2),1)),""),""))</f>
        <v/>
      </c>
      <c r="M49" s="152">
        <f t="array" ref="M49">IF(IFERROR(-INDEX(Expenses!D$3:D$999,SMALL(IF((Expenses!E$3:E$999="GBP")*(Expenses!A$3:A$999=DATE(2026,3,7)),ROW(Expenses!A$3:A$999)-2),1)),0)+IFERROR(INDEX(Income!C$3:C$502,SMALL(IF((Income!D$3:D$502="GBP")*(Income!A$3:A$502=DATE(2026,3,7)),ROW(Income!A$3:A$502)-2),1)),0)=0,"",IFERROR(-INDEX(Expenses!D$3:D$999,SMALL(IF((Expenses!E$3:E$999="GBP")*(Expenses!A$3:A$999=DATE(2026,3,7)),ROW(Expenses!A$3:A$999)-2),1)),0)+IFERROR(INDEX(Income!C$3:C$502,SMALL(IF((Income!D$3:D$502="GBP")*(Income!A$3:A$502=DATE(2026,3,7)),ROW(Income!A$3:A$502)-2),1)),0))</f>
        <v/>
      </c>
      <c r="N49" s="126">
        <f t="array" ref="N49">IF(IFERROR(INDEX(Expenses!B$3:B$999,SMALL(IF((Expenses!E$3:E$999="GBP")*(Expenses!A$3:A$999=DATE(2026,3,7)),ROW(Expenses!A$3:A$999)-2),1)),"")&lt;&gt;"",IFERROR(INDEX(Expenses!B$3:B$999,SMALL(IF((Expenses!E$3:E$999="GBP")*(Expenses!A$3:A$999=DATE(2026,3,7)),ROW(Expenses!A$3:A$999)-2),1)),""),IF(IFERROR(INDEX(Income!B$3:B$502,SMALL(IF((Income!D$3:D$502="GBP")*(Income!A$3:A$502=DATE(2026,3,7)),ROW(Income!A$3:A$502)-2),1)),"")&lt;&gt;"",IFERROR(INDEX(Income!B$3:B$502,SMALL(IF((Income!D$3:D$502="GBP")*(Income!A$3:A$502=DATE(2026,3,7)),ROW(Income!A$3:A$502)-2),1)),""),""))</f>
        <v/>
      </c>
      <c r="O49" s="152">
        <f t="array" ref="O49">IF(IFERROR(-INDEX(Expenses!D$3:D$999,SMALL(IF((Expenses!E$3:E$999="GBP")*(Expenses!A$3:A$999=DATE(2026,3,8)),ROW(Expenses!A$3:A$999)-2),1)),0)+IFERROR(INDEX(Income!C$3:C$502,SMALL(IF((Income!D$3:D$502="GBP")*(Income!A$3:A$502=DATE(2026,3,8)),ROW(Income!A$3:A$502)-2),1)),0)=0,"",IFERROR(-INDEX(Expenses!D$3:D$999,SMALL(IF((Expenses!E$3:E$999="GBP")*(Expenses!A$3:A$999=DATE(2026,3,8)),ROW(Expenses!A$3:A$999)-2),1)),0)+IFERROR(INDEX(Income!C$3:C$502,SMALL(IF((Income!D$3:D$502="GBP")*(Income!A$3:A$502=DATE(2026,3,8)),ROW(Income!A$3:A$502)-2),1)),0))</f>
        <v/>
      </c>
      <c r="P49" s="126">
        <f t="array" ref="P49">IF(IFERROR(INDEX(Expenses!B$3:B$999,SMALL(IF((Expenses!E$3:E$999="GBP")*(Expenses!A$3:A$999=DATE(2026,3,8)),ROW(Expenses!A$3:A$999)-2),1)),"")&lt;&gt;"",IFERROR(INDEX(Expenses!B$3:B$999,SMALL(IF((Expenses!E$3:E$999="GBP")*(Expenses!A$3:A$999=DATE(2026,3,8)),ROW(Expenses!A$3:A$999)-2),1)),""),IF(IFERROR(INDEX(Income!B$3:B$502,SMALL(IF((Income!D$3:D$502="GBP")*(Income!A$3:A$502=DATE(2026,3,8)),ROW(Income!A$3:A$502)-2),1)),"")&lt;&gt;"",IFERROR(INDEX(Income!B$3:B$502,SMALL(IF((Income!D$3:D$502="GBP")*(Income!A$3:A$502=DATE(2026,3,8)),ROW(Income!A$3:A$502)-2),1)),""),""))</f>
        <v/>
      </c>
      <c r="Q49" s="103" t="n">
        <v>10</v>
      </c>
      <c r="R49" s="134">
        <f>SUM(C49:C53)+SUM(E49:E53)+SUM(G49:G53)+SUM(I49:I53)+SUM(K49:K53)+SUM(M49:M53)+SUM(O49:O53)</f>
        <v/>
      </c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68">
      <c r="A50" s="9" t="n"/>
      <c r="B50" s="9" t="n"/>
      <c r="C50" s="152">
        <f t="array" ref="C50">IF(IFERROR(-INDEX(Expenses!D$3:D$999,SMALL(IF((Expenses!E$3:E$999="GBP")*(Expenses!A$3:A$999=DATE(2026,3,2)),ROW(Expenses!A$3:A$999)-2),2)),0)+IFERROR(INDEX(Income!C$3:C$502,SMALL(IF((Income!D$3:D$502="GBP")*(Income!A$3:A$502=DATE(2026,3,2)),ROW(Income!A$3:A$502)-2),2)),0)=0,"",IFERROR(-INDEX(Expenses!D$3:D$999,SMALL(IF((Expenses!E$3:E$999="GBP")*(Expenses!A$3:A$999=DATE(2026,3,2)),ROW(Expenses!A$3:A$999)-2),2)),0)+IFERROR(INDEX(Income!C$3:C$502,SMALL(IF((Income!D$3:D$502="GBP")*(Income!A$3:A$502=DATE(2026,3,2)),ROW(Income!A$3:A$502)-2),2)),0))</f>
        <v/>
      </c>
      <c r="D50" s="126">
        <f t="array" ref="D50">IF(IFERROR(INDEX(Expenses!B$3:B$999,SMALL(IF((Expenses!E$3:E$999="GBP")*(Expenses!A$3:A$999=DATE(2026,3,2)),ROW(Expenses!A$3:A$999)-2),2)),"")&lt;&gt;"",IFERROR(INDEX(Expenses!B$3:B$999,SMALL(IF((Expenses!E$3:E$999="GBP")*(Expenses!A$3:A$999=DATE(2026,3,2)),ROW(Expenses!A$3:A$999)-2),2)),""),IF(IFERROR(INDEX(Income!B$3:B$502,SMALL(IF((Income!D$3:D$502="GBP")*(Income!A$3:A$502=DATE(2026,3,2)),ROW(Income!A$3:A$502)-2),2)),"")&lt;&gt;"",IFERROR(INDEX(Income!B$3:B$502,SMALL(IF((Income!D$3:D$502="GBP")*(Income!A$3:A$502=DATE(2026,3,2)),ROW(Income!A$3:A$502)-2),2)),""),""))</f>
        <v/>
      </c>
      <c r="E50" s="152">
        <f t="array" ref="E50">IF(IFERROR(-INDEX(Expenses!D$3:D$999,SMALL(IF((Expenses!E$3:E$999="GBP")*(Expenses!A$3:A$999=DATE(2026,3,3)),ROW(Expenses!A$3:A$999)-2),2)),0)+IFERROR(INDEX(Income!C$3:C$502,SMALL(IF((Income!D$3:D$502="GBP")*(Income!A$3:A$502=DATE(2026,3,3)),ROW(Income!A$3:A$502)-2),2)),0)=0,"",IFERROR(-INDEX(Expenses!D$3:D$999,SMALL(IF((Expenses!E$3:E$999="GBP")*(Expenses!A$3:A$999=DATE(2026,3,3)),ROW(Expenses!A$3:A$999)-2),2)),0)+IFERROR(INDEX(Income!C$3:C$502,SMALL(IF((Income!D$3:D$502="GBP")*(Income!A$3:A$502=DATE(2026,3,3)),ROW(Income!A$3:A$502)-2),2)),0))</f>
        <v/>
      </c>
      <c r="F50" s="126">
        <f t="array" ref="F50">IF(IFERROR(INDEX(Expenses!B$3:B$999,SMALL(IF((Expenses!E$3:E$999="GBP")*(Expenses!A$3:A$999=DATE(2026,3,3)),ROW(Expenses!A$3:A$999)-2),2)),"")&lt;&gt;"",IFERROR(INDEX(Expenses!B$3:B$999,SMALL(IF((Expenses!E$3:E$999="GBP")*(Expenses!A$3:A$999=DATE(2026,3,3)),ROW(Expenses!A$3:A$999)-2),2)),""),IF(IFERROR(INDEX(Income!B$3:B$502,SMALL(IF((Income!D$3:D$502="GBP")*(Income!A$3:A$502=DATE(2026,3,3)),ROW(Income!A$3:A$502)-2),2)),"")&lt;&gt;"",IFERROR(INDEX(Income!B$3:B$502,SMALL(IF((Income!D$3:D$502="GBP")*(Income!A$3:A$502=DATE(2026,3,3)),ROW(Income!A$3:A$502)-2),2)),""),""))</f>
        <v/>
      </c>
      <c r="G50" s="152">
        <f t="array" ref="G50">IF(IFERROR(-INDEX(Expenses!D$3:D$999,SMALL(IF((Expenses!E$3:E$999="GBP")*(Expenses!A$3:A$999=DATE(2026,3,4)),ROW(Expenses!A$3:A$999)-2),2)),0)+IFERROR(INDEX(Income!C$3:C$502,SMALL(IF((Income!D$3:D$502="GBP")*(Income!A$3:A$502=DATE(2026,3,4)),ROW(Income!A$3:A$502)-2),2)),0)=0,"",IFERROR(-INDEX(Expenses!D$3:D$999,SMALL(IF((Expenses!E$3:E$999="GBP")*(Expenses!A$3:A$999=DATE(2026,3,4)),ROW(Expenses!A$3:A$999)-2),2)),0)+IFERROR(INDEX(Income!C$3:C$502,SMALL(IF((Income!D$3:D$502="GBP")*(Income!A$3:A$502=DATE(2026,3,4)),ROW(Income!A$3:A$502)-2),2)),0))</f>
        <v/>
      </c>
      <c r="H50" s="126">
        <f t="array" ref="H50">IF(IFERROR(INDEX(Expenses!B$3:B$999,SMALL(IF((Expenses!E$3:E$999="GBP")*(Expenses!A$3:A$999=DATE(2026,3,4)),ROW(Expenses!A$3:A$999)-2),2)),"")&lt;&gt;"",IFERROR(INDEX(Expenses!B$3:B$999,SMALL(IF((Expenses!E$3:E$999="GBP")*(Expenses!A$3:A$999=DATE(2026,3,4)),ROW(Expenses!A$3:A$999)-2),2)),""),IF(IFERROR(INDEX(Income!B$3:B$502,SMALL(IF((Income!D$3:D$502="GBP")*(Income!A$3:A$502=DATE(2026,3,4)),ROW(Income!A$3:A$502)-2),2)),"")&lt;&gt;"",IFERROR(INDEX(Income!B$3:B$502,SMALL(IF((Income!D$3:D$502="GBP")*(Income!A$3:A$502=DATE(2026,3,4)),ROW(Income!A$3:A$502)-2),2)),""),""))</f>
        <v/>
      </c>
      <c r="I50" s="152">
        <f t="array" ref="I50">IF(IFERROR(-INDEX(Expenses!D$3:D$999,SMALL(IF((Expenses!E$3:E$999="GBP")*(Expenses!A$3:A$999=DATE(2026,3,5)),ROW(Expenses!A$3:A$999)-2),2)),0)+IFERROR(INDEX(Income!C$3:C$502,SMALL(IF((Income!D$3:D$502="GBP")*(Income!A$3:A$502=DATE(2026,3,5)),ROW(Income!A$3:A$502)-2),2)),0)=0,"",IFERROR(-INDEX(Expenses!D$3:D$999,SMALL(IF((Expenses!E$3:E$999="GBP")*(Expenses!A$3:A$999=DATE(2026,3,5)),ROW(Expenses!A$3:A$999)-2),2)),0)+IFERROR(INDEX(Income!C$3:C$502,SMALL(IF((Income!D$3:D$502="GBP")*(Income!A$3:A$502=DATE(2026,3,5)),ROW(Income!A$3:A$502)-2),2)),0))</f>
        <v/>
      </c>
      <c r="J50" s="126">
        <f t="array" ref="J50">IF(IFERROR(INDEX(Expenses!B$3:B$999,SMALL(IF((Expenses!E$3:E$999="GBP")*(Expenses!A$3:A$999=DATE(2026,3,5)),ROW(Expenses!A$3:A$999)-2),2)),"")&lt;&gt;"",IFERROR(INDEX(Expenses!B$3:B$999,SMALL(IF((Expenses!E$3:E$999="GBP")*(Expenses!A$3:A$999=DATE(2026,3,5)),ROW(Expenses!A$3:A$999)-2),2)),""),IF(IFERROR(INDEX(Income!B$3:B$502,SMALL(IF((Income!D$3:D$502="GBP")*(Income!A$3:A$502=DATE(2026,3,5)),ROW(Income!A$3:A$502)-2),2)),"")&lt;&gt;"",IFERROR(INDEX(Income!B$3:B$502,SMALL(IF((Income!D$3:D$502="GBP")*(Income!A$3:A$502=DATE(2026,3,5)),ROW(Income!A$3:A$502)-2),2)),""),""))</f>
        <v/>
      </c>
      <c r="K50" s="152">
        <f t="array" ref="K50">IF(IFERROR(-INDEX(Expenses!D$3:D$999,SMALL(IF((Expenses!E$3:E$999="GBP")*(Expenses!A$3:A$999=DATE(2026,3,6)),ROW(Expenses!A$3:A$999)-2),2)),0)+IFERROR(INDEX(Income!C$3:C$502,SMALL(IF((Income!D$3:D$502="GBP")*(Income!A$3:A$502=DATE(2026,3,6)),ROW(Income!A$3:A$502)-2),2)),0)=0,"",IFERROR(-INDEX(Expenses!D$3:D$999,SMALL(IF((Expenses!E$3:E$999="GBP")*(Expenses!A$3:A$999=DATE(2026,3,6)),ROW(Expenses!A$3:A$999)-2),2)),0)+IFERROR(INDEX(Income!C$3:C$502,SMALL(IF((Income!D$3:D$502="GBP")*(Income!A$3:A$502=DATE(2026,3,6)),ROW(Income!A$3:A$502)-2),2)),0))</f>
        <v/>
      </c>
      <c r="L50" s="126">
        <f t="array" ref="L50">IF(IFERROR(INDEX(Expenses!B$3:B$999,SMALL(IF((Expenses!E$3:E$999="GBP")*(Expenses!A$3:A$999=DATE(2026,3,6)),ROW(Expenses!A$3:A$999)-2),2)),"")&lt;&gt;"",IFERROR(INDEX(Expenses!B$3:B$999,SMALL(IF((Expenses!E$3:E$999="GBP")*(Expenses!A$3:A$999=DATE(2026,3,6)),ROW(Expenses!A$3:A$999)-2),2)),""),IF(IFERROR(INDEX(Income!B$3:B$502,SMALL(IF((Income!D$3:D$502="GBP")*(Income!A$3:A$502=DATE(2026,3,6)),ROW(Income!A$3:A$502)-2),2)),"")&lt;&gt;"",IFERROR(INDEX(Income!B$3:B$502,SMALL(IF((Income!D$3:D$502="GBP")*(Income!A$3:A$502=DATE(2026,3,6)),ROW(Income!A$3:A$502)-2),2)),""),""))</f>
        <v/>
      </c>
      <c r="M50" s="152">
        <f t="array" ref="M50">IF(IFERROR(-INDEX(Expenses!D$3:D$999,SMALL(IF((Expenses!E$3:E$999="GBP")*(Expenses!A$3:A$999=DATE(2026,3,7)),ROW(Expenses!A$3:A$999)-2),2)),0)+IFERROR(INDEX(Income!C$3:C$502,SMALL(IF((Income!D$3:D$502="GBP")*(Income!A$3:A$502=DATE(2026,3,7)),ROW(Income!A$3:A$502)-2),2)),0)=0,"",IFERROR(-INDEX(Expenses!D$3:D$999,SMALL(IF((Expenses!E$3:E$999="GBP")*(Expenses!A$3:A$999=DATE(2026,3,7)),ROW(Expenses!A$3:A$999)-2),2)),0)+IFERROR(INDEX(Income!C$3:C$502,SMALL(IF((Income!D$3:D$502="GBP")*(Income!A$3:A$502=DATE(2026,3,7)),ROW(Income!A$3:A$502)-2),2)),0))</f>
        <v/>
      </c>
      <c r="N50" s="126">
        <f t="array" ref="N50">IF(IFERROR(INDEX(Expenses!B$3:B$999,SMALL(IF((Expenses!E$3:E$999="GBP")*(Expenses!A$3:A$999=DATE(2026,3,7)),ROW(Expenses!A$3:A$999)-2),2)),"")&lt;&gt;"",IFERROR(INDEX(Expenses!B$3:B$999,SMALL(IF((Expenses!E$3:E$999="GBP")*(Expenses!A$3:A$999=DATE(2026,3,7)),ROW(Expenses!A$3:A$999)-2),2)),""),IF(IFERROR(INDEX(Income!B$3:B$502,SMALL(IF((Income!D$3:D$502="GBP")*(Income!A$3:A$502=DATE(2026,3,7)),ROW(Income!A$3:A$502)-2),2)),"")&lt;&gt;"",IFERROR(INDEX(Income!B$3:B$502,SMALL(IF((Income!D$3:D$502="GBP")*(Income!A$3:A$502=DATE(2026,3,7)),ROW(Income!A$3:A$502)-2),2)),""),""))</f>
        <v/>
      </c>
      <c r="O50" s="152">
        <f t="array" ref="O50">IF(IFERROR(-INDEX(Expenses!D$3:D$999,SMALL(IF((Expenses!E$3:E$999="GBP")*(Expenses!A$3:A$999=DATE(2026,3,8)),ROW(Expenses!A$3:A$999)-2),2)),0)+IFERROR(INDEX(Income!C$3:C$502,SMALL(IF((Income!D$3:D$502="GBP")*(Income!A$3:A$502=DATE(2026,3,8)),ROW(Income!A$3:A$502)-2),2)),0)=0,"",IFERROR(-INDEX(Expenses!D$3:D$999,SMALL(IF((Expenses!E$3:E$999="GBP")*(Expenses!A$3:A$999=DATE(2026,3,8)),ROW(Expenses!A$3:A$999)-2),2)),0)+IFERROR(INDEX(Income!C$3:C$502,SMALL(IF((Income!D$3:D$502="GBP")*(Income!A$3:A$502=DATE(2026,3,8)),ROW(Income!A$3:A$502)-2),2)),0))</f>
        <v/>
      </c>
      <c r="P50" s="126">
        <f t="array" ref="P50">IF(IFERROR(INDEX(Expenses!B$3:B$999,SMALL(IF((Expenses!E$3:E$999="GBP")*(Expenses!A$3:A$999=DATE(2026,3,8)),ROW(Expenses!A$3:A$999)-2),2)),"")&lt;&gt;"",IFERROR(INDEX(Expenses!B$3:B$999,SMALL(IF((Expenses!E$3:E$999="GBP")*(Expenses!A$3:A$999=DATE(2026,3,8)),ROW(Expenses!A$3:A$999)-2),2)),""),IF(IFERROR(INDEX(Income!B$3:B$502,SMALL(IF((Income!D$3:D$502="GBP")*(Income!A$3:A$502=DATE(2026,3,8)),ROW(Income!A$3:A$502)-2),2)),"")&lt;&gt;"",IFERROR(INDEX(Income!B$3:B$502,SMALL(IF((Income!D$3:D$502="GBP")*(Income!A$3:A$502=DATE(2026,3,8)),ROW(Income!A$3:A$502)-2),2)),""),""))</f>
        <v/>
      </c>
      <c r="Q50" s="9" t="n"/>
      <c r="R50" s="9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68">
      <c r="A51" s="9" t="n"/>
      <c r="B51" s="9" t="n"/>
      <c r="C51" s="152">
        <f t="array" ref="C51">IF(IFERROR(-INDEX(Expenses!D$3:D$999,SMALL(IF((Expenses!E$3:E$999="GBP")*(Expenses!A$3:A$999=DATE(2026,3,2)),ROW(Expenses!A$3:A$999)-2),3)),0)+IFERROR(INDEX(Income!C$3:C$502,SMALL(IF((Income!D$3:D$502="GBP")*(Income!A$3:A$502=DATE(2026,3,2)),ROW(Income!A$3:A$502)-2),3)),0)=0,"",IFERROR(-INDEX(Expenses!D$3:D$999,SMALL(IF((Expenses!E$3:E$999="GBP")*(Expenses!A$3:A$999=DATE(2026,3,2)),ROW(Expenses!A$3:A$999)-2),3)),0)+IFERROR(INDEX(Income!C$3:C$502,SMALL(IF((Income!D$3:D$502="GBP")*(Income!A$3:A$502=DATE(2026,3,2)),ROW(Income!A$3:A$502)-2),3)),0))</f>
        <v/>
      </c>
      <c r="D51" s="126">
        <f t="array" ref="D51">IF(IFERROR(INDEX(Expenses!B$3:B$999,SMALL(IF((Expenses!E$3:E$999="GBP")*(Expenses!A$3:A$999=DATE(2026,3,2)),ROW(Expenses!A$3:A$999)-2),3)),"")&lt;&gt;"",IFERROR(INDEX(Expenses!B$3:B$999,SMALL(IF((Expenses!E$3:E$999="GBP")*(Expenses!A$3:A$999=DATE(2026,3,2)),ROW(Expenses!A$3:A$999)-2),3)),""),IF(IFERROR(INDEX(Income!B$3:B$502,SMALL(IF((Income!D$3:D$502="GBP")*(Income!A$3:A$502=DATE(2026,3,2)),ROW(Income!A$3:A$502)-2),3)),"")&lt;&gt;"",IFERROR(INDEX(Income!B$3:B$502,SMALL(IF((Income!D$3:D$502="GBP")*(Income!A$3:A$502=DATE(2026,3,2)),ROW(Income!A$3:A$502)-2),3)),""),""))</f>
        <v/>
      </c>
      <c r="E51" s="152">
        <f t="array" ref="E51">IF(IFERROR(-INDEX(Expenses!D$3:D$999,SMALL(IF((Expenses!E$3:E$999="GBP")*(Expenses!A$3:A$999=DATE(2026,3,3)),ROW(Expenses!A$3:A$999)-2),3)),0)+IFERROR(INDEX(Income!C$3:C$502,SMALL(IF((Income!D$3:D$502="GBP")*(Income!A$3:A$502=DATE(2026,3,3)),ROW(Income!A$3:A$502)-2),3)),0)=0,"",IFERROR(-INDEX(Expenses!D$3:D$999,SMALL(IF((Expenses!E$3:E$999="GBP")*(Expenses!A$3:A$999=DATE(2026,3,3)),ROW(Expenses!A$3:A$999)-2),3)),0)+IFERROR(INDEX(Income!C$3:C$502,SMALL(IF((Income!D$3:D$502="GBP")*(Income!A$3:A$502=DATE(2026,3,3)),ROW(Income!A$3:A$502)-2),3)),0))</f>
        <v/>
      </c>
      <c r="F51" s="126">
        <f t="array" ref="F51">IF(IFERROR(INDEX(Expenses!B$3:B$999,SMALL(IF((Expenses!E$3:E$999="GBP")*(Expenses!A$3:A$999=DATE(2026,3,3)),ROW(Expenses!A$3:A$999)-2),3)),"")&lt;&gt;"",IFERROR(INDEX(Expenses!B$3:B$999,SMALL(IF((Expenses!E$3:E$999="GBP")*(Expenses!A$3:A$999=DATE(2026,3,3)),ROW(Expenses!A$3:A$999)-2),3)),""),IF(IFERROR(INDEX(Income!B$3:B$502,SMALL(IF((Income!D$3:D$502="GBP")*(Income!A$3:A$502=DATE(2026,3,3)),ROW(Income!A$3:A$502)-2),3)),"")&lt;&gt;"",IFERROR(INDEX(Income!B$3:B$502,SMALL(IF((Income!D$3:D$502="GBP")*(Income!A$3:A$502=DATE(2026,3,3)),ROW(Income!A$3:A$502)-2),3)),""),""))</f>
        <v/>
      </c>
      <c r="G51" s="152">
        <f t="array" ref="G51">IF(IFERROR(-INDEX(Expenses!D$3:D$999,SMALL(IF((Expenses!E$3:E$999="GBP")*(Expenses!A$3:A$999=DATE(2026,3,4)),ROW(Expenses!A$3:A$999)-2),3)),0)+IFERROR(INDEX(Income!C$3:C$502,SMALL(IF((Income!D$3:D$502="GBP")*(Income!A$3:A$502=DATE(2026,3,4)),ROW(Income!A$3:A$502)-2),3)),0)=0,"",IFERROR(-INDEX(Expenses!D$3:D$999,SMALL(IF((Expenses!E$3:E$999="GBP")*(Expenses!A$3:A$999=DATE(2026,3,4)),ROW(Expenses!A$3:A$999)-2),3)),0)+IFERROR(INDEX(Income!C$3:C$502,SMALL(IF((Income!D$3:D$502="GBP")*(Income!A$3:A$502=DATE(2026,3,4)),ROW(Income!A$3:A$502)-2),3)),0))</f>
        <v/>
      </c>
      <c r="H51" s="126">
        <f t="array" ref="H51">IF(IFERROR(INDEX(Expenses!B$3:B$999,SMALL(IF((Expenses!E$3:E$999="GBP")*(Expenses!A$3:A$999=DATE(2026,3,4)),ROW(Expenses!A$3:A$999)-2),3)),"")&lt;&gt;"",IFERROR(INDEX(Expenses!B$3:B$999,SMALL(IF((Expenses!E$3:E$999="GBP")*(Expenses!A$3:A$999=DATE(2026,3,4)),ROW(Expenses!A$3:A$999)-2),3)),""),IF(IFERROR(INDEX(Income!B$3:B$502,SMALL(IF((Income!D$3:D$502="GBP")*(Income!A$3:A$502=DATE(2026,3,4)),ROW(Income!A$3:A$502)-2),3)),"")&lt;&gt;"",IFERROR(INDEX(Income!B$3:B$502,SMALL(IF((Income!D$3:D$502="GBP")*(Income!A$3:A$502=DATE(2026,3,4)),ROW(Income!A$3:A$502)-2),3)),""),""))</f>
        <v/>
      </c>
      <c r="I51" s="152">
        <f t="array" ref="I51">IF(IFERROR(-INDEX(Expenses!D$3:D$999,SMALL(IF((Expenses!E$3:E$999="GBP")*(Expenses!A$3:A$999=DATE(2026,3,5)),ROW(Expenses!A$3:A$999)-2),3)),0)+IFERROR(INDEX(Income!C$3:C$502,SMALL(IF((Income!D$3:D$502="GBP")*(Income!A$3:A$502=DATE(2026,3,5)),ROW(Income!A$3:A$502)-2),3)),0)=0,"",IFERROR(-INDEX(Expenses!D$3:D$999,SMALL(IF((Expenses!E$3:E$999="GBP")*(Expenses!A$3:A$999=DATE(2026,3,5)),ROW(Expenses!A$3:A$999)-2),3)),0)+IFERROR(INDEX(Income!C$3:C$502,SMALL(IF((Income!D$3:D$502="GBP")*(Income!A$3:A$502=DATE(2026,3,5)),ROW(Income!A$3:A$502)-2),3)),0))</f>
        <v/>
      </c>
      <c r="J51" s="126">
        <f t="array" ref="J51">IF(IFERROR(INDEX(Expenses!B$3:B$999,SMALL(IF((Expenses!E$3:E$999="GBP")*(Expenses!A$3:A$999=DATE(2026,3,5)),ROW(Expenses!A$3:A$999)-2),3)),"")&lt;&gt;"",IFERROR(INDEX(Expenses!B$3:B$999,SMALL(IF((Expenses!E$3:E$999="GBP")*(Expenses!A$3:A$999=DATE(2026,3,5)),ROW(Expenses!A$3:A$999)-2),3)),""),IF(IFERROR(INDEX(Income!B$3:B$502,SMALL(IF((Income!D$3:D$502="GBP")*(Income!A$3:A$502=DATE(2026,3,5)),ROW(Income!A$3:A$502)-2),3)),"")&lt;&gt;"",IFERROR(INDEX(Income!B$3:B$502,SMALL(IF((Income!D$3:D$502="GBP")*(Income!A$3:A$502=DATE(2026,3,5)),ROW(Income!A$3:A$502)-2),3)),""),""))</f>
        <v/>
      </c>
      <c r="K51" s="152">
        <f t="array" ref="K51">IF(IFERROR(-INDEX(Expenses!D$3:D$999,SMALL(IF((Expenses!E$3:E$999="GBP")*(Expenses!A$3:A$999=DATE(2026,3,6)),ROW(Expenses!A$3:A$999)-2),3)),0)+IFERROR(INDEX(Income!C$3:C$502,SMALL(IF((Income!D$3:D$502="GBP")*(Income!A$3:A$502=DATE(2026,3,6)),ROW(Income!A$3:A$502)-2),3)),0)=0,"",IFERROR(-INDEX(Expenses!D$3:D$999,SMALL(IF((Expenses!E$3:E$999="GBP")*(Expenses!A$3:A$999=DATE(2026,3,6)),ROW(Expenses!A$3:A$999)-2),3)),0)+IFERROR(INDEX(Income!C$3:C$502,SMALL(IF((Income!D$3:D$502="GBP")*(Income!A$3:A$502=DATE(2026,3,6)),ROW(Income!A$3:A$502)-2),3)),0))</f>
        <v/>
      </c>
      <c r="L51" s="126">
        <f t="array" ref="L51">IF(IFERROR(INDEX(Expenses!B$3:B$999,SMALL(IF((Expenses!E$3:E$999="GBP")*(Expenses!A$3:A$999=DATE(2026,3,6)),ROW(Expenses!A$3:A$999)-2),3)),"")&lt;&gt;"",IFERROR(INDEX(Expenses!B$3:B$999,SMALL(IF((Expenses!E$3:E$999="GBP")*(Expenses!A$3:A$999=DATE(2026,3,6)),ROW(Expenses!A$3:A$999)-2),3)),""),IF(IFERROR(INDEX(Income!B$3:B$502,SMALL(IF((Income!D$3:D$502="GBP")*(Income!A$3:A$502=DATE(2026,3,6)),ROW(Income!A$3:A$502)-2),3)),"")&lt;&gt;"",IFERROR(INDEX(Income!B$3:B$502,SMALL(IF((Income!D$3:D$502="GBP")*(Income!A$3:A$502=DATE(2026,3,6)),ROW(Income!A$3:A$502)-2),3)),""),""))</f>
        <v/>
      </c>
      <c r="M51" s="152">
        <f t="array" ref="M51">IF(IFERROR(-INDEX(Expenses!D$3:D$999,SMALL(IF((Expenses!E$3:E$999="GBP")*(Expenses!A$3:A$999=DATE(2026,3,7)),ROW(Expenses!A$3:A$999)-2),3)),0)+IFERROR(INDEX(Income!C$3:C$502,SMALL(IF((Income!D$3:D$502="GBP")*(Income!A$3:A$502=DATE(2026,3,7)),ROW(Income!A$3:A$502)-2),3)),0)=0,"",IFERROR(-INDEX(Expenses!D$3:D$999,SMALL(IF((Expenses!E$3:E$999="GBP")*(Expenses!A$3:A$999=DATE(2026,3,7)),ROW(Expenses!A$3:A$999)-2),3)),0)+IFERROR(INDEX(Income!C$3:C$502,SMALL(IF((Income!D$3:D$502="GBP")*(Income!A$3:A$502=DATE(2026,3,7)),ROW(Income!A$3:A$502)-2),3)),0))</f>
        <v/>
      </c>
      <c r="N51" s="126">
        <f t="array" ref="N51">IF(IFERROR(INDEX(Expenses!B$3:B$999,SMALL(IF((Expenses!E$3:E$999="GBP")*(Expenses!A$3:A$999=DATE(2026,3,7)),ROW(Expenses!A$3:A$999)-2),3)),"")&lt;&gt;"",IFERROR(INDEX(Expenses!B$3:B$999,SMALL(IF((Expenses!E$3:E$999="GBP")*(Expenses!A$3:A$999=DATE(2026,3,7)),ROW(Expenses!A$3:A$999)-2),3)),""),IF(IFERROR(INDEX(Income!B$3:B$502,SMALL(IF((Income!D$3:D$502="GBP")*(Income!A$3:A$502=DATE(2026,3,7)),ROW(Income!A$3:A$502)-2),3)),"")&lt;&gt;"",IFERROR(INDEX(Income!B$3:B$502,SMALL(IF((Income!D$3:D$502="GBP")*(Income!A$3:A$502=DATE(2026,3,7)),ROW(Income!A$3:A$502)-2),3)),""),""))</f>
        <v/>
      </c>
      <c r="O51" s="152">
        <f t="array" ref="O51">IF(IFERROR(-INDEX(Expenses!D$3:D$999,SMALL(IF((Expenses!E$3:E$999="GBP")*(Expenses!A$3:A$999=DATE(2026,3,8)),ROW(Expenses!A$3:A$999)-2),3)),0)+IFERROR(INDEX(Income!C$3:C$502,SMALL(IF((Income!D$3:D$502="GBP")*(Income!A$3:A$502=DATE(2026,3,8)),ROW(Income!A$3:A$502)-2),3)),0)=0,"",IFERROR(-INDEX(Expenses!D$3:D$999,SMALL(IF((Expenses!E$3:E$999="GBP")*(Expenses!A$3:A$999=DATE(2026,3,8)),ROW(Expenses!A$3:A$999)-2),3)),0)+IFERROR(INDEX(Income!C$3:C$502,SMALL(IF((Income!D$3:D$502="GBP")*(Income!A$3:A$502=DATE(2026,3,8)),ROW(Income!A$3:A$502)-2),3)),0))</f>
        <v/>
      </c>
      <c r="P51" s="126">
        <f t="array" ref="P51">IF(IFERROR(INDEX(Expenses!B$3:B$999,SMALL(IF((Expenses!E$3:E$999="GBP")*(Expenses!A$3:A$999=DATE(2026,3,8)),ROW(Expenses!A$3:A$999)-2),3)),"")&lt;&gt;"",IFERROR(INDEX(Expenses!B$3:B$999,SMALL(IF((Expenses!E$3:E$999="GBP")*(Expenses!A$3:A$999=DATE(2026,3,8)),ROW(Expenses!A$3:A$999)-2),3)),""),IF(IFERROR(INDEX(Income!B$3:B$502,SMALL(IF((Income!D$3:D$502="GBP")*(Income!A$3:A$502=DATE(2026,3,8)),ROW(Income!A$3:A$502)-2),3)),"")&lt;&gt;"",IFERROR(INDEX(Income!B$3:B$502,SMALL(IF((Income!D$3:D$502="GBP")*(Income!A$3:A$502=DATE(2026,3,8)),ROW(Income!A$3:A$502)-2),3)),""),""))</f>
        <v/>
      </c>
      <c r="Q51" s="9" t="n"/>
      <c r="R51" s="9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68">
      <c r="A52" s="9" t="n"/>
      <c r="B52" s="9" t="n"/>
      <c r="C52" s="152">
        <f t="array" ref="C52">IF(IFERROR(-INDEX(Expenses!D$3:D$999,SMALL(IF((Expenses!E$3:E$999="GBP")*(Expenses!A$3:A$999=DATE(2026,3,2)),ROW(Expenses!A$3:A$999)-2),4)),0)+IFERROR(INDEX(Income!C$3:C$502,SMALL(IF((Income!D$3:D$502="GBP")*(Income!A$3:A$502=DATE(2026,3,2)),ROW(Income!A$3:A$502)-2),4)),0)=0,"",IFERROR(-INDEX(Expenses!D$3:D$999,SMALL(IF((Expenses!E$3:E$999="GBP")*(Expenses!A$3:A$999=DATE(2026,3,2)),ROW(Expenses!A$3:A$999)-2),4)),0)+IFERROR(INDEX(Income!C$3:C$502,SMALL(IF((Income!D$3:D$502="GBP")*(Income!A$3:A$502=DATE(2026,3,2)),ROW(Income!A$3:A$502)-2),4)),0))</f>
        <v/>
      </c>
      <c r="D52" s="126">
        <f t="array" ref="D52">IF(IFERROR(INDEX(Expenses!B$3:B$999,SMALL(IF((Expenses!E$3:E$999="GBP")*(Expenses!A$3:A$999=DATE(2026,3,2)),ROW(Expenses!A$3:A$999)-2),4)),"")&lt;&gt;"",IFERROR(INDEX(Expenses!B$3:B$999,SMALL(IF((Expenses!E$3:E$999="GBP")*(Expenses!A$3:A$999=DATE(2026,3,2)),ROW(Expenses!A$3:A$999)-2),4)),""),IF(IFERROR(INDEX(Income!B$3:B$502,SMALL(IF((Income!D$3:D$502="GBP")*(Income!A$3:A$502=DATE(2026,3,2)),ROW(Income!A$3:A$502)-2),4)),"")&lt;&gt;"",IFERROR(INDEX(Income!B$3:B$502,SMALL(IF((Income!D$3:D$502="GBP")*(Income!A$3:A$502=DATE(2026,3,2)),ROW(Income!A$3:A$502)-2),4)),""),""))</f>
        <v/>
      </c>
      <c r="E52" s="152">
        <f t="array" ref="E52">IF(IFERROR(-INDEX(Expenses!D$3:D$999,SMALL(IF((Expenses!E$3:E$999="GBP")*(Expenses!A$3:A$999=DATE(2026,3,3)),ROW(Expenses!A$3:A$999)-2),4)),0)+IFERROR(INDEX(Income!C$3:C$502,SMALL(IF((Income!D$3:D$502="GBP")*(Income!A$3:A$502=DATE(2026,3,3)),ROW(Income!A$3:A$502)-2),4)),0)=0,"",IFERROR(-INDEX(Expenses!D$3:D$999,SMALL(IF((Expenses!E$3:E$999="GBP")*(Expenses!A$3:A$999=DATE(2026,3,3)),ROW(Expenses!A$3:A$999)-2),4)),0)+IFERROR(INDEX(Income!C$3:C$502,SMALL(IF((Income!D$3:D$502="GBP")*(Income!A$3:A$502=DATE(2026,3,3)),ROW(Income!A$3:A$502)-2),4)),0))</f>
        <v/>
      </c>
      <c r="F52" s="126">
        <f t="array" ref="F52">IF(IFERROR(INDEX(Expenses!B$3:B$999,SMALL(IF((Expenses!E$3:E$999="GBP")*(Expenses!A$3:A$999=DATE(2026,3,3)),ROW(Expenses!A$3:A$999)-2),4)),"")&lt;&gt;"",IFERROR(INDEX(Expenses!B$3:B$999,SMALL(IF((Expenses!E$3:E$999="GBP")*(Expenses!A$3:A$999=DATE(2026,3,3)),ROW(Expenses!A$3:A$999)-2),4)),""),IF(IFERROR(INDEX(Income!B$3:B$502,SMALL(IF((Income!D$3:D$502="GBP")*(Income!A$3:A$502=DATE(2026,3,3)),ROW(Income!A$3:A$502)-2),4)),"")&lt;&gt;"",IFERROR(INDEX(Income!B$3:B$502,SMALL(IF((Income!D$3:D$502="GBP")*(Income!A$3:A$502=DATE(2026,3,3)),ROW(Income!A$3:A$502)-2),4)),""),""))</f>
        <v/>
      </c>
      <c r="G52" s="152">
        <f t="array" ref="G52">IF(IFERROR(-INDEX(Expenses!D$3:D$999,SMALL(IF((Expenses!E$3:E$999="GBP")*(Expenses!A$3:A$999=DATE(2026,3,4)),ROW(Expenses!A$3:A$999)-2),4)),0)+IFERROR(INDEX(Income!C$3:C$502,SMALL(IF((Income!D$3:D$502="GBP")*(Income!A$3:A$502=DATE(2026,3,4)),ROW(Income!A$3:A$502)-2),4)),0)=0,"",IFERROR(-INDEX(Expenses!D$3:D$999,SMALL(IF((Expenses!E$3:E$999="GBP")*(Expenses!A$3:A$999=DATE(2026,3,4)),ROW(Expenses!A$3:A$999)-2),4)),0)+IFERROR(INDEX(Income!C$3:C$502,SMALL(IF((Income!D$3:D$502="GBP")*(Income!A$3:A$502=DATE(2026,3,4)),ROW(Income!A$3:A$502)-2),4)),0))</f>
        <v/>
      </c>
      <c r="H52" s="126">
        <f t="array" ref="H52">IF(IFERROR(INDEX(Expenses!B$3:B$999,SMALL(IF((Expenses!E$3:E$999="GBP")*(Expenses!A$3:A$999=DATE(2026,3,4)),ROW(Expenses!A$3:A$999)-2),4)),"")&lt;&gt;"",IFERROR(INDEX(Expenses!B$3:B$999,SMALL(IF((Expenses!E$3:E$999="GBP")*(Expenses!A$3:A$999=DATE(2026,3,4)),ROW(Expenses!A$3:A$999)-2),4)),""),IF(IFERROR(INDEX(Income!B$3:B$502,SMALL(IF((Income!D$3:D$502="GBP")*(Income!A$3:A$502=DATE(2026,3,4)),ROW(Income!A$3:A$502)-2),4)),"")&lt;&gt;"",IFERROR(INDEX(Income!B$3:B$502,SMALL(IF((Income!D$3:D$502="GBP")*(Income!A$3:A$502=DATE(2026,3,4)),ROW(Income!A$3:A$502)-2),4)),""),""))</f>
        <v/>
      </c>
      <c r="I52" s="152">
        <f t="array" ref="I52">IF(IFERROR(-INDEX(Expenses!D$3:D$999,SMALL(IF((Expenses!E$3:E$999="GBP")*(Expenses!A$3:A$999=DATE(2026,3,5)),ROW(Expenses!A$3:A$999)-2),4)),0)+IFERROR(INDEX(Income!C$3:C$502,SMALL(IF((Income!D$3:D$502="GBP")*(Income!A$3:A$502=DATE(2026,3,5)),ROW(Income!A$3:A$502)-2),4)),0)=0,"",IFERROR(-INDEX(Expenses!D$3:D$999,SMALL(IF((Expenses!E$3:E$999="GBP")*(Expenses!A$3:A$999=DATE(2026,3,5)),ROW(Expenses!A$3:A$999)-2),4)),0)+IFERROR(INDEX(Income!C$3:C$502,SMALL(IF((Income!D$3:D$502="GBP")*(Income!A$3:A$502=DATE(2026,3,5)),ROW(Income!A$3:A$502)-2),4)),0))</f>
        <v/>
      </c>
      <c r="J52" s="126">
        <f t="array" ref="J52">IF(IFERROR(INDEX(Expenses!B$3:B$999,SMALL(IF((Expenses!E$3:E$999="GBP")*(Expenses!A$3:A$999=DATE(2026,3,5)),ROW(Expenses!A$3:A$999)-2),4)),"")&lt;&gt;"",IFERROR(INDEX(Expenses!B$3:B$999,SMALL(IF((Expenses!E$3:E$999="GBP")*(Expenses!A$3:A$999=DATE(2026,3,5)),ROW(Expenses!A$3:A$999)-2),4)),""),IF(IFERROR(INDEX(Income!B$3:B$502,SMALL(IF((Income!D$3:D$502="GBP")*(Income!A$3:A$502=DATE(2026,3,5)),ROW(Income!A$3:A$502)-2),4)),"")&lt;&gt;"",IFERROR(INDEX(Income!B$3:B$502,SMALL(IF((Income!D$3:D$502="GBP")*(Income!A$3:A$502=DATE(2026,3,5)),ROW(Income!A$3:A$502)-2),4)),""),""))</f>
        <v/>
      </c>
      <c r="K52" s="152">
        <f t="array" ref="K52">IF(IFERROR(-INDEX(Expenses!D$3:D$999,SMALL(IF((Expenses!E$3:E$999="GBP")*(Expenses!A$3:A$999=DATE(2026,3,6)),ROW(Expenses!A$3:A$999)-2),4)),0)+IFERROR(INDEX(Income!C$3:C$502,SMALL(IF((Income!D$3:D$502="GBP")*(Income!A$3:A$502=DATE(2026,3,6)),ROW(Income!A$3:A$502)-2),4)),0)=0,"",IFERROR(-INDEX(Expenses!D$3:D$999,SMALL(IF((Expenses!E$3:E$999="GBP")*(Expenses!A$3:A$999=DATE(2026,3,6)),ROW(Expenses!A$3:A$999)-2),4)),0)+IFERROR(INDEX(Income!C$3:C$502,SMALL(IF((Income!D$3:D$502="GBP")*(Income!A$3:A$502=DATE(2026,3,6)),ROW(Income!A$3:A$502)-2),4)),0))</f>
        <v/>
      </c>
      <c r="L52" s="126">
        <f t="array" ref="L52">IF(IFERROR(INDEX(Expenses!B$3:B$999,SMALL(IF((Expenses!E$3:E$999="GBP")*(Expenses!A$3:A$999=DATE(2026,3,6)),ROW(Expenses!A$3:A$999)-2),4)),"")&lt;&gt;"",IFERROR(INDEX(Expenses!B$3:B$999,SMALL(IF((Expenses!E$3:E$999="GBP")*(Expenses!A$3:A$999=DATE(2026,3,6)),ROW(Expenses!A$3:A$999)-2),4)),""),IF(IFERROR(INDEX(Income!B$3:B$502,SMALL(IF((Income!D$3:D$502="GBP")*(Income!A$3:A$502=DATE(2026,3,6)),ROW(Income!A$3:A$502)-2),4)),"")&lt;&gt;"",IFERROR(INDEX(Income!B$3:B$502,SMALL(IF((Income!D$3:D$502="GBP")*(Income!A$3:A$502=DATE(2026,3,6)),ROW(Income!A$3:A$502)-2),4)),""),""))</f>
        <v/>
      </c>
      <c r="M52" s="152">
        <f t="array" ref="M52">IF(IFERROR(-INDEX(Expenses!D$3:D$999,SMALL(IF((Expenses!E$3:E$999="GBP")*(Expenses!A$3:A$999=DATE(2026,3,7)),ROW(Expenses!A$3:A$999)-2),4)),0)+IFERROR(INDEX(Income!C$3:C$502,SMALL(IF((Income!D$3:D$502="GBP")*(Income!A$3:A$502=DATE(2026,3,7)),ROW(Income!A$3:A$502)-2),4)),0)=0,"",IFERROR(-INDEX(Expenses!D$3:D$999,SMALL(IF((Expenses!E$3:E$999="GBP")*(Expenses!A$3:A$999=DATE(2026,3,7)),ROW(Expenses!A$3:A$999)-2),4)),0)+IFERROR(INDEX(Income!C$3:C$502,SMALL(IF((Income!D$3:D$502="GBP")*(Income!A$3:A$502=DATE(2026,3,7)),ROW(Income!A$3:A$502)-2),4)),0))</f>
        <v/>
      </c>
      <c r="N52" s="126">
        <f t="array" ref="N52">IF(IFERROR(INDEX(Expenses!B$3:B$999,SMALL(IF((Expenses!E$3:E$999="GBP")*(Expenses!A$3:A$999=DATE(2026,3,7)),ROW(Expenses!A$3:A$999)-2),4)),"")&lt;&gt;"",IFERROR(INDEX(Expenses!B$3:B$999,SMALL(IF((Expenses!E$3:E$999="GBP")*(Expenses!A$3:A$999=DATE(2026,3,7)),ROW(Expenses!A$3:A$999)-2),4)),""),IF(IFERROR(INDEX(Income!B$3:B$502,SMALL(IF((Income!D$3:D$502="GBP")*(Income!A$3:A$502=DATE(2026,3,7)),ROW(Income!A$3:A$502)-2),4)),"")&lt;&gt;"",IFERROR(INDEX(Income!B$3:B$502,SMALL(IF((Income!D$3:D$502="GBP")*(Income!A$3:A$502=DATE(2026,3,7)),ROW(Income!A$3:A$502)-2),4)),""),""))</f>
        <v/>
      </c>
      <c r="O52" s="152">
        <f t="array" ref="O52">IF(IFERROR(-INDEX(Expenses!D$3:D$999,SMALL(IF((Expenses!E$3:E$999="GBP")*(Expenses!A$3:A$999=DATE(2026,3,8)),ROW(Expenses!A$3:A$999)-2),4)),0)+IFERROR(INDEX(Income!C$3:C$502,SMALL(IF((Income!D$3:D$502="GBP")*(Income!A$3:A$502=DATE(2026,3,8)),ROW(Income!A$3:A$502)-2),4)),0)=0,"",IFERROR(-INDEX(Expenses!D$3:D$999,SMALL(IF((Expenses!E$3:E$999="GBP")*(Expenses!A$3:A$999=DATE(2026,3,8)),ROW(Expenses!A$3:A$999)-2),4)),0)+IFERROR(INDEX(Income!C$3:C$502,SMALL(IF((Income!D$3:D$502="GBP")*(Income!A$3:A$502=DATE(2026,3,8)),ROW(Income!A$3:A$502)-2),4)),0))</f>
        <v/>
      </c>
      <c r="P52" s="126">
        <f t="array" ref="P52">IF(IFERROR(INDEX(Expenses!B$3:B$999,SMALL(IF((Expenses!E$3:E$999="GBP")*(Expenses!A$3:A$999=DATE(2026,3,8)),ROW(Expenses!A$3:A$999)-2),4)),"")&lt;&gt;"",IFERROR(INDEX(Expenses!B$3:B$999,SMALL(IF((Expenses!E$3:E$999="GBP")*(Expenses!A$3:A$999=DATE(2026,3,8)),ROW(Expenses!A$3:A$999)-2),4)),""),IF(IFERROR(INDEX(Income!B$3:B$502,SMALL(IF((Income!D$3:D$502="GBP")*(Income!A$3:A$502=DATE(2026,3,8)),ROW(Income!A$3:A$502)-2),4)),"")&lt;&gt;"",IFERROR(INDEX(Income!B$3:B$502,SMALL(IF((Income!D$3:D$502="GBP")*(Income!A$3:A$502=DATE(2026,3,8)),ROW(Income!A$3:A$502)-2),4)),""),""))</f>
        <v/>
      </c>
      <c r="Q52" s="9" t="n"/>
      <c r="R52" s="9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68">
      <c r="A53" s="9" t="n"/>
      <c r="B53" s="9" t="n"/>
      <c r="C53" s="152">
        <f t="array" ref="C53">IF(IFERROR(-INDEX(Expenses!D$3:D$999,SMALL(IF((Expenses!E$3:E$999="GBP")*(Expenses!A$3:A$999=DATE(2026,3,2)),ROW(Expenses!A$3:A$999)-2),5)),0)+IFERROR(INDEX(Income!C$3:C$502,SMALL(IF((Income!D$3:D$502="GBP")*(Income!A$3:A$502=DATE(2026,3,2)),ROW(Income!A$3:A$502)-2),5)),0)=0,"",IFERROR(-INDEX(Expenses!D$3:D$999,SMALL(IF((Expenses!E$3:E$999="GBP")*(Expenses!A$3:A$999=DATE(2026,3,2)),ROW(Expenses!A$3:A$999)-2),5)),0)+IFERROR(INDEX(Income!C$3:C$502,SMALL(IF((Income!D$3:D$502="GBP")*(Income!A$3:A$502=DATE(2026,3,2)),ROW(Income!A$3:A$502)-2),5)),0))</f>
        <v/>
      </c>
      <c r="D53" s="126">
        <f t="array" ref="D53">IF(IFERROR(INDEX(Expenses!B$3:B$999,SMALL(IF((Expenses!E$3:E$999="GBP")*(Expenses!A$3:A$999=DATE(2026,3,2)),ROW(Expenses!A$3:A$999)-2),5)),"")&lt;&gt;"",IFERROR(INDEX(Expenses!B$3:B$999,SMALL(IF((Expenses!E$3:E$999="GBP")*(Expenses!A$3:A$999=DATE(2026,3,2)),ROW(Expenses!A$3:A$999)-2),5)),""),IF(IFERROR(INDEX(Income!B$3:B$502,SMALL(IF((Income!D$3:D$502="GBP")*(Income!A$3:A$502=DATE(2026,3,2)),ROW(Income!A$3:A$502)-2),5)),"")&lt;&gt;"",IFERROR(INDEX(Income!B$3:B$502,SMALL(IF((Income!D$3:D$502="GBP")*(Income!A$3:A$502=DATE(2026,3,2)),ROW(Income!A$3:A$502)-2),5)),""),""))</f>
        <v/>
      </c>
      <c r="E53" s="152">
        <f t="array" ref="E53">IF(IFERROR(-INDEX(Expenses!D$3:D$999,SMALL(IF((Expenses!E$3:E$999="GBP")*(Expenses!A$3:A$999=DATE(2026,3,3)),ROW(Expenses!A$3:A$999)-2),5)),0)+IFERROR(INDEX(Income!C$3:C$502,SMALL(IF((Income!D$3:D$502="GBP")*(Income!A$3:A$502=DATE(2026,3,3)),ROW(Income!A$3:A$502)-2),5)),0)=0,"",IFERROR(-INDEX(Expenses!D$3:D$999,SMALL(IF((Expenses!E$3:E$999="GBP")*(Expenses!A$3:A$999=DATE(2026,3,3)),ROW(Expenses!A$3:A$999)-2),5)),0)+IFERROR(INDEX(Income!C$3:C$502,SMALL(IF((Income!D$3:D$502="GBP")*(Income!A$3:A$502=DATE(2026,3,3)),ROW(Income!A$3:A$502)-2),5)),0))</f>
        <v/>
      </c>
      <c r="F53" s="126">
        <f t="array" ref="F53">IF(IFERROR(INDEX(Expenses!B$3:B$999,SMALL(IF((Expenses!E$3:E$999="GBP")*(Expenses!A$3:A$999=DATE(2026,3,3)),ROW(Expenses!A$3:A$999)-2),5)),"")&lt;&gt;"",IFERROR(INDEX(Expenses!B$3:B$999,SMALL(IF((Expenses!E$3:E$999="GBP")*(Expenses!A$3:A$999=DATE(2026,3,3)),ROW(Expenses!A$3:A$999)-2),5)),""),IF(IFERROR(INDEX(Income!B$3:B$502,SMALL(IF((Income!D$3:D$502="GBP")*(Income!A$3:A$502=DATE(2026,3,3)),ROW(Income!A$3:A$502)-2),5)),"")&lt;&gt;"",IFERROR(INDEX(Income!B$3:B$502,SMALL(IF((Income!D$3:D$502="GBP")*(Income!A$3:A$502=DATE(2026,3,3)),ROW(Income!A$3:A$502)-2),5)),""),""))</f>
        <v/>
      </c>
      <c r="G53" s="152">
        <f t="array" ref="G53">IF(IFERROR(-INDEX(Expenses!D$3:D$999,SMALL(IF((Expenses!E$3:E$999="GBP")*(Expenses!A$3:A$999=DATE(2026,3,4)),ROW(Expenses!A$3:A$999)-2),5)),0)+IFERROR(INDEX(Income!C$3:C$502,SMALL(IF((Income!D$3:D$502="GBP")*(Income!A$3:A$502=DATE(2026,3,4)),ROW(Income!A$3:A$502)-2),5)),0)=0,"",IFERROR(-INDEX(Expenses!D$3:D$999,SMALL(IF((Expenses!E$3:E$999="GBP")*(Expenses!A$3:A$999=DATE(2026,3,4)),ROW(Expenses!A$3:A$999)-2),5)),0)+IFERROR(INDEX(Income!C$3:C$502,SMALL(IF((Income!D$3:D$502="GBP")*(Income!A$3:A$502=DATE(2026,3,4)),ROW(Income!A$3:A$502)-2),5)),0))</f>
        <v/>
      </c>
      <c r="H53" s="126">
        <f t="array" ref="H53">IF(IFERROR(INDEX(Expenses!B$3:B$999,SMALL(IF((Expenses!E$3:E$999="GBP")*(Expenses!A$3:A$999=DATE(2026,3,4)),ROW(Expenses!A$3:A$999)-2),5)),"")&lt;&gt;"",IFERROR(INDEX(Expenses!B$3:B$999,SMALL(IF((Expenses!E$3:E$999="GBP")*(Expenses!A$3:A$999=DATE(2026,3,4)),ROW(Expenses!A$3:A$999)-2),5)),""),IF(IFERROR(INDEX(Income!B$3:B$502,SMALL(IF((Income!D$3:D$502="GBP")*(Income!A$3:A$502=DATE(2026,3,4)),ROW(Income!A$3:A$502)-2),5)),"")&lt;&gt;"",IFERROR(INDEX(Income!B$3:B$502,SMALL(IF((Income!D$3:D$502="GBP")*(Income!A$3:A$502=DATE(2026,3,4)),ROW(Income!A$3:A$502)-2),5)),""),""))</f>
        <v/>
      </c>
      <c r="I53" s="152">
        <f t="array" ref="I53">IF(IFERROR(-INDEX(Expenses!D$3:D$999,SMALL(IF((Expenses!E$3:E$999="GBP")*(Expenses!A$3:A$999=DATE(2026,3,5)),ROW(Expenses!A$3:A$999)-2),5)),0)+IFERROR(INDEX(Income!C$3:C$502,SMALL(IF((Income!D$3:D$502="GBP")*(Income!A$3:A$502=DATE(2026,3,5)),ROW(Income!A$3:A$502)-2),5)),0)=0,"",IFERROR(-INDEX(Expenses!D$3:D$999,SMALL(IF((Expenses!E$3:E$999="GBP")*(Expenses!A$3:A$999=DATE(2026,3,5)),ROW(Expenses!A$3:A$999)-2),5)),0)+IFERROR(INDEX(Income!C$3:C$502,SMALL(IF((Income!D$3:D$502="GBP")*(Income!A$3:A$502=DATE(2026,3,5)),ROW(Income!A$3:A$502)-2),5)),0))</f>
        <v/>
      </c>
      <c r="J53" s="126">
        <f t="array" ref="J53">IF(IFERROR(INDEX(Expenses!B$3:B$999,SMALL(IF((Expenses!E$3:E$999="GBP")*(Expenses!A$3:A$999=DATE(2026,3,5)),ROW(Expenses!A$3:A$999)-2),5)),"")&lt;&gt;"",IFERROR(INDEX(Expenses!B$3:B$999,SMALL(IF((Expenses!E$3:E$999="GBP")*(Expenses!A$3:A$999=DATE(2026,3,5)),ROW(Expenses!A$3:A$999)-2),5)),""),IF(IFERROR(INDEX(Income!B$3:B$502,SMALL(IF((Income!D$3:D$502="GBP")*(Income!A$3:A$502=DATE(2026,3,5)),ROW(Income!A$3:A$502)-2),5)),"")&lt;&gt;"",IFERROR(INDEX(Income!B$3:B$502,SMALL(IF((Income!D$3:D$502="GBP")*(Income!A$3:A$502=DATE(2026,3,5)),ROW(Income!A$3:A$502)-2),5)),""),""))</f>
        <v/>
      </c>
      <c r="K53" s="152">
        <f t="array" ref="K53">IF(IFERROR(-INDEX(Expenses!D$3:D$999,SMALL(IF((Expenses!E$3:E$999="GBP")*(Expenses!A$3:A$999=DATE(2026,3,6)),ROW(Expenses!A$3:A$999)-2),5)),0)+IFERROR(INDEX(Income!C$3:C$502,SMALL(IF((Income!D$3:D$502="GBP")*(Income!A$3:A$502=DATE(2026,3,6)),ROW(Income!A$3:A$502)-2),5)),0)=0,"",IFERROR(-INDEX(Expenses!D$3:D$999,SMALL(IF((Expenses!E$3:E$999="GBP")*(Expenses!A$3:A$999=DATE(2026,3,6)),ROW(Expenses!A$3:A$999)-2),5)),0)+IFERROR(INDEX(Income!C$3:C$502,SMALL(IF((Income!D$3:D$502="GBP")*(Income!A$3:A$502=DATE(2026,3,6)),ROW(Income!A$3:A$502)-2),5)),0))</f>
        <v/>
      </c>
      <c r="L53" s="126">
        <f t="array" ref="L53">IF(IFERROR(INDEX(Expenses!B$3:B$999,SMALL(IF((Expenses!E$3:E$999="GBP")*(Expenses!A$3:A$999=DATE(2026,3,6)),ROW(Expenses!A$3:A$999)-2),5)),"")&lt;&gt;"",IFERROR(INDEX(Expenses!B$3:B$999,SMALL(IF((Expenses!E$3:E$999="GBP")*(Expenses!A$3:A$999=DATE(2026,3,6)),ROW(Expenses!A$3:A$999)-2),5)),""),IF(IFERROR(INDEX(Income!B$3:B$502,SMALL(IF((Income!D$3:D$502="GBP")*(Income!A$3:A$502=DATE(2026,3,6)),ROW(Income!A$3:A$502)-2),5)),"")&lt;&gt;"",IFERROR(INDEX(Income!B$3:B$502,SMALL(IF((Income!D$3:D$502="GBP")*(Income!A$3:A$502=DATE(2026,3,6)),ROW(Income!A$3:A$502)-2),5)),""),""))</f>
        <v/>
      </c>
      <c r="M53" s="152">
        <f t="array" ref="M53">IF(IFERROR(-INDEX(Expenses!D$3:D$999,SMALL(IF((Expenses!E$3:E$999="GBP")*(Expenses!A$3:A$999=DATE(2026,3,7)),ROW(Expenses!A$3:A$999)-2),5)),0)+IFERROR(INDEX(Income!C$3:C$502,SMALL(IF((Income!D$3:D$502="GBP")*(Income!A$3:A$502=DATE(2026,3,7)),ROW(Income!A$3:A$502)-2),5)),0)=0,"",IFERROR(-INDEX(Expenses!D$3:D$999,SMALL(IF((Expenses!E$3:E$999="GBP")*(Expenses!A$3:A$999=DATE(2026,3,7)),ROW(Expenses!A$3:A$999)-2),5)),0)+IFERROR(INDEX(Income!C$3:C$502,SMALL(IF((Income!D$3:D$502="GBP")*(Income!A$3:A$502=DATE(2026,3,7)),ROW(Income!A$3:A$502)-2),5)),0))</f>
        <v/>
      </c>
      <c r="N53" s="126">
        <f t="array" ref="N53">IF(IFERROR(INDEX(Expenses!B$3:B$999,SMALL(IF((Expenses!E$3:E$999="GBP")*(Expenses!A$3:A$999=DATE(2026,3,7)),ROW(Expenses!A$3:A$999)-2),5)),"")&lt;&gt;"",IFERROR(INDEX(Expenses!B$3:B$999,SMALL(IF((Expenses!E$3:E$999="GBP")*(Expenses!A$3:A$999=DATE(2026,3,7)),ROW(Expenses!A$3:A$999)-2),5)),""),IF(IFERROR(INDEX(Income!B$3:B$502,SMALL(IF((Income!D$3:D$502="GBP")*(Income!A$3:A$502=DATE(2026,3,7)),ROW(Income!A$3:A$502)-2),5)),"")&lt;&gt;"",IFERROR(INDEX(Income!B$3:B$502,SMALL(IF((Income!D$3:D$502="GBP")*(Income!A$3:A$502=DATE(2026,3,7)),ROW(Income!A$3:A$502)-2),5)),""),""))</f>
        <v/>
      </c>
      <c r="O53" s="152">
        <f t="array" ref="O53">IF(IFERROR(-INDEX(Expenses!D$3:D$999,SMALL(IF((Expenses!E$3:E$999="GBP")*(Expenses!A$3:A$999=DATE(2026,3,8)),ROW(Expenses!A$3:A$999)-2),5)),0)+IFERROR(INDEX(Income!C$3:C$502,SMALL(IF((Income!D$3:D$502="GBP")*(Income!A$3:A$502=DATE(2026,3,8)),ROW(Income!A$3:A$502)-2),5)),0)=0,"",IFERROR(-INDEX(Expenses!D$3:D$999,SMALL(IF((Expenses!E$3:E$999="GBP")*(Expenses!A$3:A$999=DATE(2026,3,8)),ROW(Expenses!A$3:A$999)-2),5)),0)+IFERROR(INDEX(Income!C$3:C$502,SMALL(IF((Income!D$3:D$502="GBP")*(Income!A$3:A$502=DATE(2026,3,8)),ROW(Income!A$3:A$502)-2),5)),0))</f>
        <v/>
      </c>
      <c r="P53" s="126">
        <f t="array" ref="P53">IF(IFERROR(INDEX(Expenses!B$3:B$999,SMALL(IF((Expenses!E$3:E$999="GBP")*(Expenses!A$3:A$999=DATE(2026,3,8)),ROW(Expenses!A$3:A$999)-2),5)),"")&lt;&gt;"",IFERROR(INDEX(Expenses!B$3:B$999,SMALL(IF((Expenses!E$3:E$999="GBP")*(Expenses!A$3:A$999=DATE(2026,3,8)),ROW(Expenses!A$3:A$999)-2),5)),""),IF(IFERROR(INDEX(Income!B$3:B$502,SMALL(IF((Income!D$3:D$502="GBP")*(Income!A$3:A$502=DATE(2026,3,8)),ROW(Income!A$3:A$502)-2),5)),"")&lt;&gt;"",IFERROR(INDEX(Income!B$3:B$502,SMALL(IF((Income!D$3:D$502="GBP")*(Income!A$3:A$502=DATE(2026,3,8)),ROW(Income!A$3:A$502)-2),5)),""),""))</f>
        <v/>
      </c>
      <c r="Q53" s="9" t="n"/>
      <c r="R53" s="9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68">
      <c r="A54" s="151" t="n">
        <v>46090</v>
      </c>
      <c r="B54" s="103" t="n">
        <v>11</v>
      </c>
      <c r="C54" s="152">
        <f t="array" ref="C54">IF(IFERROR(-INDEX(Expenses!D$3:D$999,SMALL(IF((Expenses!E$3:E$999="GBP")*(Expenses!A$3:A$999=DATE(2026,3,9)),ROW(Expenses!A$3:A$999)-2),1)),0)+IFERROR(INDEX(Income!C$3:C$502,SMALL(IF((Income!D$3:D$502="GBP")*(Income!A$3:A$502=DATE(2026,3,9)),ROW(Income!A$3:A$502)-2),1)),0)=0,"",IFERROR(-INDEX(Expenses!D$3:D$999,SMALL(IF((Expenses!E$3:E$999="GBP")*(Expenses!A$3:A$999=DATE(2026,3,9)),ROW(Expenses!A$3:A$999)-2),1)),0)+IFERROR(INDEX(Income!C$3:C$502,SMALL(IF((Income!D$3:D$502="GBP")*(Income!A$3:A$502=DATE(2026,3,9)),ROW(Income!A$3:A$502)-2),1)),0))</f>
        <v/>
      </c>
      <c r="D54" s="126">
        <f t="array" ref="D54">IF(IFERROR(INDEX(Expenses!B$3:B$999,SMALL(IF((Expenses!E$3:E$999="GBP")*(Expenses!A$3:A$999=DATE(2026,3,9)),ROW(Expenses!A$3:A$999)-2),1)),"")&lt;&gt;"",IFERROR(INDEX(Expenses!B$3:B$999,SMALL(IF((Expenses!E$3:E$999="GBP")*(Expenses!A$3:A$999=DATE(2026,3,9)),ROW(Expenses!A$3:A$999)-2),1)),""),IF(IFERROR(INDEX(Income!B$3:B$502,SMALL(IF((Income!D$3:D$502="GBP")*(Income!A$3:A$502=DATE(2026,3,9)),ROW(Income!A$3:A$502)-2),1)),"")&lt;&gt;"",IFERROR(INDEX(Income!B$3:B$502,SMALL(IF((Income!D$3:D$502="GBP")*(Income!A$3:A$502=DATE(2026,3,9)),ROW(Income!A$3:A$502)-2),1)),""),""))</f>
        <v/>
      </c>
      <c r="E54" s="152">
        <f t="array" ref="E54">IF(IFERROR(-INDEX(Expenses!D$3:D$999,SMALL(IF((Expenses!E$3:E$999="GBP")*(Expenses!A$3:A$999=DATE(2026,3,10)),ROW(Expenses!A$3:A$999)-2),1)),0)+IFERROR(INDEX(Income!C$3:C$502,SMALL(IF((Income!D$3:D$502="GBP")*(Income!A$3:A$502=DATE(2026,3,10)),ROW(Income!A$3:A$502)-2),1)),0)=0,"",IFERROR(-INDEX(Expenses!D$3:D$999,SMALL(IF((Expenses!E$3:E$999="GBP")*(Expenses!A$3:A$999=DATE(2026,3,10)),ROW(Expenses!A$3:A$999)-2),1)),0)+IFERROR(INDEX(Income!C$3:C$502,SMALL(IF((Income!D$3:D$502="GBP")*(Income!A$3:A$502=DATE(2026,3,10)),ROW(Income!A$3:A$502)-2),1)),0))</f>
        <v/>
      </c>
      <c r="F54" s="126">
        <f t="array" ref="F54">IF(IFERROR(INDEX(Expenses!B$3:B$999,SMALL(IF((Expenses!E$3:E$999="GBP")*(Expenses!A$3:A$999=DATE(2026,3,10)),ROW(Expenses!A$3:A$999)-2),1)),"")&lt;&gt;"",IFERROR(INDEX(Expenses!B$3:B$999,SMALL(IF((Expenses!E$3:E$999="GBP")*(Expenses!A$3:A$999=DATE(2026,3,10)),ROW(Expenses!A$3:A$999)-2),1)),""),IF(IFERROR(INDEX(Income!B$3:B$502,SMALL(IF((Income!D$3:D$502="GBP")*(Income!A$3:A$502=DATE(2026,3,10)),ROW(Income!A$3:A$502)-2),1)),"")&lt;&gt;"",IFERROR(INDEX(Income!B$3:B$502,SMALL(IF((Income!D$3:D$502="GBP")*(Income!A$3:A$502=DATE(2026,3,10)),ROW(Income!A$3:A$502)-2),1)),""),""))</f>
        <v/>
      </c>
      <c r="G54" s="152">
        <f t="array" ref="G54">IF(IFERROR(-INDEX(Expenses!D$3:D$999,SMALL(IF((Expenses!E$3:E$999="GBP")*(Expenses!A$3:A$999=DATE(2026,3,11)),ROW(Expenses!A$3:A$999)-2),1)),0)+IFERROR(INDEX(Income!C$3:C$502,SMALL(IF((Income!D$3:D$502="GBP")*(Income!A$3:A$502=DATE(2026,3,11)),ROW(Income!A$3:A$502)-2),1)),0)=0,"",IFERROR(-INDEX(Expenses!D$3:D$999,SMALL(IF((Expenses!E$3:E$999="GBP")*(Expenses!A$3:A$999=DATE(2026,3,11)),ROW(Expenses!A$3:A$999)-2),1)),0)+IFERROR(INDEX(Income!C$3:C$502,SMALL(IF((Income!D$3:D$502="GBP")*(Income!A$3:A$502=DATE(2026,3,11)),ROW(Income!A$3:A$502)-2),1)),0))</f>
        <v/>
      </c>
      <c r="H54" s="126">
        <f t="array" ref="H54">IF(IFERROR(INDEX(Expenses!B$3:B$999,SMALL(IF((Expenses!E$3:E$999="GBP")*(Expenses!A$3:A$999=DATE(2026,3,11)),ROW(Expenses!A$3:A$999)-2),1)),"")&lt;&gt;"",IFERROR(INDEX(Expenses!B$3:B$999,SMALL(IF((Expenses!E$3:E$999="GBP")*(Expenses!A$3:A$999=DATE(2026,3,11)),ROW(Expenses!A$3:A$999)-2),1)),""),IF(IFERROR(INDEX(Income!B$3:B$502,SMALL(IF((Income!D$3:D$502="GBP")*(Income!A$3:A$502=DATE(2026,3,11)),ROW(Income!A$3:A$502)-2),1)),"")&lt;&gt;"",IFERROR(INDEX(Income!B$3:B$502,SMALL(IF((Income!D$3:D$502="GBP")*(Income!A$3:A$502=DATE(2026,3,11)),ROW(Income!A$3:A$502)-2),1)),""),""))</f>
        <v/>
      </c>
      <c r="I54" s="152">
        <f t="array" ref="I54">IF(IFERROR(-INDEX(Expenses!D$3:D$999,SMALL(IF((Expenses!E$3:E$999="GBP")*(Expenses!A$3:A$999=DATE(2026,3,12)),ROW(Expenses!A$3:A$999)-2),1)),0)+IFERROR(INDEX(Income!C$3:C$502,SMALL(IF((Income!D$3:D$502="GBP")*(Income!A$3:A$502=DATE(2026,3,12)),ROW(Income!A$3:A$502)-2),1)),0)=0,"",IFERROR(-INDEX(Expenses!D$3:D$999,SMALL(IF((Expenses!E$3:E$999="GBP")*(Expenses!A$3:A$999=DATE(2026,3,12)),ROW(Expenses!A$3:A$999)-2),1)),0)+IFERROR(INDEX(Income!C$3:C$502,SMALL(IF((Income!D$3:D$502="GBP")*(Income!A$3:A$502=DATE(2026,3,12)),ROW(Income!A$3:A$502)-2),1)),0))</f>
        <v/>
      </c>
      <c r="J54" s="126">
        <f t="array" ref="J54">IF(IFERROR(INDEX(Expenses!B$3:B$999,SMALL(IF((Expenses!E$3:E$999="GBP")*(Expenses!A$3:A$999=DATE(2026,3,12)),ROW(Expenses!A$3:A$999)-2),1)),"")&lt;&gt;"",IFERROR(INDEX(Expenses!B$3:B$999,SMALL(IF((Expenses!E$3:E$999="GBP")*(Expenses!A$3:A$999=DATE(2026,3,12)),ROW(Expenses!A$3:A$999)-2),1)),""),IF(IFERROR(INDEX(Income!B$3:B$502,SMALL(IF((Income!D$3:D$502="GBP")*(Income!A$3:A$502=DATE(2026,3,12)),ROW(Income!A$3:A$502)-2),1)),"")&lt;&gt;"",IFERROR(INDEX(Income!B$3:B$502,SMALL(IF((Income!D$3:D$502="GBP")*(Income!A$3:A$502=DATE(2026,3,12)),ROW(Income!A$3:A$502)-2),1)),""),""))</f>
        <v/>
      </c>
      <c r="K54" s="152">
        <f t="array" ref="K54">IF(IFERROR(-INDEX(Expenses!D$3:D$999,SMALL(IF((Expenses!E$3:E$999="GBP")*(Expenses!A$3:A$999=DATE(2026,3,13)),ROW(Expenses!A$3:A$999)-2),1)),0)+IFERROR(INDEX(Income!C$3:C$502,SMALL(IF((Income!D$3:D$502="GBP")*(Income!A$3:A$502=DATE(2026,3,13)),ROW(Income!A$3:A$502)-2),1)),0)=0,"",IFERROR(-INDEX(Expenses!D$3:D$999,SMALL(IF((Expenses!E$3:E$999="GBP")*(Expenses!A$3:A$999=DATE(2026,3,13)),ROW(Expenses!A$3:A$999)-2),1)),0)+IFERROR(INDEX(Income!C$3:C$502,SMALL(IF((Income!D$3:D$502="GBP")*(Income!A$3:A$502=DATE(2026,3,13)),ROW(Income!A$3:A$502)-2),1)),0))</f>
        <v/>
      </c>
      <c r="L54" s="126">
        <f t="array" ref="L54">IF(IFERROR(INDEX(Expenses!B$3:B$999,SMALL(IF((Expenses!E$3:E$999="GBP")*(Expenses!A$3:A$999=DATE(2026,3,13)),ROW(Expenses!A$3:A$999)-2),1)),"")&lt;&gt;"",IFERROR(INDEX(Expenses!B$3:B$999,SMALL(IF((Expenses!E$3:E$999="GBP")*(Expenses!A$3:A$999=DATE(2026,3,13)),ROW(Expenses!A$3:A$999)-2),1)),""),IF(IFERROR(INDEX(Income!B$3:B$502,SMALL(IF((Income!D$3:D$502="GBP")*(Income!A$3:A$502=DATE(2026,3,13)),ROW(Income!A$3:A$502)-2),1)),"")&lt;&gt;"",IFERROR(INDEX(Income!B$3:B$502,SMALL(IF((Income!D$3:D$502="GBP")*(Income!A$3:A$502=DATE(2026,3,13)),ROW(Income!A$3:A$502)-2),1)),""),""))</f>
        <v/>
      </c>
      <c r="M54" s="152">
        <f t="array" ref="M54">IF(IFERROR(-INDEX(Expenses!D$3:D$999,SMALL(IF((Expenses!E$3:E$999="GBP")*(Expenses!A$3:A$999=DATE(2026,3,14)),ROW(Expenses!A$3:A$999)-2),1)),0)+IFERROR(INDEX(Income!C$3:C$502,SMALL(IF((Income!D$3:D$502="GBP")*(Income!A$3:A$502=DATE(2026,3,14)),ROW(Income!A$3:A$502)-2),1)),0)=0,"",IFERROR(-INDEX(Expenses!D$3:D$999,SMALL(IF((Expenses!E$3:E$999="GBP")*(Expenses!A$3:A$999=DATE(2026,3,14)),ROW(Expenses!A$3:A$999)-2),1)),0)+IFERROR(INDEX(Income!C$3:C$502,SMALL(IF((Income!D$3:D$502="GBP")*(Income!A$3:A$502=DATE(2026,3,14)),ROW(Income!A$3:A$502)-2),1)),0))</f>
        <v/>
      </c>
      <c r="N54" s="126">
        <f t="array" ref="N54">IF(IFERROR(INDEX(Expenses!B$3:B$999,SMALL(IF((Expenses!E$3:E$999="GBP")*(Expenses!A$3:A$999=DATE(2026,3,14)),ROW(Expenses!A$3:A$999)-2),1)),"")&lt;&gt;"",IFERROR(INDEX(Expenses!B$3:B$999,SMALL(IF((Expenses!E$3:E$999="GBP")*(Expenses!A$3:A$999=DATE(2026,3,14)),ROW(Expenses!A$3:A$999)-2),1)),""),IF(IFERROR(INDEX(Income!B$3:B$502,SMALL(IF((Income!D$3:D$502="GBP")*(Income!A$3:A$502=DATE(2026,3,14)),ROW(Income!A$3:A$502)-2),1)),"")&lt;&gt;"",IFERROR(INDEX(Income!B$3:B$502,SMALL(IF((Income!D$3:D$502="GBP")*(Income!A$3:A$502=DATE(2026,3,14)),ROW(Income!A$3:A$502)-2),1)),""),""))</f>
        <v/>
      </c>
      <c r="O54" s="152">
        <f t="array" ref="O54">IF(IFERROR(-INDEX(Expenses!D$3:D$999,SMALL(IF((Expenses!E$3:E$999="GBP")*(Expenses!A$3:A$999=DATE(2026,3,15)),ROW(Expenses!A$3:A$999)-2),1)),0)+IFERROR(INDEX(Income!C$3:C$502,SMALL(IF((Income!D$3:D$502="GBP")*(Income!A$3:A$502=DATE(2026,3,15)),ROW(Income!A$3:A$502)-2),1)),0)=0,"",IFERROR(-INDEX(Expenses!D$3:D$999,SMALL(IF((Expenses!E$3:E$999="GBP")*(Expenses!A$3:A$999=DATE(2026,3,15)),ROW(Expenses!A$3:A$999)-2),1)),0)+IFERROR(INDEX(Income!C$3:C$502,SMALL(IF((Income!D$3:D$502="GBP")*(Income!A$3:A$502=DATE(2026,3,15)),ROW(Income!A$3:A$502)-2),1)),0))</f>
        <v/>
      </c>
      <c r="P54" s="126">
        <f t="array" ref="P54">IF(IFERROR(INDEX(Expenses!B$3:B$999,SMALL(IF((Expenses!E$3:E$999="GBP")*(Expenses!A$3:A$999=DATE(2026,3,15)),ROW(Expenses!A$3:A$999)-2),1)),"")&lt;&gt;"",IFERROR(INDEX(Expenses!B$3:B$999,SMALL(IF((Expenses!E$3:E$999="GBP")*(Expenses!A$3:A$999=DATE(2026,3,15)),ROW(Expenses!A$3:A$999)-2),1)),""),IF(IFERROR(INDEX(Income!B$3:B$502,SMALL(IF((Income!D$3:D$502="GBP")*(Income!A$3:A$502=DATE(2026,3,15)),ROW(Income!A$3:A$502)-2),1)),"")&lt;&gt;"",IFERROR(INDEX(Income!B$3:B$502,SMALL(IF((Income!D$3:D$502="GBP")*(Income!A$3:A$502=DATE(2026,3,15)),ROW(Income!A$3:A$502)-2),1)),""),""))</f>
        <v/>
      </c>
      <c r="Q54" s="103" t="n">
        <v>11</v>
      </c>
      <c r="R54" s="134">
        <f>SUM(C54:C58)+SUM(E54:E58)+SUM(G54:G58)+SUM(I54:I58)+SUM(K54:K58)+SUM(M54:M58)+SUM(O54:O58)</f>
        <v/>
      </c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68">
      <c r="A55" s="9" t="n"/>
      <c r="B55" s="9" t="n"/>
      <c r="C55" s="152">
        <f t="array" ref="C55">IF(IFERROR(-INDEX(Expenses!D$3:D$999,SMALL(IF((Expenses!E$3:E$999="GBP")*(Expenses!A$3:A$999=DATE(2026,3,9)),ROW(Expenses!A$3:A$999)-2),2)),0)+IFERROR(INDEX(Income!C$3:C$502,SMALL(IF((Income!D$3:D$502="GBP")*(Income!A$3:A$502=DATE(2026,3,9)),ROW(Income!A$3:A$502)-2),2)),0)=0,"",IFERROR(-INDEX(Expenses!D$3:D$999,SMALL(IF((Expenses!E$3:E$999="GBP")*(Expenses!A$3:A$999=DATE(2026,3,9)),ROW(Expenses!A$3:A$999)-2),2)),0)+IFERROR(INDEX(Income!C$3:C$502,SMALL(IF((Income!D$3:D$502="GBP")*(Income!A$3:A$502=DATE(2026,3,9)),ROW(Income!A$3:A$502)-2),2)),0))</f>
        <v/>
      </c>
      <c r="D55" s="126">
        <f t="array" ref="D55">IF(IFERROR(INDEX(Expenses!B$3:B$999,SMALL(IF((Expenses!E$3:E$999="GBP")*(Expenses!A$3:A$999=DATE(2026,3,9)),ROW(Expenses!A$3:A$999)-2),2)),"")&lt;&gt;"",IFERROR(INDEX(Expenses!B$3:B$999,SMALL(IF((Expenses!E$3:E$999="GBP")*(Expenses!A$3:A$999=DATE(2026,3,9)),ROW(Expenses!A$3:A$999)-2),2)),""),IF(IFERROR(INDEX(Income!B$3:B$502,SMALL(IF((Income!D$3:D$502="GBP")*(Income!A$3:A$502=DATE(2026,3,9)),ROW(Income!A$3:A$502)-2),2)),"")&lt;&gt;"",IFERROR(INDEX(Income!B$3:B$502,SMALL(IF((Income!D$3:D$502="GBP")*(Income!A$3:A$502=DATE(2026,3,9)),ROW(Income!A$3:A$502)-2),2)),""),""))</f>
        <v/>
      </c>
      <c r="E55" s="152">
        <f t="array" ref="E55">IF(IFERROR(-INDEX(Expenses!D$3:D$999,SMALL(IF((Expenses!E$3:E$999="GBP")*(Expenses!A$3:A$999=DATE(2026,3,10)),ROW(Expenses!A$3:A$999)-2),2)),0)+IFERROR(INDEX(Income!C$3:C$502,SMALL(IF((Income!D$3:D$502="GBP")*(Income!A$3:A$502=DATE(2026,3,10)),ROW(Income!A$3:A$502)-2),2)),0)=0,"",IFERROR(-INDEX(Expenses!D$3:D$999,SMALL(IF((Expenses!E$3:E$999="GBP")*(Expenses!A$3:A$999=DATE(2026,3,10)),ROW(Expenses!A$3:A$999)-2),2)),0)+IFERROR(INDEX(Income!C$3:C$502,SMALL(IF((Income!D$3:D$502="GBP")*(Income!A$3:A$502=DATE(2026,3,10)),ROW(Income!A$3:A$502)-2),2)),0))</f>
        <v/>
      </c>
      <c r="F55" s="126">
        <f t="array" ref="F55">IF(IFERROR(INDEX(Expenses!B$3:B$999,SMALL(IF((Expenses!E$3:E$999="GBP")*(Expenses!A$3:A$999=DATE(2026,3,10)),ROW(Expenses!A$3:A$999)-2),2)),"")&lt;&gt;"",IFERROR(INDEX(Expenses!B$3:B$999,SMALL(IF((Expenses!E$3:E$999="GBP")*(Expenses!A$3:A$999=DATE(2026,3,10)),ROW(Expenses!A$3:A$999)-2),2)),""),IF(IFERROR(INDEX(Income!B$3:B$502,SMALL(IF((Income!D$3:D$502="GBP")*(Income!A$3:A$502=DATE(2026,3,10)),ROW(Income!A$3:A$502)-2),2)),"")&lt;&gt;"",IFERROR(INDEX(Income!B$3:B$502,SMALL(IF((Income!D$3:D$502="GBP")*(Income!A$3:A$502=DATE(2026,3,10)),ROW(Income!A$3:A$502)-2),2)),""),""))</f>
        <v/>
      </c>
      <c r="G55" s="152">
        <f t="array" ref="G55">IF(IFERROR(-INDEX(Expenses!D$3:D$999,SMALL(IF((Expenses!E$3:E$999="GBP")*(Expenses!A$3:A$999=DATE(2026,3,11)),ROW(Expenses!A$3:A$999)-2),2)),0)+IFERROR(INDEX(Income!C$3:C$502,SMALL(IF((Income!D$3:D$502="GBP")*(Income!A$3:A$502=DATE(2026,3,11)),ROW(Income!A$3:A$502)-2),2)),0)=0,"",IFERROR(-INDEX(Expenses!D$3:D$999,SMALL(IF((Expenses!E$3:E$999="GBP")*(Expenses!A$3:A$999=DATE(2026,3,11)),ROW(Expenses!A$3:A$999)-2),2)),0)+IFERROR(INDEX(Income!C$3:C$502,SMALL(IF((Income!D$3:D$502="GBP")*(Income!A$3:A$502=DATE(2026,3,11)),ROW(Income!A$3:A$502)-2),2)),0))</f>
        <v/>
      </c>
      <c r="H55" s="126">
        <f t="array" ref="H55">IF(IFERROR(INDEX(Expenses!B$3:B$999,SMALL(IF((Expenses!E$3:E$999="GBP")*(Expenses!A$3:A$999=DATE(2026,3,11)),ROW(Expenses!A$3:A$999)-2),2)),"")&lt;&gt;"",IFERROR(INDEX(Expenses!B$3:B$999,SMALL(IF((Expenses!E$3:E$999="GBP")*(Expenses!A$3:A$999=DATE(2026,3,11)),ROW(Expenses!A$3:A$999)-2),2)),""),IF(IFERROR(INDEX(Income!B$3:B$502,SMALL(IF((Income!D$3:D$502="GBP")*(Income!A$3:A$502=DATE(2026,3,11)),ROW(Income!A$3:A$502)-2),2)),"")&lt;&gt;"",IFERROR(INDEX(Income!B$3:B$502,SMALL(IF((Income!D$3:D$502="GBP")*(Income!A$3:A$502=DATE(2026,3,11)),ROW(Income!A$3:A$502)-2),2)),""),""))</f>
        <v/>
      </c>
      <c r="I55" s="152">
        <f t="array" ref="I55">IF(IFERROR(-INDEX(Expenses!D$3:D$999,SMALL(IF((Expenses!E$3:E$999="GBP")*(Expenses!A$3:A$999=DATE(2026,3,12)),ROW(Expenses!A$3:A$999)-2),2)),0)+IFERROR(INDEX(Income!C$3:C$502,SMALL(IF((Income!D$3:D$502="GBP")*(Income!A$3:A$502=DATE(2026,3,12)),ROW(Income!A$3:A$502)-2),2)),0)=0,"",IFERROR(-INDEX(Expenses!D$3:D$999,SMALL(IF((Expenses!E$3:E$999="GBP")*(Expenses!A$3:A$999=DATE(2026,3,12)),ROW(Expenses!A$3:A$999)-2),2)),0)+IFERROR(INDEX(Income!C$3:C$502,SMALL(IF((Income!D$3:D$502="GBP")*(Income!A$3:A$502=DATE(2026,3,12)),ROW(Income!A$3:A$502)-2),2)),0))</f>
        <v/>
      </c>
      <c r="J55" s="126">
        <f t="array" ref="J55">IF(IFERROR(INDEX(Expenses!B$3:B$999,SMALL(IF((Expenses!E$3:E$999="GBP")*(Expenses!A$3:A$999=DATE(2026,3,12)),ROW(Expenses!A$3:A$999)-2),2)),"")&lt;&gt;"",IFERROR(INDEX(Expenses!B$3:B$999,SMALL(IF((Expenses!E$3:E$999="GBP")*(Expenses!A$3:A$999=DATE(2026,3,12)),ROW(Expenses!A$3:A$999)-2),2)),""),IF(IFERROR(INDEX(Income!B$3:B$502,SMALL(IF((Income!D$3:D$502="GBP")*(Income!A$3:A$502=DATE(2026,3,12)),ROW(Income!A$3:A$502)-2),2)),"")&lt;&gt;"",IFERROR(INDEX(Income!B$3:B$502,SMALL(IF((Income!D$3:D$502="GBP")*(Income!A$3:A$502=DATE(2026,3,12)),ROW(Income!A$3:A$502)-2),2)),""),""))</f>
        <v/>
      </c>
      <c r="K55" s="152">
        <f t="array" ref="K55">IF(IFERROR(-INDEX(Expenses!D$3:D$999,SMALL(IF((Expenses!E$3:E$999="GBP")*(Expenses!A$3:A$999=DATE(2026,3,13)),ROW(Expenses!A$3:A$999)-2),2)),0)+IFERROR(INDEX(Income!C$3:C$502,SMALL(IF((Income!D$3:D$502="GBP")*(Income!A$3:A$502=DATE(2026,3,13)),ROW(Income!A$3:A$502)-2),2)),0)=0,"",IFERROR(-INDEX(Expenses!D$3:D$999,SMALL(IF((Expenses!E$3:E$999="GBP")*(Expenses!A$3:A$999=DATE(2026,3,13)),ROW(Expenses!A$3:A$999)-2),2)),0)+IFERROR(INDEX(Income!C$3:C$502,SMALL(IF((Income!D$3:D$502="GBP")*(Income!A$3:A$502=DATE(2026,3,13)),ROW(Income!A$3:A$502)-2),2)),0))</f>
        <v/>
      </c>
      <c r="L55" s="126">
        <f t="array" ref="L55">IF(IFERROR(INDEX(Expenses!B$3:B$999,SMALL(IF((Expenses!E$3:E$999="GBP")*(Expenses!A$3:A$999=DATE(2026,3,13)),ROW(Expenses!A$3:A$999)-2),2)),"")&lt;&gt;"",IFERROR(INDEX(Expenses!B$3:B$999,SMALL(IF((Expenses!E$3:E$999="GBP")*(Expenses!A$3:A$999=DATE(2026,3,13)),ROW(Expenses!A$3:A$999)-2),2)),""),IF(IFERROR(INDEX(Income!B$3:B$502,SMALL(IF((Income!D$3:D$502="GBP")*(Income!A$3:A$502=DATE(2026,3,13)),ROW(Income!A$3:A$502)-2),2)),"")&lt;&gt;"",IFERROR(INDEX(Income!B$3:B$502,SMALL(IF((Income!D$3:D$502="GBP")*(Income!A$3:A$502=DATE(2026,3,13)),ROW(Income!A$3:A$502)-2),2)),""),""))</f>
        <v/>
      </c>
      <c r="M55" s="152">
        <f t="array" ref="M55">IF(IFERROR(-INDEX(Expenses!D$3:D$999,SMALL(IF((Expenses!E$3:E$999="GBP")*(Expenses!A$3:A$999=DATE(2026,3,14)),ROW(Expenses!A$3:A$999)-2),2)),0)+IFERROR(INDEX(Income!C$3:C$502,SMALL(IF((Income!D$3:D$502="GBP")*(Income!A$3:A$502=DATE(2026,3,14)),ROW(Income!A$3:A$502)-2),2)),0)=0,"",IFERROR(-INDEX(Expenses!D$3:D$999,SMALL(IF((Expenses!E$3:E$999="GBP")*(Expenses!A$3:A$999=DATE(2026,3,14)),ROW(Expenses!A$3:A$999)-2),2)),0)+IFERROR(INDEX(Income!C$3:C$502,SMALL(IF((Income!D$3:D$502="GBP")*(Income!A$3:A$502=DATE(2026,3,14)),ROW(Income!A$3:A$502)-2),2)),0))</f>
        <v/>
      </c>
      <c r="N55" s="126">
        <f t="array" ref="N55">IF(IFERROR(INDEX(Expenses!B$3:B$999,SMALL(IF((Expenses!E$3:E$999="GBP")*(Expenses!A$3:A$999=DATE(2026,3,14)),ROW(Expenses!A$3:A$999)-2),2)),"")&lt;&gt;"",IFERROR(INDEX(Expenses!B$3:B$999,SMALL(IF((Expenses!E$3:E$999="GBP")*(Expenses!A$3:A$999=DATE(2026,3,14)),ROW(Expenses!A$3:A$999)-2),2)),""),IF(IFERROR(INDEX(Income!B$3:B$502,SMALL(IF((Income!D$3:D$502="GBP")*(Income!A$3:A$502=DATE(2026,3,14)),ROW(Income!A$3:A$502)-2),2)),"")&lt;&gt;"",IFERROR(INDEX(Income!B$3:B$502,SMALL(IF((Income!D$3:D$502="GBP")*(Income!A$3:A$502=DATE(2026,3,14)),ROW(Income!A$3:A$502)-2),2)),""),""))</f>
        <v/>
      </c>
      <c r="O55" s="152">
        <f t="array" ref="O55">IF(IFERROR(-INDEX(Expenses!D$3:D$999,SMALL(IF((Expenses!E$3:E$999="GBP")*(Expenses!A$3:A$999=DATE(2026,3,15)),ROW(Expenses!A$3:A$999)-2),2)),0)+IFERROR(INDEX(Income!C$3:C$502,SMALL(IF((Income!D$3:D$502="GBP")*(Income!A$3:A$502=DATE(2026,3,15)),ROW(Income!A$3:A$502)-2),2)),0)=0,"",IFERROR(-INDEX(Expenses!D$3:D$999,SMALL(IF((Expenses!E$3:E$999="GBP")*(Expenses!A$3:A$999=DATE(2026,3,15)),ROW(Expenses!A$3:A$999)-2),2)),0)+IFERROR(INDEX(Income!C$3:C$502,SMALL(IF((Income!D$3:D$502="GBP")*(Income!A$3:A$502=DATE(2026,3,15)),ROW(Income!A$3:A$502)-2),2)),0))</f>
        <v/>
      </c>
      <c r="P55" s="126">
        <f t="array" ref="P55">IF(IFERROR(INDEX(Expenses!B$3:B$999,SMALL(IF((Expenses!E$3:E$999="GBP")*(Expenses!A$3:A$999=DATE(2026,3,15)),ROW(Expenses!A$3:A$999)-2),2)),"")&lt;&gt;"",IFERROR(INDEX(Expenses!B$3:B$999,SMALL(IF((Expenses!E$3:E$999="GBP")*(Expenses!A$3:A$999=DATE(2026,3,15)),ROW(Expenses!A$3:A$999)-2),2)),""),IF(IFERROR(INDEX(Income!B$3:B$502,SMALL(IF((Income!D$3:D$502="GBP")*(Income!A$3:A$502=DATE(2026,3,15)),ROW(Income!A$3:A$502)-2),2)),"")&lt;&gt;"",IFERROR(INDEX(Income!B$3:B$502,SMALL(IF((Income!D$3:D$502="GBP")*(Income!A$3:A$502=DATE(2026,3,15)),ROW(Income!A$3:A$502)-2),2)),""),""))</f>
        <v/>
      </c>
      <c r="Q55" s="9" t="n"/>
      <c r="R55" s="9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68">
      <c r="A56" s="9" t="n"/>
      <c r="B56" s="9" t="n"/>
      <c r="C56" s="152">
        <f t="array" ref="C56">IF(IFERROR(-INDEX(Expenses!D$3:D$999,SMALL(IF((Expenses!E$3:E$999="GBP")*(Expenses!A$3:A$999=DATE(2026,3,9)),ROW(Expenses!A$3:A$999)-2),3)),0)+IFERROR(INDEX(Income!C$3:C$502,SMALL(IF((Income!D$3:D$502="GBP")*(Income!A$3:A$502=DATE(2026,3,9)),ROW(Income!A$3:A$502)-2),3)),0)=0,"",IFERROR(-INDEX(Expenses!D$3:D$999,SMALL(IF((Expenses!E$3:E$999="GBP")*(Expenses!A$3:A$999=DATE(2026,3,9)),ROW(Expenses!A$3:A$999)-2),3)),0)+IFERROR(INDEX(Income!C$3:C$502,SMALL(IF((Income!D$3:D$502="GBP")*(Income!A$3:A$502=DATE(2026,3,9)),ROW(Income!A$3:A$502)-2),3)),0))</f>
        <v/>
      </c>
      <c r="D56" s="126">
        <f t="array" ref="D56">IF(IFERROR(INDEX(Expenses!B$3:B$999,SMALL(IF((Expenses!E$3:E$999="GBP")*(Expenses!A$3:A$999=DATE(2026,3,9)),ROW(Expenses!A$3:A$999)-2),3)),"")&lt;&gt;"",IFERROR(INDEX(Expenses!B$3:B$999,SMALL(IF((Expenses!E$3:E$999="GBP")*(Expenses!A$3:A$999=DATE(2026,3,9)),ROW(Expenses!A$3:A$999)-2),3)),""),IF(IFERROR(INDEX(Income!B$3:B$502,SMALL(IF((Income!D$3:D$502="GBP")*(Income!A$3:A$502=DATE(2026,3,9)),ROW(Income!A$3:A$502)-2),3)),"")&lt;&gt;"",IFERROR(INDEX(Income!B$3:B$502,SMALL(IF((Income!D$3:D$502="GBP")*(Income!A$3:A$502=DATE(2026,3,9)),ROW(Income!A$3:A$502)-2),3)),""),""))</f>
        <v/>
      </c>
      <c r="E56" s="152">
        <f t="array" ref="E56">IF(IFERROR(-INDEX(Expenses!D$3:D$999,SMALL(IF((Expenses!E$3:E$999="GBP")*(Expenses!A$3:A$999=DATE(2026,3,10)),ROW(Expenses!A$3:A$999)-2),3)),0)+IFERROR(INDEX(Income!C$3:C$502,SMALL(IF((Income!D$3:D$502="GBP")*(Income!A$3:A$502=DATE(2026,3,10)),ROW(Income!A$3:A$502)-2),3)),0)=0,"",IFERROR(-INDEX(Expenses!D$3:D$999,SMALL(IF((Expenses!E$3:E$999="GBP")*(Expenses!A$3:A$999=DATE(2026,3,10)),ROW(Expenses!A$3:A$999)-2),3)),0)+IFERROR(INDEX(Income!C$3:C$502,SMALL(IF((Income!D$3:D$502="GBP")*(Income!A$3:A$502=DATE(2026,3,10)),ROW(Income!A$3:A$502)-2),3)),0))</f>
        <v/>
      </c>
      <c r="F56" s="126">
        <f t="array" ref="F56">IF(IFERROR(INDEX(Expenses!B$3:B$999,SMALL(IF((Expenses!E$3:E$999="GBP")*(Expenses!A$3:A$999=DATE(2026,3,10)),ROW(Expenses!A$3:A$999)-2),3)),"")&lt;&gt;"",IFERROR(INDEX(Expenses!B$3:B$999,SMALL(IF((Expenses!E$3:E$999="GBP")*(Expenses!A$3:A$999=DATE(2026,3,10)),ROW(Expenses!A$3:A$999)-2),3)),""),IF(IFERROR(INDEX(Income!B$3:B$502,SMALL(IF((Income!D$3:D$502="GBP")*(Income!A$3:A$502=DATE(2026,3,10)),ROW(Income!A$3:A$502)-2),3)),"")&lt;&gt;"",IFERROR(INDEX(Income!B$3:B$502,SMALL(IF((Income!D$3:D$502="GBP")*(Income!A$3:A$502=DATE(2026,3,10)),ROW(Income!A$3:A$502)-2),3)),""),""))</f>
        <v/>
      </c>
      <c r="G56" s="152">
        <f t="array" ref="G56">IF(IFERROR(-INDEX(Expenses!D$3:D$999,SMALL(IF((Expenses!E$3:E$999="GBP")*(Expenses!A$3:A$999=DATE(2026,3,11)),ROW(Expenses!A$3:A$999)-2),3)),0)+IFERROR(INDEX(Income!C$3:C$502,SMALL(IF((Income!D$3:D$502="GBP")*(Income!A$3:A$502=DATE(2026,3,11)),ROW(Income!A$3:A$502)-2),3)),0)=0,"",IFERROR(-INDEX(Expenses!D$3:D$999,SMALL(IF((Expenses!E$3:E$999="GBP")*(Expenses!A$3:A$999=DATE(2026,3,11)),ROW(Expenses!A$3:A$999)-2),3)),0)+IFERROR(INDEX(Income!C$3:C$502,SMALL(IF((Income!D$3:D$502="GBP")*(Income!A$3:A$502=DATE(2026,3,11)),ROW(Income!A$3:A$502)-2),3)),0))</f>
        <v/>
      </c>
      <c r="H56" s="126">
        <f t="array" ref="H56">IF(IFERROR(INDEX(Expenses!B$3:B$999,SMALL(IF((Expenses!E$3:E$999="GBP")*(Expenses!A$3:A$999=DATE(2026,3,11)),ROW(Expenses!A$3:A$999)-2),3)),"")&lt;&gt;"",IFERROR(INDEX(Expenses!B$3:B$999,SMALL(IF((Expenses!E$3:E$999="GBP")*(Expenses!A$3:A$999=DATE(2026,3,11)),ROW(Expenses!A$3:A$999)-2),3)),""),IF(IFERROR(INDEX(Income!B$3:B$502,SMALL(IF((Income!D$3:D$502="GBP")*(Income!A$3:A$502=DATE(2026,3,11)),ROW(Income!A$3:A$502)-2),3)),"")&lt;&gt;"",IFERROR(INDEX(Income!B$3:B$502,SMALL(IF((Income!D$3:D$502="GBP")*(Income!A$3:A$502=DATE(2026,3,11)),ROW(Income!A$3:A$502)-2),3)),""),""))</f>
        <v/>
      </c>
      <c r="I56" s="152">
        <f t="array" ref="I56">IF(IFERROR(-INDEX(Expenses!D$3:D$999,SMALL(IF((Expenses!E$3:E$999="GBP")*(Expenses!A$3:A$999=DATE(2026,3,12)),ROW(Expenses!A$3:A$999)-2),3)),0)+IFERROR(INDEX(Income!C$3:C$502,SMALL(IF((Income!D$3:D$502="GBP")*(Income!A$3:A$502=DATE(2026,3,12)),ROW(Income!A$3:A$502)-2),3)),0)=0,"",IFERROR(-INDEX(Expenses!D$3:D$999,SMALL(IF((Expenses!E$3:E$999="GBP")*(Expenses!A$3:A$999=DATE(2026,3,12)),ROW(Expenses!A$3:A$999)-2),3)),0)+IFERROR(INDEX(Income!C$3:C$502,SMALL(IF((Income!D$3:D$502="GBP")*(Income!A$3:A$502=DATE(2026,3,12)),ROW(Income!A$3:A$502)-2),3)),0))</f>
        <v/>
      </c>
      <c r="J56" s="126">
        <f t="array" ref="J56">IF(IFERROR(INDEX(Expenses!B$3:B$999,SMALL(IF((Expenses!E$3:E$999="GBP")*(Expenses!A$3:A$999=DATE(2026,3,12)),ROW(Expenses!A$3:A$999)-2),3)),"")&lt;&gt;"",IFERROR(INDEX(Expenses!B$3:B$999,SMALL(IF((Expenses!E$3:E$999="GBP")*(Expenses!A$3:A$999=DATE(2026,3,12)),ROW(Expenses!A$3:A$999)-2),3)),""),IF(IFERROR(INDEX(Income!B$3:B$502,SMALL(IF((Income!D$3:D$502="GBP")*(Income!A$3:A$502=DATE(2026,3,12)),ROW(Income!A$3:A$502)-2),3)),"")&lt;&gt;"",IFERROR(INDEX(Income!B$3:B$502,SMALL(IF((Income!D$3:D$502="GBP")*(Income!A$3:A$502=DATE(2026,3,12)),ROW(Income!A$3:A$502)-2),3)),""),""))</f>
        <v/>
      </c>
      <c r="K56" s="152">
        <f t="array" ref="K56">IF(IFERROR(-INDEX(Expenses!D$3:D$999,SMALL(IF((Expenses!E$3:E$999="GBP")*(Expenses!A$3:A$999=DATE(2026,3,13)),ROW(Expenses!A$3:A$999)-2),3)),0)+IFERROR(INDEX(Income!C$3:C$502,SMALL(IF((Income!D$3:D$502="GBP")*(Income!A$3:A$502=DATE(2026,3,13)),ROW(Income!A$3:A$502)-2),3)),0)=0,"",IFERROR(-INDEX(Expenses!D$3:D$999,SMALL(IF((Expenses!E$3:E$999="GBP")*(Expenses!A$3:A$999=DATE(2026,3,13)),ROW(Expenses!A$3:A$999)-2),3)),0)+IFERROR(INDEX(Income!C$3:C$502,SMALL(IF((Income!D$3:D$502="GBP")*(Income!A$3:A$502=DATE(2026,3,13)),ROW(Income!A$3:A$502)-2),3)),0))</f>
        <v/>
      </c>
      <c r="L56" s="126">
        <f t="array" ref="L56">IF(IFERROR(INDEX(Expenses!B$3:B$999,SMALL(IF((Expenses!E$3:E$999="GBP")*(Expenses!A$3:A$999=DATE(2026,3,13)),ROW(Expenses!A$3:A$999)-2),3)),"")&lt;&gt;"",IFERROR(INDEX(Expenses!B$3:B$999,SMALL(IF((Expenses!E$3:E$999="GBP")*(Expenses!A$3:A$999=DATE(2026,3,13)),ROW(Expenses!A$3:A$999)-2),3)),""),IF(IFERROR(INDEX(Income!B$3:B$502,SMALL(IF((Income!D$3:D$502="GBP")*(Income!A$3:A$502=DATE(2026,3,13)),ROW(Income!A$3:A$502)-2),3)),"")&lt;&gt;"",IFERROR(INDEX(Income!B$3:B$502,SMALL(IF((Income!D$3:D$502="GBP")*(Income!A$3:A$502=DATE(2026,3,13)),ROW(Income!A$3:A$502)-2),3)),""),""))</f>
        <v/>
      </c>
      <c r="M56" s="152">
        <f t="array" ref="M56">IF(IFERROR(-INDEX(Expenses!D$3:D$999,SMALL(IF((Expenses!E$3:E$999="GBP")*(Expenses!A$3:A$999=DATE(2026,3,14)),ROW(Expenses!A$3:A$999)-2),3)),0)+IFERROR(INDEX(Income!C$3:C$502,SMALL(IF((Income!D$3:D$502="GBP")*(Income!A$3:A$502=DATE(2026,3,14)),ROW(Income!A$3:A$502)-2),3)),0)=0,"",IFERROR(-INDEX(Expenses!D$3:D$999,SMALL(IF((Expenses!E$3:E$999="GBP")*(Expenses!A$3:A$999=DATE(2026,3,14)),ROW(Expenses!A$3:A$999)-2),3)),0)+IFERROR(INDEX(Income!C$3:C$502,SMALL(IF((Income!D$3:D$502="GBP")*(Income!A$3:A$502=DATE(2026,3,14)),ROW(Income!A$3:A$502)-2),3)),0))</f>
        <v/>
      </c>
      <c r="N56" s="126">
        <f t="array" ref="N56">IF(IFERROR(INDEX(Expenses!B$3:B$999,SMALL(IF((Expenses!E$3:E$999="GBP")*(Expenses!A$3:A$999=DATE(2026,3,14)),ROW(Expenses!A$3:A$999)-2),3)),"")&lt;&gt;"",IFERROR(INDEX(Expenses!B$3:B$999,SMALL(IF((Expenses!E$3:E$999="GBP")*(Expenses!A$3:A$999=DATE(2026,3,14)),ROW(Expenses!A$3:A$999)-2),3)),""),IF(IFERROR(INDEX(Income!B$3:B$502,SMALL(IF((Income!D$3:D$502="GBP")*(Income!A$3:A$502=DATE(2026,3,14)),ROW(Income!A$3:A$502)-2),3)),"")&lt;&gt;"",IFERROR(INDEX(Income!B$3:B$502,SMALL(IF((Income!D$3:D$502="GBP")*(Income!A$3:A$502=DATE(2026,3,14)),ROW(Income!A$3:A$502)-2),3)),""),""))</f>
        <v/>
      </c>
      <c r="O56" s="152">
        <f t="array" ref="O56">IF(IFERROR(-INDEX(Expenses!D$3:D$999,SMALL(IF((Expenses!E$3:E$999="GBP")*(Expenses!A$3:A$999=DATE(2026,3,15)),ROW(Expenses!A$3:A$999)-2),3)),0)+IFERROR(INDEX(Income!C$3:C$502,SMALL(IF((Income!D$3:D$502="GBP")*(Income!A$3:A$502=DATE(2026,3,15)),ROW(Income!A$3:A$502)-2),3)),0)=0,"",IFERROR(-INDEX(Expenses!D$3:D$999,SMALL(IF((Expenses!E$3:E$999="GBP")*(Expenses!A$3:A$999=DATE(2026,3,15)),ROW(Expenses!A$3:A$999)-2),3)),0)+IFERROR(INDEX(Income!C$3:C$502,SMALL(IF((Income!D$3:D$502="GBP")*(Income!A$3:A$502=DATE(2026,3,15)),ROW(Income!A$3:A$502)-2),3)),0))</f>
        <v/>
      </c>
      <c r="P56" s="126">
        <f t="array" ref="P56">IF(IFERROR(INDEX(Expenses!B$3:B$999,SMALL(IF((Expenses!E$3:E$999="GBP")*(Expenses!A$3:A$999=DATE(2026,3,15)),ROW(Expenses!A$3:A$999)-2),3)),"")&lt;&gt;"",IFERROR(INDEX(Expenses!B$3:B$999,SMALL(IF((Expenses!E$3:E$999="GBP")*(Expenses!A$3:A$999=DATE(2026,3,15)),ROW(Expenses!A$3:A$999)-2),3)),""),IF(IFERROR(INDEX(Income!B$3:B$502,SMALL(IF((Income!D$3:D$502="GBP")*(Income!A$3:A$502=DATE(2026,3,15)),ROW(Income!A$3:A$502)-2),3)),"")&lt;&gt;"",IFERROR(INDEX(Income!B$3:B$502,SMALL(IF((Income!D$3:D$502="GBP")*(Income!A$3:A$502=DATE(2026,3,15)),ROW(Income!A$3:A$502)-2),3)),""),""))</f>
        <v/>
      </c>
      <c r="Q56" s="9" t="n"/>
      <c r="R56" s="9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68">
      <c r="A57" s="9" t="n"/>
      <c r="B57" s="9" t="n"/>
      <c r="C57" s="152">
        <f t="array" ref="C57">IF(IFERROR(-INDEX(Expenses!D$3:D$999,SMALL(IF((Expenses!E$3:E$999="GBP")*(Expenses!A$3:A$999=DATE(2026,3,9)),ROW(Expenses!A$3:A$999)-2),4)),0)+IFERROR(INDEX(Income!C$3:C$502,SMALL(IF((Income!D$3:D$502="GBP")*(Income!A$3:A$502=DATE(2026,3,9)),ROW(Income!A$3:A$502)-2),4)),0)=0,"",IFERROR(-INDEX(Expenses!D$3:D$999,SMALL(IF((Expenses!E$3:E$999="GBP")*(Expenses!A$3:A$999=DATE(2026,3,9)),ROW(Expenses!A$3:A$999)-2),4)),0)+IFERROR(INDEX(Income!C$3:C$502,SMALL(IF((Income!D$3:D$502="GBP")*(Income!A$3:A$502=DATE(2026,3,9)),ROW(Income!A$3:A$502)-2),4)),0))</f>
        <v/>
      </c>
      <c r="D57" s="126">
        <f t="array" ref="D57">IF(IFERROR(INDEX(Expenses!B$3:B$999,SMALL(IF((Expenses!E$3:E$999="GBP")*(Expenses!A$3:A$999=DATE(2026,3,9)),ROW(Expenses!A$3:A$999)-2),4)),"")&lt;&gt;"",IFERROR(INDEX(Expenses!B$3:B$999,SMALL(IF((Expenses!E$3:E$999="GBP")*(Expenses!A$3:A$999=DATE(2026,3,9)),ROW(Expenses!A$3:A$999)-2),4)),""),IF(IFERROR(INDEX(Income!B$3:B$502,SMALL(IF((Income!D$3:D$502="GBP")*(Income!A$3:A$502=DATE(2026,3,9)),ROW(Income!A$3:A$502)-2),4)),"")&lt;&gt;"",IFERROR(INDEX(Income!B$3:B$502,SMALL(IF((Income!D$3:D$502="GBP")*(Income!A$3:A$502=DATE(2026,3,9)),ROW(Income!A$3:A$502)-2),4)),""),""))</f>
        <v/>
      </c>
      <c r="E57" s="152">
        <f t="array" ref="E57">IF(IFERROR(-INDEX(Expenses!D$3:D$999,SMALL(IF((Expenses!E$3:E$999="GBP")*(Expenses!A$3:A$999=DATE(2026,3,10)),ROW(Expenses!A$3:A$999)-2),4)),0)+IFERROR(INDEX(Income!C$3:C$502,SMALL(IF((Income!D$3:D$502="GBP")*(Income!A$3:A$502=DATE(2026,3,10)),ROW(Income!A$3:A$502)-2),4)),0)=0,"",IFERROR(-INDEX(Expenses!D$3:D$999,SMALL(IF((Expenses!E$3:E$999="GBP")*(Expenses!A$3:A$999=DATE(2026,3,10)),ROW(Expenses!A$3:A$999)-2),4)),0)+IFERROR(INDEX(Income!C$3:C$502,SMALL(IF((Income!D$3:D$502="GBP")*(Income!A$3:A$502=DATE(2026,3,10)),ROW(Income!A$3:A$502)-2),4)),0))</f>
        <v/>
      </c>
      <c r="F57" s="126">
        <f t="array" ref="F57">IF(IFERROR(INDEX(Expenses!B$3:B$999,SMALL(IF((Expenses!E$3:E$999="GBP")*(Expenses!A$3:A$999=DATE(2026,3,10)),ROW(Expenses!A$3:A$999)-2),4)),"")&lt;&gt;"",IFERROR(INDEX(Expenses!B$3:B$999,SMALL(IF((Expenses!E$3:E$999="GBP")*(Expenses!A$3:A$999=DATE(2026,3,10)),ROW(Expenses!A$3:A$999)-2),4)),""),IF(IFERROR(INDEX(Income!B$3:B$502,SMALL(IF((Income!D$3:D$502="GBP")*(Income!A$3:A$502=DATE(2026,3,10)),ROW(Income!A$3:A$502)-2),4)),"")&lt;&gt;"",IFERROR(INDEX(Income!B$3:B$502,SMALL(IF((Income!D$3:D$502="GBP")*(Income!A$3:A$502=DATE(2026,3,10)),ROW(Income!A$3:A$502)-2),4)),""),""))</f>
        <v/>
      </c>
      <c r="G57" s="152">
        <f t="array" ref="G57">IF(IFERROR(-INDEX(Expenses!D$3:D$999,SMALL(IF((Expenses!E$3:E$999="GBP")*(Expenses!A$3:A$999=DATE(2026,3,11)),ROW(Expenses!A$3:A$999)-2),4)),0)+IFERROR(INDEX(Income!C$3:C$502,SMALL(IF((Income!D$3:D$502="GBP")*(Income!A$3:A$502=DATE(2026,3,11)),ROW(Income!A$3:A$502)-2),4)),0)=0,"",IFERROR(-INDEX(Expenses!D$3:D$999,SMALL(IF((Expenses!E$3:E$999="GBP")*(Expenses!A$3:A$999=DATE(2026,3,11)),ROW(Expenses!A$3:A$999)-2),4)),0)+IFERROR(INDEX(Income!C$3:C$502,SMALL(IF((Income!D$3:D$502="GBP")*(Income!A$3:A$502=DATE(2026,3,11)),ROW(Income!A$3:A$502)-2),4)),0))</f>
        <v/>
      </c>
      <c r="H57" s="126">
        <f t="array" ref="H57">IF(IFERROR(INDEX(Expenses!B$3:B$999,SMALL(IF((Expenses!E$3:E$999="GBP")*(Expenses!A$3:A$999=DATE(2026,3,11)),ROW(Expenses!A$3:A$999)-2),4)),"")&lt;&gt;"",IFERROR(INDEX(Expenses!B$3:B$999,SMALL(IF((Expenses!E$3:E$999="GBP")*(Expenses!A$3:A$999=DATE(2026,3,11)),ROW(Expenses!A$3:A$999)-2),4)),""),IF(IFERROR(INDEX(Income!B$3:B$502,SMALL(IF((Income!D$3:D$502="GBP")*(Income!A$3:A$502=DATE(2026,3,11)),ROW(Income!A$3:A$502)-2),4)),"")&lt;&gt;"",IFERROR(INDEX(Income!B$3:B$502,SMALL(IF((Income!D$3:D$502="GBP")*(Income!A$3:A$502=DATE(2026,3,11)),ROW(Income!A$3:A$502)-2),4)),""),""))</f>
        <v/>
      </c>
      <c r="I57" s="152">
        <f t="array" ref="I57">IF(IFERROR(-INDEX(Expenses!D$3:D$999,SMALL(IF((Expenses!E$3:E$999="GBP")*(Expenses!A$3:A$999=DATE(2026,3,12)),ROW(Expenses!A$3:A$999)-2),4)),0)+IFERROR(INDEX(Income!C$3:C$502,SMALL(IF((Income!D$3:D$502="GBP")*(Income!A$3:A$502=DATE(2026,3,12)),ROW(Income!A$3:A$502)-2),4)),0)=0,"",IFERROR(-INDEX(Expenses!D$3:D$999,SMALL(IF((Expenses!E$3:E$999="GBP")*(Expenses!A$3:A$999=DATE(2026,3,12)),ROW(Expenses!A$3:A$999)-2),4)),0)+IFERROR(INDEX(Income!C$3:C$502,SMALL(IF((Income!D$3:D$502="GBP")*(Income!A$3:A$502=DATE(2026,3,12)),ROW(Income!A$3:A$502)-2),4)),0))</f>
        <v/>
      </c>
      <c r="J57" s="126">
        <f t="array" ref="J57">IF(IFERROR(INDEX(Expenses!B$3:B$999,SMALL(IF((Expenses!E$3:E$999="GBP")*(Expenses!A$3:A$999=DATE(2026,3,12)),ROW(Expenses!A$3:A$999)-2),4)),"")&lt;&gt;"",IFERROR(INDEX(Expenses!B$3:B$999,SMALL(IF((Expenses!E$3:E$999="GBP")*(Expenses!A$3:A$999=DATE(2026,3,12)),ROW(Expenses!A$3:A$999)-2),4)),""),IF(IFERROR(INDEX(Income!B$3:B$502,SMALL(IF((Income!D$3:D$502="GBP")*(Income!A$3:A$502=DATE(2026,3,12)),ROW(Income!A$3:A$502)-2),4)),"")&lt;&gt;"",IFERROR(INDEX(Income!B$3:B$502,SMALL(IF((Income!D$3:D$502="GBP")*(Income!A$3:A$502=DATE(2026,3,12)),ROW(Income!A$3:A$502)-2),4)),""),""))</f>
        <v/>
      </c>
      <c r="K57" s="152">
        <f t="array" ref="K57">IF(IFERROR(-INDEX(Expenses!D$3:D$999,SMALL(IF((Expenses!E$3:E$999="GBP")*(Expenses!A$3:A$999=DATE(2026,3,13)),ROW(Expenses!A$3:A$999)-2),4)),0)+IFERROR(INDEX(Income!C$3:C$502,SMALL(IF((Income!D$3:D$502="GBP")*(Income!A$3:A$502=DATE(2026,3,13)),ROW(Income!A$3:A$502)-2),4)),0)=0,"",IFERROR(-INDEX(Expenses!D$3:D$999,SMALL(IF((Expenses!E$3:E$999="GBP")*(Expenses!A$3:A$999=DATE(2026,3,13)),ROW(Expenses!A$3:A$999)-2),4)),0)+IFERROR(INDEX(Income!C$3:C$502,SMALL(IF((Income!D$3:D$502="GBP")*(Income!A$3:A$502=DATE(2026,3,13)),ROW(Income!A$3:A$502)-2),4)),0))</f>
        <v/>
      </c>
      <c r="L57" s="126">
        <f t="array" ref="L57">IF(IFERROR(INDEX(Expenses!B$3:B$999,SMALL(IF((Expenses!E$3:E$999="GBP")*(Expenses!A$3:A$999=DATE(2026,3,13)),ROW(Expenses!A$3:A$999)-2),4)),"")&lt;&gt;"",IFERROR(INDEX(Expenses!B$3:B$999,SMALL(IF((Expenses!E$3:E$999="GBP")*(Expenses!A$3:A$999=DATE(2026,3,13)),ROW(Expenses!A$3:A$999)-2),4)),""),IF(IFERROR(INDEX(Income!B$3:B$502,SMALL(IF((Income!D$3:D$502="GBP")*(Income!A$3:A$502=DATE(2026,3,13)),ROW(Income!A$3:A$502)-2),4)),"")&lt;&gt;"",IFERROR(INDEX(Income!B$3:B$502,SMALL(IF((Income!D$3:D$502="GBP")*(Income!A$3:A$502=DATE(2026,3,13)),ROW(Income!A$3:A$502)-2),4)),""),""))</f>
        <v/>
      </c>
      <c r="M57" s="152">
        <f t="array" ref="M57">IF(IFERROR(-INDEX(Expenses!D$3:D$999,SMALL(IF((Expenses!E$3:E$999="GBP")*(Expenses!A$3:A$999=DATE(2026,3,14)),ROW(Expenses!A$3:A$999)-2),4)),0)+IFERROR(INDEX(Income!C$3:C$502,SMALL(IF((Income!D$3:D$502="GBP")*(Income!A$3:A$502=DATE(2026,3,14)),ROW(Income!A$3:A$502)-2),4)),0)=0,"",IFERROR(-INDEX(Expenses!D$3:D$999,SMALL(IF((Expenses!E$3:E$999="GBP")*(Expenses!A$3:A$999=DATE(2026,3,14)),ROW(Expenses!A$3:A$999)-2),4)),0)+IFERROR(INDEX(Income!C$3:C$502,SMALL(IF((Income!D$3:D$502="GBP")*(Income!A$3:A$502=DATE(2026,3,14)),ROW(Income!A$3:A$502)-2),4)),0))</f>
        <v/>
      </c>
      <c r="N57" s="126">
        <f t="array" ref="N57">IF(IFERROR(INDEX(Expenses!B$3:B$999,SMALL(IF((Expenses!E$3:E$999="GBP")*(Expenses!A$3:A$999=DATE(2026,3,14)),ROW(Expenses!A$3:A$999)-2),4)),"")&lt;&gt;"",IFERROR(INDEX(Expenses!B$3:B$999,SMALL(IF((Expenses!E$3:E$999="GBP")*(Expenses!A$3:A$999=DATE(2026,3,14)),ROW(Expenses!A$3:A$999)-2),4)),""),IF(IFERROR(INDEX(Income!B$3:B$502,SMALL(IF((Income!D$3:D$502="GBP")*(Income!A$3:A$502=DATE(2026,3,14)),ROW(Income!A$3:A$502)-2),4)),"")&lt;&gt;"",IFERROR(INDEX(Income!B$3:B$502,SMALL(IF((Income!D$3:D$502="GBP")*(Income!A$3:A$502=DATE(2026,3,14)),ROW(Income!A$3:A$502)-2),4)),""),""))</f>
        <v/>
      </c>
      <c r="O57" s="152">
        <f t="array" ref="O57">IF(IFERROR(-INDEX(Expenses!D$3:D$999,SMALL(IF((Expenses!E$3:E$999="GBP")*(Expenses!A$3:A$999=DATE(2026,3,15)),ROW(Expenses!A$3:A$999)-2),4)),0)+IFERROR(INDEX(Income!C$3:C$502,SMALL(IF((Income!D$3:D$502="GBP")*(Income!A$3:A$502=DATE(2026,3,15)),ROW(Income!A$3:A$502)-2),4)),0)=0,"",IFERROR(-INDEX(Expenses!D$3:D$999,SMALL(IF((Expenses!E$3:E$999="GBP")*(Expenses!A$3:A$999=DATE(2026,3,15)),ROW(Expenses!A$3:A$999)-2),4)),0)+IFERROR(INDEX(Income!C$3:C$502,SMALL(IF((Income!D$3:D$502="GBP")*(Income!A$3:A$502=DATE(2026,3,15)),ROW(Income!A$3:A$502)-2),4)),0))</f>
        <v/>
      </c>
      <c r="P57" s="126">
        <f t="array" ref="P57">IF(IFERROR(INDEX(Expenses!B$3:B$999,SMALL(IF((Expenses!E$3:E$999="GBP")*(Expenses!A$3:A$999=DATE(2026,3,15)),ROW(Expenses!A$3:A$999)-2),4)),"")&lt;&gt;"",IFERROR(INDEX(Expenses!B$3:B$999,SMALL(IF((Expenses!E$3:E$999="GBP")*(Expenses!A$3:A$999=DATE(2026,3,15)),ROW(Expenses!A$3:A$999)-2),4)),""),IF(IFERROR(INDEX(Income!B$3:B$502,SMALL(IF((Income!D$3:D$502="GBP")*(Income!A$3:A$502=DATE(2026,3,15)),ROW(Income!A$3:A$502)-2),4)),"")&lt;&gt;"",IFERROR(INDEX(Income!B$3:B$502,SMALL(IF((Income!D$3:D$502="GBP")*(Income!A$3:A$502=DATE(2026,3,15)),ROW(Income!A$3:A$502)-2),4)),""),""))</f>
        <v/>
      </c>
      <c r="Q57" s="9" t="n"/>
      <c r="R57" s="9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68">
      <c r="A58" s="9" t="n"/>
      <c r="B58" s="9" t="n"/>
      <c r="C58" s="152">
        <f t="array" ref="C58">IF(IFERROR(-INDEX(Expenses!D$3:D$999,SMALL(IF((Expenses!E$3:E$999="GBP")*(Expenses!A$3:A$999=DATE(2026,3,9)),ROW(Expenses!A$3:A$999)-2),5)),0)+IFERROR(INDEX(Income!C$3:C$502,SMALL(IF((Income!D$3:D$502="GBP")*(Income!A$3:A$502=DATE(2026,3,9)),ROW(Income!A$3:A$502)-2),5)),0)=0,"",IFERROR(-INDEX(Expenses!D$3:D$999,SMALL(IF((Expenses!E$3:E$999="GBP")*(Expenses!A$3:A$999=DATE(2026,3,9)),ROW(Expenses!A$3:A$999)-2),5)),0)+IFERROR(INDEX(Income!C$3:C$502,SMALL(IF((Income!D$3:D$502="GBP")*(Income!A$3:A$502=DATE(2026,3,9)),ROW(Income!A$3:A$502)-2),5)),0))</f>
        <v/>
      </c>
      <c r="D58" s="126">
        <f t="array" ref="D58">IF(IFERROR(INDEX(Expenses!B$3:B$999,SMALL(IF((Expenses!E$3:E$999="GBP")*(Expenses!A$3:A$999=DATE(2026,3,9)),ROW(Expenses!A$3:A$999)-2),5)),"")&lt;&gt;"",IFERROR(INDEX(Expenses!B$3:B$999,SMALL(IF((Expenses!E$3:E$999="GBP")*(Expenses!A$3:A$999=DATE(2026,3,9)),ROW(Expenses!A$3:A$999)-2),5)),""),IF(IFERROR(INDEX(Income!B$3:B$502,SMALL(IF((Income!D$3:D$502="GBP")*(Income!A$3:A$502=DATE(2026,3,9)),ROW(Income!A$3:A$502)-2),5)),"")&lt;&gt;"",IFERROR(INDEX(Income!B$3:B$502,SMALL(IF((Income!D$3:D$502="GBP")*(Income!A$3:A$502=DATE(2026,3,9)),ROW(Income!A$3:A$502)-2),5)),""),""))</f>
        <v/>
      </c>
      <c r="E58" s="152">
        <f t="array" ref="E58">IF(IFERROR(-INDEX(Expenses!D$3:D$999,SMALL(IF((Expenses!E$3:E$999="GBP")*(Expenses!A$3:A$999=DATE(2026,3,10)),ROW(Expenses!A$3:A$999)-2),5)),0)+IFERROR(INDEX(Income!C$3:C$502,SMALL(IF((Income!D$3:D$502="GBP")*(Income!A$3:A$502=DATE(2026,3,10)),ROW(Income!A$3:A$502)-2),5)),0)=0,"",IFERROR(-INDEX(Expenses!D$3:D$999,SMALL(IF((Expenses!E$3:E$999="GBP")*(Expenses!A$3:A$999=DATE(2026,3,10)),ROW(Expenses!A$3:A$999)-2),5)),0)+IFERROR(INDEX(Income!C$3:C$502,SMALL(IF((Income!D$3:D$502="GBP")*(Income!A$3:A$502=DATE(2026,3,10)),ROW(Income!A$3:A$502)-2),5)),0))</f>
        <v/>
      </c>
      <c r="F58" s="126">
        <f t="array" ref="F58">IF(IFERROR(INDEX(Expenses!B$3:B$999,SMALL(IF((Expenses!E$3:E$999="GBP")*(Expenses!A$3:A$999=DATE(2026,3,10)),ROW(Expenses!A$3:A$999)-2),5)),"")&lt;&gt;"",IFERROR(INDEX(Expenses!B$3:B$999,SMALL(IF((Expenses!E$3:E$999="GBP")*(Expenses!A$3:A$999=DATE(2026,3,10)),ROW(Expenses!A$3:A$999)-2),5)),""),IF(IFERROR(INDEX(Income!B$3:B$502,SMALL(IF((Income!D$3:D$502="GBP")*(Income!A$3:A$502=DATE(2026,3,10)),ROW(Income!A$3:A$502)-2),5)),"")&lt;&gt;"",IFERROR(INDEX(Income!B$3:B$502,SMALL(IF((Income!D$3:D$502="GBP")*(Income!A$3:A$502=DATE(2026,3,10)),ROW(Income!A$3:A$502)-2),5)),""),""))</f>
        <v/>
      </c>
      <c r="G58" s="152">
        <f t="array" ref="G58">IF(IFERROR(-INDEX(Expenses!D$3:D$999,SMALL(IF((Expenses!E$3:E$999="GBP")*(Expenses!A$3:A$999=DATE(2026,3,11)),ROW(Expenses!A$3:A$999)-2),5)),0)+IFERROR(INDEX(Income!C$3:C$502,SMALL(IF((Income!D$3:D$502="GBP")*(Income!A$3:A$502=DATE(2026,3,11)),ROW(Income!A$3:A$502)-2),5)),0)=0,"",IFERROR(-INDEX(Expenses!D$3:D$999,SMALL(IF((Expenses!E$3:E$999="GBP")*(Expenses!A$3:A$999=DATE(2026,3,11)),ROW(Expenses!A$3:A$999)-2),5)),0)+IFERROR(INDEX(Income!C$3:C$502,SMALL(IF((Income!D$3:D$502="GBP")*(Income!A$3:A$502=DATE(2026,3,11)),ROW(Income!A$3:A$502)-2),5)),0))</f>
        <v/>
      </c>
      <c r="H58" s="126">
        <f t="array" ref="H58">IF(IFERROR(INDEX(Expenses!B$3:B$999,SMALL(IF((Expenses!E$3:E$999="GBP")*(Expenses!A$3:A$999=DATE(2026,3,11)),ROW(Expenses!A$3:A$999)-2),5)),"")&lt;&gt;"",IFERROR(INDEX(Expenses!B$3:B$999,SMALL(IF((Expenses!E$3:E$999="GBP")*(Expenses!A$3:A$999=DATE(2026,3,11)),ROW(Expenses!A$3:A$999)-2),5)),""),IF(IFERROR(INDEX(Income!B$3:B$502,SMALL(IF((Income!D$3:D$502="GBP")*(Income!A$3:A$502=DATE(2026,3,11)),ROW(Income!A$3:A$502)-2),5)),"")&lt;&gt;"",IFERROR(INDEX(Income!B$3:B$502,SMALL(IF((Income!D$3:D$502="GBP")*(Income!A$3:A$502=DATE(2026,3,11)),ROW(Income!A$3:A$502)-2),5)),""),""))</f>
        <v/>
      </c>
      <c r="I58" s="152">
        <f t="array" ref="I58">IF(IFERROR(-INDEX(Expenses!D$3:D$999,SMALL(IF((Expenses!E$3:E$999="GBP")*(Expenses!A$3:A$999=DATE(2026,3,12)),ROW(Expenses!A$3:A$999)-2),5)),0)+IFERROR(INDEX(Income!C$3:C$502,SMALL(IF((Income!D$3:D$502="GBP")*(Income!A$3:A$502=DATE(2026,3,12)),ROW(Income!A$3:A$502)-2),5)),0)=0,"",IFERROR(-INDEX(Expenses!D$3:D$999,SMALL(IF((Expenses!E$3:E$999="GBP")*(Expenses!A$3:A$999=DATE(2026,3,12)),ROW(Expenses!A$3:A$999)-2),5)),0)+IFERROR(INDEX(Income!C$3:C$502,SMALL(IF((Income!D$3:D$502="GBP")*(Income!A$3:A$502=DATE(2026,3,12)),ROW(Income!A$3:A$502)-2),5)),0))</f>
        <v/>
      </c>
      <c r="J58" s="126">
        <f t="array" ref="J58">IF(IFERROR(INDEX(Expenses!B$3:B$999,SMALL(IF((Expenses!E$3:E$999="GBP")*(Expenses!A$3:A$999=DATE(2026,3,12)),ROW(Expenses!A$3:A$999)-2),5)),"")&lt;&gt;"",IFERROR(INDEX(Expenses!B$3:B$999,SMALL(IF((Expenses!E$3:E$999="GBP")*(Expenses!A$3:A$999=DATE(2026,3,12)),ROW(Expenses!A$3:A$999)-2),5)),""),IF(IFERROR(INDEX(Income!B$3:B$502,SMALL(IF((Income!D$3:D$502="GBP")*(Income!A$3:A$502=DATE(2026,3,12)),ROW(Income!A$3:A$502)-2),5)),"")&lt;&gt;"",IFERROR(INDEX(Income!B$3:B$502,SMALL(IF((Income!D$3:D$502="GBP")*(Income!A$3:A$502=DATE(2026,3,12)),ROW(Income!A$3:A$502)-2),5)),""),""))</f>
        <v/>
      </c>
      <c r="K58" s="152">
        <f t="array" ref="K58">IF(IFERROR(-INDEX(Expenses!D$3:D$999,SMALL(IF((Expenses!E$3:E$999="GBP")*(Expenses!A$3:A$999=DATE(2026,3,13)),ROW(Expenses!A$3:A$999)-2),5)),0)+IFERROR(INDEX(Income!C$3:C$502,SMALL(IF((Income!D$3:D$502="GBP")*(Income!A$3:A$502=DATE(2026,3,13)),ROW(Income!A$3:A$502)-2),5)),0)=0,"",IFERROR(-INDEX(Expenses!D$3:D$999,SMALL(IF((Expenses!E$3:E$999="GBP")*(Expenses!A$3:A$999=DATE(2026,3,13)),ROW(Expenses!A$3:A$999)-2),5)),0)+IFERROR(INDEX(Income!C$3:C$502,SMALL(IF((Income!D$3:D$502="GBP")*(Income!A$3:A$502=DATE(2026,3,13)),ROW(Income!A$3:A$502)-2),5)),0))</f>
        <v/>
      </c>
      <c r="L58" s="126">
        <f t="array" ref="L58">IF(IFERROR(INDEX(Expenses!B$3:B$999,SMALL(IF((Expenses!E$3:E$999="GBP")*(Expenses!A$3:A$999=DATE(2026,3,13)),ROW(Expenses!A$3:A$999)-2),5)),"")&lt;&gt;"",IFERROR(INDEX(Expenses!B$3:B$999,SMALL(IF((Expenses!E$3:E$999="GBP")*(Expenses!A$3:A$999=DATE(2026,3,13)),ROW(Expenses!A$3:A$999)-2),5)),""),IF(IFERROR(INDEX(Income!B$3:B$502,SMALL(IF((Income!D$3:D$502="GBP")*(Income!A$3:A$502=DATE(2026,3,13)),ROW(Income!A$3:A$502)-2),5)),"")&lt;&gt;"",IFERROR(INDEX(Income!B$3:B$502,SMALL(IF((Income!D$3:D$502="GBP")*(Income!A$3:A$502=DATE(2026,3,13)),ROW(Income!A$3:A$502)-2),5)),""),""))</f>
        <v/>
      </c>
      <c r="M58" s="152">
        <f t="array" ref="M58">IF(IFERROR(-INDEX(Expenses!D$3:D$999,SMALL(IF((Expenses!E$3:E$999="GBP")*(Expenses!A$3:A$999=DATE(2026,3,14)),ROW(Expenses!A$3:A$999)-2),5)),0)+IFERROR(INDEX(Income!C$3:C$502,SMALL(IF((Income!D$3:D$502="GBP")*(Income!A$3:A$502=DATE(2026,3,14)),ROW(Income!A$3:A$502)-2),5)),0)=0,"",IFERROR(-INDEX(Expenses!D$3:D$999,SMALL(IF((Expenses!E$3:E$999="GBP")*(Expenses!A$3:A$999=DATE(2026,3,14)),ROW(Expenses!A$3:A$999)-2),5)),0)+IFERROR(INDEX(Income!C$3:C$502,SMALL(IF((Income!D$3:D$502="GBP")*(Income!A$3:A$502=DATE(2026,3,14)),ROW(Income!A$3:A$502)-2),5)),0))</f>
        <v/>
      </c>
      <c r="N58" s="126">
        <f t="array" ref="N58">IF(IFERROR(INDEX(Expenses!B$3:B$999,SMALL(IF((Expenses!E$3:E$999="GBP")*(Expenses!A$3:A$999=DATE(2026,3,14)),ROW(Expenses!A$3:A$999)-2),5)),"")&lt;&gt;"",IFERROR(INDEX(Expenses!B$3:B$999,SMALL(IF((Expenses!E$3:E$999="GBP")*(Expenses!A$3:A$999=DATE(2026,3,14)),ROW(Expenses!A$3:A$999)-2),5)),""),IF(IFERROR(INDEX(Income!B$3:B$502,SMALL(IF((Income!D$3:D$502="GBP")*(Income!A$3:A$502=DATE(2026,3,14)),ROW(Income!A$3:A$502)-2),5)),"")&lt;&gt;"",IFERROR(INDEX(Income!B$3:B$502,SMALL(IF((Income!D$3:D$502="GBP")*(Income!A$3:A$502=DATE(2026,3,14)),ROW(Income!A$3:A$502)-2),5)),""),""))</f>
        <v/>
      </c>
      <c r="O58" s="152">
        <f t="array" ref="O58">IF(IFERROR(-INDEX(Expenses!D$3:D$999,SMALL(IF((Expenses!E$3:E$999="GBP")*(Expenses!A$3:A$999=DATE(2026,3,15)),ROW(Expenses!A$3:A$999)-2),5)),0)+IFERROR(INDEX(Income!C$3:C$502,SMALL(IF((Income!D$3:D$502="GBP")*(Income!A$3:A$502=DATE(2026,3,15)),ROW(Income!A$3:A$502)-2),5)),0)=0,"",IFERROR(-INDEX(Expenses!D$3:D$999,SMALL(IF((Expenses!E$3:E$999="GBP")*(Expenses!A$3:A$999=DATE(2026,3,15)),ROW(Expenses!A$3:A$999)-2),5)),0)+IFERROR(INDEX(Income!C$3:C$502,SMALL(IF((Income!D$3:D$502="GBP")*(Income!A$3:A$502=DATE(2026,3,15)),ROW(Income!A$3:A$502)-2),5)),0))</f>
        <v/>
      </c>
      <c r="P58" s="126">
        <f t="array" ref="P58">IF(IFERROR(INDEX(Expenses!B$3:B$999,SMALL(IF((Expenses!E$3:E$999="GBP")*(Expenses!A$3:A$999=DATE(2026,3,15)),ROW(Expenses!A$3:A$999)-2),5)),"")&lt;&gt;"",IFERROR(INDEX(Expenses!B$3:B$999,SMALL(IF((Expenses!E$3:E$999="GBP")*(Expenses!A$3:A$999=DATE(2026,3,15)),ROW(Expenses!A$3:A$999)-2),5)),""),IF(IFERROR(INDEX(Income!B$3:B$502,SMALL(IF((Income!D$3:D$502="GBP")*(Income!A$3:A$502=DATE(2026,3,15)),ROW(Income!A$3:A$502)-2),5)),"")&lt;&gt;"",IFERROR(INDEX(Income!B$3:B$502,SMALL(IF((Income!D$3:D$502="GBP")*(Income!A$3:A$502=DATE(2026,3,15)),ROW(Income!A$3:A$502)-2),5)),""),""))</f>
        <v/>
      </c>
      <c r="Q58" s="9" t="n"/>
      <c r="R58" s="9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68">
      <c r="A59" s="151" t="n">
        <v>46097</v>
      </c>
      <c r="B59" s="103" t="n">
        <v>12</v>
      </c>
      <c r="C59" s="152">
        <f t="array" ref="C59">IF(IFERROR(-INDEX(Expenses!D$3:D$999,SMALL(IF((Expenses!E$3:E$999="GBP")*(Expenses!A$3:A$999=DATE(2026,3,16)),ROW(Expenses!A$3:A$999)-2),1)),0)+IFERROR(INDEX(Income!C$3:C$502,SMALL(IF((Income!D$3:D$502="GBP")*(Income!A$3:A$502=DATE(2026,3,16)),ROW(Income!A$3:A$502)-2),1)),0)=0,"",IFERROR(-INDEX(Expenses!D$3:D$999,SMALL(IF((Expenses!E$3:E$999="GBP")*(Expenses!A$3:A$999=DATE(2026,3,16)),ROW(Expenses!A$3:A$999)-2),1)),0)+IFERROR(INDEX(Income!C$3:C$502,SMALL(IF((Income!D$3:D$502="GBP")*(Income!A$3:A$502=DATE(2026,3,16)),ROW(Income!A$3:A$502)-2),1)),0))</f>
        <v/>
      </c>
      <c r="D59" s="126">
        <f t="array" ref="D59">IF(IFERROR(INDEX(Expenses!B$3:B$999,SMALL(IF((Expenses!E$3:E$999="GBP")*(Expenses!A$3:A$999=DATE(2026,3,16)),ROW(Expenses!A$3:A$999)-2),1)),"")&lt;&gt;"",IFERROR(INDEX(Expenses!B$3:B$999,SMALL(IF((Expenses!E$3:E$999="GBP")*(Expenses!A$3:A$999=DATE(2026,3,16)),ROW(Expenses!A$3:A$999)-2),1)),""),IF(IFERROR(INDEX(Income!B$3:B$502,SMALL(IF((Income!D$3:D$502="GBP")*(Income!A$3:A$502=DATE(2026,3,16)),ROW(Income!A$3:A$502)-2),1)),"")&lt;&gt;"",IFERROR(INDEX(Income!B$3:B$502,SMALL(IF((Income!D$3:D$502="GBP")*(Income!A$3:A$502=DATE(2026,3,16)),ROW(Income!A$3:A$502)-2),1)),""),""))</f>
        <v/>
      </c>
      <c r="E59" s="152">
        <f t="array" ref="E59">IF(IFERROR(-INDEX(Expenses!D$3:D$999,SMALL(IF((Expenses!E$3:E$999="GBP")*(Expenses!A$3:A$999=DATE(2026,3,17)),ROW(Expenses!A$3:A$999)-2),1)),0)+IFERROR(INDEX(Income!C$3:C$502,SMALL(IF((Income!D$3:D$502="GBP")*(Income!A$3:A$502=DATE(2026,3,17)),ROW(Income!A$3:A$502)-2),1)),0)=0,"",IFERROR(-INDEX(Expenses!D$3:D$999,SMALL(IF((Expenses!E$3:E$999="GBP")*(Expenses!A$3:A$999=DATE(2026,3,17)),ROW(Expenses!A$3:A$999)-2),1)),0)+IFERROR(INDEX(Income!C$3:C$502,SMALL(IF((Income!D$3:D$502="GBP")*(Income!A$3:A$502=DATE(2026,3,17)),ROW(Income!A$3:A$502)-2),1)),0))</f>
        <v/>
      </c>
      <c r="F59" s="126">
        <f t="array" ref="F59">IF(IFERROR(INDEX(Expenses!B$3:B$999,SMALL(IF((Expenses!E$3:E$999="GBP")*(Expenses!A$3:A$999=DATE(2026,3,17)),ROW(Expenses!A$3:A$999)-2),1)),"")&lt;&gt;"",IFERROR(INDEX(Expenses!B$3:B$999,SMALL(IF((Expenses!E$3:E$999="GBP")*(Expenses!A$3:A$999=DATE(2026,3,17)),ROW(Expenses!A$3:A$999)-2),1)),""),IF(IFERROR(INDEX(Income!B$3:B$502,SMALL(IF((Income!D$3:D$502="GBP")*(Income!A$3:A$502=DATE(2026,3,17)),ROW(Income!A$3:A$502)-2),1)),"")&lt;&gt;"",IFERROR(INDEX(Income!B$3:B$502,SMALL(IF((Income!D$3:D$502="GBP")*(Income!A$3:A$502=DATE(2026,3,17)),ROW(Income!A$3:A$502)-2),1)),""),""))</f>
        <v/>
      </c>
      <c r="G59" s="152">
        <f t="array" ref="G59">IF(IFERROR(-INDEX(Expenses!D$3:D$999,SMALL(IF((Expenses!E$3:E$999="GBP")*(Expenses!A$3:A$999=DATE(2026,3,18)),ROW(Expenses!A$3:A$999)-2),1)),0)+IFERROR(INDEX(Income!C$3:C$502,SMALL(IF((Income!D$3:D$502="GBP")*(Income!A$3:A$502=DATE(2026,3,18)),ROW(Income!A$3:A$502)-2),1)),0)=0,"",IFERROR(-INDEX(Expenses!D$3:D$999,SMALL(IF((Expenses!E$3:E$999="GBP")*(Expenses!A$3:A$999=DATE(2026,3,18)),ROW(Expenses!A$3:A$999)-2),1)),0)+IFERROR(INDEX(Income!C$3:C$502,SMALL(IF((Income!D$3:D$502="GBP")*(Income!A$3:A$502=DATE(2026,3,18)),ROW(Income!A$3:A$502)-2),1)),0))</f>
        <v/>
      </c>
      <c r="H59" s="126">
        <f t="array" ref="H59">IF(IFERROR(INDEX(Expenses!B$3:B$999,SMALL(IF((Expenses!E$3:E$999="GBP")*(Expenses!A$3:A$999=DATE(2026,3,18)),ROW(Expenses!A$3:A$999)-2),1)),"")&lt;&gt;"",IFERROR(INDEX(Expenses!B$3:B$999,SMALL(IF((Expenses!E$3:E$999="GBP")*(Expenses!A$3:A$999=DATE(2026,3,18)),ROW(Expenses!A$3:A$999)-2),1)),""),IF(IFERROR(INDEX(Income!B$3:B$502,SMALL(IF((Income!D$3:D$502="GBP")*(Income!A$3:A$502=DATE(2026,3,18)),ROW(Income!A$3:A$502)-2),1)),"")&lt;&gt;"",IFERROR(INDEX(Income!B$3:B$502,SMALL(IF((Income!D$3:D$502="GBP")*(Income!A$3:A$502=DATE(2026,3,18)),ROW(Income!A$3:A$502)-2),1)),""),""))</f>
        <v/>
      </c>
      <c r="I59" s="152">
        <f t="array" ref="I59">IF(IFERROR(-INDEX(Expenses!D$3:D$999,SMALL(IF((Expenses!E$3:E$999="GBP")*(Expenses!A$3:A$999=DATE(2026,3,19)),ROW(Expenses!A$3:A$999)-2),1)),0)+IFERROR(INDEX(Income!C$3:C$502,SMALL(IF((Income!D$3:D$502="GBP")*(Income!A$3:A$502=DATE(2026,3,19)),ROW(Income!A$3:A$502)-2),1)),0)=0,"",IFERROR(-INDEX(Expenses!D$3:D$999,SMALL(IF((Expenses!E$3:E$999="GBP")*(Expenses!A$3:A$999=DATE(2026,3,19)),ROW(Expenses!A$3:A$999)-2),1)),0)+IFERROR(INDEX(Income!C$3:C$502,SMALL(IF((Income!D$3:D$502="GBP")*(Income!A$3:A$502=DATE(2026,3,19)),ROW(Income!A$3:A$502)-2),1)),0))</f>
        <v/>
      </c>
      <c r="J59" s="126">
        <f t="array" ref="J59">IF(IFERROR(INDEX(Expenses!B$3:B$999,SMALL(IF((Expenses!E$3:E$999="GBP")*(Expenses!A$3:A$999=DATE(2026,3,19)),ROW(Expenses!A$3:A$999)-2),1)),"")&lt;&gt;"",IFERROR(INDEX(Expenses!B$3:B$999,SMALL(IF((Expenses!E$3:E$999="GBP")*(Expenses!A$3:A$999=DATE(2026,3,19)),ROW(Expenses!A$3:A$999)-2),1)),""),IF(IFERROR(INDEX(Income!B$3:B$502,SMALL(IF((Income!D$3:D$502="GBP")*(Income!A$3:A$502=DATE(2026,3,19)),ROW(Income!A$3:A$502)-2),1)),"")&lt;&gt;"",IFERROR(INDEX(Income!B$3:B$502,SMALL(IF((Income!D$3:D$502="GBP")*(Income!A$3:A$502=DATE(2026,3,19)),ROW(Income!A$3:A$502)-2),1)),""),""))</f>
        <v/>
      </c>
      <c r="K59" s="152">
        <f t="array" ref="K59">IF(IFERROR(-INDEX(Expenses!D$3:D$999,SMALL(IF((Expenses!E$3:E$999="GBP")*(Expenses!A$3:A$999=DATE(2026,3,20)),ROW(Expenses!A$3:A$999)-2),1)),0)+IFERROR(INDEX(Income!C$3:C$502,SMALL(IF((Income!D$3:D$502="GBP")*(Income!A$3:A$502=DATE(2026,3,20)),ROW(Income!A$3:A$502)-2),1)),0)=0,"",IFERROR(-INDEX(Expenses!D$3:D$999,SMALL(IF((Expenses!E$3:E$999="GBP")*(Expenses!A$3:A$999=DATE(2026,3,20)),ROW(Expenses!A$3:A$999)-2),1)),0)+IFERROR(INDEX(Income!C$3:C$502,SMALL(IF((Income!D$3:D$502="GBP")*(Income!A$3:A$502=DATE(2026,3,20)),ROW(Income!A$3:A$502)-2),1)),0))</f>
        <v/>
      </c>
      <c r="L59" s="126">
        <f t="array" ref="L59">IF(IFERROR(INDEX(Expenses!B$3:B$999,SMALL(IF((Expenses!E$3:E$999="GBP")*(Expenses!A$3:A$999=DATE(2026,3,20)),ROW(Expenses!A$3:A$999)-2),1)),"")&lt;&gt;"",IFERROR(INDEX(Expenses!B$3:B$999,SMALL(IF((Expenses!E$3:E$999="GBP")*(Expenses!A$3:A$999=DATE(2026,3,20)),ROW(Expenses!A$3:A$999)-2),1)),""),IF(IFERROR(INDEX(Income!B$3:B$502,SMALL(IF((Income!D$3:D$502="GBP")*(Income!A$3:A$502=DATE(2026,3,20)),ROW(Income!A$3:A$502)-2),1)),"")&lt;&gt;"",IFERROR(INDEX(Income!B$3:B$502,SMALL(IF((Income!D$3:D$502="GBP")*(Income!A$3:A$502=DATE(2026,3,20)),ROW(Income!A$3:A$502)-2),1)),""),""))</f>
        <v/>
      </c>
      <c r="M59" s="152">
        <f t="array" ref="M59">IF(IFERROR(-INDEX(Expenses!D$3:D$999,SMALL(IF((Expenses!E$3:E$999="GBP")*(Expenses!A$3:A$999=DATE(2026,3,21)),ROW(Expenses!A$3:A$999)-2),1)),0)+IFERROR(INDEX(Income!C$3:C$502,SMALL(IF((Income!D$3:D$502="GBP")*(Income!A$3:A$502=DATE(2026,3,21)),ROW(Income!A$3:A$502)-2),1)),0)=0,"",IFERROR(-INDEX(Expenses!D$3:D$999,SMALL(IF((Expenses!E$3:E$999="GBP")*(Expenses!A$3:A$999=DATE(2026,3,21)),ROW(Expenses!A$3:A$999)-2),1)),0)+IFERROR(INDEX(Income!C$3:C$502,SMALL(IF((Income!D$3:D$502="GBP")*(Income!A$3:A$502=DATE(2026,3,21)),ROW(Income!A$3:A$502)-2),1)),0))</f>
        <v/>
      </c>
      <c r="N59" s="126">
        <f t="array" ref="N59">IF(IFERROR(INDEX(Expenses!B$3:B$999,SMALL(IF((Expenses!E$3:E$999="GBP")*(Expenses!A$3:A$999=DATE(2026,3,21)),ROW(Expenses!A$3:A$999)-2),1)),"")&lt;&gt;"",IFERROR(INDEX(Expenses!B$3:B$999,SMALL(IF((Expenses!E$3:E$999="GBP")*(Expenses!A$3:A$999=DATE(2026,3,21)),ROW(Expenses!A$3:A$999)-2),1)),""),IF(IFERROR(INDEX(Income!B$3:B$502,SMALL(IF((Income!D$3:D$502="GBP")*(Income!A$3:A$502=DATE(2026,3,21)),ROW(Income!A$3:A$502)-2),1)),"")&lt;&gt;"",IFERROR(INDEX(Income!B$3:B$502,SMALL(IF((Income!D$3:D$502="GBP")*(Income!A$3:A$502=DATE(2026,3,21)),ROW(Income!A$3:A$502)-2),1)),""),""))</f>
        <v/>
      </c>
      <c r="O59" s="152">
        <f t="array" ref="O59">IF(IFERROR(-INDEX(Expenses!D$3:D$999,SMALL(IF((Expenses!E$3:E$999="GBP")*(Expenses!A$3:A$999=DATE(2026,3,22)),ROW(Expenses!A$3:A$999)-2),1)),0)+IFERROR(INDEX(Income!C$3:C$502,SMALL(IF((Income!D$3:D$502="GBP")*(Income!A$3:A$502=DATE(2026,3,22)),ROW(Income!A$3:A$502)-2),1)),0)=0,"",IFERROR(-INDEX(Expenses!D$3:D$999,SMALL(IF((Expenses!E$3:E$999="GBP")*(Expenses!A$3:A$999=DATE(2026,3,22)),ROW(Expenses!A$3:A$999)-2),1)),0)+IFERROR(INDEX(Income!C$3:C$502,SMALL(IF((Income!D$3:D$502="GBP")*(Income!A$3:A$502=DATE(2026,3,22)),ROW(Income!A$3:A$502)-2),1)),0))</f>
        <v/>
      </c>
      <c r="P59" s="126">
        <f t="array" ref="P59">IF(IFERROR(INDEX(Expenses!B$3:B$999,SMALL(IF((Expenses!E$3:E$999="GBP")*(Expenses!A$3:A$999=DATE(2026,3,22)),ROW(Expenses!A$3:A$999)-2),1)),"")&lt;&gt;"",IFERROR(INDEX(Expenses!B$3:B$999,SMALL(IF((Expenses!E$3:E$999="GBP")*(Expenses!A$3:A$999=DATE(2026,3,22)),ROW(Expenses!A$3:A$999)-2),1)),""),IF(IFERROR(INDEX(Income!B$3:B$502,SMALL(IF((Income!D$3:D$502="GBP")*(Income!A$3:A$502=DATE(2026,3,22)),ROW(Income!A$3:A$502)-2),1)),"")&lt;&gt;"",IFERROR(INDEX(Income!B$3:B$502,SMALL(IF((Income!D$3:D$502="GBP")*(Income!A$3:A$502=DATE(2026,3,22)),ROW(Income!A$3:A$502)-2),1)),""),""))</f>
        <v/>
      </c>
      <c r="Q59" s="103" t="n">
        <v>12</v>
      </c>
      <c r="R59" s="134">
        <f>SUM(C59:C63)+SUM(E59:E63)+SUM(G59:G63)+SUM(I59:I63)+SUM(K59:K63)+SUM(M59:M63)+SUM(O59:O63)</f>
        <v/>
      </c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68">
      <c r="A60" s="9" t="n"/>
      <c r="B60" s="9" t="n"/>
      <c r="C60" s="152">
        <f t="array" ref="C60">IF(IFERROR(-INDEX(Expenses!D$3:D$999,SMALL(IF((Expenses!E$3:E$999="GBP")*(Expenses!A$3:A$999=DATE(2026,3,16)),ROW(Expenses!A$3:A$999)-2),2)),0)+IFERROR(INDEX(Income!C$3:C$502,SMALL(IF((Income!D$3:D$502="GBP")*(Income!A$3:A$502=DATE(2026,3,16)),ROW(Income!A$3:A$502)-2),2)),0)=0,"",IFERROR(-INDEX(Expenses!D$3:D$999,SMALL(IF((Expenses!E$3:E$999="GBP")*(Expenses!A$3:A$999=DATE(2026,3,16)),ROW(Expenses!A$3:A$999)-2),2)),0)+IFERROR(INDEX(Income!C$3:C$502,SMALL(IF((Income!D$3:D$502="GBP")*(Income!A$3:A$502=DATE(2026,3,16)),ROW(Income!A$3:A$502)-2),2)),0))</f>
        <v/>
      </c>
      <c r="D60" s="126">
        <f t="array" ref="D60">IF(IFERROR(INDEX(Expenses!B$3:B$999,SMALL(IF((Expenses!E$3:E$999="GBP")*(Expenses!A$3:A$999=DATE(2026,3,16)),ROW(Expenses!A$3:A$999)-2),2)),"")&lt;&gt;"",IFERROR(INDEX(Expenses!B$3:B$999,SMALL(IF((Expenses!E$3:E$999="GBP")*(Expenses!A$3:A$999=DATE(2026,3,16)),ROW(Expenses!A$3:A$999)-2),2)),""),IF(IFERROR(INDEX(Income!B$3:B$502,SMALL(IF((Income!D$3:D$502="GBP")*(Income!A$3:A$502=DATE(2026,3,16)),ROW(Income!A$3:A$502)-2),2)),"")&lt;&gt;"",IFERROR(INDEX(Income!B$3:B$502,SMALL(IF((Income!D$3:D$502="GBP")*(Income!A$3:A$502=DATE(2026,3,16)),ROW(Income!A$3:A$502)-2),2)),""),""))</f>
        <v/>
      </c>
      <c r="E60" s="152">
        <f t="array" ref="E60">IF(IFERROR(-INDEX(Expenses!D$3:D$999,SMALL(IF((Expenses!E$3:E$999="GBP")*(Expenses!A$3:A$999=DATE(2026,3,17)),ROW(Expenses!A$3:A$999)-2),2)),0)+IFERROR(INDEX(Income!C$3:C$502,SMALL(IF((Income!D$3:D$502="GBP")*(Income!A$3:A$502=DATE(2026,3,17)),ROW(Income!A$3:A$502)-2),2)),0)=0,"",IFERROR(-INDEX(Expenses!D$3:D$999,SMALL(IF((Expenses!E$3:E$999="GBP")*(Expenses!A$3:A$999=DATE(2026,3,17)),ROW(Expenses!A$3:A$999)-2),2)),0)+IFERROR(INDEX(Income!C$3:C$502,SMALL(IF((Income!D$3:D$502="GBP")*(Income!A$3:A$502=DATE(2026,3,17)),ROW(Income!A$3:A$502)-2),2)),0))</f>
        <v/>
      </c>
      <c r="F60" s="126">
        <f t="array" ref="F60">IF(IFERROR(INDEX(Expenses!B$3:B$999,SMALL(IF((Expenses!E$3:E$999="GBP")*(Expenses!A$3:A$999=DATE(2026,3,17)),ROW(Expenses!A$3:A$999)-2),2)),"")&lt;&gt;"",IFERROR(INDEX(Expenses!B$3:B$999,SMALL(IF((Expenses!E$3:E$999="GBP")*(Expenses!A$3:A$999=DATE(2026,3,17)),ROW(Expenses!A$3:A$999)-2),2)),""),IF(IFERROR(INDEX(Income!B$3:B$502,SMALL(IF((Income!D$3:D$502="GBP")*(Income!A$3:A$502=DATE(2026,3,17)),ROW(Income!A$3:A$502)-2),2)),"")&lt;&gt;"",IFERROR(INDEX(Income!B$3:B$502,SMALL(IF((Income!D$3:D$502="GBP")*(Income!A$3:A$502=DATE(2026,3,17)),ROW(Income!A$3:A$502)-2),2)),""),""))</f>
        <v/>
      </c>
      <c r="G60" s="152">
        <f t="array" ref="G60">IF(IFERROR(-INDEX(Expenses!D$3:D$999,SMALL(IF((Expenses!E$3:E$999="GBP")*(Expenses!A$3:A$999=DATE(2026,3,18)),ROW(Expenses!A$3:A$999)-2),2)),0)+IFERROR(INDEX(Income!C$3:C$502,SMALL(IF((Income!D$3:D$502="GBP")*(Income!A$3:A$502=DATE(2026,3,18)),ROW(Income!A$3:A$502)-2),2)),0)=0,"",IFERROR(-INDEX(Expenses!D$3:D$999,SMALL(IF((Expenses!E$3:E$999="GBP")*(Expenses!A$3:A$999=DATE(2026,3,18)),ROW(Expenses!A$3:A$999)-2),2)),0)+IFERROR(INDEX(Income!C$3:C$502,SMALL(IF((Income!D$3:D$502="GBP")*(Income!A$3:A$502=DATE(2026,3,18)),ROW(Income!A$3:A$502)-2),2)),0))</f>
        <v/>
      </c>
      <c r="H60" s="126">
        <f t="array" ref="H60">IF(IFERROR(INDEX(Expenses!B$3:B$999,SMALL(IF((Expenses!E$3:E$999="GBP")*(Expenses!A$3:A$999=DATE(2026,3,18)),ROW(Expenses!A$3:A$999)-2),2)),"")&lt;&gt;"",IFERROR(INDEX(Expenses!B$3:B$999,SMALL(IF((Expenses!E$3:E$999="GBP")*(Expenses!A$3:A$999=DATE(2026,3,18)),ROW(Expenses!A$3:A$999)-2),2)),""),IF(IFERROR(INDEX(Income!B$3:B$502,SMALL(IF((Income!D$3:D$502="GBP")*(Income!A$3:A$502=DATE(2026,3,18)),ROW(Income!A$3:A$502)-2),2)),"")&lt;&gt;"",IFERROR(INDEX(Income!B$3:B$502,SMALL(IF((Income!D$3:D$502="GBP")*(Income!A$3:A$502=DATE(2026,3,18)),ROW(Income!A$3:A$502)-2),2)),""),""))</f>
        <v/>
      </c>
      <c r="I60" s="152">
        <f t="array" ref="I60">IF(IFERROR(-INDEX(Expenses!D$3:D$999,SMALL(IF((Expenses!E$3:E$999="GBP")*(Expenses!A$3:A$999=DATE(2026,3,19)),ROW(Expenses!A$3:A$999)-2),2)),0)+IFERROR(INDEX(Income!C$3:C$502,SMALL(IF((Income!D$3:D$502="GBP")*(Income!A$3:A$502=DATE(2026,3,19)),ROW(Income!A$3:A$502)-2),2)),0)=0,"",IFERROR(-INDEX(Expenses!D$3:D$999,SMALL(IF((Expenses!E$3:E$999="GBP")*(Expenses!A$3:A$999=DATE(2026,3,19)),ROW(Expenses!A$3:A$999)-2),2)),0)+IFERROR(INDEX(Income!C$3:C$502,SMALL(IF((Income!D$3:D$502="GBP")*(Income!A$3:A$502=DATE(2026,3,19)),ROW(Income!A$3:A$502)-2),2)),0))</f>
        <v/>
      </c>
      <c r="J60" s="126">
        <f t="array" ref="J60">IF(IFERROR(INDEX(Expenses!B$3:B$999,SMALL(IF((Expenses!E$3:E$999="GBP")*(Expenses!A$3:A$999=DATE(2026,3,19)),ROW(Expenses!A$3:A$999)-2),2)),"")&lt;&gt;"",IFERROR(INDEX(Expenses!B$3:B$999,SMALL(IF((Expenses!E$3:E$999="GBP")*(Expenses!A$3:A$999=DATE(2026,3,19)),ROW(Expenses!A$3:A$999)-2),2)),""),IF(IFERROR(INDEX(Income!B$3:B$502,SMALL(IF((Income!D$3:D$502="GBP")*(Income!A$3:A$502=DATE(2026,3,19)),ROW(Income!A$3:A$502)-2),2)),"")&lt;&gt;"",IFERROR(INDEX(Income!B$3:B$502,SMALL(IF((Income!D$3:D$502="GBP")*(Income!A$3:A$502=DATE(2026,3,19)),ROW(Income!A$3:A$502)-2),2)),""),""))</f>
        <v/>
      </c>
      <c r="K60" s="152">
        <f t="array" ref="K60">IF(IFERROR(-INDEX(Expenses!D$3:D$999,SMALL(IF((Expenses!E$3:E$999="GBP")*(Expenses!A$3:A$999=DATE(2026,3,20)),ROW(Expenses!A$3:A$999)-2),2)),0)+IFERROR(INDEX(Income!C$3:C$502,SMALL(IF((Income!D$3:D$502="GBP")*(Income!A$3:A$502=DATE(2026,3,20)),ROW(Income!A$3:A$502)-2),2)),0)=0,"",IFERROR(-INDEX(Expenses!D$3:D$999,SMALL(IF((Expenses!E$3:E$999="GBP")*(Expenses!A$3:A$999=DATE(2026,3,20)),ROW(Expenses!A$3:A$999)-2),2)),0)+IFERROR(INDEX(Income!C$3:C$502,SMALL(IF((Income!D$3:D$502="GBP")*(Income!A$3:A$502=DATE(2026,3,20)),ROW(Income!A$3:A$502)-2),2)),0))</f>
        <v/>
      </c>
      <c r="L60" s="126">
        <f t="array" ref="L60">IF(IFERROR(INDEX(Expenses!B$3:B$999,SMALL(IF((Expenses!E$3:E$999="GBP")*(Expenses!A$3:A$999=DATE(2026,3,20)),ROW(Expenses!A$3:A$999)-2),2)),"")&lt;&gt;"",IFERROR(INDEX(Expenses!B$3:B$999,SMALL(IF((Expenses!E$3:E$999="GBP")*(Expenses!A$3:A$999=DATE(2026,3,20)),ROW(Expenses!A$3:A$999)-2),2)),""),IF(IFERROR(INDEX(Income!B$3:B$502,SMALL(IF((Income!D$3:D$502="GBP")*(Income!A$3:A$502=DATE(2026,3,20)),ROW(Income!A$3:A$502)-2),2)),"")&lt;&gt;"",IFERROR(INDEX(Income!B$3:B$502,SMALL(IF((Income!D$3:D$502="GBP")*(Income!A$3:A$502=DATE(2026,3,20)),ROW(Income!A$3:A$502)-2),2)),""),""))</f>
        <v/>
      </c>
      <c r="M60" s="152">
        <f t="array" ref="M60">IF(IFERROR(-INDEX(Expenses!D$3:D$999,SMALL(IF((Expenses!E$3:E$999="GBP")*(Expenses!A$3:A$999=DATE(2026,3,21)),ROW(Expenses!A$3:A$999)-2),2)),0)+IFERROR(INDEX(Income!C$3:C$502,SMALL(IF((Income!D$3:D$502="GBP")*(Income!A$3:A$502=DATE(2026,3,21)),ROW(Income!A$3:A$502)-2),2)),0)=0,"",IFERROR(-INDEX(Expenses!D$3:D$999,SMALL(IF((Expenses!E$3:E$999="GBP")*(Expenses!A$3:A$999=DATE(2026,3,21)),ROW(Expenses!A$3:A$999)-2),2)),0)+IFERROR(INDEX(Income!C$3:C$502,SMALL(IF((Income!D$3:D$502="GBP")*(Income!A$3:A$502=DATE(2026,3,21)),ROW(Income!A$3:A$502)-2),2)),0))</f>
        <v/>
      </c>
      <c r="N60" s="126">
        <f t="array" ref="N60">IF(IFERROR(INDEX(Expenses!B$3:B$999,SMALL(IF((Expenses!E$3:E$999="GBP")*(Expenses!A$3:A$999=DATE(2026,3,21)),ROW(Expenses!A$3:A$999)-2),2)),"")&lt;&gt;"",IFERROR(INDEX(Expenses!B$3:B$999,SMALL(IF((Expenses!E$3:E$999="GBP")*(Expenses!A$3:A$999=DATE(2026,3,21)),ROW(Expenses!A$3:A$999)-2),2)),""),IF(IFERROR(INDEX(Income!B$3:B$502,SMALL(IF((Income!D$3:D$502="GBP")*(Income!A$3:A$502=DATE(2026,3,21)),ROW(Income!A$3:A$502)-2),2)),"")&lt;&gt;"",IFERROR(INDEX(Income!B$3:B$502,SMALL(IF((Income!D$3:D$502="GBP")*(Income!A$3:A$502=DATE(2026,3,21)),ROW(Income!A$3:A$502)-2),2)),""),""))</f>
        <v/>
      </c>
      <c r="O60" s="152">
        <f t="array" ref="O60">IF(IFERROR(-INDEX(Expenses!D$3:D$999,SMALL(IF((Expenses!E$3:E$999="GBP")*(Expenses!A$3:A$999=DATE(2026,3,22)),ROW(Expenses!A$3:A$999)-2),2)),0)+IFERROR(INDEX(Income!C$3:C$502,SMALL(IF((Income!D$3:D$502="GBP")*(Income!A$3:A$502=DATE(2026,3,22)),ROW(Income!A$3:A$502)-2),2)),0)=0,"",IFERROR(-INDEX(Expenses!D$3:D$999,SMALL(IF((Expenses!E$3:E$999="GBP")*(Expenses!A$3:A$999=DATE(2026,3,22)),ROW(Expenses!A$3:A$999)-2),2)),0)+IFERROR(INDEX(Income!C$3:C$502,SMALL(IF((Income!D$3:D$502="GBP")*(Income!A$3:A$502=DATE(2026,3,22)),ROW(Income!A$3:A$502)-2),2)),0))</f>
        <v/>
      </c>
      <c r="P60" s="126">
        <f t="array" ref="P60">IF(IFERROR(INDEX(Expenses!B$3:B$999,SMALL(IF((Expenses!E$3:E$999="GBP")*(Expenses!A$3:A$999=DATE(2026,3,22)),ROW(Expenses!A$3:A$999)-2),2)),"")&lt;&gt;"",IFERROR(INDEX(Expenses!B$3:B$999,SMALL(IF((Expenses!E$3:E$999="GBP")*(Expenses!A$3:A$999=DATE(2026,3,22)),ROW(Expenses!A$3:A$999)-2),2)),""),IF(IFERROR(INDEX(Income!B$3:B$502,SMALL(IF((Income!D$3:D$502="GBP")*(Income!A$3:A$502=DATE(2026,3,22)),ROW(Income!A$3:A$502)-2),2)),"")&lt;&gt;"",IFERROR(INDEX(Income!B$3:B$502,SMALL(IF((Income!D$3:D$502="GBP")*(Income!A$3:A$502=DATE(2026,3,22)),ROW(Income!A$3:A$502)-2),2)),""),""))</f>
        <v/>
      </c>
      <c r="Q60" s="9" t="n"/>
      <c r="R60" s="9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68">
      <c r="A61" s="9" t="n"/>
      <c r="B61" s="9" t="n"/>
      <c r="C61" s="152">
        <f t="array" ref="C61">IF(IFERROR(-INDEX(Expenses!D$3:D$999,SMALL(IF((Expenses!E$3:E$999="GBP")*(Expenses!A$3:A$999=DATE(2026,3,16)),ROW(Expenses!A$3:A$999)-2),3)),0)+IFERROR(INDEX(Income!C$3:C$502,SMALL(IF((Income!D$3:D$502="GBP")*(Income!A$3:A$502=DATE(2026,3,16)),ROW(Income!A$3:A$502)-2),3)),0)=0,"",IFERROR(-INDEX(Expenses!D$3:D$999,SMALL(IF((Expenses!E$3:E$999="GBP")*(Expenses!A$3:A$999=DATE(2026,3,16)),ROW(Expenses!A$3:A$999)-2),3)),0)+IFERROR(INDEX(Income!C$3:C$502,SMALL(IF((Income!D$3:D$502="GBP")*(Income!A$3:A$502=DATE(2026,3,16)),ROW(Income!A$3:A$502)-2),3)),0))</f>
        <v/>
      </c>
      <c r="D61" s="126">
        <f t="array" ref="D61">IF(IFERROR(INDEX(Expenses!B$3:B$999,SMALL(IF((Expenses!E$3:E$999="GBP")*(Expenses!A$3:A$999=DATE(2026,3,16)),ROW(Expenses!A$3:A$999)-2),3)),"")&lt;&gt;"",IFERROR(INDEX(Expenses!B$3:B$999,SMALL(IF((Expenses!E$3:E$999="GBP")*(Expenses!A$3:A$999=DATE(2026,3,16)),ROW(Expenses!A$3:A$999)-2),3)),""),IF(IFERROR(INDEX(Income!B$3:B$502,SMALL(IF((Income!D$3:D$502="GBP")*(Income!A$3:A$502=DATE(2026,3,16)),ROW(Income!A$3:A$502)-2),3)),"")&lt;&gt;"",IFERROR(INDEX(Income!B$3:B$502,SMALL(IF((Income!D$3:D$502="GBP")*(Income!A$3:A$502=DATE(2026,3,16)),ROW(Income!A$3:A$502)-2),3)),""),""))</f>
        <v/>
      </c>
      <c r="E61" s="152">
        <f t="array" ref="E61">IF(IFERROR(-INDEX(Expenses!D$3:D$999,SMALL(IF((Expenses!E$3:E$999="GBP")*(Expenses!A$3:A$999=DATE(2026,3,17)),ROW(Expenses!A$3:A$999)-2),3)),0)+IFERROR(INDEX(Income!C$3:C$502,SMALL(IF((Income!D$3:D$502="GBP")*(Income!A$3:A$502=DATE(2026,3,17)),ROW(Income!A$3:A$502)-2),3)),0)=0,"",IFERROR(-INDEX(Expenses!D$3:D$999,SMALL(IF((Expenses!E$3:E$999="GBP")*(Expenses!A$3:A$999=DATE(2026,3,17)),ROW(Expenses!A$3:A$999)-2),3)),0)+IFERROR(INDEX(Income!C$3:C$502,SMALL(IF((Income!D$3:D$502="GBP")*(Income!A$3:A$502=DATE(2026,3,17)),ROW(Income!A$3:A$502)-2),3)),0))</f>
        <v/>
      </c>
      <c r="F61" s="126">
        <f t="array" ref="F61">IF(IFERROR(INDEX(Expenses!B$3:B$999,SMALL(IF((Expenses!E$3:E$999="GBP")*(Expenses!A$3:A$999=DATE(2026,3,17)),ROW(Expenses!A$3:A$999)-2),3)),"")&lt;&gt;"",IFERROR(INDEX(Expenses!B$3:B$999,SMALL(IF((Expenses!E$3:E$999="GBP")*(Expenses!A$3:A$999=DATE(2026,3,17)),ROW(Expenses!A$3:A$999)-2),3)),""),IF(IFERROR(INDEX(Income!B$3:B$502,SMALL(IF((Income!D$3:D$502="GBP")*(Income!A$3:A$502=DATE(2026,3,17)),ROW(Income!A$3:A$502)-2),3)),"")&lt;&gt;"",IFERROR(INDEX(Income!B$3:B$502,SMALL(IF((Income!D$3:D$502="GBP")*(Income!A$3:A$502=DATE(2026,3,17)),ROW(Income!A$3:A$502)-2),3)),""),""))</f>
        <v/>
      </c>
      <c r="G61" s="152">
        <f t="array" ref="G61">IF(IFERROR(-INDEX(Expenses!D$3:D$999,SMALL(IF((Expenses!E$3:E$999="GBP")*(Expenses!A$3:A$999=DATE(2026,3,18)),ROW(Expenses!A$3:A$999)-2),3)),0)+IFERROR(INDEX(Income!C$3:C$502,SMALL(IF((Income!D$3:D$502="GBP")*(Income!A$3:A$502=DATE(2026,3,18)),ROW(Income!A$3:A$502)-2),3)),0)=0,"",IFERROR(-INDEX(Expenses!D$3:D$999,SMALL(IF((Expenses!E$3:E$999="GBP")*(Expenses!A$3:A$999=DATE(2026,3,18)),ROW(Expenses!A$3:A$999)-2),3)),0)+IFERROR(INDEX(Income!C$3:C$502,SMALL(IF((Income!D$3:D$502="GBP")*(Income!A$3:A$502=DATE(2026,3,18)),ROW(Income!A$3:A$502)-2),3)),0))</f>
        <v/>
      </c>
      <c r="H61" s="126">
        <f t="array" ref="H61">IF(IFERROR(INDEX(Expenses!B$3:B$999,SMALL(IF((Expenses!E$3:E$999="GBP")*(Expenses!A$3:A$999=DATE(2026,3,18)),ROW(Expenses!A$3:A$999)-2),3)),"")&lt;&gt;"",IFERROR(INDEX(Expenses!B$3:B$999,SMALL(IF((Expenses!E$3:E$999="GBP")*(Expenses!A$3:A$999=DATE(2026,3,18)),ROW(Expenses!A$3:A$999)-2),3)),""),IF(IFERROR(INDEX(Income!B$3:B$502,SMALL(IF((Income!D$3:D$502="GBP")*(Income!A$3:A$502=DATE(2026,3,18)),ROW(Income!A$3:A$502)-2),3)),"")&lt;&gt;"",IFERROR(INDEX(Income!B$3:B$502,SMALL(IF((Income!D$3:D$502="GBP")*(Income!A$3:A$502=DATE(2026,3,18)),ROW(Income!A$3:A$502)-2),3)),""),""))</f>
        <v/>
      </c>
      <c r="I61" s="152">
        <f t="array" ref="I61">IF(IFERROR(-INDEX(Expenses!D$3:D$999,SMALL(IF((Expenses!E$3:E$999="GBP")*(Expenses!A$3:A$999=DATE(2026,3,19)),ROW(Expenses!A$3:A$999)-2),3)),0)+IFERROR(INDEX(Income!C$3:C$502,SMALL(IF((Income!D$3:D$502="GBP")*(Income!A$3:A$502=DATE(2026,3,19)),ROW(Income!A$3:A$502)-2),3)),0)=0,"",IFERROR(-INDEX(Expenses!D$3:D$999,SMALL(IF((Expenses!E$3:E$999="GBP")*(Expenses!A$3:A$999=DATE(2026,3,19)),ROW(Expenses!A$3:A$999)-2),3)),0)+IFERROR(INDEX(Income!C$3:C$502,SMALL(IF((Income!D$3:D$502="GBP")*(Income!A$3:A$502=DATE(2026,3,19)),ROW(Income!A$3:A$502)-2),3)),0))</f>
        <v/>
      </c>
      <c r="J61" s="126">
        <f t="array" ref="J61">IF(IFERROR(INDEX(Expenses!B$3:B$999,SMALL(IF((Expenses!E$3:E$999="GBP")*(Expenses!A$3:A$999=DATE(2026,3,19)),ROW(Expenses!A$3:A$999)-2),3)),"")&lt;&gt;"",IFERROR(INDEX(Expenses!B$3:B$999,SMALL(IF((Expenses!E$3:E$999="GBP")*(Expenses!A$3:A$999=DATE(2026,3,19)),ROW(Expenses!A$3:A$999)-2),3)),""),IF(IFERROR(INDEX(Income!B$3:B$502,SMALL(IF((Income!D$3:D$502="GBP")*(Income!A$3:A$502=DATE(2026,3,19)),ROW(Income!A$3:A$502)-2),3)),"")&lt;&gt;"",IFERROR(INDEX(Income!B$3:B$502,SMALL(IF((Income!D$3:D$502="GBP")*(Income!A$3:A$502=DATE(2026,3,19)),ROW(Income!A$3:A$502)-2),3)),""),""))</f>
        <v/>
      </c>
      <c r="K61" s="152">
        <f t="array" ref="K61">IF(IFERROR(-INDEX(Expenses!D$3:D$999,SMALL(IF((Expenses!E$3:E$999="GBP")*(Expenses!A$3:A$999=DATE(2026,3,20)),ROW(Expenses!A$3:A$999)-2),3)),0)+IFERROR(INDEX(Income!C$3:C$502,SMALL(IF((Income!D$3:D$502="GBP")*(Income!A$3:A$502=DATE(2026,3,20)),ROW(Income!A$3:A$502)-2),3)),0)=0,"",IFERROR(-INDEX(Expenses!D$3:D$999,SMALL(IF((Expenses!E$3:E$999="GBP")*(Expenses!A$3:A$999=DATE(2026,3,20)),ROW(Expenses!A$3:A$999)-2),3)),0)+IFERROR(INDEX(Income!C$3:C$502,SMALL(IF((Income!D$3:D$502="GBP")*(Income!A$3:A$502=DATE(2026,3,20)),ROW(Income!A$3:A$502)-2),3)),0))</f>
        <v/>
      </c>
      <c r="L61" s="126">
        <f t="array" ref="L61">IF(IFERROR(INDEX(Expenses!B$3:B$999,SMALL(IF((Expenses!E$3:E$999="GBP")*(Expenses!A$3:A$999=DATE(2026,3,20)),ROW(Expenses!A$3:A$999)-2),3)),"")&lt;&gt;"",IFERROR(INDEX(Expenses!B$3:B$999,SMALL(IF((Expenses!E$3:E$999="GBP")*(Expenses!A$3:A$999=DATE(2026,3,20)),ROW(Expenses!A$3:A$999)-2),3)),""),IF(IFERROR(INDEX(Income!B$3:B$502,SMALL(IF((Income!D$3:D$502="GBP")*(Income!A$3:A$502=DATE(2026,3,20)),ROW(Income!A$3:A$502)-2),3)),"")&lt;&gt;"",IFERROR(INDEX(Income!B$3:B$502,SMALL(IF((Income!D$3:D$502="GBP")*(Income!A$3:A$502=DATE(2026,3,20)),ROW(Income!A$3:A$502)-2),3)),""),""))</f>
        <v/>
      </c>
      <c r="M61" s="152">
        <f t="array" ref="M61">IF(IFERROR(-INDEX(Expenses!D$3:D$999,SMALL(IF((Expenses!E$3:E$999="GBP")*(Expenses!A$3:A$999=DATE(2026,3,21)),ROW(Expenses!A$3:A$999)-2),3)),0)+IFERROR(INDEX(Income!C$3:C$502,SMALL(IF((Income!D$3:D$502="GBP")*(Income!A$3:A$502=DATE(2026,3,21)),ROW(Income!A$3:A$502)-2),3)),0)=0,"",IFERROR(-INDEX(Expenses!D$3:D$999,SMALL(IF((Expenses!E$3:E$999="GBP")*(Expenses!A$3:A$999=DATE(2026,3,21)),ROW(Expenses!A$3:A$999)-2),3)),0)+IFERROR(INDEX(Income!C$3:C$502,SMALL(IF((Income!D$3:D$502="GBP")*(Income!A$3:A$502=DATE(2026,3,21)),ROW(Income!A$3:A$502)-2),3)),0))</f>
        <v/>
      </c>
      <c r="N61" s="126">
        <f t="array" ref="N61">IF(IFERROR(INDEX(Expenses!B$3:B$999,SMALL(IF((Expenses!E$3:E$999="GBP")*(Expenses!A$3:A$999=DATE(2026,3,21)),ROW(Expenses!A$3:A$999)-2),3)),"")&lt;&gt;"",IFERROR(INDEX(Expenses!B$3:B$999,SMALL(IF((Expenses!E$3:E$999="GBP")*(Expenses!A$3:A$999=DATE(2026,3,21)),ROW(Expenses!A$3:A$999)-2),3)),""),IF(IFERROR(INDEX(Income!B$3:B$502,SMALL(IF((Income!D$3:D$502="GBP")*(Income!A$3:A$502=DATE(2026,3,21)),ROW(Income!A$3:A$502)-2),3)),"")&lt;&gt;"",IFERROR(INDEX(Income!B$3:B$502,SMALL(IF((Income!D$3:D$502="GBP")*(Income!A$3:A$502=DATE(2026,3,21)),ROW(Income!A$3:A$502)-2),3)),""),""))</f>
        <v/>
      </c>
      <c r="O61" s="152">
        <f t="array" ref="O61">IF(IFERROR(-INDEX(Expenses!D$3:D$999,SMALL(IF((Expenses!E$3:E$999="GBP")*(Expenses!A$3:A$999=DATE(2026,3,22)),ROW(Expenses!A$3:A$999)-2),3)),0)+IFERROR(INDEX(Income!C$3:C$502,SMALL(IF((Income!D$3:D$502="GBP")*(Income!A$3:A$502=DATE(2026,3,22)),ROW(Income!A$3:A$502)-2),3)),0)=0,"",IFERROR(-INDEX(Expenses!D$3:D$999,SMALL(IF((Expenses!E$3:E$999="GBP")*(Expenses!A$3:A$999=DATE(2026,3,22)),ROW(Expenses!A$3:A$999)-2),3)),0)+IFERROR(INDEX(Income!C$3:C$502,SMALL(IF((Income!D$3:D$502="GBP")*(Income!A$3:A$502=DATE(2026,3,22)),ROW(Income!A$3:A$502)-2),3)),0))</f>
        <v/>
      </c>
      <c r="P61" s="126">
        <f t="array" ref="P61">IF(IFERROR(INDEX(Expenses!B$3:B$999,SMALL(IF((Expenses!E$3:E$999="GBP")*(Expenses!A$3:A$999=DATE(2026,3,22)),ROW(Expenses!A$3:A$999)-2),3)),"")&lt;&gt;"",IFERROR(INDEX(Expenses!B$3:B$999,SMALL(IF((Expenses!E$3:E$999="GBP")*(Expenses!A$3:A$999=DATE(2026,3,22)),ROW(Expenses!A$3:A$999)-2),3)),""),IF(IFERROR(INDEX(Income!B$3:B$502,SMALL(IF((Income!D$3:D$502="GBP")*(Income!A$3:A$502=DATE(2026,3,22)),ROW(Income!A$3:A$502)-2),3)),"")&lt;&gt;"",IFERROR(INDEX(Income!B$3:B$502,SMALL(IF((Income!D$3:D$502="GBP")*(Income!A$3:A$502=DATE(2026,3,22)),ROW(Income!A$3:A$502)-2),3)),""),""))</f>
        <v/>
      </c>
      <c r="Q61" s="9" t="n"/>
      <c r="R61" s="9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68">
      <c r="A62" s="9" t="n"/>
      <c r="B62" s="9" t="n"/>
      <c r="C62" s="152">
        <f t="array" ref="C62">IF(IFERROR(-INDEX(Expenses!D$3:D$999,SMALL(IF((Expenses!E$3:E$999="GBP")*(Expenses!A$3:A$999=DATE(2026,3,16)),ROW(Expenses!A$3:A$999)-2),4)),0)+IFERROR(INDEX(Income!C$3:C$502,SMALL(IF((Income!D$3:D$502="GBP")*(Income!A$3:A$502=DATE(2026,3,16)),ROW(Income!A$3:A$502)-2),4)),0)=0,"",IFERROR(-INDEX(Expenses!D$3:D$999,SMALL(IF((Expenses!E$3:E$999="GBP")*(Expenses!A$3:A$999=DATE(2026,3,16)),ROW(Expenses!A$3:A$999)-2),4)),0)+IFERROR(INDEX(Income!C$3:C$502,SMALL(IF((Income!D$3:D$502="GBP")*(Income!A$3:A$502=DATE(2026,3,16)),ROW(Income!A$3:A$502)-2),4)),0))</f>
        <v/>
      </c>
      <c r="D62" s="126">
        <f t="array" ref="D62">IF(IFERROR(INDEX(Expenses!B$3:B$999,SMALL(IF((Expenses!E$3:E$999="GBP")*(Expenses!A$3:A$999=DATE(2026,3,16)),ROW(Expenses!A$3:A$999)-2),4)),"")&lt;&gt;"",IFERROR(INDEX(Expenses!B$3:B$999,SMALL(IF((Expenses!E$3:E$999="GBP")*(Expenses!A$3:A$999=DATE(2026,3,16)),ROW(Expenses!A$3:A$999)-2),4)),""),IF(IFERROR(INDEX(Income!B$3:B$502,SMALL(IF((Income!D$3:D$502="GBP")*(Income!A$3:A$502=DATE(2026,3,16)),ROW(Income!A$3:A$502)-2),4)),"")&lt;&gt;"",IFERROR(INDEX(Income!B$3:B$502,SMALL(IF((Income!D$3:D$502="GBP")*(Income!A$3:A$502=DATE(2026,3,16)),ROW(Income!A$3:A$502)-2),4)),""),""))</f>
        <v/>
      </c>
      <c r="E62" s="152">
        <f t="array" ref="E62">IF(IFERROR(-INDEX(Expenses!D$3:D$999,SMALL(IF((Expenses!E$3:E$999="GBP")*(Expenses!A$3:A$999=DATE(2026,3,17)),ROW(Expenses!A$3:A$999)-2),4)),0)+IFERROR(INDEX(Income!C$3:C$502,SMALL(IF((Income!D$3:D$502="GBP")*(Income!A$3:A$502=DATE(2026,3,17)),ROW(Income!A$3:A$502)-2),4)),0)=0,"",IFERROR(-INDEX(Expenses!D$3:D$999,SMALL(IF((Expenses!E$3:E$999="GBP")*(Expenses!A$3:A$999=DATE(2026,3,17)),ROW(Expenses!A$3:A$999)-2),4)),0)+IFERROR(INDEX(Income!C$3:C$502,SMALL(IF((Income!D$3:D$502="GBP")*(Income!A$3:A$502=DATE(2026,3,17)),ROW(Income!A$3:A$502)-2),4)),0))</f>
        <v/>
      </c>
      <c r="F62" s="126">
        <f t="array" ref="F62">IF(IFERROR(INDEX(Expenses!B$3:B$999,SMALL(IF((Expenses!E$3:E$999="GBP")*(Expenses!A$3:A$999=DATE(2026,3,17)),ROW(Expenses!A$3:A$999)-2),4)),"")&lt;&gt;"",IFERROR(INDEX(Expenses!B$3:B$999,SMALL(IF((Expenses!E$3:E$999="GBP")*(Expenses!A$3:A$999=DATE(2026,3,17)),ROW(Expenses!A$3:A$999)-2),4)),""),IF(IFERROR(INDEX(Income!B$3:B$502,SMALL(IF((Income!D$3:D$502="GBP")*(Income!A$3:A$502=DATE(2026,3,17)),ROW(Income!A$3:A$502)-2),4)),"")&lt;&gt;"",IFERROR(INDEX(Income!B$3:B$502,SMALL(IF((Income!D$3:D$502="GBP")*(Income!A$3:A$502=DATE(2026,3,17)),ROW(Income!A$3:A$502)-2),4)),""),""))</f>
        <v/>
      </c>
      <c r="G62" s="152">
        <f t="array" ref="G62">IF(IFERROR(-INDEX(Expenses!D$3:D$999,SMALL(IF((Expenses!E$3:E$999="GBP")*(Expenses!A$3:A$999=DATE(2026,3,18)),ROW(Expenses!A$3:A$999)-2),4)),0)+IFERROR(INDEX(Income!C$3:C$502,SMALL(IF((Income!D$3:D$502="GBP")*(Income!A$3:A$502=DATE(2026,3,18)),ROW(Income!A$3:A$502)-2),4)),0)=0,"",IFERROR(-INDEX(Expenses!D$3:D$999,SMALL(IF((Expenses!E$3:E$999="GBP")*(Expenses!A$3:A$999=DATE(2026,3,18)),ROW(Expenses!A$3:A$999)-2),4)),0)+IFERROR(INDEX(Income!C$3:C$502,SMALL(IF((Income!D$3:D$502="GBP")*(Income!A$3:A$502=DATE(2026,3,18)),ROW(Income!A$3:A$502)-2),4)),0))</f>
        <v/>
      </c>
      <c r="H62" s="126">
        <f t="array" ref="H62">IF(IFERROR(INDEX(Expenses!B$3:B$999,SMALL(IF((Expenses!E$3:E$999="GBP")*(Expenses!A$3:A$999=DATE(2026,3,18)),ROW(Expenses!A$3:A$999)-2),4)),"")&lt;&gt;"",IFERROR(INDEX(Expenses!B$3:B$999,SMALL(IF((Expenses!E$3:E$999="GBP")*(Expenses!A$3:A$999=DATE(2026,3,18)),ROW(Expenses!A$3:A$999)-2),4)),""),IF(IFERROR(INDEX(Income!B$3:B$502,SMALL(IF((Income!D$3:D$502="GBP")*(Income!A$3:A$502=DATE(2026,3,18)),ROW(Income!A$3:A$502)-2),4)),"")&lt;&gt;"",IFERROR(INDEX(Income!B$3:B$502,SMALL(IF((Income!D$3:D$502="GBP")*(Income!A$3:A$502=DATE(2026,3,18)),ROW(Income!A$3:A$502)-2),4)),""),""))</f>
        <v/>
      </c>
      <c r="I62" s="152">
        <f t="array" ref="I62">IF(IFERROR(-INDEX(Expenses!D$3:D$999,SMALL(IF((Expenses!E$3:E$999="GBP")*(Expenses!A$3:A$999=DATE(2026,3,19)),ROW(Expenses!A$3:A$999)-2),4)),0)+IFERROR(INDEX(Income!C$3:C$502,SMALL(IF((Income!D$3:D$502="GBP")*(Income!A$3:A$502=DATE(2026,3,19)),ROW(Income!A$3:A$502)-2),4)),0)=0,"",IFERROR(-INDEX(Expenses!D$3:D$999,SMALL(IF((Expenses!E$3:E$999="GBP")*(Expenses!A$3:A$999=DATE(2026,3,19)),ROW(Expenses!A$3:A$999)-2),4)),0)+IFERROR(INDEX(Income!C$3:C$502,SMALL(IF((Income!D$3:D$502="GBP")*(Income!A$3:A$502=DATE(2026,3,19)),ROW(Income!A$3:A$502)-2),4)),0))</f>
        <v/>
      </c>
      <c r="J62" s="126">
        <f t="array" ref="J62">IF(IFERROR(INDEX(Expenses!B$3:B$999,SMALL(IF((Expenses!E$3:E$999="GBP")*(Expenses!A$3:A$999=DATE(2026,3,19)),ROW(Expenses!A$3:A$999)-2),4)),"")&lt;&gt;"",IFERROR(INDEX(Expenses!B$3:B$999,SMALL(IF((Expenses!E$3:E$999="GBP")*(Expenses!A$3:A$999=DATE(2026,3,19)),ROW(Expenses!A$3:A$999)-2),4)),""),IF(IFERROR(INDEX(Income!B$3:B$502,SMALL(IF((Income!D$3:D$502="GBP")*(Income!A$3:A$502=DATE(2026,3,19)),ROW(Income!A$3:A$502)-2),4)),"")&lt;&gt;"",IFERROR(INDEX(Income!B$3:B$502,SMALL(IF((Income!D$3:D$502="GBP")*(Income!A$3:A$502=DATE(2026,3,19)),ROW(Income!A$3:A$502)-2),4)),""),""))</f>
        <v/>
      </c>
      <c r="K62" s="152">
        <f t="array" ref="K62">IF(IFERROR(-INDEX(Expenses!D$3:D$999,SMALL(IF((Expenses!E$3:E$999="GBP")*(Expenses!A$3:A$999=DATE(2026,3,20)),ROW(Expenses!A$3:A$999)-2),4)),0)+IFERROR(INDEX(Income!C$3:C$502,SMALL(IF((Income!D$3:D$502="GBP")*(Income!A$3:A$502=DATE(2026,3,20)),ROW(Income!A$3:A$502)-2),4)),0)=0,"",IFERROR(-INDEX(Expenses!D$3:D$999,SMALL(IF((Expenses!E$3:E$999="GBP")*(Expenses!A$3:A$999=DATE(2026,3,20)),ROW(Expenses!A$3:A$999)-2),4)),0)+IFERROR(INDEX(Income!C$3:C$502,SMALL(IF((Income!D$3:D$502="GBP")*(Income!A$3:A$502=DATE(2026,3,20)),ROW(Income!A$3:A$502)-2),4)),0))</f>
        <v/>
      </c>
      <c r="L62" s="126">
        <f t="array" ref="L62">IF(IFERROR(INDEX(Expenses!B$3:B$999,SMALL(IF((Expenses!E$3:E$999="GBP")*(Expenses!A$3:A$999=DATE(2026,3,20)),ROW(Expenses!A$3:A$999)-2),4)),"")&lt;&gt;"",IFERROR(INDEX(Expenses!B$3:B$999,SMALL(IF((Expenses!E$3:E$999="GBP")*(Expenses!A$3:A$999=DATE(2026,3,20)),ROW(Expenses!A$3:A$999)-2),4)),""),IF(IFERROR(INDEX(Income!B$3:B$502,SMALL(IF((Income!D$3:D$502="GBP")*(Income!A$3:A$502=DATE(2026,3,20)),ROW(Income!A$3:A$502)-2),4)),"")&lt;&gt;"",IFERROR(INDEX(Income!B$3:B$502,SMALL(IF((Income!D$3:D$502="GBP")*(Income!A$3:A$502=DATE(2026,3,20)),ROW(Income!A$3:A$502)-2),4)),""),""))</f>
        <v/>
      </c>
      <c r="M62" s="152">
        <f t="array" ref="M62">IF(IFERROR(-INDEX(Expenses!D$3:D$999,SMALL(IF((Expenses!E$3:E$999="GBP")*(Expenses!A$3:A$999=DATE(2026,3,21)),ROW(Expenses!A$3:A$999)-2),4)),0)+IFERROR(INDEX(Income!C$3:C$502,SMALL(IF((Income!D$3:D$502="GBP")*(Income!A$3:A$502=DATE(2026,3,21)),ROW(Income!A$3:A$502)-2),4)),0)=0,"",IFERROR(-INDEX(Expenses!D$3:D$999,SMALL(IF((Expenses!E$3:E$999="GBP")*(Expenses!A$3:A$999=DATE(2026,3,21)),ROW(Expenses!A$3:A$999)-2),4)),0)+IFERROR(INDEX(Income!C$3:C$502,SMALL(IF((Income!D$3:D$502="GBP")*(Income!A$3:A$502=DATE(2026,3,21)),ROW(Income!A$3:A$502)-2),4)),0))</f>
        <v/>
      </c>
      <c r="N62" s="126">
        <f t="array" ref="N62">IF(IFERROR(INDEX(Expenses!B$3:B$999,SMALL(IF((Expenses!E$3:E$999="GBP")*(Expenses!A$3:A$999=DATE(2026,3,21)),ROW(Expenses!A$3:A$999)-2),4)),"")&lt;&gt;"",IFERROR(INDEX(Expenses!B$3:B$999,SMALL(IF((Expenses!E$3:E$999="GBP")*(Expenses!A$3:A$999=DATE(2026,3,21)),ROW(Expenses!A$3:A$999)-2),4)),""),IF(IFERROR(INDEX(Income!B$3:B$502,SMALL(IF((Income!D$3:D$502="GBP")*(Income!A$3:A$502=DATE(2026,3,21)),ROW(Income!A$3:A$502)-2),4)),"")&lt;&gt;"",IFERROR(INDEX(Income!B$3:B$502,SMALL(IF((Income!D$3:D$502="GBP")*(Income!A$3:A$502=DATE(2026,3,21)),ROW(Income!A$3:A$502)-2),4)),""),""))</f>
        <v/>
      </c>
      <c r="O62" s="152">
        <f t="array" ref="O62">IF(IFERROR(-INDEX(Expenses!D$3:D$999,SMALL(IF((Expenses!E$3:E$999="GBP")*(Expenses!A$3:A$999=DATE(2026,3,22)),ROW(Expenses!A$3:A$999)-2),4)),0)+IFERROR(INDEX(Income!C$3:C$502,SMALL(IF((Income!D$3:D$502="GBP")*(Income!A$3:A$502=DATE(2026,3,22)),ROW(Income!A$3:A$502)-2),4)),0)=0,"",IFERROR(-INDEX(Expenses!D$3:D$999,SMALL(IF((Expenses!E$3:E$999="GBP")*(Expenses!A$3:A$999=DATE(2026,3,22)),ROW(Expenses!A$3:A$999)-2),4)),0)+IFERROR(INDEX(Income!C$3:C$502,SMALL(IF((Income!D$3:D$502="GBP")*(Income!A$3:A$502=DATE(2026,3,22)),ROW(Income!A$3:A$502)-2),4)),0))</f>
        <v/>
      </c>
      <c r="P62" s="126">
        <f t="array" ref="P62">IF(IFERROR(INDEX(Expenses!B$3:B$999,SMALL(IF((Expenses!E$3:E$999="GBP")*(Expenses!A$3:A$999=DATE(2026,3,22)),ROW(Expenses!A$3:A$999)-2),4)),"")&lt;&gt;"",IFERROR(INDEX(Expenses!B$3:B$999,SMALL(IF((Expenses!E$3:E$999="GBP")*(Expenses!A$3:A$999=DATE(2026,3,22)),ROW(Expenses!A$3:A$999)-2),4)),""),IF(IFERROR(INDEX(Income!B$3:B$502,SMALL(IF((Income!D$3:D$502="GBP")*(Income!A$3:A$502=DATE(2026,3,22)),ROW(Income!A$3:A$502)-2),4)),"")&lt;&gt;"",IFERROR(INDEX(Income!B$3:B$502,SMALL(IF((Income!D$3:D$502="GBP")*(Income!A$3:A$502=DATE(2026,3,22)),ROW(Income!A$3:A$502)-2),4)),""),""))</f>
        <v/>
      </c>
      <c r="Q62" s="9" t="n"/>
      <c r="R62" s="9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68">
      <c r="A63" s="9" t="n"/>
      <c r="B63" s="9" t="n"/>
      <c r="C63" s="152">
        <f t="array" ref="C63">IF(IFERROR(-INDEX(Expenses!D$3:D$999,SMALL(IF((Expenses!E$3:E$999="GBP")*(Expenses!A$3:A$999=DATE(2026,3,16)),ROW(Expenses!A$3:A$999)-2),5)),0)+IFERROR(INDEX(Income!C$3:C$502,SMALL(IF((Income!D$3:D$502="GBP")*(Income!A$3:A$502=DATE(2026,3,16)),ROW(Income!A$3:A$502)-2),5)),0)=0,"",IFERROR(-INDEX(Expenses!D$3:D$999,SMALL(IF((Expenses!E$3:E$999="GBP")*(Expenses!A$3:A$999=DATE(2026,3,16)),ROW(Expenses!A$3:A$999)-2),5)),0)+IFERROR(INDEX(Income!C$3:C$502,SMALL(IF((Income!D$3:D$502="GBP")*(Income!A$3:A$502=DATE(2026,3,16)),ROW(Income!A$3:A$502)-2),5)),0))</f>
        <v/>
      </c>
      <c r="D63" s="126">
        <f t="array" ref="D63">IF(IFERROR(INDEX(Expenses!B$3:B$999,SMALL(IF((Expenses!E$3:E$999="GBP")*(Expenses!A$3:A$999=DATE(2026,3,16)),ROW(Expenses!A$3:A$999)-2),5)),"")&lt;&gt;"",IFERROR(INDEX(Expenses!B$3:B$999,SMALL(IF((Expenses!E$3:E$999="GBP")*(Expenses!A$3:A$999=DATE(2026,3,16)),ROW(Expenses!A$3:A$999)-2),5)),""),IF(IFERROR(INDEX(Income!B$3:B$502,SMALL(IF((Income!D$3:D$502="GBP")*(Income!A$3:A$502=DATE(2026,3,16)),ROW(Income!A$3:A$502)-2),5)),"")&lt;&gt;"",IFERROR(INDEX(Income!B$3:B$502,SMALL(IF((Income!D$3:D$502="GBP")*(Income!A$3:A$502=DATE(2026,3,16)),ROW(Income!A$3:A$502)-2),5)),""),""))</f>
        <v/>
      </c>
      <c r="E63" s="152">
        <f t="array" ref="E63">IF(IFERROR(-INDEX(Expenses!D$3:D$999,SMALL(IF((Expenses!E$3:E$999="GBP")*(Expenses!A$3:A$999=DATE(2026,3,17)),ROW(Expenses!A$3:A$999)-2),5)),0)+IFERROR(INDEX(Income!C$3:C$502,SMALL(IF((Income!D$3:D$502="GBP")*(Income!A$3:A$502=DATE(2026,3,17)),ROW(Income!A$3:A$502)-2),5)),0)=0,"",IFERROR(-INDEX(Expenses!D$3:D$999,SMALL(IF((Expenses!E$3:E$999="GBP")*(Expenses!A$3:A$999=DATE(2026,3,17)),ROW(Expenses!A$3:A$999)-2),5)),0)+IFERROR(INDEX(Income!C$3:C$502,SMALL(IF((Income!D$3:D$502="GBP")*(Income!A$3:A$502=DATE(2026,3,17)),ROW(Income!A$3:A$502)-2),5)),0))</f>
        <v/>
      </c>
      <c r="F63" s="126">
        <f t="array" ref="F63">IF(IFERROR(INDEX(Expenses!B$3:B$999,SMALL(IF((Expenses!E$3:E$999="GBP")*(Expenses!A$3:A$999=DATE(2026,3,17)),ROW(Expenses!A$3:A$999)-2),5)),"")&lt;&gt;"",IFERROR(INDEX(Expenses!B$3:B$999,SMALL(IF((Expenses!E$3:E$999="GBP")*(Expenses!A$3:A$999=DATE(2026,3,17)),ROW(Expenses!A$3:A$999)-2),5)),""),IF(IFERROR(INDEX(Income!B$3:B$502,SMALL(IF((Income!D$3:D$502="GBP")*(Income!A$3:A$502=DATE(2026,3,17)),ROW(Income!A$3:A$502)-2),5)),"")&lt;&gt;"",IFERROR(INDEX(Income!B$3:B$502,SMALL(IF((Income!D$3:D$502="GBP")*(Income!A$3:A$502=DATE(2026,3,17)),ROW(Income!A$3:A$502)-2),5)),""),""))</f>
        <v/>
      </c>
      <c r="G63" s="152">
        <f t="array" ref="G63">IF(IFERROR(-INDEX(Expenses!D$3:D$999,SMALL(IF((Expenses!E$3:E$999="GBP")*(Expenses!A$3:A$999=DATE(2026,3,18)),ROW(Expenses!A$3:A$999)-2),5)),0)+IFERROR(INDEX(Income!C$3:C$502,SMALL(IF((Income!D$3:D$502="GBP")*(Income!A$3:A$502=DATE(2026,3,18)),ROW(Income!A$3:A$502)-2),5)),0)=0,"",IFERROR(-INDEX(Expenses!D$3:D$999,SMALL(IF((Expenses!E$3:E$999="GBP")*(Expenses!A$3:A$999=DATE(2026,3,18)),ROW(Expenses!A$3:A$999)-2),5)),0)+IFERROR(INDEX(Income!C$3:C$502,SMALL(IF((Income!D$3:D$502="GBP")*(Income!A$3:A$502=DATE(2026,3,18)),ROW(Income!A$3:A$502)-2),5)),0))</f>
        <v/>
      </c>
      <c r="H63" s="126">
        <f t="array" ref="H63">IF(IFERROR(INDEX(Expenses!B$3:B$999,SMALL(IF((Expenses!E$3:E$999="GBP")*(Expenses!A$3:A$999=DATE(2026,3,18)),ROW(Expenses!A$3:A$999)-2),5)),"")&lt;&gt;"",IFERROR(INDEX(Expenses!B$3:B$999,SMALL(IF((Expenses!E$3:E$999="GBP")*(Expenses!A$3:A$999=DATE(2026,3,18)),ROW(Expenses!A$3:A$999)-2),5)),""),IF(IFERROR(INDEX(Income!B$3:B$502,SMALL(IF((Income!D$3:D$502="GBP")*(Income!A$3:A$502=DATE(2026,3,18)),ROW(Income!A$3:A$502)-2),5)),"")&lt;&gt;"",IFERROR(INDEX(Income!B$3:B$502,SMALL(IF((Income!D$3:D$502="GBP")*(Income!A$3:A$502=DATE(2026,3,18)),ROW(Income!A$3:A$502)-2),5)),""),""))</f>
        <v/>
      </c>
      <c r="I63" s="152">
        <f t="array" ref="I63">IF(IFERROR(-INDEX(Expenses!D$3:D$999,SMALL(IF((Expenses!E$3:E$999="GBP")*(Expenses!A$3:A$999=DATE(2026,3,19)),ROW(Expenses!A$3:A$999)-2),5)),0)+IFERROR(INDEX(Income!C$3:C$502,SMALL(IF((Income!D$3:D$502="GBP")*(Income!A$3:A$502=DATE(2026,3,19)),ROW(Income!A$3:A$502)-2),5)),0)=0,"",IFERROR(-INDEX(Expenses!D$3:D$999,SMALL(IF((Expenses!E$3:E$999="GBP")*(Expenses!A$3:A$999=DATE(2026,3,19)),ROW(Expenses!A$3:A$999)-2),5)),0)+IFERROR(INDEX(Income!C$3:C$502,SMALL(IF((Income!D$3:D$502="GBP")*(Income!A$3:A$502=DATE(2026,3,19)),ROW(Income!A$3:A$502)-2),5)),0))</f>
        <v/>
      </c>
      <c r="J63" s="126">
        <f t="array" ref="J63">IF(IFERROR(INDEX(Expenses!B$3:B$999,SMALL(IF((Expenses!E$3:E$999="GBP")*(Expenses!A$3:A$999=DATE(2026,3,19)),ROW(Expenses!A$3:A$999)-2),5)),"")&lt;&gt;"",IFERROR(INDEX(Expenses!B$3:B$999,SMALL(IF((Expenses!E$3:E$999="GBP")*(Expenses!A$3:A$999=DATE(2026,3,19)),ROW(Expenses!A$3:A$999)-2),5)),""),IF(IFERROR(INDEX(Income!B$3:B$502,SMALL(IF((Income!D$3:D$502="GBP")*(Income!A$3:A$502=DATE(2026,3,19)),ROW(Income!A$3:A$502)-2),5)),"")&lt;&gt;"",IFERROR(INDEX(Income!B$3:B$502,SMALL(IF((Income!D$3:D$502="GBP")*(Income!A$3:A$502=DATE(2026,3,19)),ROW(Income!A$3:A$502)-2),5)),""),""))</f>
        <v/>
      </c>
      <c r="K63" s="152">
        <f t="array" ref="K63">IF(IFERROR(-INDEX(Expenses!D$3:D$999,SMALL(IF((Expenses!E$3:E$999="GBP")*(Expenses!A$3:A$999=DATE(2026,3,20)),ROW(Expenses!A$3:A$999)-2),5)),0)+IFERROR(INDEX(Income!C$3:C$502,SMALL(IF((Income!D$3:D$502="GBP")*(Income!A$3:A$502=DATE(2026,3,20)),ROW(Income!A$3:A$502)-2),5)),0)=0,"",IFERROR(-INDEX(Expenses!D$3:D$999,SMALL(IF((Expenses!E$3:E$999="GBP")*(Expenses!A$3:A$999=DATE(2026,3,20)),ROW(Expenses!A$3:A$999)-2),5)),0)+IFERROR(INDEX(Income!C$3:C$502,SMALL(IF((Income!D$3:D$502="GBP")*(Income!A$3:A$502=DATE(2026,3,20)),ROW(Income!A$3:A$502)-2),5)),0))</f>
        <v/>
      </c>
      <c r="L63" s="126">
        <f t="array" ref="L63">IF(IFERROR(INDEX(Expenses!B$3:B$999,SMALL(IF((Expenses!E$3:E$999="GBP")*(Expenses!A$3:A$999=DATE(2026,3,20)),ROW(Expenses!A$3:A$999)-2),5)),"")&lt;&gt;"",IFERROR(INDEX(Expenses!B$3:B$999,SMALL(IF((Expenses!E$3:E$999="GBP")*(Expenses!A$3:A$999=DATE(2026,3,20)),ROW(Expenses!A$3:A$999)-2),5)),""),IF(IFERROR(INDEX(Income!B$3:B$502,SMALL(IF((Income!D$3:D$502="GBP")*(Income!A$3:A$502=DATE(2026,3,20)),ROW(Income!A$3:A$502)-2),5)),"")&lt;&gt;"",IFERROR(INDEX(Income!B$3:B$502,SMALL(IF((Income!D$3:D$502="GBP")*(Income!A$3:A$502=DATE(2026,3,20)),ROW(Income!A$3:A$502)-2),5)),""),""))</f>
        <v/>
      </c>
      <c r="M63" s="152">
        <f t="array" ref="M63">IF(IFERROR(-INDEX(Expenses!D$3:D$999,SMALL(IF((Expenses!E$3:E$999="GBP")*(Expenses!A$3:A$999=DATE(2026,3,21)),ROW(Expenses!A$3:A$999)-2),5)),0)+IFERROR(INDEX(Income!C$3:C$502,SMALL(IF((Income!D$3:D$502="GBP")*(Income!A$3:A$502=DATE(2026,3,21)),ROW(Income!A$3:A$502)-2),5)),0)=0,"",IFERROR(-INDEX(Expenses!D$3:D$999,SMALL(IF((Expenses!E$3:E$999="GBP")*(Expenses!A$3:A$999=DATE(2026,3,21)),ROW(Expenses!A$3:A$999)-2),5)),0)+IFERROR(INDEX(Income!C$3:C$502,SMALL(IF((Income!D$3:D$502="GBP")*(Income!A$3:A$502=DATE(2026,3,21)),ROW(Income!A$3:A$502)-2),5)),0))</f>
        <v/>
      </c>
      <c r="N63" s="126">
        <f t="array" ref="N63">IF(IFERROR(INDEX(Expenses!B$3:B$999,SMALL(IF((Expenses!E$3:E$999="GBP")*(Expenses!A$3:A$999=DATE(2026,3,21)),ROW(Expenses!A$3:A$999)-2),5)),"")&lt;&gt;"",IFERROR(INDEX(Expenses!B$3:B$999,SMALL(IF((Expenses!E$3:E$999="GBP")*(Expenses!A$3:A$999=DATE(2026,3,21)),ROW(Expenses!A$3:A$999)-2),5)),""),IF(IFERROR(INDEX(Income!B$3:B$502,SMALL(IF((Income!D$3:D$502="GBP")*(Income!A$3:A$502=DATE(2026,3,21)),ROW(Income!A$3:A$502)-2),5)),"")&lt;&gt;"",IFERROR(INDEX(Income!B$3:B$502,SMALL(IF((Income!D$3:D$502="GBP")*(Income!A$3:A$502=DATE(2026,3,21)),ROW(Income!A$3:A$502)-2),5)),""),""))</f>
        <v/>
      </c>
      <c r="O63" s="152">
        <f t="array" ref="O63">IF(IFERROR(-INDEX(Expenses!D$3:D$999,SMALL(IF((Expenses!E$3:E$999="GBP")*(Expenses!A$3:A$999=DATE(2026,3,22)),ROW(Expenses!A$3:A$999)-2),5)),0)+IFERROR(INDEX(Income!C$3:C$502,SMALL(IF((Income!D$3:D$502="GBP")*(Income!A$3:A$502=DATE(2026,3,22)),ROW(Income!A$3:A$502)-2),5)),0)=0,"",IFERROR(-INDEX(Expenses!D$3:D$999,SMALL(IF((Expenses!E$3:E$999="GBP")*(Expenses!A$3:A$999=DATE(2026,3,22)),ROW(Expenses!A$3:A$999)-2),5)),0)+IFERROR(INDEX(Income!C$3:C$502,SMALL(IF((Income!D$3:D$502="GBP")*(Income!A$3:A$502=DATE(2026,3,22)),ROW(Income!A$3:A$502)-2),5)),0))</f>
        <v/>
      </c>
      <c r="P63" s="126">
        <f t="array" ref="P63">IF(IFERROR(INDEX(Expenses!B$3:B$999,SMALL(IF((Expenses!E$3:E$999="GBP")*(Expenses!A$3:A$999=DATE(2026,3,22)),ROW(Expenses!A$3:A$999)-2),5)),"")&lt;&gt;"",IFERROR(INDEX(Expenses!B$3:B$999,SMALL(IF((Expenses!E$3:E$999="GBP")*(Expenses!A$3:A$999=DATE(2026,3,22)),ROW(Expenses!A$3:A$999)-2),5)),""),IF(IFERROR(INDEX(Income!B$3:B$502,SMALL(IF((Income!D$3:D$502="GBP")*(Income!A$3:A$502=DATE(2026,3,22)),ROW(Income!A$3:A$502)-2),5)),"")&lt;&gt;"",IFERROR(INDEX(Income!B$3:B$502,SMALL(IF((Income!D$3:D$502="GBP")*(Income!A$3:A$502=DATE(2026,3,22)),ROW(Income!A$3:A$502)-2),5)),""),""))</f>
        <v/>
      </c>
      <c r="Q63" s="9" t="n"/>
      <c r="R63" s="9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68">
      <c r="A64" s="151" t="n">
        <v>46104</v>
      </c>
      <c r="B64" s="103" t="n">
        <v>13</v>
      </c>
      <c r="C64" s="152">
        <f t="array" ref="C64">IF(IFERROR(-INDEX(Expenses!D$3:D$999,SMALL(IF((Expenses!E$3:E$999="GBP")*(Expenses!A$3:A$999=DATE(2026,3,23)),ROW(Expenses!A$3:A$999)-2),1)),0)+IFERROR(INDEX(Income!C$3:C$502,SMALL(IF((Income!D$3:D$502="GBP")*(Income!A$3:A$502=DATE(2026,3,23)),ROW(Income!A$3:A$502)-2),1)),0)=0,"",IFERROR(-INDEX(Expenses!D$3:D$999,SMALL(IF((Expenses!E$3:E$999="GBP")*(Expenses!A$3:A$999=DATE(2026,3,23)),ROW(Expenses!A$3:A$999)-2),1)),0)+IFERROR(INDEX(Income!C$3:C$502,SMALL(IF((Income!D$3:D$502="GBP")*(Income!A$3:A$502=DATE(2026,3,23)),ROW(Income!A$3:A$502)-2),1)),0))</f>
        <v/>
      </c>
      <c r="D64" s="126">
        <f t="array" ref="D64">IF(IFERROR(INDEX(Expenses!B$3:B$999,SMALL(IF((Expenses!E$3:E$999="GBP")*(Expenses!A$3:A$999=DATE(2026,3,23)),ROW(Expenses!A$3:A$999)-2),1)),"")&lt;&gt;"",IFERROR(INDEX(Expenses!B$3:B$999,SMALL(IF((Expenses!E$3:E$999="GBP")*(Expenses!A$3:A$999=DATE(2026,3,23)),ROW(Expenses!A$3:A$999)-2),1)),""),IF(IFERROR(INDEX(Income!B$3:B$502,SMALL(IF((Income!D$3:D$502="GBP")*(Income!A$3:A$502=DATE(2026,3,23)),ROW(Income!A$3:A$502)-2),1)),"")&lt;&gt;"",IFERROR(INDEX(Income!B$3:B$502,SMALL(IF((Income!D$3:D$502="GBP")*(Income!A$3:A$502=DATE(2026,3,23)),ROW(Income!A$3:A$502)-2),1)),""),""))</f>
        <v/>
      </c>
      <c r="E64" s="152">
        <f t="array" ref="E64">IF(IFERROR(-INDEX(Expenses!D$3:D$999,SMALL(IF((Expenses!E$3:E$999="GBP")*(Expenses!A$3:A$999=DATE(2026,3,24)),ROW(Expenses!A$3:A$999)-2),1)),0)+IFERROR(INDEX(Income!C$3:C$502,SMALL(IF((Income!D$3:D$502="GBP")*(Income!A$3:A$502=DATE(2026,3,24)),ROW(Income!A$3:A$502)-2),1)),0)=0,"",IFERROR(-INDEX(Expenses!D$3:D$999,SMALL(IF((Expenses!E$3:E$999="GBP")*(Expenses!A$3:A$999=DATE(2026,3,24)),ROW(Expenses!A$3:A$999)-2),1)),0)+IFERROR(INDEX(Income!C$3:C$502,SMALL(IF((Income!D$3:D$502="GBP")*(Income!A$3:A$502=DATE(2026,3,24)),ROW(Income!A$3:A$502)-2),1)),0))</f>
        <v/>
      </c>
      <c r="F64" s="126">
        <f t="array" ref="F64">IF(IFERROR(INDEX(Expenses!B$3:B$999,SMALL(IF((Expenses!E$3:E$999="GBP")*(Expenses!A$3:A$999=DATE(2026,3,24)),ROW(Expenses!A$3:A$999)-2),1)),"")&lt;&gt;"",IFERROR(INDEX(Expenses!B$3:B$999,SMALL(IF((Expenses!E$3:E$999="GBP")*(Expenses!A$3:A$999=DATE(2026,3,24)),ROW(Expenses!A$3:A$999)-2),1)),""),IF(IFERROR(INDEX(Income!B$3:B$502,SMALL(IF((Income!D$3:D$502="GBP")*(Income!A$3:A$502=DATE(2026,3,24)),ROW(Income!A$3:A$502)-2),1)),"")&lt;&gt;"",IFERROR(INDEX(Income!B$3:B$502,SMALL(IF((Income!D$3:D$502="GBP")*(Income!A$3:A$502=DATE(2026,3,24)),ROW(Income!A$3:A$502)-2),1)),""),""))</f>
        <v/>
      </c>
      <c r="G64" s="152">
        <f t="array" ref="G64">IF(IFERROR(-INDEX(Expenses!D$3:D$999,SMALL(IF((Expenses!E$3:E$999="GBP")*(Expenses!A$3:A$999=DATE(2026,3,25)),ROW(Expenses!A$3:A$999)-2),1)),0)+IFERROR(INDEX(Income!C$3:C$502,SMALL(IF((Income!D$3:D$502="GBP")*(Income!A$3:A$502=DATE(2026,3,25)),ROW(Income!A$3:A$502)-2),1)),0)=0,"",IFERROR(-INDEX(Expenses!D$3:D$999,SMALL(IF((Expenses!E$3:E$999="GBP")*(Expenses!A$3:A$999=DATE(2026,3,25)),ROW(Expenses!A$3:A$999)-2),1)),0)+IFERROR(INDEX(Income!C$3:C$502,SMALL(IF((Income!D$3:D$502="GBP")*(Income!A$3:A$502=DATE(2026,3,25)),ROW(Income!A$3:A$502)-2),1)),0))</f>
        <v/>
      </c>
      <c r="H64" s="126">
        <f t="array" ref="H64">IF(IFERROR(INDEX(Expenses!B$3:B$999,SMALL(IF((Expenses!E$3:E$999="GBP")*(Expenses!A$3:A$999=DATE(2026,3,25)),ROW(Expenses!A$3:A$999)-2),1)),"")&lt;&gt;"",IFERROR(INDEX(Expenses!B$3:B$999,SMALL(IF((Expenses!E$3:E$999="GBP")*(Expenses!A$3:A$999=DATE(2026,3,25)),ROW(Expenses!A$3:A$999)-2),1)),""),IF(IFERROR(INDEX(Income!B$3:B$502,SMALL(IF((Income!D$3:D$502="GBP")*(Income!A$3:A$502=DATE(2026,3,25)),ROW(Income!A$3:A$502)-2),1)),"")&lt;&gt;"",IFERROR(INDEX(Income!B$3:B$502,SMALL(IF((Income!D$3:D$502="GBP")*(Income!A$3:A$502=DATE(2026,3,25)),ROW(Income!A$3:A$502)-2),1)),""),""))</f>
        <v/>
      </c>
      <c r="I64" s="152">
        <f t="array" ref="I64">IF(IFERROR(-INDEX(Expenses!D$3:D$999,SMALL(IF((Expenses!E$3:E$999="GBP")*(Expenses!A$3:A$999=DATE(2026,3,26)),ROW(Expenses!A$3:A$999)-2),1)),0)+IFERROR(INDEX(Income!C$3:C$502,SMALL(IF((Income!D$3:D$502="GBP")*(Income!A$3:A$502=DATE(2026,3,26)),ROW(Income!A$3:A$502)-2),1)),0)=0,"",IFERROR(-INDEX(Expenses!D$3:D$999,SMALL(IF((Expenses!E$3:E$999="GBP")*(Expenses!A$3:A$999=DATE(2026,3,26)),ROW(Expenses!A$3:A$999)-2),1)),0)+IFERROR(INDEX(Income!C$3:C$502,SMALL(IF((Income!D$3:D$502="GBP")*(Income!A$3:A$502=DATE(2026,3,26)),ROW(Income!A$3:A$502)-2),1)),0))</f>
        <v/>
      </c>
      <c r="J64" s="126">
        <f t="array" ref="J64">IF(IFERROR(INDEX(Expenses!B$3:B$999,SMALL(IF((Expenses!E$3:E$999="GBP")*(Expenses!A$3:A$999=DATE(2026,3,26)),ROW(Expenses!A$3:A$999)-2),1)),"")&lt;&gt;"",IFERROR(INDEX(Expenses!B$3:B$999,SMALL(IF((Expenses!E$3:E$999="GBP")*(Expenses!A$3:A$999=DATE(2026,3,26)),ROW(Expenses!A$3:A$999)-2),1)),""),IF(IFERROR(INDEX(Income!B$3:B$502,SMALL(IF((Income!D$3:D$502="GBP")*(Income!A$3:A$502=DATE(2026,3,26)),ROW(Income!A$3:A$502)-2),1)),"")&lt;&gt;"",IFERROR(INDEX(Income!B$3:B$502,SMALL(IF((Income!D$3:D$502="GBP")*(Income!A$3:A$502=DATE(2026,3,26)),ROW(Income!A$3:A$502)-2),1)),""),""))</f>
        <v/>
      </c>
      <c r="K64" s="152">
        <f t="array" ref="K64">IF(IFERROR(-INDEX(Expenses!D$3:D$999,SMALL(IF((Expenses!E$3:E$999="GBP")*(Expenses!A$3:A$999=DATE(2026,3,27)),ROW(Expenses!A$3:A$999)-2),1)),0)+IFERROR(INDEX(Income!C$3:C$502,SMALL(IF((Income!D$3:D$502="GBP")*(Income!A$3:A$502=DATE(2026,3,27)),ROW(Income!A$3:A$502)-2),1)),0)=0,"",IFERROR(-INDEX(Expenses!D$3:D$999,SMALL(IF((Expenses!E$3:E$999="GBP")*(Expenses!A$3:A$999=DATE(2026,3,27)),ROW(Expenses!A$3:A$999)-2),1)),0)+IFERROR(INDEX(Income!C$3:C$502,SMALL(IF((Income!D$3:D$502="GBP")*(Income!A$3:A$502=DATE(2026,3,27)),ROW(Income!A$3:A$502)-2),1)),0))</f>
        <v/>
      </c>
      <c r="L64" s="126">
        <f t="array" ref="L64">IF(IFERROR(INDEX(Expenses!B$3:B$999,SMALL(IF((Expenses!E$3:E$999="GBP")*(Expenses!A$3:A$999=DATE(2026,3,27)),ROW(Expenses!A$3:A$999)-2),1)),"")&lt;&gt;"",IFERROR(INDEX(Expenses!B$3:B$999,SMALL(IF((Expenses!E$3:E$999="GBP")*(Expenses!A$3:A$999=DATE(2026,3,27)),ROW(Expenses!A$3:A$999)-2),1)),""),IF(IFERROR(INDEX(Income!B$3:B$502,SMALL(IF((Income!D$3:D$502="GBP")*(Income!A$3:A$502=DATE(2026,3,27)),ROW(Income!A$3:A$502)-2),1)),"")&lt;&gt;"",IFERROR(INDEX(Income!B$3:B$502,SMALL(IF((Income!D$3:D$502="GBP")*(Income!A$3:A$502=DATE(2026,3,27)),ROW(Income!A$3:A$502)-2),1)),""),""))</f>
        <v/>
      </c>
      <c r="M64" s="152">
        <f t="array" ref="M64">IF(IFERROR(-INDEX(Expenses!D$3:D$999,SMALL(IF((Expenses!E$3:E$999="GBP")*(Expenses!A$3:A$999=DATE(2026,3,28)),ROW(Expenses!A$3:A$999)-2),1)),0)+IFERROR(INDEX(Income!C$3:C$502,SMALL(IF((Income!D$3:D$502="GBP")*(Income!A$3:A$502=DATE(2026,3,28)),ROW(Income!A$3:A$502)-2),1)),0)=0,"",IFERROR(-INDEX(Expenses!D$3:D$999,SMALL(IF((Expenses!E$3:E$999="GBP")*(Expenses!A$3:A$999=DATE(2026,3,28)),ROW(Expenses!A$3:A$999)-2),1)),0)+IFERROR(INDEX(Income!C$3:C$502,SMALL(IF((Income!D$3:D$502="GBP")*(Income!A$3:A$502=DATE(2026,3,28)),ROW(Income!A$3:A$502)-2),1)),0))</f>
        <v/>
      </c>
      <c r="N64" s="126">
        <f t="array" ref="N64">IF(IFERROR(INDEX(Expenses!B$3:B$999,SMALL(IF((Expenses!E$3:E$999="GBP")*(Expenses!A$3:A$999=DATE(2026,3,28)),ROW(Expenses!A$3:A$999)-2),1)),"")&lt;&gt;"",IFERROR(INDEX(Expenses!B$3:B$999,SMALL(IF((Expenses!E$3:E$999="GBP")*(Expenses!A$3:A$999=DATE(2026,3,28)),ROW(Expenses!A$3:A$999)-2),1)),""),IF(IFERROR(INDEX(Income!B$3:B$502,SMALL(IF((Income!D$3:D$502="GBP")*(Income!A$3:A$502=DATE(2026,3,28)),ROW(Income!A$3:A$502)-2),1)),"")&lt;&gt;"",IFERROR(INDEX(Income!B$3:B$502,SMALL(IF((Income!D$3:D$502="GBP")*(Income!A$3:A$502=DATE(2026,3,28)),ROW(Income!A$3:A$502)-2),1)),""),""))</f>
        <v/>
      </c>
      <c r="O64" s="152">
        <f t="array" ref="O64">IF(IFERROR(-INDEX(Expenses!D$3:D$999,SMALL(IF((Expenses!E$3:E$999="GBP")*(Expenses!A$3:A$999=DATE(2026,3,29)),ROW(Expenses!A$3:A$999)-2),1)),0)+IFERROR(INDEX(Income!C$3:C$502,SMALL(IF((Income!D$3:D$502="GBP")*(Income!A$3:A$502=DATE(2026,3,29)),ROW(Income!A$3:A$502)-2),1)),0)=0,"",IFERROR(-INDEX(Expenses!D$3:D$999,SMALL(IF((Expenses!E$3:E$999="GBP")*(Expenses!A$3:A$999=DATE(2026,3,29)),ROW(Expenses!A$3:A$999)-2),1)),0)+IFERROR(INDEX(Income!C$3:C$502,SMALL(IF((Income!D$3:D$502="GBP")*(Income!A$3:A$502=DATE(2026,3,29)),ROW(Income!A$3:A$502)-2),1)),0))</f>
        <v/>
      </c>
      <c r="P64" s="126">
        <f t="array" ref="P64">IF(IFERROR(INDEX(Expenses!B$3:B$999,SMALL(IF((Expenses!E$3:E$999="GBP")*(Expenses!A$3:A$999=DATE(2026,3,29)),ROW(Expenses!A$3:A$999)-2),1)),"")&lt;&gt;"",IFERROR(INDEX(Expenses!B$3:B$999,SMALL(IF((Expenses!E$3:E$999="GBP")*(Expenses!A$3:A$999=DATE(2026,3,29)),ROW(Expenses!A$3:A$999)-2),1)),""),IF(IFERROR(INDEX(Income!B$3:B$502,SMALL(IF((Income!D$3:D$502="GBP")*(Income!A$3:A$502=DATE(2026,3,29)),ROW(Income!A$3:A$502)-2),1)),"")&lt;&gt;"",IFERROR(INDEX(Income!B$3:B$502,SMALL(IF((Income!D$3:D$502="GBP")*(Income!A$3:A$502=DATE(2026,3,29)),ROW(Income!A$3:A$502)-2),1)),""),""))</f>
        <v/>
      </c>
      <c r="Q64" s="103" t="n">
        <v>13</v>
      </c>
      <c r="R64" s="134">
        <f>SUM(C64:C68)+SUM(E64:E68)+SUM(G64:G68)+SUM(I64:I68)+SUM(K64:K68)+SUM(M64:M68)+SUM(O64:O68)</f>
        <v/>
      </c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68">
      <c r="A65" s="9" t="n"/>
      <c r="B65" s="9" t="n"/>
      <c r="C65" s="152">
        <f t="array" ref="C65">IF(IFERROR(-INDEX(Expenses!D$3:D$999,SMALL(IF((Expenses!E$3:E$999="GBP")*(Expenses!A$3:A$999=DATE(2026,3,23)),ROW(Expenses!A$3:A$999)-2),2)),0)+IFERROR(INDEX(Income!C$3:C$502,SMALL(IF((Income!D$3:D$502="GBP")*(Income!A$3:A$502=DATE(2026,3,23)),ROW(Income!A$3:A$502)-2),2)),0)=0,"",IFERROR(-INDEX(Expenses!D$3:D$999,SMALL(IF((Expenses!E$3:E$999="GBP")*(Expenses!A$3:A$999=DATE(2026,3,23)),ROW(Expenses!A$3:A$999)-2),2)),0)+IFERROR(INDEX(Income!C$3:C$502,SMALL(IF((Income!D$3:D$502="GBP")*(Income!A$3:A$502=DATE(2026,3,23)),ROW(Income!A$3:A$502)-2),2)),0))</f>
        <v/>
      </c>
      <c r="D65" s="126">
        <f t="array" ref="D65">IF(IFERROR(INDEX(Expenses!B$3:B$999,SMALL(IF((Expenses!E$3:E$999="GBP")*(Expenses!A$3:A$999=DATE(2026,3,23)),ROW(Expenses!A$3:A$999)-2),2)),"")&lt;&gt;"",IFERROR(INDEX(Expenses!B$3:B$999,SMALL(IF((Expenses!E$3:E$999="GBP")*(Expenses!A$3:A$999=DATE(2026,3,23)),ROW(Expenses!A$3:A$999)-2),2)),""),IF(IFERROR(INDEX(Income!B$3:B$502,SMALL(IF((Income!D$3:D$502="GBP")*(Income!A$3:A$502=DATE(2026,3,23)),ROW(Income!A$3:A$502)-2),2)),"")&lt;&gt;"",IFERROR(INDEX(Income!B$3:B$502,SMALL(IF((Income!D$3:D$502="GBP")*(Income!A$3:A$502=DATE(2026,3,23)),ROW(Income!A$3:A$502)-2),2)),""),""))</f>
        <v/>
      </c>
      <c r="E65" s="152">
        <f t="array" ref="E65">IF(IFERROR(-INDEX(Expenses!D$3:D$999,SMALL(IF((Expenses!E$3:E$999="GBP")*(Expenses!A$3:A$999=DATE(2026,3,24)),ROW(Expenses!A$3:A$999)-2),2)),0)+IFERROR(INDEX(Income!C$3:C$502,SMALL(IF((Income!D$3:D$502="GBP")*(Income!A$3:A$502=DATE(2026,3,24)),ROW(Income!A$3:A$502)-2),2)),0)=0,"",IFERROR(-INDEX(Expenses!D$3:D$999,SMALL(IF((Expenses!E$3:E$999="GBP")*(Expenses!A$3:A$999=DATE(2026,3,24)),ROW(Expenses!A$3:A$999)-2),2)),0)+IFERROR(INDEX(Income!C$3:C$502,SMALL(IF((Income!D$3:D$502="GBP")*(Income!A$3:A$502=DATE(2026,3,24)),ROW(Income!A$3:A$502)-2),2)),0))</f>
        <v/>
      </c>
      <c r="F65" s="126">
        <f t="array" ref="F65">IF(IFERROR(INDEX(Expenses!B$3:B$999,SMALL(IF((Expenses!E$3:E$999="GBP")*(Expenses!A$3:A$999=DATE(2026,3,24)),ROW(Expenses!A$3:A$999)-2),2)),"")&lt;&gt;"",IFERROR(INDEX(Expenses!B$3:B$999,SMALL(IF((Expenses!E$3:E$999="GBP")*(Expenses!A$3:A$999=DATE(2026,3,24)),ROW(Expenses!A$3:A$999)-2),2)),""),IF(IFERROR(INDEX(Income!B$3:B$502,SMALL(IF((Income!D$3:D$502="GBP")*(Income!A$3:A$502=DATE(2026,3,24)),ROW(Income!A$3:A$502)-2),2)),"")&lt;&gt;"",IFERROR(INDEX(Income!B$3:B$502,SMALL(IF((Income!D$3:D$502="GBP")*(Income!A$3:A$502=DATE(2026,3,24)),ROW(Income!A$3:A$502)-2),2)),""),""))</f>
        <v/>
      </c>
      <c r="G65" s="152">
        <f t="array" ref="G65">IF(IFERROR(-INDEX(Expenses!D$3:D$999,SMALL(IF((Expenses!E$3:E$999="GBP")*(Expenses!A$3:A$999=DATE(2026,3,25)),ROW(Expenses!A$3:A$999)-2),2)),0)+IFERROR(INDEX(Income!C$3:C$502,SMALL(IF((Income!D$3:D$502="GBP")*(Income!A$3:A$502=DATE(2026,3,25)),ROW(Income!A$3:A$502)-2),2)),0)=0,"",IFERROR(-INDEX(Expenses!D$3:D$999,SMALL(IF((Expenses!E$3:E$999="GBP")*(Expenses!A$3:A$999=DATE(2026,3,25)),ROW(Expenses!A$3:A$999)-2),2)),0)+IFERROR(INDEX(Income!C$3:C$502,SMALL(IF((Income!D$3:D$502="GBP")*(Income!A$3:A$502=DATE(2026,3,25)),ROW(Income!A$3:A$502)-2),2)),0))</f>
        <v/>
      </c>
      <c r="H65" s="126">
        <f t="array" ref="H65">IF(IFERROR(INDEX(Expenses!B$3:B$999,SMALL(IF((Expenses!E$3:E$999="GBP")*(Expenses!A$3:A$999=DATE(2026,3,25)),ROW(Expenses!A$3:A$999)-2),2)),"")&lt;&gt;"",IFERROR(INDEX(Expenses!B$3:B$999,SMALL(IF((Expenses!E$3:E$999="GBP")*(Expenses!A$3:A$999=DATE(2026,3,25)),ROW(Expenses!A$3:A$999)-2),2)),""),IF(IFERROR(INDEX(Income!B$3:B$502,SMALL(IF((Income!D$3:D$502="GBP")*(Income!A$3:A$502=DATE(2026,3,25)),ROW(Income!A$3:A$502)-2),2)),"")&lt;&gt;"",IFERROR(INDEX(Income!B$3:B$502,SMALL(IF((Income!D$3:D$502="GBP")*(Income!A$3:A$502=DATE(2026,3,25)),ROW(Income!A$3:A$502)-2),2)),""),""))</f>
        <v/>
      </c>
      <c r="I65" s="152">
        <f t="array" ref="I65">IF(IFERROR(-INDEX(Expenses!D$3:D$999,SMALL(IF((Expenses!E$3:E$999="GBP")*(Expenses!A$3:A$999=DATE(2026,3,26)),ROW(Expenses!A$3:A$999)-2),2)),0)+IFERROR(INDEX(Income!C$3:C$502,SMALL(IF((Income!D$3:D$502="GBP")*(Income!A$3:A$502=DATE(2026,3,26)),ROW(Income!A$3:A$502)-2),2)),0)=0,"",IFERROR(-INDEX(Expenses!D$3:D$999,SMALL(IF((Expenses!E$3:E$999="GBP")*(Expenses!A$3:A$999=DATE(2026,3,26)),ROW(Expenses!A$3:A$999)-2),2)),0)+IFERROR(INDEX(Income!C$3:C$502,SMALL(IF((Income!D$3:D$502="GBP")*(Income!A$3:A$502=DATE(2026,3,26)),ROW(Income!A$3:A$502)-2),2)),0))</f>
        <v/>
      </c>
      <c r="J65" s="126">
        <f t="array" ref="J65">IF(IFERROR(INDEX(Expenses!B$3:B$999,SMALL(IF((Expenses!E$3:E$999="GBP")*(Expenses!A$3:A$999=DATE(2026,3,26)),ROW(Expenses!A$3:A$999)-2),2)),"")&lt;&gt;"",IFERROR(INDEX(Expenses!B$3:B$999,SMALL(IF((Expenses!E$3:E$999="GBP")*(Expenses!A$3:A$999=DATE(2026,3,26)),ROW(Expenses!A$3:A$999)-2),2)),""),IF(IFERROR(INDEX(Income!B$3:B$502,SMALL(IF((Income!D$3:D$502="GBP")*(Income!A$3:A$502=DATE(2026,3,26)),ROW(Income!A$3:A$502)-2),2)),"")&lt;&gt;"",IFERROR(INDEX(Income!B$3:B$502,SMALL(IF((Income!D$3:D$502="GBP")*(Income!A$3:A$502=DATE(2026,3,26)),ROW(Income!A$3:A$502)-2),2)),""),""))</f>
        <v/>
      </c>
      <c r="K65" s="152">
        <f t="array" ref="K65">IF(IFERROR(-INDEX(Expenses!D$3:D$999,SMALL(IF((Expenses!E$3:E$999="GBP")*(Expenses!A$3:A$999=DATE(2026,3,27)),ROW(Expenses!A$3:A$999)-2),2)),0)+IFERROR(INDEX(Income!C$3:C$502,SMALL(IF((Income!D$3:D$502="GBP")*(Income!A$3:A$502=DATE(2026,3,27)),ROW(Income!A$3:A$502)-2),2)),0)=0,"",IFERROR(-INDEX(Expenses!D$3:D$999,SMALL(IF((Expenses!E$3:E$999="GBP")*(Expenses!A$3:A$999=DATE(2026,3,27)),ROW(Expenses!A$3:A$999)-2),2)),0)+IFERROR(INDEX(Income!C$3:C$502,SMALL(IF((Income!D$3:D$502="GBP")*(Income!A$3:A$502=DATE(2026,3,27)),ROW(Income!A$3:A$502)-2),2)),0))</f>
        <v/>
      </c>
      <c r="L65" s="126">
        <f t="array" ref="L65">IF(IFERROR(INDEX(Expenses!B$3:B$999,SMALL(IF((Expenses!E$3:E$999="GBP")*(Expenses!A$3:A$999=DATE(2026,3,27)),ROW(Expenses!A$3:A$999)-2),2)),"")&lt;&gt;"",IFERROR(INDEX(Expenses!B$3:B$999,SMALL(IF((Expenses!E$3:E$999="GBP")*(Expenses!A$3:A$999=DATE(2026,3,27)),ROW(Expenses!A$3:A$999)-2),2)),""),IF(IFERROR(INDEX(Income!B$3:B$502,SMALL(IF((Income!D$3:D$502="GBP")*(Income!A$3:A$502=DATE(2026,3,27)),ROW(Income!A$3:A$502)-2),2)),"")&lt;&gt;"",IFERROR(INDEX(Income!B$3:B$502,SMALL(IF((Income!D$3:D$502="GBP")*(Income!A$3:A$502=DATE(2026,3,27)),ROW(Income!A$3:A$502)-2),2)),""),""))</f>
        <v/>
      </c>
      <c r="M65" s="152">
        <f t="array" ref="M65">IF(IFERROR(-INDEX(Expenses!D$3:D$999,SMALL(IF((Expenses!E$3:E$999="GBP")*(Expenses!A$3:A$999=DATE(2026,3,28)),ROW(Expenses!A$3:A$999)-2),2)),0)+IFERROR(INDEX(Income!C$3:C$502,SMALL(IF((Income!D$3:D$502="GBP")*(Income!A$3:A$502=DATE(2026,3,28)),ROW(Income!A$3:A$502)-2),2)),0)=0,"",IFERROR(-INDEX(Expenses!D$3:D$999,SMALL(IF((Expenses!E$3:E$999="GBP")*(Expenses!A$3:A$999=DATE(2026,3,28)),ROW(Expenses!A$3:A$999)-2),2)),0)+IFERROR(INDEX(Income!C$3:C$502,SMALL(IF((Income!D$3:D$502="GBP")*(Income!A$3:A$502=DATE(2026,3,28)),ROW(Income!A$3:A$502)-2),2)),0))</f>
        <v/>
      </c>
      <c r="N65" s="126">
        <f t="array" ref="N65">IF(IFERROR(INDEX(Expenses!B$3:B$999,SMALL(IF((Expenses!E$3:E$999="GBP")*(Expenses!A$3:A$999=DATE(2026,3,28)),ROW(Expenses!A$3:A$999)-2),2)),"")&lt;&gt;"",IFERROR(INDEX(Expenses!B$3:B$999,SMALL(IF((Expenses!E$3:E$999="GBP")*(Expenses!A$3:A$999=DATE(2026,3,28)),ROW(Expenses!A$3:A$999)-2),2)),""),IF(IFERROR(INDEX(Income!B$3:B$502,SMALL(IF((Income!D$3:D$502="GBP")*(Income!A$3:A$502=DATE(2026,3,28)),ROW(Income!A$3:A$502)-2),2)),"")&lt;&gt;"",IFERROR(INDEX(Income!B$3:B$502,SMALL(IF((Income!D$3:D$502="GBP")*(Income!A$3:A$502=DATE(2026,3,28)),ROW(Income!A$3:A$502)-2),2)),""),""))</f>
        <v/>
      </c>
      <c r="O65" s="152">
        <f t="array" ref="O65">IF(IFERROR(-INDEX(Expenses!D$3:D$999,SMALL(IF((Expenses!E$3:E$999="GBP")*(Expenses!A$3:A$999=DATE(2026,3,29)),ROW(Expenses!A$3:A$999)-2),2)),0)+IFERROR(INDEX(Income!C$3:C$502,SMALL(IF((Income!D$3:D$502="GBP")*(Income!A$3:A$502=DATE(2026,3,29)),ROW(Income!A$3:A$502)-2),2)),0)=0,"",IFERROR(-INDEX(Expenses!D$3:D$999,SMALL(IF((Expenses!E$3:E$999="GBP")*(Expenses!A$3:A$999=DATE(2026,3,29)),ROW(Expenses!A$3:A$999)-2),2)),0)+IFERROR(INDEX(Income!C$3:C$502,SMALL(IF((Income!D$3:D$502="GBP")*(Income!A$3:A$502=DATE(2026,3,29)),ROW(Income!A$3:A$502)-2),2)),0))</f>
        <v/>
      </c>
      <c r="P65" s="126">
        <f t="array" ref="P65">IF(IFERROR(INDEX(Expenses!B$3:B$999,SMALL(IF((Expenses!E$3:E$999="GBP")*(Expenses!A$3:A$999=DATE(2026,3,29)),ROW(Expenses!A$3:A$999)-2),2)),"")&lt;&gt;"",IFERROR(INDEX(Expenses!B$3:B$999,SMALL(IF((Expenses!E$3:E$999="GBP")*(Expenses!A$3:A$999=DATE(2026,3,29)),ROW(Expenses!A$3:A$999)-2),2)),""),IF(IFERROR(INDEX(Income!B$3:B$502,SMALL(IF((Income!D$3:D$502="GBP")*(Income!A$3:A$502=DATE(2026,3,29)),ROW(Income!A$3:A$502)-2),2)),"")&lt;&gt;"",IFERROR(INDEX(Income!B$3:B$502,SMALL(IF((Income!D$3:D$502="GBP")*(Income!A$3:A$502=DATE(2026,3,29)),ROW(Income!A$3:A$502)-2),2)),""),""))</f>
        <v/>
      </c>
      <c r="Q65" s="9" t="n"/>
      <c r="R65" s="9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68">
      <c r="A66" s="9" t="n"/>
      <c r="B66" s="9" t="n"/>
      <c r="C66" s="152">
        <f t="array" ref="C66">IF(IFERROR(-INDEX(Expenses!D$3:D$999,SMALL(IF((Expenses!E$3:E$999="GBP")*(Expenses!A$3:A$999=DATE(2026,3,23)),ROW(Expenses!A$3:A$999)-2),3)),0)+IFERROR(INDEX(Income!C$3:C$502,SMALL(IF((Income!D$3:D$502="GBP")*(Income!A$3:A$502=DATE(2026,3,23)),ROW(Income!A$3:A$502)-2),3)),0)=0,"",IFERROR(-INDEX(Expenses!D$3:D$999,SMALL(IF((Expenses!E$3:E$999="GBP")*(Expenses!A$3:A$999=DATE(2026,3,23)),ROW(Expenses!A$3:A$999)-2),3)),0)+IFERROR(INDEX(Income!C$3:C$502,SMALL(IF((Income!D$3:D$502="GBP")*(Income!A$3:A$502=DATE(2026,3,23)),ROW(Income!A$3:A$502)-2),3)),0))</f>
        <v/>
      </c>
      <c r="D66" s="126">
        <f t="array" ref="D66">IF(IFERROR(INDEX(Expenses!B$3:B$999,SMALL(IF((Expenses!E$3:E$999="GBP")*(Expenses!A$3:A$999=DATE(2026,3,23)),ROW(Expenses!A$3:A$999)-2),3)),"")&lt;&gt;"",IFERROR(INDEX(Expenses!B$3:B$999,SMALL(IF((Expenses!E$3:E$999="GBP")*(Expenses!A$3:A$999=DATE(2026,3,23)),ROW(Expenses!A$3:A$999)-2),3)),""),IF(IFERROR(INDEX(Income!B$3:B$502,SMALL(IF((Income!D$3:D$502="GBP")*(Income!A$3:A$502=DATE(2026,3,23)),ROW(Income!A$3:A$502)-2),3)),"")&lt;&gt;"",IFERROR(INDEX(Income!B$3:B$502,SMALL(IF((Income!D$3:D$502="GBP")*(Income!A$3:A$502=DATE(2026,3,23)),ROW(Income!A$3:A$502)-2),3)),""),""))</f>
        <v/>
      </c>
      <c r="E66" s="152">
        <f t="array" ref="E66">IF(IFERROR(-INDEX(Expenses!D$3:D$999,SMALL(IF((Expenses!E$3:E$999="GBP")*(Expenses!A$3:A$999=DATE(2026,3,24)),ROW(Expenses!A$3:A$999)-2),3)),0)+IFERROR(INDEX(Income!C$3:C$502,SMALL(IF((Income!D$3:D$502="GBP")*(Income!A$3:A$502=DATE(2026,3,24)),ROW(Income!A$3:A$502)-2),3)),0)=0,"",IFERROR(-INDEX(Expenses!D$3:D$999,SMALL(IF((Expenses!E$3:E$999="GBP")*(Expenses!A$3:A$999=DATE(2026,3,24)),ROW(Expenses!A$3:A$999)-2),3)),0)+IFERROR(INDEX(Income!C$3:C$502,SMALL(IF((Income!D$3:D$502="GBP")*(Income!A$3:A$502=DATE(2026,3,24)),ROW(Income!A$3:A$502)-2),3)),0))</f>
        <v/>
      </c>
      <c r="F66" s="126">
        <f t="array" ref="F66">IF(IFERROR(INDEX(Expenses!B$3:B$999,SMALL(IF((Expenses!E$3:E$999="GBP")*(Expenses!A$3:A$999=DATE(2026,3,24)),ROW(Expenses!A$3:A$999)-2),3)),"")&lt;&gt;"",IFERROR(INDEX(Expenses!B$3:B$999,SMALL(IF((Expenses!E$3:E$999="GBP")*(Expenses!A$3:A$999=DATE(2026,3,24)),ROW(Expenses!A$3:A$999)-2),3)),""),IF(IFERROR(INDEX(Income!B$3:B$502,SMALL(IF((Income!D$3:D$502="GBP")*(Income!A$3:A$502=DATE(2026,3,24)),ROW(Income!A$3:A$502)-2),3)),"")&lt;&gt;"",IFERROR(INDEX(Income!B$3:B$502,SMALL(IF((Income!D$3:D$502="GBP")*(Income!A$3:A$502=DATE(2026,3,24)),ROW(Income!A$3:A$502)-2),3)),""),""))</f>
        <v/>
      </c>
      <c r="G66" s="152">
        <f t="array" ref="G66">IF(IFERROR(-INDEX(Expenses!D$3:D$999,SMALL(IF((Expenses!E$3:E$999="GBP")*(Expenses!A$3:A$999=DATE(2026,3,25)),ROW(Expenses!A$3:A$999)-2),3)),0)+IFERROR(INDEX(Income!C$3:C$502,SMALL(IF((Income!D$3:D$502="GBP")*(Income!A$3:A$502=DATE(2026,3,25)),ROW(Income!A$3:A$502)-2),3)),0)=0,"",IFERROR(-INDEX(Expenses!D$3:D$999,SMALL(IF((Expenses!E$3:E$999="GBP")*(Expenses!A$3:A$999=DATE(2026,3,25)),ROW(Expenses!A$3:A$999)-2),3)),0)+IFERROR(INDEX(Income!C$3:C$502,SMALL(IF((Income!D$3:D$502="GBP")*(Income!A$3:A$502=DATE(2026,3,25)),ROW(Income!A$3:A$502)-2),3)),0))</f>
        <v/>
      </c>
      <c r="H66" s="126">
        <f t="array" ref="H66">IF(IFERROR(INDEX(Expenses!B$3:B$999,SMALL(IF((Expenses!E$3:E$999="GBP")*(Expenses!A$3:A$999=DATE(2026,3,25)),ROW(Expenses!A$3:A$999)-2),3)),"")&lt;&gt;"",IFERROR(INDEX(Expenses!B$3:B$999,SMALL(IF((Expenses!E$3:E$999="GBP")*(Expenses!A$3:A$999=DATE(2026,3,25)),ROW(Expenses!A$3:A$999)-2),3)),""),IF(IFERROR(INDEX(Income!B$3:B$502,SMALL(IF((Income!D$3:D$502="GBP")*(Income!A$3:A$502=DATE(2026,3,25)),ROW(Income!A$3:A$502)-2),3)),"")&lt;&gt;"",IFERROR(INDEX(Income!B$3:B$502,SMALL(IF((Income!D$3:D$502="GBP")*(Income!A$3:A$502=DATE(2026,3,25)),ROW(Income!A$3:A$502)-2),3)),""),""))</f>
        <v/>
      </c>
      <c r="I66" s="152">
        <f t="array" ref="I66">IF(IFERROR(-INDEX(Expenses!D$3:D$999,SMALL(IF((Expenses!E$3:E$999="GBP")*(Expenses!A$3:A$999=DATE(2026,3,26)),ROW(Expenses!A$3:A$999)-2),3)),0)+IFERROR(INDEX(Income!C$3:C$502,SMALL(IF((Income!D$3:D$502="GBP")*(Income!A$3:A$502=DATE(2026,3,26)),ROW(Income!A$3:A$502)-2),3)),0)=0,"",IFERROR(-INDEX(Expenses!D$3:D$999,SMALL(IF((Expenses!E$3:E$999="GBP")*(Expenses!A$3:A$999=DATE(2026,3,26)),ROW(Expenses!A$3:A$999)-2),3)),0)+IFERROR(INDEX(Income!C$3:C$502,SMALL(IF((Income!D$3:D$502="GBP")*(Income!A$3:A$502=DATE(2026,3,26)),ROW(Income!A$3:A$502)-2),3)),0))</f>
        <v/>
      </c>
      <c r="J66" s="126">
        <f t="array" ref="J66">IF(IFERROR(INDEX(Expenses!B$3:B$999,SMALL(IF((Expenses!E$3:E$999="GBP")*(Expenses!A$3:A$999=DATE(2026,3,26)),ROW(Expenses!A$3:A$999)-2),3)),"")&lt;&gt;"",IFERROR(INDEX(Expenses!B$3:B$999,SMALL(IF((Expenses!E$3:E$999="GBP")*(Expenses!A$3:A$999=DATE(2026,3,26)),ROW(Expenses!A$3:A$999)-2),3)),""),IF(IFERROR(INDEX(Income!B$3:B$502,SMALL(IF((Income!D$3:D$502="GBP")*(Income!A$3:A$502=DATE(2026,3,26)),ROW(Income!A$3:A$502)-2),3)),"")&lt;&gt;"",IFERROR(INDEX(Income!B$3:B$502,SMALL(IF((Income!D$3:D$502="GBP")*(Income!A$3:A$502=DATE(2026,3,26)),ROW(Income!A$3:A$502)-2),3)),""),""))</f>
        <v/>
      </c>
      <c r="K66" s="152">
        <f t="array" ref="K66">IF(IFERROR(-INDEX(Expenses!D$3:D$999,SMALL(IF((Expenses!E$3:E$999="GBP")*(Expenses!A$3:A$999=DATE(2026,3,27)),ROW(Expenses!A$3:A$999)-2),3)),0)+IFERROR(INDEX(Income!C$3:C$502,SMALL(IF((Income!D$3:D$502="GBP")*(Income!A$3:A$502=DATE(2026,3,27)),ROW(Income!A$3:A$502)-2),3)),0)=0,"",IFERROR(-INDEX(Expenses!D$3:D$999,SMALL(IF((Expenses!E$3:E$999="GBP")*(Expenses!A$3:A$999=DATE(2026,3,27)),ROW(Expenses!A$3:A$999)-2),3)),0)+IFERROR(INDEX(Income!C$3:C$502,SMALL(IF((Income!D$3:D$502="GBP")*(Income!A$3:A$502=DATE(2026,3,27)),ROW(Income!A$3:A$502)-2),3)),0))</f>
        <v/>
      </c>
      <c r="L66" s="126">
        <f t="array" ref="L66">IF(IFERROR(INDEX(Expenses!B$3:B$999,SMALL(IF((Expenses!E$3:E$999="GBP")*(Expenses!A$3:A$999=DATE(2026,3,27)),ROW(Expenses!A$3:A$999)-2),3)),"")&lt;&gt;"",IFERROR(INDEX(Expenses!B$3:B$999,SMALL(IF((Expenses!E$3:E$999="GBP")*(Expenses!A$3:A$999=DATE(2026,3,27)),ROW(Expenses!A$3:A$999)-2),3)),""),IF(IFERROR(INDEX(Income!B$3:B$502,SMALL(IF((Income!D$3:D$502="GBP")*(Income!A$3:A$502=DATE(2026,3,27)),ROW(Income!A$3:A$502)-2),3)),"")&lt;&gt;"",IFERROR(INDEX(Income!B$3:B$502,SMALL(IF((Income!D$3:D$502="GBP")*(Income!A$3:A$502=DATE(2026,3,27)),ROW(Income!A$3:A$502)-2),3)),""),""))</f>
        <v/>
      </c>
      <c r="M66" s="152">
        <f t="array" ref="M66">IF(IFERROR(-INDEX(Expenses!D$3:D$999,SMALL(IF((Expenses!E$3:E$999="GBP")*(Expenses!A$3:A$999=DATE(2026,3,28)),ROW(Expenses!A$3:A$999)-2),3)),0)+IFERROR(INDEX(Income!C$3:C$502,SMALL(IF((Income!D$3:D$502="GBP")*(Income!A$3:A$502=DATE(2026,3,28)),ROW(Income!A$3:A$502)-2),3)),0)=0,"",IFERROR(-INDEX(Expenses!D$3:D$999,SMALL(IF((Expenses!E$3:E$999="GBP")*(Expenses!A$3:A$999=DATE(2026,3,28)),ROW(Expenses!A$3:A$999)-2),3)),0)+IFERROR(INDEX(Income!C$3:C$502,SMALL(IF((Income!D$3:D$502="GBP")*(Income!A$3:A$502=DATE(2026,3,28)),ROW(Income!A$3:A$502)-2),3)),0))</f>
        <v/>
      </c>
      <c r="N66" s="126">
        <f t="array" ref="N66">IF(IFERROR(INDEX(Expenses!B$3:B$999,SMALL(IF((Expenses!E$3:E$999="GBP")*(Expenses!A$3:A$999=DATE(2026,3,28)),ROW(Expenses!A$3:A$999)-2),3)),"")&lt;&gt;"",IFERROR(INDEX(Expenses!B$3:B$999,SMALL(IF((Expenses!E$3:E$999="GBP")*(Expenses!A$3:A$999=DATE(2026,3,28)),ROW(Expenses!A$3:A$999)-2),3)),""),IF(IFERROR(INDEX(Income!B$3:B$502,SMALL(IF((Income!D$3:D$502="GBP")*(Income!A$3:A$502=DATE(2026,3,28)),ROW(Income!A$3:A$502)-2),3)),"")&lt;&gt;"",IFERROR(INDEX(Income!B$3:B$502,SMALL(IF((Income!D$3:D$502="GBP")*(Income!A$3:A$502=DATE(2026,3,28)),ROW(Income!A$3:A$502)-2),3)),""),""))</f>
        <v/>
      </c>
      <c r="O66" s="152">
        <f t="array" ref="O66">IF(IFERROR(-INDEX(Expenses!D$3:D$999,SMALL(IF((Expenses!E$3:E$999="GBP")*(Expenses!A$3:A$999=DATE(2026,3,29)),ROW(Expenses!A$3:A$999)-2),3)),0)+IFERROR(INDEX(Income!C$3:C$502,SMALL(IF((Income!D$3:D$502="GBP")*(Income!A$3:A$502=DATE(2026,3,29)),ROW(Income!A$3:A$502)-2),3)),0)=0,"",IFERROR(-INDEX(Expenses!D$3:D$999,SMALL(IF((Expenses!E$3:E$999="GBP")*(Expenses!A$3:A$999=DATE(2026,3,29)),ROW(Expenses!A$3:A$999)-2),3)),0)+IFERROR(INDEX(Income!C$3:C$502,SMALL(IF((Income!D$3:D$502="GBP")*(Income!A$3:A$502=DATE(2026,3,29)),ROW(Income!A$3:A$502)-2),3)),0))</f>
        <v/>
      </c>
      <c r="P66" s="126">
        <f t="array" ref="P66">IF(IFERROR(INDEX(Expenses!B$3:B$999,SMALL(IF((Expenses!E$3:E$999="GBP")*(Expenses!A$3:A$999=DATE(2026,3,29)),ROW(Expenses!A$3:A$999)-2),3)),"")&lt;&gt;"",IFERROR(INDEX(Expenses!B$3:B$999,SMALL(IF((Expenses!E$3:E$999="GBP")*(Expenses!A$3:A$999=DATE(2026,3,29)),ROW(Expenses!A$3:A$999)-2),3)),""),IF(IFERROR(INDEX(Income!B$3:B$502,SMALL(IF((Income!D$3:D$502="GBP")*(Income!A$3:A$502=DATE(2026,3,29)),ROW(Income!A$3:A$502)-2),3)),"")&lt;&gt;"",IFERROR(INDEX(Income!B$3:B$502,SMALL(IF((Income!D$3:D$502="GBP")*(Income!A$3:A$502=DATE(2026,3,29)),ROW(Income!A$3:A$502)-2),3)),""),""))</f>
        <v/>
      </c>
      <c r="Q66" s="9" t="n"/>
      <c r="R66" s="9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68">
      <c r="A67" s="9" t="n"/>
      <c r="B67" s="9" t="n"/>
      <c r="C67" s="152">
        <f t="array" ref="C67">IF(IFERROR(-INDEX(Expenses!D$3:D$999,SMALL(IF((Expenses!E$3:E$999="GBP")*(Expenses!A$3:A$999=DATE(2026,3,23)),ROW(Expenses!A$3:A$999)-2),4)),0)+IFERROR(INDEX(Income!C$3:C$502,SMALL(IF((Income!D$3:D$502="GBP")*(Income!A$3:A$502=DATE(2026,3,23)),ROW(Income!A$3:A$502)-2),4)),0)=0,"",IFERROR(-INDEX(Expenses!D$3:D$999,SMALL(IF((Expenses!E$3:E$999="GBP")*(Expenses!A$3:A$999=DATE(2026,3,23)),ROW(Expenses!A$3:A$999)-2),4)),0)+IFERROR(INDEX(Income!C$3:C$502,SMALL(IF((Income!D$3:D$502="GBP")*(Income!A$3:A$502=DATE(2026,3,23)),ROW(Income!A$3:A$502)-2),4)),0))</f>
        <v/>
      </c>
      <c r="D67" s="126">
        <f t="array" ref="D67">IF(IFERROR(INDEX(Expenses!B$3:B$999,SMALL(IF((Expenses!E$3:E$999="GBP")*(Expenses!A$3:A$999=DATE(2026,3,23)),ROW(Expenses!A$3:A$999)-2),4)),"")&lt;&gt;"",IFERROR(INDEX(Expenses!B$3:B$999,SMALL(IF((Expenses!E$3:E$999="GBP")*(Expenses!A$3:A$999=DATE(2026,3,23)),ROW(Expenses!A$3:A$999)-2),4)),""),IF(IFERROR(INDEX(Income!B$3:B$502,SMALL(IF((Income!D$3:D$502="GBP")*(Income!A$3:A$502=DATE(2026,3,23)),ROW(Income!A$3:A$502)-2),4)),"")&lt;&gt;"",IFERROR(INDEX(Income!B$3:B$502,SMALL(IF((Income!D$3:D$502="GBP")*(Income!A$3:A$502=DATE(2026,3,23)),ROW(Income!A$3:A$502)-2),4)),""),""))</f>
        <v/>
      </c>
      <c r="E67" s="152">
        <f t="array" ref="E67">IF(IFERROR(-INDEX(Expenses!D$3:D$999,SMALL(IF((Expenses!E$3:E$999="GBP")*(Expenses!A$3:A$999=DATE(2026,3,24)),ROW(Expenses!A$3:A$999)-2),4)),0)+IFERROR(INDEX(Income!C$3:C$502,SMALL(IF((Income!D$3:D$502="GBP")*(Income!A$3:A$502=DATE(2026,3,24)),ROW(Income!A$3:A$502)-2),4)),0)=0,"",IFERROR(-INDEX(Expenses!D$3:D$999,SMALL(IF((Expenses!E$3:E$999="GBP")*(Expenses!A$3:A$999=DATE(2026,3,24)),ROW(Expenses!A$3:A$999)-2),4)),0)+IFERROR(INDEX(Income!C$3:C$502,SMALL(IF((Income!D$3:D$502="GBP")*(Income!A$3:A$502=DATE(2026,3,24)),ROW(Income!A$3:A$502)-2),4)),0))</f>
        <v/>
      </c>
      <c r="F67" s="126">
        <f t="array" ref="F67">IF(IFERROR(INDEX(Expenses!B$3:B$999,SMALL(IF((Expenses!E$3:E$999="GBP")*(Expenses!A$3:A$999=DATE(2026,3,24)),ROW(Expenses!A$3:A$999)-2),4)),"")&lt;&gt;"",IFERROR(INDEX(Expenses!B$3:B$999,SMALL(IF((Expenses!E$3:E$999="GBP")*(Expenses!A$3:A$999=DATE(2026,3,24)),ROW(Expenses!A$3:A$999)-2),4)),""),IF(IFERROR(INDEX(Income!B$3:B$502,SMALL(IF((Income!D$3:D$502="GBP")*(Income!A$3:A$502=DATE(2026,3,24)),ROW(Income!A$3:A$502)-2),4)),"")&lt;&gt;"",IFERROR(INDEX(Income!B$3:B$502,SMALL(IF((Income!D$3:D$502="GBP")*(Income!A$3:A$502=DATE(2026,3,24)),ROW(Income!A$3:A$502)-2),4)),""),""))</f>
        <v/>
      </c>
      <c r="G67" s="152">
        <f t="array" ref="G67">IF(IFERROR(-INDEX(Expenses!D$3:D$999,SMALL(IF((Expenses!E$3:E$999="GBP")*(Expenses!A$3:A$999=DATE(2026,3,25)),ROW(Expenses!A$3:A$999)-2),4)),0)+IFERROR(INDEX(Income!C$3:C$502,SMALL(IF((Income!D$3:D$502="GBP")*(Income!A$3:A$502=DATE(2026,3,25)),ROW(Income!A$3:A$502)-2),4)),0)=0,"",IFERROR(-INDEX(Expenses!D$3:D$999,SMALL(IF((Expenses!E$3:E$999="GBP")*(Expenses!A$3:A$999=DATE(2026,3,25)),ROW(Expenses!A$3:A$999)-2),4)),0)+IFERROR(INDEX(Income!C$3:C$502,SMALL(IF((Income!D$3:D$502="GBP")*(Income!A$3:A$502=DATE(2026,3,25)),ROW(Income!A$3:A$502)-2),4)),0))</f>
        <v/>
      </c>
      <c r="H67" s="126">
        <f t="array" ref="H67">IF(IFERROR(INDEX(Expenses!B$3:B$999,SMALL(IF((Expenses!E$3:E$999="GBP")*(Expenses!A$3:A$999=DATE(2026,3,25)),ROW(Expenses!A$3:A$999)-2),4)),"")&lt;&gt;"",IFERROR(INDEX(Expenses!B$3:B$999,SMALL(IF((Expenses!E$3:E$999="GBP")*(Expenses!A$3:A$999=DATE(2026,3,25)),ROW(Expenses!A$3:A$999)-2),4)),""),IF(IFERROR(INDEX(Income!B$3:B$502,SMALL(IF((Income!D$3:D$502="GBP")*(Income!A$3:A$502=DATE(2026,3,25)),ROW(Income!A$3:A$502)-2),4)),"")&lt;&gt;"",IFERROR(INDEX(Income!B$3:B$502,SMALL(IF((Income!D$3:D$502="GBP")*(Income!A$3:A$502=DATE(2026,3,25)),ROW(Income!A$3:A$502)-2),4)),""),""))</f>
        <v/>
      </c>
      <c r="I67" s="152">
        <f t="array" ref="I67">IF(IFERROR(-INDEX(Expenses!D$3:D$999,SMALL(IF((Expenses!E$3:E$999="GBP")*(Expenses!A$3:A$999=DATE(2026,3,26)),ROW(Expenses!A$3:A$999)-2),4)),0)+IFERROR(INDEX(Income!C$3:C$502,SMALL(IF((Income!D$3:D$502="GBP")*(Income!A$3:A$502=DATE(2026,3,26)),ROW(Income!A$3:A$502)-2),4)),0)=0,"",IFERROR(-INDEX(Expenses!D$3:D$999,SMALL(IF((Expenses!E$3:E$999="GBP")*(Expenses!A$3:A$999=DATE(2026,3,26)),ROW(Expenses!A$3:A$999)-2),4)),0)+IFERROR(INDEX(Income!C$3:C$502,SMALL(IF((Income!D$3:D$502="GBP")*(Income!A$3:A$502=DATE(2026,3,26)),ROW(Income!A$3:A$502)-2),4)),0))</f>
        <v/>
      </c>
      <c r="J67" s="126">
        <f t="array" ref="J67">IF(IFERROR(INDEX(Expenses!B$3:B$999,SMALL(IF((Expenses!E$3:E$999="GBP")*(Expenses!A$3:A$999=DATE(2026,3,26)),ROW(Expenses!A$3:A$999)-2),4)),"")&lt;&gt;"",IFERROR(INDEX(Expenses!B$3:B$999,SMALL(IF((Expenses!E$3:E$999="GBP")*(Expenses!A$3:A$999=DATE(2026,3,26)),ROW(Expenses!A$3:A$999)-2),4)),""),IF(IFERROR(INDEX(Income!B$3:B$502,SMALL(IF((Income!D$3:D$502="GBP")*(Income!A$3:A$502=DATE(2026,3,26)),ROW(Income!A$3:A$502)-2),4)),"")&lt;&gt;"",IFERROR(INDEX(Income!B$3:B$502,SMALL(IF((Income!D$3:D$502="GBP")*(Income!A$3:A$502=DATE(2026,3,26)),ROW(Income!A$3:A$502)-2),4)),""),""))</f>
        <v/>
      </c>
      <c r="K67" s="152">
        <f t="array" ref="K67">IF(IFERROR(-INDEX(Expenses!D$3:D$999,SMALL(IF((Expenses!E$3:E$999="GBP")*(Expenses!A$3:A$999=DATE(2026,3,27)),ROW(Expenses!A$3:A$999)-2),4)),0)+IFERROR(INDEX(Income!C$3:C$502,SMALL(IF((Income!D$3:D$502="GBP")*(Income!A$3:A$502=DATE(2026,3,27)),ROW(Income!A$3:A$502)-2),4)),0)=0,"",IFERROR(-INDEX(Expenses!D$3:D$999,SMALL(IF((Expenses!E$3:E$999="GBP")*(Expenses!A$3:A$999=DATE(2026,3,27)),ROW(Expenses!A$3:A$999)-2),4)),0)+IFERROR(INDEX(Income!C$3:C$502,SMALL(IF((Income!D$3:D$502="GBP")*(Income!A$3:A$502=DATE(2026,3,27)),ROW(Income!A$3:A$502)-2),4)),0))</f>
        <v/>
      </c>
      <c r="L67" s="126">
        <f t="array" ref="L67">IF(IFERROR(INDEX(Expenses!B$3:B$999,SMALL(IF((Expenses!E$3:E$999="GBP")*(Expenses!A$3:A$999=DATE(2026,3,27)),ROW(Expenses!A$3:A$999)-2),4)),"")&lt;&gt;"",IFERROR(INDEX(Expenses!B$3:B$999,SMALL(IF((Expenses!E$3:E$999="GBP")*(Expenses!A$3:A$999=DATE(2026,3,27)),ROW(Expenses!A$3:A$999)-2),4)),""),IF(IFERROR(INDEX(Income!B$3:B$502,SMALL(IF((Income!D$3:D$502="GBP")*(Income!A$3:A$502=DATE(2026,3,27)),ROW(Income!A$3:A$502)-2),4)),"")&lt;&gt;"",IFERROR(INDEX(Income!B$3:B$502,SMALL(IF((Income!D$3:D$502="GBP")*(Income!A$3:A$502=DATE(2026,3,27)),ROW(Income!A$3:A$502)-2),4)),""),""))</f>
        <v/>
      </c>
      <c r="M67" s="152">
        <f t="array" ref="M67">IF(IFERROR(-INDEX(Expenses!D$3:D$999,SMALL(IF((Expenses!E$3:E$999="GBP")*(Expenses!A$3:A$999=DATE(2026,3,28)),ROW(Expenses!A$3:A$999)-2),4)),0)+IFERROR(INDEX(Income!C$3:C$502,SMALL(IF((Income!D$3:D$502="GBP")*(Income!A$3:A$502=DATE(2026,3,28)),ROW(Income!A$3:A$502)-2),4)),0)=0,"",IFERROR(-INDEX(Expenses!D$3:D$999,SMALL(IF((Expenses!E$3:E$999="GBP")*(Expenses!A$3:A$999=DATE(2026,3,28)),ROW(Expenses!A$3:A$999)-2),4)),0)+IFERROR(INDEX(Income!C$3:C$502,SMALL(IF((Income!D$3:D$502="GBP")*(Income!A$3:A$502=DATE(2026,3,28)),ROW(Income!A$3:A$502)-2),4)),0))</f>
        <v/>
      </c>
      <c r="N67" s="126">
        <f t="array" ref="N67">IF(IFERROR(INDEX(Expenses!B$3:B$999,SMALL(IF((Expenses!E$3:E$999="GBP")*(Expenses!A$3:A$999=DATE(2026,3,28)),ROW(Expenses!A$3:A$999)-2),4)),"")&lt;&gt;"",IFERROR(INDEX(Expenses!B$3:B$999,SMALL(IF((Expenses!E$3:E$999="GBP")*(Expenses!A$3:A$999=DATE(2026,3,28)),ROW(Expenses!A$3:A$999)-2),4)),""),IF(IFERROR(INDEX(Income!B$3:B$502,SMALL(IF((Income!D$3:D$502="GBP")*(Income!A$3:A$502=DATE(2026,3,28)),ROW(Income!A$3:A$502)-2),4)),"")&lt;&gt;"",IFERROR(INDEX(Income!B$3:B$502,SMALL(IF((Income!D$3:D$502="GBP")*(Income!A$3:A$502=DATE(2026,3,28)),ROW(Income!A$3:A$502)-2),4)),""),""))</f>
        <v/>
      </c>
      <c r="O67" s="152">
        <f t="array" ref="O67">IF(IFERROR(-INDEX(Expenses!D$3:D$999,SMALL(IF((Expenses!E$3:E$999="GBP")*(Expenses!A$3:A$999=DATE(2026,3,29)),ROW(Expenses!A$3:A$999)-2),4)),0)+IFERROR(INDEX(Income!C$3:C$502,SMALL(IF((Income!D$3:D$502="GBP")*(Income!A$3:A$502=DATE(2026,3,29)),ROW(Income!A$3:A$502)-2),4)),0)=0,"",IFERROR(-INDEX(Expenses!D$3:D$999,SMALL(IF((Expenses!E$3:E$999="GBP")*(Expenses!A$3:A$999=DATE(2026,3,29)),ROW(Expenses!A$3:A$999)-2),4)),0)+IFERROR(INDEX(Income!C$3:C$502,SMALL(IF((Income!D$3:D$502="GBP")*(Income!A$3:A$502=DATE(2026,3,29)),ROW(Income!A$3:A$502)-2),4)),0))</f>
        <v/>
      </c>
      <c r="P67" s="126">
        <f t="array" ref="P67">IF(IFERROR(INDEX(Expenses!B$3:B$999,SMALL(IF((Expenses!E$3:E$999="GBP")*(Expenses!A$3:A$999=DATE(2026,3,29)),ROW(Expenses!A$3:A$999)-2),4)),"")&lt;&gt;"",IFERROR(INDEX(Expenses!B$3:B$999,SMALL(IF((Expenses!E$3:E$999="GBP")*(Expenses!A$3:A$999=DATE(2026,3,29)),ROW(Expenses!A$3:A$999)-2),4)),""),IF(IFERROR(INDEX(Income!B$3:B$502,SMALL(IF((Income!D$3:D$502="GBP")*(Income!A$3:A$502=DATE(2026,3,29)),ROW(Income!A$3:A$502)-2),4)),"")&lt;&gt;"",IFERROR(INDEX(Income!B$3:B$502,SMALL(IF((Income!D$3:D$502="GBP")*(Income!A$3:A$502=DATE(2026,3,29)),ROW(Income!A$3:A$502)-2),4)),""),""))</f>
        <v/>
      </c>
      <c r="Q67" s="9" t="n"/>
      <c r="R67" s="9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68">
      <c r="A68" s="9" t="n"/>
      <c r="B68" s="9" t="n"/>
      <c r="C68" s="152">
        <f t="array" ref="C68">IF(IFERROR(-INDEX(Expenses!D$3:D$999,SMALL(IF((Expenses!E$3:E$999="GBP")*(Expenses!A$3:A$999=DATE(2026,3,23)),ROW(Expenses!A$3:A$999)-2),5)),0)+IFERROR(INDEX(Income!C$3:C$502,SMALL(IF((Income!D$3:D$502="GBP")*(Income!A$3:A$502=DATE(2026,3,23)),ROW(Income!A$3:A$502)-2),5)),0)=0,"",IFERROR(-INDEX(Expenses!D$3:D$999,SMALL(IF((Expenses!E$3:E$999="GBP")*(Expenses!A$3:A$999=DATE(2026,3,23)),ROW(Expenses!A$3:A$999)-2),5)),0)+IFERROR(INDEX(Income!C$3:C$502,SMALL(IF((Income!D$3:D$502="GBP")*(Income!A$3:A$502=DATE(2026,3,23)),ROW(Income!A$3:A$502)-2),5)),0))</f>
        <v/>
      </c>
      <c r="D68" s="126">
        <f t="array" ref="D68">IF(IFERROR(INDEX(Expenses!B$3:B$999,SMALL(IF((Expenses!E$3:E$999="GBP")*(Expenses!A$3:A$999=DATE(2026,3,23)),ROW(Expenses!A$3:A$999)-2),5)),"")&lt;&gt;"",IFERROR(INDEX(Expenses!B$3:B$999,SMALL(IF((Expenses!E$3:E$999="GBP")*(Expenses!A$3:A$999=DATE(2026,3,23)),ROW(Expenses!A$3:A$999)-2),5)),""),IF(IFERROR(INDEX(Income!B$3:B$502,SMALL(IF((Income!D$3:D$502="GBP")*(Income!A$3:A$502=DATE(2026,3,23)),ROW(Income!A$3:A$502)-2),5)),"")&lt;&gt;"",IFERROR(INDEX(Income!B$3:B$502,SMALL(IF((Income!D$3:D$502="GBP")*(Income!A$3:A$502=DATE(2026,3,23)),ROW(Income!A$3:A$502)-2),5)),""),""))</f>
        <v/>
      </c>
      <c r="E68" s="152">
        <f t="array" ref="E68">IF(IFERROR(-INDEX(Expenses!D$3:D$999,SMALL(IF((Expenses!E$3:E$999="GBP")*(Expenses!A$3:A$999=DATE(2026,3,24)),ROW(Expenses!A$3:A$999)-2),5)),0)+IFERROR(INDEX(Income!C$3:C$502,SMALL(IF((Income!D$3:D$502="GBP")*(Income!A$3:A$502=DATE(2026,3,24)),ROW(Income!A$3:A$502)-2),5)),0)=0,"",IFERROR(-INDEX(Expenses!D$3:D$999,SMALL(IF((Expenses!E$3:E$999="GBP")*(Expenses!A$3:A$999=DATE(2026,3,24)),ROW(Expenses!A$3:A$999)-2),5)),0)+IFERROR(INDEX(Income!C$3:C$502,SMALL(IF((Income!D$3:D$502="GBP")*(Income!A$3:A$502=DATE(2026,3,24)),ROW(Income!A$3:A$502)-2),5)),0))</f>
        <v/>
      </c>
      <c r="F68" s="126">
        <f t="array" ref="F68">IF(IFERROR(INDEX(Expenses!B$3:B$999,SMALL(IF((Expenses!E$3:E$999="GBP")*(Expenses!A$3:A$999=DATE(2026,3,24)),ROW(Expenses!A$3:A$999)-2),5)),"")&lt;&gt;"",IFERROR(INDEX(Expenses!B$3:B$999,SMALL(IF((Expenses!E$3:E$999="GBP")*(Expenses!A$3:A$999=DATE(2026,3,24)),ROW(Expenses!A$3:A$999)-2),5)),""),IF(IFERROR(INDEX(Income!B$3:B$502,SMALL(IF((Income!D$3:D$502="GBP")*(Income!A$3:A$502=DATE(2026,3,24)),ROW(Income!A$3:A$502)-2),5)),"")&lt;&gt;"",IFERROR(INDEX(Income!B$3:B$502,SMALL(IF((Income!D$3:D$502="GBP")*(Income!A$3:A$502=DATE(2026,3,24)),ROW(Income!A$3:A$502)-2),5)),""),""))</f>
        <v/>
      </c>
      <c r="G68" s="152">
        <f t="array" ref="G68">IF(IFERROR(-INDEX(Expenses!D$3:D$999,SMALL(IF((Expenses!E$3:E$999="GBP")*(Expenses!A$3:A$999=DATE(2026,3,25)),ROW(Expenses!A$3:A$999)-2),5)),0)+IFERROR(INDEX(Income!C$3:C$502,SMALL(IF((Income!D$3:D$502="GBP")*(Income!A$3:A$502=DATE(2026,3,25)),ROW(Income!A$3:A$502)-2),5)),0)=0,"",IFERROR(-INDEX(Expenses!D$3:D$999,SMALL(IF((Expenses!E$3:E$999="GBP")*(Expenses!A$3:A$999=DATE(2026,3,25)),ROW(Expenses!A$3:A$999)-2),5)),0)+IFERROR(INDEX(Income!C$3:C$502,SMALL(IF((Income!D$3:D$502="GBP")*(Income!A$3:A$502=DATE(2026,3,25)),ROW(Income!A$3:A$502)-2),5)),0))</f>
        <v/>
      </c>
      <c r="H68" s="126">
        <f t="array" ref="H68">IF(IFERROR(INDEX(Expenses!B$3:B$999,SMALL(IF((Expenses!E$3:E$999="GBP")*(Expenses!A$3:A$999=DATE(2026,3,25)),ROW(Expenses!A$3:A$999)-2),5)),"")&lt;&gt;"",IFERROR(INDEX(Expenses!B$3:B$999,SMALL(IF((Expenses!E$3:E$999="GBP")*(Expenses!A$3:A$999=DATE(2026,3,25)),ROW(Expenses!A$3:A$999)-2),5)),""),IF(IFERROR(INDEX(Income!B$3:B$502,SMALL(IF((Income!D$3:D$502="GBP")*(Income!A$3:A$502=DATE(2026,3,25)),ROW(Income!A$3:A$502)-2),5)),"")&lt;&gt;"",IFERROR(INDEX(Income!B$3:B$502,SMALL(IF((Income!D$3:D$502="GBP")*(Income!A$3:A$502=DATE(2026,3,25)),ROW(Income!A$3:A$502)-2),5)),""),""))</f>
        <v/>
      </c>
      <c r="I68" s="152">
        <f t="array" ref="I68">IF(IFERROR(-INDEX(Expenses!D$3:D$999,SMALL(IF((Expenses!E$3:E$999="GBP")*(Expenses!A$3:A$999=DATE(2026,3,26)),ROW(Expenses!A$3:A$999)-2),5)),0)+IFERROR(INDEX(Income!C$3:C$502,SMALL(IF((Income!D$3:D$502="GBP")*(Income!A$3:A$502=DATE(2026,3,26)),ROW(Income!A$3:A$502)-2),5)),0)=0,"",IFERROR(-INDEX(Expenses!D$3:D$999,SMALL(IF((Expenses!E$3:E$999="GBP")*(Expenses!A$3:A$999=DATE(2026,3,26)),ROW(Expenses!A$3:A$999)-2),5)),0)+IFERROR(INDEX(Income!C$3:C$502,SMALL(IF((Income!D$3:D$502="GBP")*(Income!A$3:A$502=DATE(2026,3,26)),ROW(Income!A$3:A$502)-2),5)),0))</f>
        <v/>
      </c>
      <c r="J68" s="126">
        <f t="array" ref="J68">IF(IFERROR(INDEX(Expenses!B$3:B$999,SMALL(IF((Expenses!E$3:E$999="GBP")*(Expenses!A$3:A$999=DATE(2026,3,26)),ROW(Expenses!A$3:A$999)-2),5)),"")&lt;&gt;"",IFERROR(INDEX(Expenses!B$3:B$999,SMALL(IF((Expenses!E$3:E$999="GBP")*(Expenses!A$3:A$999=DATE(2026,3,26)),ROW(Expenses!A$3:A$999)-2),5)),""),IF(IFERROR(INDEX(Income!B$3:B$502,SMALL(IF((Income!D$3:D$502="GBP")*(Income!A$3:A$502=DATE(2026,3,26)),ROW(Income!A$3:A$502)-2),5)),"")&lt;&gt;"",IFERROR(INDEX(Income!B$3:B$502,SMALL(IF((Income!D$3:D$502="GBP")*(Income!A$3:A$502=DATE(2026,3,26)),ROW(Income!A$3:A$502)-2),5)),""),""))</f>
        <v/>
      </c>
      <c r="K68" s="152">
        <f t="array" ref="K68">IF(IFERROR(-INDEX(Expenses!D$3:D$999,SMALL(IF((Expenses!E$3:E$999="GBP")*(Expenses!A$3:A$999=DATE(2026,3,27)),ROW(Expenses!A$3:A$999)-2),5)),0)+IFERROR(INDEX(Income!C$3:C$502,SMALL(IF((Income!D$3:D$502="GBP")*(Income!A$3:A$502=DATE(2026,3,27)),ROW(Income!A$3:A$502)-2),5)),0)=0,"",IFERROR(-INDEX(Expenses!D$3:D$999,SMALL(IF((Expenses!E$3:E$999="GBP")*(Expenses!A$3:A$999=DATE(2026,3,27)),ROW(Expenses!A$3:A$999)-2),5)),0)+IFERROR(INDEX(Income!C$3:C$502,SMALL(IF((Income!D$3:D$502="GBP")*(Income!A$3:A$502=DATE(2026,3,27)),ROW(Income!A$3:A$502)-2),5)),0))</f>
        <v/>
      </c>
      <c r="L68" s="126">
        <f t="array" ref="L68">IF(IFERROR(INDEX(Expenses!B$3:B$999,SMALL(IF((Expenses!E$3:E$999="GBP")*(Expenses!A$3:A$999=DATE(2026,3,27)),ROW(Expenses!A$3:A$999)-2),5)),"")&lt;&gt;"",IFERROR(INDEX(Expenses!B$3:B$999,SMALL(IF((Expenses!E$3:E$999="GBP")*(Expenses!A$3:A$999=DATE(2026,3,27)),ROW(Expenses!A$3:A$999)-2),5)),""),IF(IFERROR(INDEX(Income!B$3:B$502,SMALL(IF((Income!D$3:D$502="GBP")*(Income!A$3:A$502=DATE(2026,3,27)),ROW(Income!A$3:A$502)-2),5)),"")&lt;&gt;"",IFERROR(INDEX(Income!B$3:B$502,SMALL(IF((Income!D$3:D$502="GBP")*(Income!A$3:A$502=DATE(2026,3,27)),ROW(Income!A$3:A$502)-2),5)),""),""))</f>
        <v/>
      </c>
      <c r="M68" s="152">
        <f t="array" ref="M68">IF(IFERROR(-INDEX(Expenses!D$3:D$999,SMALL(IF((Expenses!E$3:E$999="GBP")*(Expenses!A$3:A$999=DATE(2026,3,28)),ROW(Expenses!A$3:A$999)-2),5)),0)+IFERROR(INDEX(Income!C$3:C$502,SMALL(IF((Income!D$3:D$502="GBP")*(Income!A$3:A$502=DATE(2026,3,28)),ROW(Income!A$3:A$502)-2),5)),0)=0,"",IFERROR(-INDEX(Expenses!D$3:D$999,SMALL(IF((Expenses!E$3:E$999="GBP")*(Expenses!A$3:A$999=DATE(2026,3,28)),ROW(Expenses!A$3:A$999)-2),5)),0)+IFERROR(INDEX(Income!C$3:C$502,SMALL(IF((Income!D$3:D$502="GBP")*(Income!A$3:A$502=DATE(2026,3,28)),ROW(Income!A$3:A$502)-2),5)),0))</f>
        <v/>
      </c>
      <c r="N68" s="126">
        <f t="array" ref="N68">IF(IFERROR(INDEX(Expenses!B$3:B$999,SMALL(IF((Expenses!E$3:E$999="GBP")*(Expenses!A$3:A$999=DATE(2026,3,28)),ROW(Expenses!A$3:A$999)-2),5)),"")&lt;&gt;"",IFERROR(INDEX(Expenses!B$3:B$999,SMALL(IF((Expenses!E$3:E$999="GBP")*(Expenses!A$3:A$999=DATE(2026,3,28)),ROW(Expenses!A$3:A$999)-2),5)),""),IF(IFERROR(INDEX(Income!B$3:B$502,SMALL(IF((Income!D$3:D$502="GBP")*(Income!A$3:A$502=DATE(2026,3,28)),ROW(Income!A$3:A$502)-2),5)),"")&lt;&gt;"",IFERROR(INDEX(Income!B$3:B$502,SMALL(IF((Income!D$3:D$502="GBP")*(Income!A$3:A$502=DATE(2026,3,28)),ROW(Income!A$3:A$502)-2),5)),""),""))</f>
        <v/>
      </c>
      <c r="O68" s="152">
        <f t="array" ref="O68">IF(IFERROR(-INDEX(Expenses!D$3:D$999,SMALL(IF((Expenses!E$3:E$999="GBP")*(Expenses!A$3:A$999=DATE(2026,3,29)),ROW(Expenses!A$3:A$999)-2),5)),0)+IFERROR(INDEX(Income!C$3:C$502,SMALL(IF((Income!D$3:D$502="GBP")*(Income!A$3:A$502=DATE(2026,3,29)),ROW(Income!A$3:A$502)-2),5)),0)=0,"",IFERROR(-INDEX(Expenses!D$3:D$999,SMALL(IF((Expenses!E$3:E$999="GBP")*(Expenses!A$3:A$999=DATE(2026,3,29)),ROW(Expenses!A$3:A$999)-2),5)),0)+IFERROR(INDEX(Income!C$3:C$502,SMALL(IF((Income!D$3:D$502="GBP")*(Income!A$3:A$502=DATE(2026,3,29)),ROW(Income!A$3:A$502)-2),5)),0))</f>
        <v/>
      </c>
      <c r="P68" s="126">
        <f t="array" ref="P68">IF(IFERROR(INDEX(Expenses!B$3:B$999,SMALL(IF((Expenses!E$3:E$999="GBP")*(Expenses!A$3:A$999=DATE(2026,3,29)),ROW(Expenses!A$3:A$999)-2),5)),"")&lt;&gt;"",IFERROR(INDEX(Expenses!B$3:B$999,SMALL(IF((Expenses!E$3:E$999="GBP")*(Expenses!A$3:A$999=DATE(2026,3,29)),ROW(Expenses!A$3:A$999)-2),5)),""),IF(IFERROR(INDEX(Income!B$3:B$502,SMALL(IF((Income!D$3:D$502="GBP")*(Income!A$3:A$502=DATE(2026,3,29)),ROW(Income!A$3:A$502)-2),5)),"")&lt;&gt;"",IFERROR(INDEX(Income!B$3:B$502,SMALL(IF((Income!D$3:D$502="GBP")*(Income!A$3:A$502=DATE(2026,3,29)),ROW(Income!A$3:A$502)-2),5)),""),""))</f>
        <v/>
      </c>
      <c r="Q68" s="9" t="n"/>
      <c r="R68" s="9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68">
      <c r="A69" s="151" t="n">
        <v>46111</v>
      </c>
      <c r="B69" s="103" t="n">
        <v>14</v>
      </c>
      <c r="C69" s="152">
        <f t="array" ref="C69">IF(IFERROR(-INDEX(Expenses!D$3:D$999,SMALL(IF((Expenses!E$3:E$999="GBP")*(Expenses!A$3:A$999=DATE(2026,3,30)),ROW(Expenses!A$3:A$999)-2),1)),0)+IFERROR(INDEX(Income!C$3:C$502,SMALL(IF((Income!D$3:D$502="GBP")*(Income!A$3:A$502=DATE(2026,3,30)),ROW(Income!A$3:A$502)-2),1)),0)=0,"",IFERROR(-INDEX(Expenses!D$3:D$999,SMALL(IF((Expenses!E$3:E$999="GBP")*(Expenses!A$3:A$999=DATE(2026,3,30)),ROW(Expenses!A$3:A$999)-2),1)),0)+IFERROR(INDEX(Income!C$3:C$502,SMALL(IF((Income!D$3:D$502="GBP")*(Income!A$3:A$502=DATE(2026,3,30)),ROW(Income!A$3:A$502)-2),1)),0))</f>
        <v/>
      </c>
      <c r="D69" s="126">
        <f t="array" ref="D69">IF(IFERROR(INDEX(Expenses!B$3:B$999,SMALL(IF((Expenses!E$3:E$999="GBP")*(Expenses!A$3:A$999=DATE(2026,3,30)),ROW(Expenses!A$3:A$999)-2),1)),"")&lt;&gt;"",IFERROR(INDEX(Expenses!B$3:B$999,SMALL(IF((Expenses!E$3:E$999="GBP")*(Expenses!A$3:A$999=DATE(2026,3,30)),ROW(Expenses!A$3:A$999)-2),1)),""),IF(IFERROR(INDEX(Income!B$3:B$502,SMALL(IF((Income!D$3:D$502="GBP")*(Income!A$3:A$502=DATE(2026,3,30)),ROW(Income!A$3:A$502)-2),1)),"")&lt;&gt;"",IFERROR(INDEX(Income!B$3:B$502,SMALL(IF((Income!D$3:D$502="GBP")*(Income!A$3:A$502=DATE(2026,3,30)),ROW(Income!A$3:A$502)-2),1)),""),""))</f>
        <v/>
      </c>
      <c r="E69" s="152">
        <f t="array" ref="E69">IF(IFERROR(-INDEX(Expenses!D$3:D$999,SMALL(IF((Expenses!E$3:E$999="GBP")*(Expenses!A$3:A$999=DATE(2026,3,31)),ROW(Expenses!A$3:A$999)-2),1)),0)+IFERROR(INDEX(Income!C$3:C$502,SMALL(IF((Income!D$3:D$502="GBP")*(Income!A$3:A$502=DATE(2026,3,31)),ROW(Income!A$3:A$502)-2),1)),0)=0,"",IFERROR(-INDEX(Expenses!D$3:D$999,SMALL(IF((Expenses!E$3:E$999="GBP")*(Expenses!A$3:A$999=DATE(2026,3,31)),ROW(Expenses!A$3:A$999)-2),1)),0)+IFERROR(INDEX(Income!C$3:C$502,SMALL(IF((Income!D$3:D$502="GBP")*(Income!A$3:A$502=DATE(2026,3,31)),ROW(Income!A$3:A$502)-2),1)),0))</f>
        <v/>
      </c>
      <c r="F69" s="126">
        <f t="array" ref="F69">IF(IFERROR(INDEX(Expenses!B$3:B$999,SMALL(IF((Expenses!E$3:E$999="GBP")*(Expenses!A$3:A$999=DATE(2026,3,31)),ROW(Expenses!A$3:A$999)-2),1)),"")&lt;&gt;"",IFERROR(INDEX(Expenses!B$3:B$999,SMALL(IF((Expenses!E$3:E$999="GBP")*(Expenses!A$3:A$999=DATE(2026,3,31)),ROW(Expenses!A$3:A$999)-2),1)),""),IF(IFERROR(INDEX(Income!B$3:B$502,SMALL(IF((Income!D$3:D$502="GBP")*(Income!A$3:A$502=DATE(2026,3,31)),ROW(Income!A$3:A$502)-2),1)),"")&lt;&gt;"",IFERROR(INDEX(Income!B$3:B$502,SMALL(IF((Income!D$3:D$502="GBP")*(Income!A$3:A$502=DATE(2026,3,31)),ROW(Income!A$3:A$502)-2),1)),""),""))</f>
        <v/>
      </c>
      <c r="G69" s="152">
        <f t="array" ref="G69">IF(IFERROR(-INDEX(Expenses!D$3:D$999,SMALL(IF((Expenses!E$3:E$999="GBP")*(Expenses!A$3:A$999=DATE(2026,4,1)),ROW(Expenses!A$3:A$999)-2),1)),0)+IFERROR(INDEX(Income!C$3:C$502,SMALL(IF((Income!D$3:D$502="GBP")*(Income!A$3:A$502=DATE(2026,4,1)),ROW(Income!A$3:A$502)-2),1)),0)=0,"",IFERROR(-INDEX(Expenses!D$3:D$999,SMALL(IF((Expenses!E$3:E$999="GBP")*(Expenses!A$3:A$999=DATE(2026,4,1)),ROW(Expenses!A$3:A$999)-2),1)),0)+IFERROR(INDEX(Income!C$3:C$502,SMALL(IF((Income!D$3:D$502="GBP")*(Income!A$3:A$502=DATE(2026,4,1)),ROW(Income!A$3:A$502)-2),1)),0))</f>
        <v/>
      </c>
      <c r="H69" s="126">
        <f t="array" ref="H69">IF(IFERROR(INDEX(Expenses!B$3:B$999,SMALL(IF((Expenses!E$3:E$999="GBP")*(Expenses!A$3:A$999=DATE(2026,4,1)),ROW(Expenses!A$3:A$999)-2),1)),"")&lt;&gt;"",IFERROR(INDEX(Expenses!B$3:B$999,SMALL(IF((Expenses!E$3:E$999="GBP")*(Expenses!A$3:A$999=DATE(2026,4,1)),ROW(Expenses!A$3:A$999)-2),1)),""),IF(IFERROR(INDEX(Income!B$3:B$502,SMALL(IF((Income!D$3:D$502="GBP")*(Income!A$3:A$502=DATE(2026,4,1)),ROW(Income!A$3:A$502)-2),1)),"")&lt;&gt;"",IFERROR(INDEX(Income!B$3:B$502,SMALL(IF((Income!D$3:D$502="GBP")*(Income!A$3:A$502=DATE(2026,4,1)),ROW(Income!A$3:A$502)-2),1)),""),""))</f>
        <v/>
      </c>
      <c r="I69" s="152">
        <f t="array" ref="I69">IF(IFERROR(-INDEX(Expenses!D$3:D$999,SMALL(IF((Expenses!E$3:E$999="GBP")*(Expenses!A$3:A$999=DATE(2026,4,2)),ROW(Expenses!A$3:A$999)-2),1)),0)+IFERROR(INDEX(Income!C$3:C$502,SMALL(IF((Income!D$3:D$502="GBP")*(Income!A$3:A$502=DATE(2026,4,2)),ROW(Income!A$3:A$502)-2),1)),0)=0,"",IFERROR(-INDEX(Expenses!D$3:D$999,SMALL(IF((Expenses!E$3:E$999="GBP")*(Expenses!A$3:A$999=DATE(2026,4,2)),ROW(Expenses!A$3:A$999)-2),1)),0)+IFERROR(INDEX(Income!C$3:C$502,SMALL(IF((Income!D$3:D$502="GBP")*(Income!A$3:A$502=DATE(2026,4,2)),ROW(Income!A$3:A$502)-2),1)),0))</f>
        <v/>
      </c>
      <c r="J69" s="126">
        <f t="array" ref="J69">IF(IFERROR(INDEX(Expenses!B$3:B$999,SMALL(IF((Expenses!E$3:E$999="GBP")*(Expenses!A$3:A$999=DATE(2026,4,2)),ROW(Expenses!A$3:A$999)-2),1)),"")&lt;&gt;"",IFERROR(INDEX(Expenses!B$3:B$999,SMALL(IF((Expenses!E$3:E$999="GBP")*(Expenses!A$3:A$999=DATE(2026,4,2)),ROW(Expenses!A$3:A$999)-2),1)),""),IF(IFERROR(INDEX(Income!B$3:B$502,SMALL(IF((Income!D$3:D$502="GBP")*(Income!A$3:A$502=DATE(2026,4,2)),ROW(Income!A$3:A$502)-2),1)),"")&lt;&gt;"",IFERROR(INDEX(Income!B$3:B$502,SMALL(IF((Income!D$3:D$502="GBP")*(Income!A$3:A$502=DATE(2026,4,2)),ROW(Income!A$3:A$502)-2),1)),""),""))</f>
        <v/>
      </c>
      <c r="K69" s="152">
        <f t="array" ref="K69">IF(IFERROR(-INDEX(Expenses!D$3:D$999,SMALL(IF((Expenses!E$3:E$999="GBP")*(Expenses!A$3:A$999=DATE(2026,4,3)),ROW(Expenses!A$3:A$999)-2),1)),0)+IFERROR(INDEX(Income!C$3:C$502,SMALL(IF((Income!D$3:D$502="GBP")*(Income!A$3:A$502=DATE(2026,4,3)),ROW(Income!A$3:A$502)-2),1)),0)=0,"",IFERROR(-INDEX(Expenses!D$3:D$999,SMALL(IF((Expenses!E$3:E$999="GBP")*(Expenses!A$3:A$999=DATE(2026,4,3)),ROW(Expenses!A$3:A$999)-2),1)),0)+IFERROR(INDEX(Income!C$3:C$502,SMALL(IF((Income!D$3:D$502="GBP")*(Income!A$3:A$502=DATE(2026,4,3)),ROW(Income!A$3:A$502)-2),1)),0))</f>
        <v/>
      </c>
      <c r="L69" s="126">
        <f t="array" ref="L69">IF(IFERROR(INDEX(Expenses!B$3:B$999,SMALL(IF((Expenses!E$3:E$999="GBP")*(Expenses!A$3:A$999=DATE(2026,4,3)),ROW(Expenses!A$3:A$999)-2),1)),"")&lt;&gt;"",IFERROR(INDEX(Expenses!B$3:B$999,SMALL(IF((Expenses!E$3:E$999="GBP")*(Expenses!A$3:A$999=DATE(2026,4,3)),ROW(Expenses!A$3:A$999)-2),1)),""),IF(IFERROR(INDEX(Income!B$3:B$502,SMALL(IF((Income!D$3:D$502="GBP")*(Income!A$3:A$502=DATE(2026,4,3)),ROW(Income!A$3:A$502)-2),1)),"")&lt;&gt;"",IFERROR(INDEX(Income!B$3:B$502,SMALL(IF((Income!D$3:D$502="GBP")*(Income!A$3:A$502=DATE(2026,4,3)),ROW(Income!A$3:A$502)-2),1)),""),""))</f>
        <v/>
      </c>
      <c r="M69" s="152">
        <f t="array" ref="M69">IF(IFERROR(-INDEX(Expenses!D$3:D$999,SMALL(IF((Expenses!E$3:E$999="GBP")*(Expenses!A$3:A$999=DATE(2026,4,4)),ROW(Expenses!A$3:A$999)-2),1)),0)+IFERROR(INDEX(Income!C$3:C$502,SMALL(IF((Income!D$3:D$502="GBP")*(Income!A$3:A$502=DATE(2026,4,4)),ROW(Income!A$3:A$502)-2),1)),0)=0,"",IFERROR(-INDEX(Expenses!D$3:D$999,SMALL(IF((Expenses!E$3:E$999="GBP")*(Expenses!A$3:A$999=DATE(2026,4,4)),ROW(Expenses!A$3:A$999)-2),1)),0)+IFERROR(INDEX(Income!C$3:C$502,SMALL(IF((Income!D$3:D$502="GBP")*(Income!A$3:A$502=DATE(2026,4,4)),ROW(Income!A$3:A$502)-2),1)),0))</f>
        <v/>
      </c>
      <c r="N69" s="126">
        <f t="array" ref="N69">IF(IFERROR(INDEX(Expenses!B$3:B$999,SMALL(IF((Expenses!E$3:E$999="GBP")*(Expenses!A$3:A$999=DATE(2026,4,4)),ROW(Expenses!A$3:A$999)-2),1)),"")&lt;&gt;"",IFERROR(INDEX(Expenses!B$3:B$999,SMALL(IF((Expenses!E$3:E$999="GBP")*(Expenses!A$3:A$999=DATE(2026,4,4)),ROW(Expenses!A$3:A$999)-2),1)),""),IF(IFERROR(INDEX(Income!B$3:B$502,SMALL(IF((Income!D$3:D$502="GBP")*(Income!A$3:A$502=DATE(2026,4,4)),ROW(Income!A$3:A$502)-2),1)),"")&lt;&gt;"",IFERROR(INDEX(Income!B$3:B$502,SMALL(IF((Income!D$3:D$502="GBP")*(Income!A$3:A$502=DATE(2026,4,4)),ROW(Income!A$3:A$502)-2),1)),""),""))</f>
        <v/>
      </c>
      <c r="O69" s="152">
        <f t="array" ref="O69">IF(IFERROR(-INDEX(Expenses!D$3:D$999,SMALL(IF((Expenses!E$3:E$999="GBP")*(Expenses!A$3:A$999=DATE(2026,4,5)),ROW(Expenses!A$3:A$999)-2),1)),0)+IFERROR(INDEX(Income!C$3:C$502,SMALL(IF((Income!D$3:D$502="GBP")*(Income!A$3:A$502=DATE(2026,4,5)),ROW(Income!A$3:A$502)-2),1)),0)=0,"",IFERROR(-INDEX(Expenses!D$3:D$999,SMALL(IF((Expenses!E$3:E$999="GBP")*(Expenses!A$3:A$999=DATE(2026,4,5)),ROW(Expenses!A$3:A$999)-2),1)),0)+IFERROR(INDEX(Income!C$3:C$502,SMALL(IF((Income!D$3:D$502="GBP")*(Income!A$3:A$502=DATE(2026,4,5)),ROW(Income!A$3:A$502)-2),1)),0))</f>
        <v/>
      </c>
      <c r="P69" s="126">
        <f t="array" ref="P69">IF(IFERROR(INDEX(Expenses!B$3:B$999,SMALL(IF((Expenses!E$3:E$999="GBP")*(Expenses!A$3:A$999=DATE(2026,4,5)),ROW(Expenses!A$3:A$999)-2),1)),"")&lt;&gt;"",IFERROR(INDEX(Expenses!B$3:B$999,SMALL(IF((Expenses!E$3:E$999="GBP")*(Expenses!A$3:A$999=DATE(2026,4,5)),ROW(Expenses!A$3:A$999)-2),1)),""),IF(IFERROR(INDEX(Income!B$3:B$502,SMALL(IF((Income!D$3:D$502="GBP")*(Income!A$3:A$502=DATE(2026,4,5)),ROW(Income!A$3:A$502)-2),1)),"")&lt;&gt;"",IFERROR(INDEX(Income!B$3:B$502,SMALL(IF((Income!D$3:D$502="GBP")*(Income!A$3:A$502=DATE(2026,4,5)),ROW(Income!A$3:A$502)-2),1)),""),""))</f>
        <v/>
      </c>
      <c r="Q69" s="103" t="n">
        <v>14</v>
      </c>
      <c r="R69" s="134">
        <f>SUM(C69:C73)+SUM(E69:E73)+SUM(G69:G73)+SUM(I69:I73)+SUM(K69:K73)+SUM(M69:M73)+SUM(O69:O73)</f>
        <v/>
      </c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68">
      <c r="A70" s="9" t="n"/>
      <c r="B70" s="9" t="n"/>
      <c r="C70" s="152">
        <f t="array" ref="C70">IF(IFERROR(-INDEX(Expenses!D$3:D$999,SMALL(IF((Expenses!E$3:E$999="GBP")*(Expenses!A$3:A$999=DATE(2026,3,30)),ROW(Expenses!A$3:A$999)-2),2)),0)+IFERROR(INDEX(Income!C$3:C$502,SMALL(IF((Income!D$3:D$502="GBP")*(Income!A$3:A$502=DATE(2026,3,30)),ROW(Income!A$3:A$502)-2),2)),0)=0,"",IFERROR(-INDEX(Expenses!D$3:D$999,SMALL(IF((Expenses!E$3:E$999="GBP")*(Expenses!A$3:A$999=DATE(2026,3,30)),ROW(Expenses!A$3:A$999)-2),2)),0)+IFERROR(INDEX(Income!C$3:C$502,SMALL(IF((Income!D$3:D$502="GBP")*(Income!A$3:A$502=DATE(2026,3,30)),ROW(Income!A$3:A$502)-2),2)),0))</f>
        <v/>
      </c>
      <c r="D70" s="126">
        <f t="array" ref="D70">IF(IFERROR(INDEX(Expenses!B$3:B$999,SMALL(IF((Expenses!E$3:E$999="GBP")*(Expenses!A$3:A$999=DATE(2026,3,30)),ROW(Expenses!A$3:A$999)-2),2)),"")&lt;&gt;"",IFERROR(INDEX(Expenses!B$3:B$999,SMALL(IF((Expenses!E$3:E$999="GBP")*(Expenses!A$3:A$999=DATE(2026,3,30)),ROW(Expenses!A$3:A$999)-2),2)),""),IF(IFERROR(INDEX(Income!B$3:B$502,SMALL(IF((Income!D$3:D$502="GBP")*(Income!A$3:A$502=DATE(2026,3,30)),ROW(Income!A$3:A$502)-2),2)),"")&lt;&gt;"",IFERROR(INDEX(Income!B$3:B$502,SMALL(IF((Income!D$3:D$502="GBP")*(Income!A$3:A$502=DATE(2026,3,30)),ROW(Income!A$3:A$502)-2),2)),""),""))</f>
        <v/>
      </c>
      <c r="E70" s="152">
        <f t="array" ref="E70">IF(IFERROR(-INDEX(Expenses!D$3:D$999,SMALL(IF((Expenses!E$3:E$999="GBP")*(Expenses!A$3:A$999=DATE(2026,3,31)),ROW(Expenses!A$3:A$999)-2),2)),0)+IFERROR(INDEX(Income!C$3:C$502,SMALL(IF((Income!D$3:D$502="GBP")*(Income!A$3:A$502=DATE(2026,3,31)),ROW(Income!A$3:A$502)-2),2)),0)=0,"",IFERROR(-INDEX(Expenses!D$3:D$999,SMALL(IF((Expenses!E$3:E$999="GBP")*(Expenses!A$3:A$999=DATE(2026,3,31)),ROW(Expenses!A$3:A$999)-2),2)),0)+IFERROR(INDEX(Income!C$3:C$502,SMALL(IF((Income!D$3:D$502="GBP")*(Income!A$3:A$502=DATE(2026,3,31)),ROW(Income!A$3:A$502)-2),2)),0))</f>
        <v/>
      </c>
      <c r="F70" s="126">
        <f t="array" ref="F70">IF(IFERROR(INDEX(Expenses!B$3:B$999,SMALL(IF((Expenses!E$3:E$999="GBP")*(Expenses!A$3:A$999=DATE(2026,3,31)),ROW(Expenses!A$3:A$999)-2),2)),"")&lt;&gt;"",IFERROR(INDEX(Expenses!B$3:B$999,SMALL(IF((Expenses!E$3:E$999="GBP")*(Expenses!A$3:A$999=DATE(2026,3,31)),ROW(Expenses!A$3:A$999)-2),2)),""),IF(IFERROR(INDEX(Income!B$3:B$502,SMALL(IF((Income!D$3:D$502="GBP")*(Income!A$3:A$502=DATE(2026,3,31)),ROW(Income!A$3:A$502)-2),2)),"")&lt;&gt;"",IFERROR(INDEX(Income!B$3:B$502,SMALL(IF((Income!D$3:D$502="GBP")*(Income!A$3:A$502=DATE(2026,3,31)),ROW(Income!A$3:A$502)-2),2)),""),""))</f>
        <v/>
      </c>
      <c r="G70" s="152">
        <f t="array" ref="G70">IF(IFERROR(-INDEX(Expenses!D$3:D$999,SMALL(IF((Expenses!E$3:E$999="GBP")*(Expenses!A$3:A$999=DATE(2026,4,1)),ROW(Expenses!A$3:A$999)-2),2)),0)+IFERROR(INDEX(Income!C$3:C$502,SMALL(IF((Income!D$3:D$502="GBP")*(Income!A$3:A$502=DATE(2026,4,1)),ROW(Income!A$3:A$502)-2),2)),0)=0,"",IFERROR(-INDEX(Expenses!D$3:D$999,SMALL(IF((Expenses!E$3:E$999="GBP")*(Expenses!A$3:A$999=DATE(2026,4,1)),ROW(Expenses!A$3:A$999)-2),2)),0)+IFERROR(INDEX(Income!C$3:C$502,SMALL(IF((Income!D$3:D$502="GBP")*(Income!A$3:A$502=DATE(2026,4,1)),ROW(Income!A$3:A$502)-2),2)),0))</f>
        <v/>
      </c>
      <c r="H70" s="126">
        <f t="array" ref="H70">IF(IFERROR(INDEX(Expenses!B$3:B$999,SMALL(IF((Expenses!E$3:E$999="GBP")*(Expenses!A$3:A$999=DATE(2026,4,1)),ROW(Expenses!A$3:A$999)-2),2)),"")&lt;&gt;"",IFERROR(INDEX(Expenses!B$3:B$999,SMALL(IF((Expenses!E$3:E$999="GBP")*(Expenses!A$3:A$999=DATE(2026,4,1)),ROW(Expenses!A$3:A$999)-2),2)),""),IF(IFERROR(INDEX(Income!B$3:B$502,SMALL(IF((Income!D$3:D$502="GBP")*(Income!A$3:A$502=DATE(2026,4,1)),ROW(Income!A$3:A$502)-2),2)),"")&lt;&gt;"",IFERROR(INDEX(Income!B$3:B$502,SMALL(IF((Income!D$3:D$502="GBP")*(Income!A$3:A$502=DATE(2026,4,1)),ROW(Income!A$3:A$502)-2),2)),""),""))</f>
        <v/>
      </c>
      <c r="I70" s="152">
        <f t="array" ref="I70">IF(IFERROR(-INDEX(Expenses!D$3:D$999,SMALL(IF((Expenses!E$3:E$999="GBP")*(Expenses!A$3:A$999=DATE(2026,4,2)),ROW(Expenses!A$3:A$999)-2),2)),0)+IFERROR(INDEX(Income!C$3:C$502,SMALL(IF((Income!D$3:D$502="GBP")*(Income!A$3:A$502=DATE(2026,4,2)),ROW(Income!A$3:A$502)-2),2)),0)=0,"",IFERROR(-INDEX(Expenses!D$3:D$999,SMALL(IF((Expenses!E$3:E$999="GBP")*(Expenses!A$3:A$999=DATE(2026,4,2)),ROW(Expenses!A$3:A$999)-2),2)),0)+IFERROR(INDEX(Income!C$3:C$502,SMALL(IF((Income!D$3:D$502="GBP")*(Income!A$3:A$502=DATE(2026,4,2)),ROW(Income!A$3:A$502)-2),2)),0))</f>
        <v/>
      </c>
      <c r="J70" s="126">
        <f t="array" ref="J70">IF(IFERROR(INDEX(Expenses!B$3:B$999,SMALL(IF((Expenses!E$3:E$999="GBP")*(Expenses!A$3:A$999=DATE(2026,4,2)),ROW(Expenses!A$3:A$999)-2),2)),"")&lt;&gt;"",IFERROR(INDEX(Expenses!B$3:B$999,SMALL(IF((Expenses!E$3:E$999="GBP")*(Expenses!A$3:A$999=DATE(2026,4,2)),ROW(Expenses!A$3:A$999)-2),2)),""),IF(IFERROR(INDEX(Income!B$3:B$502,SMALL(IF((Income!D$3:D$502="GBP")*(Income!A$3:A$502=DATE(2026,4,2)),ROW(Income!A$3:A$502)-2),2)),"")&lt;&gt;"",IFERROR(INDEX(Income!B$3:B$502,SMALL(IF((Income!D$3:D$502="GBP")*(Income!A$3:A$502=DATE(2026,4,2)),ROW(Income!A$3:A$502)-2),2)),""),""))</f>
        <v/>
      </c>
      <c r="K70" s="152">
        <f t="array" ref="K70">IF(IFERROR(-INDEX(Expenses!D$3:D$999,SMALL(IF((Expenses!E$3:E$999="GBP")*(Expenses!A$3:A$999=DATE(2026,4,3)),ROW(Expenses!A$3:A$999)-2),2)),0)+IFERROR(INDEX(Income!C$3:C$502,SMALL(IF((Income!D$3:D$502="GBP")*(Income!A$3:A$502=DATE(2026,4,3)),ROW(Income!A$3:A$502)-2),2)),0)=0,"",IFERROR(-INDEX(Expenses!D$3:D$999,SMALL(IF((Expenses!E$3:E$999="GBP")*(Expenses!A$3:A$999=DATE(2026,4,3)),ROW(Expenses!A$3:A$999)-2),2)),0)+IFERROR(INDEX(Income!C$3:C$502,SMALL(IF((Income!D$3:D$502="GBP")*(Income!A$3:A$502=DATE(2026,4,3)),ROW(Income!A$3:A$502)-2),2)),0))</f>
        <v/>
      </c>
      <c r="L70" s="126">
        <f t="array" ref="L70">IF(IFERROR(INDEX(Expenses!B$3:B$999,SMALL(IF((Expenses!E$3:E$999="GBP")*(Expenses!A$3:A$999=DATE(2026,4,3)),ROW(Expenses!A$3:A$999)-2),2)),"")&lt;&gt;"",IFERROR(INDEX(Expenses!B$3:B$999,SMALL(IF((Expenses!E$3:E$999="GBP")*(Expenses!A$3:A$999=DATE(2026,4,3)),ROW(Expenses!A$3:A$999)-2),2)),""),IF(IFERROR(INDEX(Income!B$3:B$502,SMALL(IF((Income!D$3:D$502="GBP")*(Income!A$3:A$502=DATE(2026,4,3)),ROW(Income!A$3:A$502)-2),2)),"")&lt;&gt;"",IFERROR(INDEX(Income!B$3:B$502,SMALL(IF((Income!D$3:D$502="GBP")*(Income!A$3:A$502=DATE(2026,4,3)),ROW(Income!A$3:A$502)-2),2)),""),""))</f>
        <v/>
      </c>
      <c r="M70" s="152">
        <f t="array" ref="M70">IF(IFERROR(-INDEX(Expenses!D$3:D$999,SMALL(IF((Expenses!E$3:E$999="GBP")*(Expenses!A$3:A$999=DATE(2026,4,4)),ROW(Expenses!A$3:A$999)-2),2)),0)+IFERROR(INDEX(Income!C$3:C$502,SMALL(IF((Income!D$3:D$502="GBP")*(Income!A$3:A$502=DATE(2026,4,4)),ROW(Income!A$3:A$502)-2),2)),0)=0,"",IFERROR(-INDEX(Expenses!D$3:D$999,SMALL(IF((Expenses!E$3:E$999="GBP")*(Expenses!A$3:A$999=DATE(2026,4,4)),ROW(Expenses!A$3:A$999)-2),2)),0)+IFERROR(INDEX(Income!C$3:C$502,SMALL(IF((Income!D$3:D$502="GBP")*(Income!A$3:A$502=DATE(2026,4,4)),ROW(Income!A$3:A$502)-2),2)),0))</f>
        <v/>
      </c>
      <c r="N70" s="126">
        <f t="array" ref="N70">IF(IFERROR(INDEX(Expenses!B$3:B$999,SMALL(IF((Expenses!E$3:E$999="GBP")*(Expenses!A$3:A$999=DATE(2026,4,4)),ROW(Expenses!A$3:A$999)-2),2)),"")&lt;&gt;"",IFERROR(INDEX(Expenses!B$3:B$999,SMALL(IF((Expenses!E$3:E$999="GBP")*(Expenses!A$3:A$999=DATE(2026,4,4)),ROW(Expenses!A$3:A$999)-2),2)),""),IF(IFERROR(INDEX(Income!B$3:B$502,SMALL(IF((Income!D$3:D$502="GBP")*(Income!A$3:A$502=DATE(2026,4,4)),ROW(Income!A$3:A$502)-2),2)),"")&lt;&gt;"",IFERROR(INDEX(Income!B$3:B$502,SMALL(IF((Income!D$3:D$502="GBP")*(Income!A$3:A$502=DATE(2026,4,4)),ROW(Income!A$3:A$502)-2),2)),""),""))</f>
        <v/>
      </c>
      <c r="O70" s="152">
        <f t="array" ref="O70">IF(IFERROR(-INDEX(Expenses!D$3:D$999,SMALL(IF((Expenses!E$3:E$999="GBP")*(Expenses!A$3:A$999=DATE(2026,4,5)),ROW(Expenses!A$3:A$999)-2),2)),0)+IFERROR(INDEX(Income!C$3:C$502,SMALL(IF((Income!D$3:D$502="GBP")*(Income!A$3:A$502=DATE(2026,4,5)),ROW(Income!A$3:A$502)-2),2)),0)=0,"",IFERROR(-INDEX(Expenses!D$3:D$999,SMALL(IF((Expenses!E$3:E$999="GBP")*(Expenses!A$3:A$999=DATE(2026,4,5)),ROW(Expenses!A$3:A$999)-2),2)),0)+IFERROR(INDEX(Income!C$3:C$502,SMALL(IF((Income!D$3:D$502="GBP")*(Income!A$3:A$502=DATE(2026,4,5)),ROW(Income!A$3:A$502)-2),2)),0))</f>
        <v/>
      </c>
      <c r="P70" s="126">
        <f t="array" ref="P70">IF(IFERROR(INDEX(Expenses!B$3:B$999,SMALL(IF((Expenses!E$3:E$999="GBP")*(Expenses!A$3:A$999=DATE(2026,4,5)),ROW(Expenses!A$3:A$999)-2),2)),"")&lt;&gt;"",IFERROR(INDEX(Expenses!B$3:B$999,SMALL(IF((Expenses!E$3:E$999="GBP")*(Expenses!A$3:A$999=DATE(2026,4,5)),ROW(Expenses!A$3:A$999)-2),2)),""),IF(IFERROR(INDEX(Income!B$3:B$502,SMALL(IF((Income!D$3:D$502="GBP")*(Income!A$3:A$502=DATE(2026,4,5)),ROW(Income!A$3:A$502)-2),2)),"")&lt;&gt;"",IFERROR(INDEX(Income!B$3:B$502,SMALL(IF((Income!D$3:D$502="GBP")*(Income!A$3:A$502=DATE(2026,4,5)),ROW(Income!A$3:A$502)-2),2)),""),""))</f>
        <v/>
      </c>
      <c r="Q70" s="9" t="n"/>
      <c r="R70" s="9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68">
      <c r="A71" s="9" t="n"/>
      <c r="B71" s="9" t="n"/>
      <c r="C71" s="152">
        <f t="array" ref="C71">IF(IFERROR(-INDEX(Expenses!D$3:D$999,SMALL(IF((Expenses!E$3:E$999="GBP")*(Expenses!A$3:A$999=DATE(2026,3,30)),ROW(Expenses!A$3:A$999)-2),3)),0)+IFERROR(INDEX(Income!C$3:C$502,SMALL(IF((Income!D$3:D$502="GBP")*(Income!A$3:A$502=DATE(2026,3,30)),ROW(Income!A$3:A$502)-2),3)),0)=0,"",IFERROR(-INDEX(Expenses!D$3:D$999,SMALL(IF((Expenses!E$3:E$999="GBP")*(Expenses!A$3:A$999=DATE(2026,3,30)),ROW(Expenses!A$3:A$999)-2),3)),0)+IFERROR(INDEX(Income!C$3:C$502,SMALL(IF((Income!D$3:D$502="GBP")*(Income!A$3:A$502=DATE(2026,3,30)),ROW(Income!A$3:A$502)-2),3)),0))</f>
        <v/>
      </c>
      <c r="D71" s="126">
        <f t="array" ref="D71">IF(IFERROR(INDEX(Expenses!B$3:B$999,SMALL(IF((Expenses!E$3:E$999="GBP")*(Expenses!A$3:A$999=DATE(2026,3,30)),ROW(Expenses!A$3:A$999)-2),3)),"")&lt;&gt;"",IFERROR(INDEX(Expenses!B$3:B$999,SMALL(IF((Expenses!E$3:E$999="GBP")*(Expenses!A$3:A$999=DATE(2026,3,30)),ROW(Expenses!A$3:A$999)-2),3)),""),IF(IFERROR(INDEX(Income!B$3:B$502,SMALL(IF((Income!D$3:D$502="GBP")*(Income!A$3:A$502=DATE(2026,3,30)),ROW(Income!A$3:A$502)-2),3)),"")&lt;&gt;"",IFERROR(INDEX(Income!B$3:B$502,SMALL(IF((Income!D$3:D$502="GBP")*(Income!A$3:A$502=DATE(2026,3,30)),ROW(Income!A$3:A$502)-2),3)),""),""))</f>
        <v/>
      </c>
      <c r="E71" s="152">
        <f t="array" ref="E71">IF(IFERROR(-INDEX(Expenses!D$3:D$999,SMALL(IF((Expenses!E$3:E$999="GBP")*(Expenses!A$3:A$999=DATE(2026,3,31)),ROW(Expenses!A$3:A$999)-2),3)),0)+IFERROR(INDEX(Income!C$3:C$502,SMALL(IF((Income!D$3:D$502="GBP")*(Income!A$3:A$502=DATE(2026,3,31)),ROW(Income!A$3:A$502)-2),3)),0)=0,"",IFERROR(-INDEX(Expenses!D$3:D$999,SMALL(IF((Expenses!E$3:E$999="GBP")*(Expenses!A$3:A$999=DATE(2026,3,31)),ROW(Expenses!A$3:A$999)-2),3)),0)+IFERROR(INDEX(Income!C$3:C$502,SMALL(IF((Income!D$3:D$502="GBP")*(Income!A$3:A$502=DATE(2026,3,31)),ROW(Income!A$3:A$502)-2),3)),0))</f>
        <v/>
      </c>
      <c r="F71" s="126">
        <f t="array" ref="F71">IF(IFERROR(INDEX(Expenses!B$3:B$999,SMALL(IF((Expenses!E$3:E$999="GBP")*(Expenses!A$3:A$999=DATE(2026,3,31)),ROW(Expenses!A$3:A$999)-2),3)),"")&lt;&gt;"",IFERROR(INDEX(Expenses!B$3:B$999,SMALL(IF((Expenses!E$3:E$999="GBP")*(Expenses!A$3:A$999=DATE(2026,3,31)),ROW(Expenses!A$3:A$999)-2),3)),""),IF(IFERROR(INDEX(Income!B$3:B$502,SMALL(IF((Income!D$3:D$502="GBP")*(Income!A$3:A$502=DATE(2026,3,31)),ROW(Income!A$3:A$502)-2),3)),"")&lt;&gt;"",IFERROR(INDEX(Income!B$3:B$502,SMALL(IF((Income!D$3:D$502="GBP")*(Income!A$3:A$502=DATE(2026,3,31)),ROW(Income!A$3:A$502)-2),3)),""),""))</f>
        <v/>
      </c>
      <c r="G71" s="152">
        <f t="array" ref="G71">IF(IFERROR(-INDEX(Expenses!D$3:D$999,SMALL(IF((Expenses!E$3:E$999="GBP")*(Expenses!A$3:A$999=DATE(2026,4,1)),ROW(Expenses!A$3:A$999)-2),3)),0)+IFERROR(INDEX(Income!C$3:C$502,SMALL(IF((Income!D$3:D$502="GBP")*(Income!A$3:A$502=DATE(2026,4,1)),ROW(Income!A$3:A$502)-2),3)),0)=0,"",IFERROR(-INDEX(Expenses!D$3:D$999,SMALL(IF((Expenses!E$3:E$999="GBP")*(Expenses!A$3:A$999=DATE(2026,4,1)),ROW(Expenses!A$3:A$999)-2),3)),0)+IFERROR(INDEX(Income!C$3:C$502,SMALL(IF((Income!D$3:D$502="GBP")*(Income!A$3:A$502=DATE(2026,4,1)),ROW(Income!A$3:A$502)-2),3)),0))</f>
        <v/>
      </c>
      <c r="H71" s="126">
        <f t="array" ref="H71">IF(IFERROR(INDEX(Expenses!B$3:B$999,SMALL(IF((Expenses!E$3:E$999="GBP")*(Expenses!A$3:A$999=DATE(2026,4,1)),ROW(Expenses!A$3:A$999)-2),3)),"")&lt;&gt;"",IFERROR(INDEX(Expenses!B$3:B$999,SMALL(IF((Expenses!E$3:E$999="GBP")*(Expenses!A$3:A$999=DATE(2026,4,1)),ROW(Expenses!A$3:A$999)-2),3)),""),IF(IFERROR(INDEX(Income!B$3:B$502,SMALL(IF((Income!D$3:D$502="GBP")*(Income!A$3:A$502=DATE(2026,4,1)),ROW(Income!A$3:A$502)-2),3)),"")&lt;&gt;"",IFERROR(INDEX(Income!B$3:B$502,SMALL(IF((Income!D$3:D$502="GBP")*(Income!A$3:A$502=DATE(2026,4,1)),ROW(Income!A$3:A$502)-2),3)),""),""))</f>
        <v/>
      </c>
      <c r="I71" s="152">
        <f t="array" ref="I71">IF(IFERROR(-INDEX(Expenses!D$3:D$999,SMALL(IF((Expenses!E$3:E$999="GBP")*(Expenses!A$3:A$999=DATE(2026,4,2)),ROW(Expenses!A$3:A$999)-2),3)),0)+IFERROR(INDEX(Income!C$3:C$502,SMALL(IF((Income!D$3:D$502="GBP")*(Income!A$3:A$502=DATE(2026,4,2)),ROW(Income!A$3:A$502)-2),3)),0)=0,"",IFERROR(-INDEX(Expenses!D$3:D$999,SMALL(IF((Expenses!E$3:E$999="GBP")*(Expenses!A$3:A$999=DATE(2026,4,2)),ROW(Expenses!A$3:A$999)-2),3)),0)+IFERROR(INDEX(Income!C$3:C$502,SMALL(IF((Income!D$3:D$502="GBP")*(Income!A$3:A$502=DATE(2026,4,2)),ROW(Income!A$3:A$502)-2),3)),0))</f>
        <v/>
      </c>
      <c r="J71" s="126">
        <f t="array" ref="J71">IF(IFERROR(INDEX(Expenses!B$3:B$999,SMALL(IF((Expenses!E$3:E$999="GBP")*(Expenses!A$3:A$999=DATE(2026,4,2)),ROW(Expenses!A$3:A$999)-2),3)),"")&lt;&gt;"",IFERROR(INDEX(Expenses!B$3:B$999,SMALL(IF((Expenses!E$3:E$999="GBP")*(Expenses!A$3:A$999=DATE(2026,4,2)),ROW(Expenses!A$3:A$999)-2),3)),""),IF(IFERROR(INDEX(Income!B$3:B$502,SMALL(IF((Income!D$3:D$502="GBP")*(Income!A$3:A$502=DATE(2026,4,2)),ROW(Income!A$3:A$502)-2),3)),"")&lt;&gt;"",IFERROR(INDEX(Income!B$3:B$502,SMALL(IF((Income!D$3:D$502="GBP")*(Income!A$3:A$502=DATE(2026,4,2)),ROW(Income!A$3:A$502)-2),3)),""),""))</f>
        <v/>
      </c>
      <c r="K71" s="152">
        <f t="array" ref="K71">IF(IFERROR(-INDEX(Expenses!D$3:D$999,SMALL(IF((Expenses!E$3:E$999="GBP")*(Expenses!A$3:A$999=DATE(2026,4,3)),ROW(Expenses!A$3:A$999)-2),3)),0)+IFERROR(INDEX(Income!C$3:C$502,SMALL(IF((Income!D$3:D$502="GBP")*(Income!A$3:A$502=DATE(2026,4,3)),ROW(Income!A$3:A$502)-2),3)),0)=0,"",IFERROR(-INDEX(Expenses!D$3:D$999,SMALL(IF((Expenses!E$3:E$999="GBP")*(Expenses!A$3:A$999=DATE(2026,4,3)),ROW(Expenses!A$3:A$999)-2),3)),0)+IFERROR(INDEX(Income!C$3:C$502,SMALL(IF((Income!D$3:D$502="GBP")*(Income!A$3:A$502=DATE(2026,4,3)),ROW(Income!A$3:A$502)-2),3)),0))</f>
        <v/>
      </c>
      <c r="L71" s="126">
        <f t="array" ref="L71">IF(IFERROR(INDEX(Expenses!B$3:B$999,SMALL(IF((Expenses!E$3:E$999="GBP")*(Expenses!A$3:A$999=DATE(2026,4,3)),ROW(Expenses!A$3:A$999)-2),3)),"")&lt;&gt;"",IFERROR(INDEX(Expenses!B$3:B$999,SMALL(IF((Expenses!E$3:E$999="GBP")*(Expenses!A$3:A$999=DATE(2026,4,3)),ROW(Expenses!A$3:A$999)-2),3)),""),IF(IFERROR(INDEX(Income!B$3:B$502,SMALL(IF((Income!D$3:D$502="GBP")*(Income!A$3:A$502=DATE(2026,4,3)),ROW(Income!A$3:A$502)-2),3)),"")&lt;&gt;"",IFERROR(INDEX(Income!B$3:B$502,SMALL(IF((Income!D$3:D$502="GBP")*(Income!A$3:A$502=DATE(2026,4,3)),ROW(Income!A$3:A$502)-2),3)),""),""))</f>
        <v/>
      </c>
      <c r="M71" s="152">
        <f t="array" ref="M71">IF(IFERROR(-INDEX(Expenses!D$3:D$999,SMALL(IF((Expenses!E$3:E$999="GBP")*(Expenses!A$3:A$999=DATE(2026,4,4)),ROW(Expenses!A$3:A$999)-2),3)),0)+IFERROR(INDEX(Income!C$3:C$502,SMALL(IF((Income!D$3:D$502="GBP")*(Income!A$3:A$502=DATE(2026,4,4)),ROW(Income!A$3:A$502)-2),3)),0)=0,"",IFERROR(-INDEX(Expenses!D$3:D$999,SMALL(IF((Expenses!E$3:E$999="GBP")*(Expenses!A$3:A$999=DATE(2026,4,4)),ROW(Expenses!A$3:A$999)-2),3)),0)+IFERROR(INDEX(Income!C$3:C$502,SMALL(IF((Income!D$3:D$502="GBP")*(Income!A$3:A$502=DATE(2026,4,4)),ROW(Income!A$3:A$502)-2),3)),0))</f>
        <v/>
      </c>
      <c r="N71" s="126">
        <f t="array" ref="N71">IF(IFERROR(INDEX(Expenses!B$3:B$999,SMALL(IF((Expenses!E$3:E$999="GBP")*(Expenses!A$3:A$999=DATE(2026,4,4)),ROW(Expenses!A$3:A$999)-2),3)),"")&lt;&gt;"",IFERROR(INDEX(Expenses!B$3:B$999,SMALL(IF((Expenses!E$3:E$999="GBP")*(Expenses!A$3:A$999=DATE(2026,4,4)),ROW(Expenses!A$3:A$999)-2),3)),""),IF(IFERROR(INDEX(Income!B$3:B$502,SMALL(IF((Income!D$3:D$502="GBP")*(Income!A$3:A$502=DATE(2026,4,4)),ROW(Income!A$3:A$502)-2),3)),"")&lt;&gt;"",IFERROR(INDEX(Income!B$3:B$502,SMALL(IF((Income!D$3:D$502="GBP")*(Income!A$3:A$502=DATE(2026,4,4)),ROW(Income!A$3:A$502)-2),3)),""),""))</f>
        <v/>
      </c>
      <c r="O71" s="152">
        <f t="array" ref="O71">IF(IFERROR(-INDEX(Expenses!D$3:D$999,SMALL(IF((Expenses!E$3:E$999="GBP")*(Expenses!A$3:A$999=DATE(2026,4,5)),ROW(Expenses!A$3:A$999)-2),3)),0)+IFERROR(INDEX(Income!C$3:C$502,SMALL(IF((Income!D$3:D$502="GBP")*(Income!A$3:A$502=DATE(2026,4,5)),ROW(Income!A$3:A$502)-2),3)),0)=0,"",IFERROR(-INDEX(Expenses!D$3:D$999,SMALL(IF((Expenses!E$3:E$999="GBP")*(Expenses!A$3:A$999=DATE(2026,4,5)),ROW(Expenses!A$3:A$999)-2),3)),0)+IFERROR(INDEX(Income!C$3:C$502,SMALL(IF((Income!D$3:D$502="GBP")*(Income!A$3:A$502=DATE(2026,4,5)),ROW(Income!A$3:A$502)-2),3)),0))</f>
        <v/>
      </c>
      <c r="P71" s="126">
        <f t="array" ref="P71">IF(IFERROR(INDEX(Expenses!B$3:B$999,SMALL(IF((Expenses!E$3:E$999="GBP")*(Expenses!A$3:A$999=DATE(2026,4,5)),ROW(Expenses!A$3:A$999)-2),3)),"")&lt;&gt;"",IFERROR(INDEX(Expenses!B$3:B$999,SMALL(IF((Expenses!E$3:E$999="GBP")*(Expenses!A$3:A$999=DATE(2026,4,5)),ROW(Expenses!A$3:A$999)-2),3)),""),IF(IFERROR(INDEX(Income!B$3:B$502,SMALL(IF((Income!D$3:D$502="GBP")*(Income!A$3:A$502=DATE(2026,4,5)),ROW(Income!A$3:A$502)-2),3)),"")&lt;&gt;"",IFERROR(INDEX(Income!B$3:B$502,SMALL(IF((Income!D$3:D$502="GBP")*(Income!A$3:A$502=DATE(2026,4,5)),ROW(Income!A$3:A$502)-2),3)),""),""))</f>
        <v/>
      </c>
      <c r="Q71" s="9" t="n"/>
      <c r="R71" s="9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68">
      <c r="A72" s="9" t="n"/>
      <c r="B72" s="9" t="n"/>
      <c r="C72" s="152">
        <f t="array" ref="C72">IF(IFERROR(-INDEX(Expenses!D$3:D$999,SMALL(IF((Expenses!E$3:E$999="GBP")*(Expenses!A$3:A$999=DATE(2026,3,30)),ROW(Expenses!A$3:A$999)-2),4)),0)+IFERROR(INDEX(Income!C$3:C$502,SMALL(IF((Income!D$3:D$502="GBP")*(Income!A$3:A$502=DATE(2026,3,30)),ROW(Income!A$3:A$502)-2),4)),0)=0,"",IFERROR(-INDEX(Expenses!D$3:D$999,SMALL(IF((Expenses!E$3:E$999="GBP")*(Expenses!A$3:A$999=DATE(2026,3,30)),ROW(Expenses!A$3:A$999)-2),4)),0)+IFERROR(INDEX(Income!C$3:C$502,SMALL(IF((Income!D$3:D$502="GBP")*(Income!A$3:A$502=DATE(2026,3,30)),ROW(Income!A$3:A$502)-2),4)),0))</f>
        <v/>
      </c>
      <c r="D72" s="126">
        <f t="array" ref="D72">IF(IFERROR(INDEX(Expenses!B$3:B$999,SMALL(IF((Expenses!E$3:E$999="GBP")*(Expenses!A$3:A$999=DATE(2026,3,30)),ROW(Expenses!A$3:A$999)-2),4)),"")&lt;&gt;"",IFERROR(INDEX(Expenses!B$3:B$999,SMALL(IF((Expenses!E$3:E$999="GBP")*(Expenses!A$3:A$999=DATE(2026,3,30)),ROW(Expenses!A$3:A$999)-2),4)),""),IF(IFERROR(INDEX(Income!B$3:B$502,SMALL(IF((Income!D$3:D$502="GBP")*(Income!A$3:A$502=DATE(2026,3,30)),ROW(Income!A$3:A$502)-2),4)),"")&lt;&gt;"",IFERROR(INDEX(Income!B$3:B$502,SMALL(IF((Income!D$3:D$502="GBP")*(Income!A$3:A$502=DATE(2026,3,30)),ROW(Income!A$3:A$502)-2),4)),""),""))</f>
        <v/>
      </c>
      <c r="E72" s="152">
        <f t="array" ref="E72">IF(IFERROR(-INDEX(Expenses!D$3:D$999,SMALL(IF((Expenses!E$3:E$999="GBP")*(Expenses!A$3:A$999=DATE(2026,3,31)),ROW(Expenses!A$3:A$999)-2),4)),0)+IFERROR(INDEX(Income!C$3:C$502,SMALL(IF((Income!D$3:D$502="GBP")*(Income!A$3:A$502=DATE(2026,3,31)),ROW(Income!A$3:A$502)-2),4)),0)=0,"",IFERROR(-INDEX(Expenses!D$3:D$999,SMALL(IF((Expenses!E$3:E$999="GBP")*(Expenses!A$3:A$999=DATE(2026,3,31)),ROW(Expenses!A$3:A$999)-2),4)),0)+IFERROR(INDEX(Income!C$3:C$502,SMALL(IF((Income!D$3:D$502="GBP")*(Income!A$3:A$502=DATE(2026,3,31)),ROW(Income!A$3:A$502)-2),4)),0))</f>
        <v/>
      </c>
      <c r="F72" s="126">
        <f t="array" ref="F72">IF(IFERROR(INDEX(Expenses!B$3:B$999,SMALL(IF((Expenses!E$3:E$999="GBP")*(Expenses!A$3:A$999=DATE(2026,3,31)),ROW(Expenses!A$3:A$999)-2),4)),"")&lt;&gt;"",IFERROR(INDEX(Expenses!B$3:B$999,SMALL(IF((Expenses!E$3:E$999="GBP")*(Expenses!A$3:A$999=DATE(2026,3,31)),ROW(Expenses!A$3:A$999)-2),4)),""),IF(IFERROR(INDEX(Income!B$3:B$502,SMALL(IF((Income!D$3:D$502="GBP")*(Income!A$3:A$502=DATE(2026,3,31)),ROW(Income!A$3:A$502)-2),4)),"")&lt;&gt;"",IFERROR(INDEX(Income!B$3:B$502,SMALL(IF((Income!D$3:D$502="GBP")*(Income!A$3:A$502=DATE(2026,3,31)),ROW(Income!A$3:A$502)-2),4)),""),""))</f>
        <v/>
      </c>
      <c r="G72" s="152">
        <f t="array" ref="G72">IF(IFERROR(-INDEX(Expenses!D$3:D$999,SMALL(IF((Expenses!E$3:E$999="GBP")*(Expenses!A$3:A$999=DATE(2026,4,1)),ROW(Expenses!A$3:A$999)-2),4)),0)+IFERROR(INDEX(Income!C$3:C$502,SMALL(IF((Income!D$3:D$502="GBP")*(Income!A$3:A$502=DATE(2026,4,1)),ROW(Income!A$3:A$502)-2),4)),0)=0,"",IFERROR(-INDEX(Expenses!D$3:D$999,SMALL(IF((Expenses!E$3:E$999="GBP")*(Expenses!A$3:A$999=DATE(2026,4,1)),ROW(Expenses!A$3:A$999)-2),4)),0)+IFERROR(INDEX(Income!C$3:C$502,SMALL(IF((Income!D$3:D$502="GBP")*(Income!A$3:A$502=DATE(2026,4,1)),ROW(Income!A$3:A$502)-2),4)),0))</f>
        <v/>
      </c>
      <c r="H72" s="126">
        <f t="array" ref="H72">IF(IFERROR(INDEX(Expenses!B$3:B$999,SMALL(IF((Expenses!E$3:E$999="GBP")*(Expenses!A$3:A$999=DATE(2026,4,1)),ROW(Expenses!A$3:A$999)-2),4)),"")&lt;&gt;"",IFERROR(INDEX(Expenses!B$3:B$999,SMALL(IF((Expenses!E$3:E$999="GBP")*(Expenses!A$3:A$999=DATE(2026,4,1)),ROW(Expenses!A$3:A$999)-2),4)),""),IF(IFERROR(INDEX(Income!B$3:B$502,SMALL(IF((Income!D$3:D$502="GBP")*(Income!A$3:A$502=DATE(2026,4,1)),ROW(Income!A$3:A$502)-2),4)),"")&lt;&gt;"",IFERROR(INDEX(Income!B$3:B$502,SMALL(IF((Income!D$3:D$502="GBP")*(Income!A$3:A$502=DATE(2026,4,1)),ROW(Income!A$3:A$502)-2),4)),""),""))</f>
        <v/>
      </c>
      <c r="I72" s="152">
        <f t="array" ref="I72">IF(IFERROR(-INDEX(Expenses!D$3:D$999,SMALL(IF((Expenses!E$3:E$999="GBP")*(Expenses!A$3:A$999=DATE(2026,4,2)),ROW(Expenses!A$3:A$999)-2),4)),0)+IFERROR(INDEX(Income!C$3:C$502,SMALL(IF((Income!D$3:D$502="GBP")*(Income!A$3:A$502=DATE(2026,4,2)),ROW(Income!A$3:A$502)-2),4)),0)=0,"",IFERROR(-INDEX(Expenses!D$3:D$999,SMALL(IF((Expenses!E$3:E$999="GBP")*(Expenses!A$3:A$999=DATE(2026,4,2)),ROW(Expenses!A$3:A$999)-2),4)),0)+IFERROR(INDEX(Income!C$3:C$502,SMALL(IF((Income!D$3:D$502="GBP")*(Income!A$3:A$502=DATE(2026,4,2)),ROW(Income!A$3:A$502)-2),4)),0))</f>
        <v/>
      </c>
      <c r="J72" s="126">
        <f t="array" ref="J72">IF(IFERROR(INDEX(Expenses!B$3:B$999,SMALL(IF((Expenses!E$3:E$999="GBP")*(Expenses!A$3:A$999=DATE(2026,4,2)),ROW(Expenses!A$3:A$999)-2),4)),"")&lt;&gt;"",IFERROR(INDEX(Expenses!B$3:B$999,SMALL(IF((Expenses!E$3:E$999="GBP")*(Expenses!A$3:A$999=DATE(2026,4,2)),ROW(Expenses!A$3:A$999)-2),4)),""),IF(IFERROR(INDEX(Income!B$3:B$502,SMALL(IF((Income!D$3:D$502="GBP")*(Income!A$3:A$502=DATE(2026,4,2)),ROW(Income!A$3:A$502)-2),4)),"")&lt;&gt;"",IFERROR(INDEX(Income!B$3:B$502,SMALL(IF((Income!D$3:D$502="GBP")*(Income!A$3:A$502=DATE(2026,4,2)),ROW(Income!A$3:A$502)-2),4)),""),""))</f>
        <v/>
      </c>
      <c r="K72" s="152">
        <f t="array" ref="K72">IF(IFERROR(-INDEX(Expenses!D$3:D$999,SMALL(IF((Expenses!E$3:E$999="GBP")*(Expenses!A$3:A$999=DATE(2026,4,3)),ROW(Expenses!A$3:A$999)-2),4)),0)+IFERROR(INDEX(Income!C$3:C$502,SMALL(IF((Income!D$3:D$502="GBP")*(Income!A$3:A$502=DATE(2026,4,3)),ROW(Income!A$3:A$502)-2),4)),0)=0,"",IFERROR(-INDEX(Expenses!D$3:D$999,SMALL(IF((Expenses!E$3:E$999="GBP")*(Expenses!A$3:A$999=DATE(2026,4,3)),ROW(Expenses!A$3:A$999)-2),4)),0)+IFERROR(INDEX(Income!C$3:C$502,SMALL(IF((Income!D$3:D$502="GBP")*(Income!A$3:A$502=DATE(2026,4,3)),ROW(Income!A$3:A$502)-2),4)),0))</f>
        <v/>
      </c>
      <c r="L72" s="126">
        <f t="array" ref="L72">IF(IFERROR(INDEX(Expenses!B$3:B$999,SMALL(IF((Expenses!E$3:E$999="GBP")*(Expenses!A$3:A$999=DATE(2026,4,3)),ROW(Expenses!A$3:A$999)-2),4)),"")&lt;&gt;"",IFERROR(INDEX(Expenses!B$3:B$999,SMALL(IF((Expenses!E$3:E$999="GBP")*(Expenses!A$3:A$999=DATE(2026,4,3)),ROW(Expenses!A$3:A$999)-2),4)),""),IF(IFERROR(INDEX(Income!B$3:B$502,SMALL(IF((Income!D$3:D$502="GBP")*(Income!A$3:A$502=DATE(2026,4,3)),ROW(Income!A$3:A$502)-2),4)),"")&lt;&gt;"",IFERROR(INDEX(Income!B$3:B$502,SMALL(IF((Income!D$3:D$502="GBP")*(Income!A$3:A$502=DATE(2026,4,3)),ROW(Income!A$3:A$502)-2),4)),""),""))</f>
        <v/>
      </c>
      <c r="M72" s="152">
        <f t="array" ref="M72">IF(IFERROR(-INDEX(Expenses!D$3:D$999,SMALL(IF((Expenses!E$3:E$999="GBP")*(Expenses!A$3:A$999=DATE(2026,4,4)),ROW(Expenses!A$3:A$999)-2),4)),0)+IFERROR(INDEX(Income!C$3:C$502,SMALL(IF((Income!D$3:D$502="GBP")*(Income!A$3:A$502=DATE(2026,4,4)),ROW(Income!A$3:A$502)-2),4)),0)=0,"",IFERROR(-INDEX(Expenses!D$3:D$999,SMALL(IF((Expenses!E$3:E$999="GBP")*(Expenses!A$3:A$999=DATE(2026,4,4)),ROW(Expenses!A$3:A$999)-2),4)),0)+IFERROR(INDEX(Income!C$3:C$502,SMALL(IF((Income!D$3:D$502="GBP")*(Income!A$3:A$502=DATE(2026,4,4)),ROW(Income!A$3:A$502)-2),4)),0))</f>
        <v/>
      </c>
      <c r="N72" s="126">
        <f t="array" ref="N72">IF(IFERROR(INDEX(Expenses!B$3:B$999,SMALL(IF((Expenses!E$3:E$999="GBP")*(Expenses!A$3:A$999=DATE(2026,4,4)),ROW(Expenses!A$3:A$999)-2),4)),"")&lt;&gt;"",IFERROR(INDEX(Expenses!B$3:B$999,SMALL(IF((Expenses!E$3:E$999="GBP")*(Expenses!A$3:A$999=DATE(2026,4,4)),ROW(Expenses!A$3:A$999)-2),4)),""),IF(IFERROR(INDEX(Income!B$3:B$502,SMALL(IF((Income!D$3:D$502="GBP")*(Income!A$3:A$502=DATE(2026,4,4)),ROW(Income!A$3:A$502)-2),4)),"")&lt;&gt;"",IFERROR(INDEX(Income!B$3:B$502,SMALL(IF((Income!D$3:D$502="GBP")*(Income!A$3:A$502=DATE(2026,4,4)),ROW(Income!A$3:A$502)-2),4)),""),""))</f>
        <v/>
      </c>
      <c r="O72" s="152">
        <f t="array" ref="O72">IF(IFERROR(-INDEX(Expenses!D$3:D$999,SMALL(IF((Expenses!E$3:E$999="GBP")*(Expenses!A$3:A$999=DATE(2026,4,5)),ROW(Expenses!A$3:A$999)-2),4)),0)+IFERROR(INDEX(Income!C$3:C$502,SMALL(IF((Income!D$3:D$502="GBP")*(Income!A$3:A$502=DATE(2026,4,5)),ROW(Income!A$3:A$502)-2),4)),0)=0,"",IFERROR(-INDEX(Expenses!D$3:D$999,SMALL(IF((Expenses!E$3:E$999="GBP")*(Expenses!A$3:A$999=DATE(2026,4,5)),ROW(Expenses!A$3:A$999)-2),4)),0)+IFERROR(INDEX(Income!C$3:C$502,SMALL(IF((Income!D$3:D$502="GBP")*(Income!A$3:A$502=DATE(2026,4,5)),ROW(Income!A$3:A$502)-2),4)),0))</f>
        <v/>
      </c>
      <c r="P72" s="126">
        <f t="array" ref="P72">IF(IFERROR(INDEX(Expenses!B$3:B$999,SMALL(IF((Expenses!E$3:E$999="GBP")*(Expenses!A$3:A$999=DATE(2026,4,5)),ROW(Expenses!A$3:A$999)-2),4)),"")&lt;&gt;"",IFERROR(INDEX(Expenses!B$3:B$999,SMALL(IF((Expenses!E$3:E$999="GBP")*(Expenses!A$3:A$999=DATE(2026,4,5)),ROW(Expenses!A$3:A$999)-2),4)),""),IF(IFERROR(INDEX(Income!B$3:B$502,SMALL(IF((Income!D$3:D$502="GBP")*(Income!A$3:A$502=DATE(2026,4,5)),ROW(Income!A$3:A$502)-2),4)),"")&lt;&gt;"",IFERROR(INDEX(Income!B$3:B$502,SMALL(IF((Income!D$3:D$502="GBP")*(Income!A$3:A$502=DATE(2026,4,5)),ROW(Income!A$3:A$502)-2),4)),""),""))</f>
        <v/>
      </c>
      <c r="Q72" s="9" t="n"/>
      <c r="R72" s="9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68">
      <c r="A73" s="9" t="n"/>
      <c r="B73" s="9" t="n"/>
      <c r="C73" s="152">
        <f t="array" ref="C73">IF(IFERROR(-INDEX(Expenses!D$3:D$999,SMALL(IF((Expenses!E$3:E$999="GBP")*(Expenses!A$3:A$999=DATE(2026,3,30)),ROW(Expenses!A$3:A$999)-2),5)),0)+IFERROR(INDEX(Income!C$3:C$502,SMALL(IF((Income!D$3:D$502="GBP")*(Income!A$3:A$502=DATE(2026,3,30)),ROW(Income!A$3:A$502)-2),5)),0)=0,"",IFERROR(-INDEX(Expenses!D$3:D$999,SMALL(IF((Expenses!E$3:E$999="GBP")*(Expenses!A$3:A$999=DATE(2026,3,30)),ROW(Expenses!A$3:A$999)-2),5)),0)+IFERROR(INDEX(Income!C$3:C$502,SMALL(IF((Income!D$3:D$502="GBP")*(Income!A$3:A$502=DATE(2026,3,30)),ROW(Income!A$3:A$502)-2),5)),0))</f>
        <v/>
      </c>
      <c r="D73" s="126">
        <f t="array" ref="D73">IF(IFERROR(INDEX(Expenses!B$3:B$999,SMALL(IF((Expenses!E$3:E$999="GBP")*(Expenses!A$3:A$999=DATE(2026,3,30)),ROW(Expenses!A$3:A$999)-2),5)),"")&lt;&gt;"",IFERROR(INDEX(Expenses!B$3:B$999,SMALL(IF((Expenses!E$3:E$999="GBP")*(Expenses!A$3:A$999=DATE(2026,3,30)),ROW(Expenses!A$3:A$999)-2),5)),""),IF(IFERROR(INDEX(Income!B$3:B$502,SMALL(IF((Income!D$3:D$502="GBP")*(Income!A$3:A$502=DATE(2026,3,30)),ROW(Income!A$3:A$502)-2),5)),"")&lt;&gt;"",IFERROR(INDEX(Income!B$3:B$502,SMALL(IF((Income!D$3:D$502="GBP")*(Income!A$3:A$502=DATE(2026,3,30)),ROW(Income!A$3:A$502)-2),5)),""),""))</f>
        <v/>
      </c>
      <c r="E73" s="152">
        <f t="array" ref="E73">IF(IFERROR(-INDEX(Expenses!D$3:D$999,SMALL(IF((Expenses!E$3:E$999="GBP")*(Expenses!A$3:A$999=DATE(2026,3,31)),ROW(Expenses!A$3:A$999)-2),5)),0)+IFERROR(INDEX(Income!C$3:C$502,SMALL(IF((Income!D$3:D$502="GBP")*(Income!A$3:A$502=DATE(2026,3,31)),ROW(Income!A$3:A$502)-2),5)),0)=0,"",IFERROR(-INDEX(Expenses!D$3:D$999,SMALL(IF((Expenses!E$3:E$999="GBP")*(Expenses!A$3:A$999=DATE(2026,3,31)),ROW(Expenses!A$3:A$999)-2),5)),0)+IFERROR(INDEX(Income!C$3:C$502,SMALL(IF((Income!D$3:D$502="GBP")*(Income!A$3:A$502=DATE(2026,3,31)),ROW(Income!A$3:A$502)-2),5)),0))</f>
        <v/>
      </c>
      <c r="F73" s="126">
        <f t="array" ref="F73">IF(IFERROR(INDEX(Expenses!B$3:B$999,SMALL(IF((Expenses!E$3:E$999="GBP")*(Expenses!A$3:A$999=DATE(2026,3,31)),ROW(Expenses!A$3:A$999)-2),5)),"")&lt;&gt;"",IFERROR(INDEX(Expenses!B$3:B$999,SMALL(IF((Expenses!E$3:E$999="GBP")*(Expenses!A$3:A$999=DATE(2026,3,31)),ROW(Expenses!A$3:A$999)-2),5)),""),IF(IFERROR(INDEX(Income!B$3:B$502,SMALL(IF((Income!D$3:D$502="GBP")*(Income!A$3:A$502=DATE(2026,3,31)),ROW(Income!A$3:A$502)-2),5)),"")&lt;&gt;"",IFERROR(INDEX(Income!B$3:B$502,SMALL(IF((Income!D$3:D$502="GBP")*(Income!A$3:A$502=DATE(2026,3,31)),ROW(Income!A$3:A$502)-2),5)),""),""))</f>
        <v/>
      </c>
      <c r="G73" s="152">
        <f t="array" ref="G73">IF(IFERROR(-INDEX(Expenses!D$3:D$999,SMALL(IF((Expenses!E$3:E$999="GBP")*(Expenses!A$3:A$999=DATE(2026,4,1)),ROW(Expenses!A$3:A$999)-2),5)),0)+IFERROR(INDEX(Income!C$3:C$502,SMALL(IF((Income!D$3:D$502="GBP")*(Income!A$3:A$502=DATE(2026,4,1)),ROW(Income!A$3:A$502)-2),5)),0)=0,"",IFERROR(-INDEX(Expenses!D$3:D$999,SMALL(IF((Expenses!E$3:E$999="GBP")*(Expenses!A$3:A$999=DATE(2026,4,1)),ROW(Expenses!A$3:A$999)-2),5)),0)+IFERROR(INDEX(Income!C$3:C$502,SMALL(IF((Income!D$3:D$502="GBP")*(Income!A$3:A$502=DATE(2026,4,1)),ROW(Income!A$3:A$502)-2),5)),0))</f>
        <v/>
      </c>
      <c r="H73" s="126">
        <f t="array" ref="H73">IF(IFERROR(INDEX(Expenses!B$3:B$999,SMALL(IF((Expenses!E$3:E$999="GBP")*(Expenses!A$3:A$999=DATE(2026,4,1)),ROW(Expenses!A$3:A$999)-2),5)),"")&lt;&gt;"",IFERROR(INDEX(Expenses!B$3:B$999,SMALL(IF((Expenses!E$3:E$999="GBP")*(Expenses!A$3:A$999=DATE(2026,4,1)),ROW(Expenses!A$3:A$999)-2),5)),""),IF(IFERROR(INDEX(Income!B$3:B$502,SMALL(IF((Income!D$3:D$502="GBP")*(Income!A$3:A$502=DATE(2026,4,1)),ROW(Income!A$3:A$502)-2),5)),"")&lt;&gt;"",IFERROR(INDEX(Income!B$3:B$502,SMALL(IF((Income!D$3:D$502="GBP")*(Income!A$3:A$502=DATE(2026,4,1)),ROW(Income!A$3:A$502)-2),5)),""),""))</f>
        <v/>
      </c>
      <c r="I73" s="152">
        <f t="array" ref="I73">IF(IFERROR(-INDEX(Expenses!D$3:D$999,SMALL(IF((Expenses!E$3:E$999="GBP")*(Expenses!A$3:A$999=DATE(2026,4,2)),ROW(Expenses!A$3:A$999)-2),5)),0)+IFERROR(INDEX(Income!C$3:C$502,SMALL(IF((Income!D$3:D$502="GBP")*(Income!A$3:A$502=DATE(2026,4,2)),ROW(Income!A$3:A$502)-2),5)),0)=0,"",IFERROR(-INDEX(Expenses!D$3:D$999,SMALL(IF((Expenses!E$3:E$999="GBP")*(Expenses!A$3:A$999=DATE(2026,4,2)),ROW(Expenses!A$3:A$999)-2),5)),0)+IFERROR(INDEX(Income!C$3:C$502,SMALL(IF((Income!D$3:D$502="GBP")*(Income!A$3:A$502=DATE(2026,4,2)),ROW(Income!A$3:A$502)-2),5)),0))</f>
        <v/>
      </c>
      <c r="J73" s="126">
        <f t="array" ref="J73">IF(IFERROR(INDEX(Expenses!B$3:B$999,SMALL(IF((Expenses!E$3:E$999="GBP")*(Expenses!A$3:A$999=DATE(2026,4,2)),ROW(Expenses!A$3:A$999)-2),5)),"")&lt;&gt;"",IFERROR(INDEX(Expenses!B$3:B$999,SMALL(IF((Expenses!E$3:E$999="GBP")*(Expenses!A$3:A$999=DATE(2026,4,2)),ROW(Expenses!A$3:A$999)-2),5)),""),IF(IFERROR(INDEX(Income!B$3:B$502,SMALL(IF((Income!D$3:D$502="GBP")*(Income!A$3:A$502=DATE(2026,4,2)),ROW(Income!A$3:A$502)-2),5)),"")&lt;&gt;"",IFERROR(INDEX(Income!B$3:B$502,SMALL(IF((Income!D$3:D$502="GBP")*(Income!A$3:A$502=DATE(2026,4,2)),ROW(Income!A$3:A$502)-2),5)),""),""))</f>
        <v/>
      </c>
      <c r="K73" s="152">
        <f t="array" ref="K73">IF(IFERROR(-INDEX(Expenses!D$3:D$999,SMALL(IF((Expenses!E$3:E$999="GBP")*(Expenses!A$3:A$999=DATE(2026,4,3)),ROW(Expenses!A$3:A$999)-2),5)),0)+IFERROR(INDEX(Income!C$3:C$502,SMALL(IF((Income!D$3:D$502="GBP")*(Income!A$3:A$502=DATE(2026,4,3)),ROW(Income!A$3:A$502)-2),5)),0)=0,"",IFERROR(-INDEX(Expenses!D$3:D$999,SMALL(IF((Expenses!E$3:E$999="GBP")*(Expenses!A$3:A$999=DATE(2026,4,3)),ROW(Expenses!A$3:A$999)-2),5)),0)+IFERROR(INDEX(Income!C$3:C$502,SMALL(IF((Income!D$3:D$502="GBP")*(Income!A$3:A$502=DATE(2026,4,3)),ROW(Income!A$3:A$502)-2),5)),0))</f>
        <v/>
      </c>
      <c r="L73" s="126">
        <f t="array" ref="L73">IF(IFERROR(INDEX(Expenses!B$3:B$999,SMALL(IF((Expenses!E$3:E$999="GBP")*(Expenses!A$3:A$999=DATE(2026,4,3)),ROW(Expenses!A$3:A$999)-2),5)),"")&lt;&gt;"",IFERROR(INDEX(Expenses!B$3:B$999,SMALL(IF((Expenses!E$3:E$999="GBP")*(Expenses!A$3:A$999=DATE(2026,4,3)),ROW(Expenses!A$3:A$999)-2),5)),""),IF(IFERROR(INDEX(Income!B$3:B$502,SMALL(IF((Income!D$3:D$502="GBP")*(Income!A$3:A$502=DATE(2026,4,3)),ROW(Income!A$3:A$502)-2),5)),"")&lt;&gt;"",IFERROR(INDEX(Income!B$3:B$502,SMALL(IF((Income!D$3:D$502="GBP")*(Income!A$3:A$502=DATE(2026,4,3)),ROW(Income!A$3:A$502)-2),5)),""),""))</f>
        <v/>
      </c>
      <c r="M73" s="152">
        <f t="array" ref="M73">IF(IFERROR(-INDEX(Expenses!D$3:D$999,SMALL(IF((Expenses!E$3:E$999="GBP")*(Expenses!A$3:A$999=DATE(2026,4,4)),ROW(Expenses!A$3:A$999)-2),5)),0)+IFERROR(INDEX(Income!C$3:C$502,SMALL(IF((Income!D$3:D$502="GBP")*(Income!A$3:A$502=DATE(2026,4,4)),ROW(Income!A$3:A$502)-2),5)),0)=0,"",IFERROR(-INDEX(Expenses!D$3:D$999,SMALL(IF((Expenses!E$3:E$999="GBP")*(Expenses!A$3:A$999=DATE(2026,4,4)),ROW(Expenses!A$3:A$999)-2),5)),0)+IFERROR(INDEX(Income!C$3:C$502,SMALL(IF((Income!D$3:D$502="GBP")*(Income!A$3:A$502=DATE(2026,4,4)),ROW(Income!A$3:A$502)-2),5)),0))</f>
        <v/>
      </c>
      <c r="N73" s="126">
        <f t="array" ref="N73">IF(IFERROR(INDEX(Expenses!B$3:B$999,SMALL(IF((Expenses!E$3:E$999="GBP")*(Expenses!A$3:A$999=DATE(2026,4,4)),ROW(Expenses!A$3:A$999)-2),5)),"")&lt;&gt;"",IFERROR(INDEX(Expenses!B$3:B$999,SMALL(IF((Expenses!E$3:E$999="GBP")*(Expenses!A$3:A$999=DATE(2026,4,4)),ROW(Expenses!A$3:A$999)-2),5)),""),IF(IFERROR(INDEX(Income!B$3:B$502,SMALL(IF((Income!D$3:D$502="GBP")*(Income!A$3:A$502=DATE(2026,4,4)),ROW(Income!A$3:A$502)-2),5)),"")&lt;&gt;"",IFERROR(INDEX(Income!B$3:B$502,SMALL(IF((Income!D$3:D$502="GBP")*(Income!A$3:A$502=DATE(2026,4,4)),ROW(Income!A$3:A$502)-2),5)),""),""))</f>
        <v/>
      </c>
      <c r="O73" s="152">
        <f t="array" ref="O73">IF(IFERROR(-INDEX(Expenses!D$3:D$999,SMALL(IF((Expenses!E$3:E$999="GBP")*(Expenses!A$3:A$999=DATE(2026,4,5)),ROW(Expenses!A$3:A$999)-2),5)),0)+IFERROR(INDEX(Income!C$3:C$502,SMALL(IF((Income!D$3:D$502="GBP")*(Income!A$3:A$502=DATE(2026,4,5)),ROW(Income!A$3:A$502)-2),5)),0)=0,"",IFERROR(-INDEX(Expenses!D$3:D$999,SMALL(IF((Expenses!E$3:E$999="GBP")*(Expenses!A$3:A$999=DATE(2026,4,5)),ROW(Expenses!A$3:A$999)-2),5)),0)+IFERROR(INDEX(Income!C$3:C$502,SMALL(IF((Income!D$3:D$502="GBP")*(Income!A$3:A$502=DATE(2026,4,5)),ROW(Income!A$3:A$502)-2),5)),0))</f>
        <v/>
      </c>
      <c r="P73" s="126">
        <f t="array" ref="P73">IF(IFERROR(INDEX(Expenses!B$3:B$999,SMALL(IF((Expenses!E$3:E$999="GBP")*(Expenses!A$3:A$999=DATE(2026,4,5)),ROW(Expenses!A$3:A$999)-2),5)),"")&lt;&gt;"",IFERROR(INDEX(Expenses!B$3:B$999,SMALL(IF((Expenses!E$3:E$999="GBP")*(Expenses!A$3:A$999=DATE(2026,4,5)),ROW(Expenses!A$3:A$999)-2),5)),""),IF(IFERROR(INDEX(Income!B$3:B$502,SMALL(IF((Income!D$3:D$502="GBP")*(Income!A$3:A$502=DATE(2026,4,5)),ROW(Income!A$3:A$502)-2),5)),"")&lt;&gt;"",IFERROR(INDEX(Income!B$3:B$502,SMALL(IF((Income!D$3:D$502="GBP")*(Income!A$3:A$502=DATE(2026,4,5)),ROW(Income!A$3:A$502)-2),5)),""),""))</f>
        <v/>
      </c>
      <c r="Q73" s="9" t="n"/>
      <c r="R73" s="9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68">
      <c r="A74" s="151" t="n">
        <v>46118</v>
      </c>
      <c r="B74" s="103" t="n">
        <v>15</v>
      </c>
      <c r="C74" s="152">
        <f t="array" ref="C74">IF(IFERROR(-INDEX(Expenses!D$3:D$999,SMALL(IF((Expenses!E$3:E$999="GBP")*(Expenses!A$3:A$999=DATE(2026,4,6)),ROW(Expenses!A$3:A$999)-2),1)),0)+IFERROR(INDEX(Income!C$3:C$502,SMALL(IF((Income!D$3:D$502="GBP")*(Income!A$3:A$502=DATE(2026,4,6)),ROW(Income!A$3:A$502)-2),1)),0)=0,"",IFERROR(-INDEX(Expenses!D$3:D$999,SMALL(IF((Expenses!E$3:E$999="GBP")*(Expenses!A$3:A$999=DATE(2026,4,6)),ROW(Expenses!A$3:A$999)-2),1)),0)+IFERROR(INDEX(Income!C$3:C$502,SMALL(IF((Income!D$3:D$502="GBP")*(Income!A$3:A$502=DATE(2026,4,6)),ROW(Income!A$3:A$502)-2),1)),0))</f>
        <v/>
      </c>
      <c r="D74" s="126">
        <f t="array" ref="D74">IF(IFERROR(INDEX(Expenses!B$3:B$999,SMALL(IF((Expenses!E$3:E$999="GBP")*(Expenses!A$3:A$999=DATE(2026,4,6)),ROW(Expenses!A$3:A$999)-2),1)),"")&lt;&gt;"",IFERROR(INDEX(Expenses!B$3:B$999,SMALL(IF((Expenses!E$3:E$999="GBP")*(Expenses!A$3:A$999=DATE(2026,4,6)),ROW(Expenses!A$3:A$999)-2),1)),""),IF(IFERROR(INDEX(Income!B$3:B$502,SMALL(IF((Income!D$3:D$502="GBP")*(Income!A$3:A$502=DATE(2026,4,6)),ROW(Income!A$3:A$502)-2),1)),"")&lt;&gt;"",IFERROR(INDEX(Income!B$3:B$502,SMALL(IF((Income!D$3:D$502="GBP")*(Income!A$3:A$502=DATE(2026,4,6)),ROW(Income!A$3:A$502)-2),1)),""),""))</f>
        <v/>
      </c>
      <c r="E74" s="152">
        <f t="array" ref="E74">IF(IFERROR(-INDEX(Expenses!D$3:D$999,SMALL(IF((Expenses!E$3:E$999="GBP")*(Expenses!A$3:A$999=DATE(2026,4,7)),ROW(Expenses!A$3:A$999)-2),1)),0)+IFERROR(INDEX(Income!C$3:C$502,SMALL(IF((Income!D$3:D$502="GBP")*(Income!A$3:A$502=DATE(2026,4,7)),ROW(Income!A$3:A$502)-2),1)),0)=0,"",IFERROR(-INDEX(Expenses!D$3:D$999,SMALL(IF((Expenses!E$3:E$999="GBP")*(Expenses!A$3:A$999=DATE(2026,4,7)),ROW(Expenses!A$3:A$999)-2),1)),0)+IFERROR(INDEX(Income!C$3:C$502,SMALL(IF((Income!D$3:D$502="GBP")*(Income!A$3:A$502=DATE(2026,4,7)),ROW(Income!A$3:A$502)-2),1)),0))</f>
        <v/>
      </c>
      <c r="F74" s="126">
        <f t="array" ref="F74">IF(IFERROR(INDEX(Expenses!B$3:B$999,SMALL(IF((Expenses!E$3:E$999="GBP")*(Expenses!A$3:A$999=DATE(2026,4,7)),ROW(Expenses!A$3:A$999)-2),1)),"")&lt;&gt;"",IFERROR(INDEX(Expenses!B$3:B$999,SMALL(IF((Expenses!E$3:E$999="GBP")*(Expenses!A$3:A$999=DATE(2026,4,7)),ROW(Expenses!A$3:A$999)-2),1)),""),IF(IFERROR(INDEX(Income!B$3:B$502,SMALL(IF((Income!D$3:D$502="GBP")*(Income!A$3:A$502=DATE(2026,4,7)),ROW(Income!A$3:A$502)-2),1)),"")&lt;&gt;"",IFERROR(INDEX(Income!B$3:B$502,SMALL(IF((Income!D$3:D$502="GBP")*(Income!A$3:A$502=DATE(2026,4,7)),ROW(Income!A$3:A$502)-2),1)),""),""))</f>
        <v/>
      </c>
      <c r="G74" s="152">
        <f t="array" ref="G74">IF(IFERROR(-INDEX(Expenses!D$3:D$999,SMALL(IF((Expenses!E$3:E$999="GBP")*(Expenses!A$3:A$999=DATE(2026,4,8)),ROW(Expenses!A$3:A$999)-2),1)),0)+IFERROR(INDEX(Income!C$3:C$502,SMALL(IF((Income!D$3:D$502="GBP")*(Income!A$3:A$502=DATE(2026,4,8)),ROW(Income!A$3:A$502)-2),1)),0)=0,"",IFERROR(-INDEX(Expenses!D$3:D$999,SMALL(IF((Expenses!E$3:E$999="GBP")*(Expenses!A$3:A$999=DATE(2026,4,8)),ROW(Expenses!A$3:A$999)-2),1)),0)+IFERROR(INDEX(Income!C$3:C$502,SMALL(IF((Income!D$3:D$502="GBP")*(Income!A$3:A$502=DATE(2026,4,8)),ROW(Income!A$3:A$502)-2),1)),0))</f>
        <v/>
      </c>
      <c r="H74" s="126">
        <f t="array" ref="H74">IF(IFERROR(INDEX(Expenses!B$3:B$999,SMALL(IF((Expenses!E$3:E$999="GBP")*(Expenses!A$3:A$999=DATE(2026,4,8)),ROW(Expenses!A$3:A$999)-2),1)),"")&lt;&gt;"",IFERROR(INDEX(Expenses!B$3:B$999,SMALL(IF((Expenses!E$3:E$999="GBP")*(Expenses!A$3:A$999=DATE(2026,4,8)),ROW(Expenses!A$3:A$999)-2),1)),""),IF(IFERROR(INDEX(Income!B$3:B$502,SMALL(IF((Income!D$3:D$502="GBP")*(Income!A$3:A$502=DATE(2026,4,8)),ROW(Income!A$3:A$502)-2),1)),"")&lt;&gt;"",IFERROR(INDEX(Income!B$3:B$502,SMALL(IF((Income!D$3:D$502="GBP")*(Income!A$3:A$502=DATE(2026,4,8)),ROW(Income!A$3:A$502)-2),1)),""),""))</f>
        <v/>
      </c>
      <c r="I74" s="152">
        <f t="array" ref="I74">IF(IFERROR(-INDEX(Expenses!D$3:D$999,SMALL(IF((Expenses!E$3:E$999="GBP")*(Expenses!A$3:A$999=DATE(2026,4,9)),ROW(Expenses!A$3:A$999)-2),1)),0)+IFERROR(INDEX(Income!C$3:C$502,SMALL(IF((Income!D$3:D$502="GBP")*(Income!A$3:A$502=DATE(2026,4,9)),ROW(Income!A$3:A$502)-2),1)),0)=0,"",IFERROR(-INDEX(Expenses!D$3:D$999,SMALL(IF((Expenses!E$3:E$999="GBP")*(Expenses!A$3:A$999=DATE(2026,4,9)),ROW(Expenses!A$3:A$999)-2),1)),0)+IFERROR(INDEX(Income!C$3:C$502,SMALL(IF((Income!D$3:D$502="GBP")*(Income!A$3:A$502=DATE(2026,4,9)),ROW(Income!A$3:A$502)-2),1)),0))</f>
        <v/>
      </c>
      <c r="J74" s="126">
        <f t="array" ref="J74">IF(IFERROR(INDEX(Expenses!B$3:B$999,SMALL(IF((Expenses!E$3:E$999="GBP")*(Expenses!A$3:A$999=DATE(2026,4,9)),ROW(Expenses!A$3:A$999)-2),1)),"")&lt;&gt;"",IFERROR(INDEX(Expenses!B$3:B$999,SMALL(IF((Expenses!E$3:E$999="GBP")*(Expenses!A$3:A$999=DATE(2026,4,9)),ROW(Expenses!A$3:A$999)-2),1)),""),IF(IFERROR(INDEX(Income!B$3:B$502,SMALL(IF((Income!D$3:D$502="GBP")*(Income!A$3:A$502=DATE(2026,4,9)),ROW(Income!A$3:A$502)-2),1)),"")&lt;&gt;"",IFERROR(INDEX(Income!B$3:B$502,SMALL(IF((Income!D$3:D$502="GBP")*(Income!A$3:A$502=DATE(2026,4,9)),ROW(Income!A$3:A$502)-2),1)),""),""))</f>
        <v/>
      </c>
      <c r="K74" s="152">
        <f t="array" ref="K74">IF(IFERROR(-INDEX(Expenses!D$3:D$999,SMALL(IF((Expenses!E$3:E$999="GBP")*(Expenses!A$3:A$999=DATE(2026,4,10)),ROW(Expenses!A$3:A$999)-2),1)),0)+IFERROR(INDEX(Income!C$3:C$502,SMALL(IF((Income!D$3:D$502="GBP")*(Income!A$3:A$502=DATE(2026,4,10)),ROW(Income!A$3:A$502)-2),1)),0)=0,"",IFERROR(-INDEX(Expenses!D$3:D$999,SMALL(IF((Expenses!E$3:E$999="GBP")*(Expenses!A$3:A$999=DATE(2026,4,10)),ROW(Expenses!A$3:A$999)-2),1)),0)+IFERROR(INDEX(Income!C$3:C$502,SMALL(IF((Income!D$3:D$502="GBP")*(Income!A$3:A$502=DATE(2026,4,10)),ROW(Income!A$3:A$502)-2),1)),0))</f>
        <v/>
      </c>
      <c r="L74" s="126">
        <f t="array" ref="L74">IF(IFERROR(INDEX(Expenses!B$3:B$999,SMALL(IF((Expenses!E$3:E$999="GBP")*(Expenses!A$3:A$999=DATE(2026,4,10)),ROW(Expenses!A$3:A$999)-2),1)),"")&lt;&gt;"",IFERROR(INDEX(Expenses!B$3:B$999,SMALL(IF((Expenses!E$3:E$999="GBP")*(Expenses!A$3:A$999=DATE(2026,4,10)),ROW(Expenses!A$3:A$999)-2),1)),""),IF(IFERROR(INDEX(Income!B$3:B$502,SMALL(IF((Income!D$3:D$502="GBP")*(Income!A$3:A$502=DATE(2026,4,10)),ROW(Income!A$3:A$502)-2),1)),"")&lt;&gt;"",IFERROR(INDEX(Income!B$3:B$502,SMALL(IF((Income!D$3:D$502="GBP")*(Income!A$3:A$502=DATE(2026,4,10)),ROW(Income!A$3:A$502)-2),1)),""),""))</f>
        <v/>
      </c>
      <c r="M74" s="152">
        <f t="array" ref="M74">IF(IFERROR(-INDEX(Expenses!D$3:D$999,SMALL(IF((Expenses!E$3:E$999="GBP")*(Expenses!A$3:A$999=DATE(2026,4,11)),ROW(Expenses!A$3:A$999)-2),1)),0)+IFERROR(INDEX(Income!C$3:C$502,SMALL(IF((Income!D$3:D$502="GBP")*(Income!A$3:A$502=DATE(2026,4,11)),ROW(Income!A$3:A$502)-2),1)),0)=0,"",IFERROR(-INDEX(Expenses!D$3:D$999,SMALL(IF((Expenses!E$3:E$999="GBP")*(Expenses!A$3:A$999=DATE(2026,4,11)),ROW(Expenses!A$3:A$999)-2),1)),0)+IFERROR(INDEX(Income!C$3:C$502,SMALL(IF((Income!D$3:D$502="GBP")*(Income!A$3:A$502=DATE(2026,4,11)),ROW(Income!A$3:A$502)-2),1)),0))</f>
        <v/>
      </c>
      <c r="N74" s="126">
        <f t="array" ref="N74">IF(IFERROR(INDEX(Expenses!B$3:B$999,SMALL(IF((Expenses!E$3:E$999="GBP")*(Expenses!A$3:A$999=DATE(2026,4,11)),ROW(Expenses!A$3:A$999)-2),1)),"")&lt;&gt;"",IFERROR(INDEX(Expenses!B$3:B$999,SMALL(IF((Expenses!E$3:E$999="GBP")*(Expenses!A$3:A$999=DATE(2026,4,11)),ROW(Expenses!A$3:A$999)-2),1)),""),IF(IFERROR(INDEX(Income!B$3:B$502,SMALL(IF((Income!D$3:D$502="GBP")*(Income!A$3:A$502=DATE(2026,4,11)),ROW(Income!A$3:A$502)-2),1)),"")&lt;&gt;"",IFERROR(INDEX(Income!B$3:B$502,SMALL(IF((Income!D$3:D$502="GBP")*(Income!A$3:A$502=DATE(2026,4,11)),ROW(Income!A$3:A$502)-2),1)),""),""))</f>
        <v/>
      </c>
      <c r="O74" s="152">
        <f t="array" ref="O74">IF(IFERROR(-INDEX(Expenses!D$3:D$999,SMALL(IF((Expenses!E$3:E$999="GBP")*(Expenses!A$3:A$999=DATE(2026,4,12)),ROW(Expenses!A$3:A$999)-2),1)),0)+IFERROR(INDEX(Income!C$3:C$502,SMALL(IF((Income!D$3:D$502="GBP")*(Income!A$3:A$502=DATE(2026,4,12)),ROW(Income!A$3:A$502)-2),1)),0)=0,"",IFERROR(-INDEX(Expenses!D$3:D$999,SMALL(IF((Expenses!E$3:E$999="GBP")*(Expenses!A$3:A$999=DATE(2026,4,12)),ROW(Expenses!A$3:A$999)-2),1)),0)+IFERROR(INDEX(Income!C$3:C$502,SMALL(IF((Income!D$3:D$502="GBP")*(Income!A$3:A$502=DATE(2026,4,12)),ROW(Income!A$3:A$502)-2),1)),0))</f>
        <v/>
      </c>
      <c r="P74" s="126">
        <f t="array" ref="P74">IF(IFERROR(INDEX(Expenses!B$3:B$999,SMALL(IF((Expenses!E$3:E$999="GBP")*(Expenses!A$3:A$999=DATE(2026,4,12)),ROW(Expenses!A$3:A$999)-2),1)),"")&lt;&gt;"",IFERROR(INDEX(Expenses!B$3:B$999,SMALL(IF((Expenses!E$3:E$999="GBP")*(Expenses!A$3:A$999=DATE(2026,4,12)),ROW(Expenses!A$3:A$999)-2),1)),""),IF(IFERROR(INDEX(Income!B$3:B$502,SMALL(IF((Income!D$3:D$502="GBP")*(Income!A$3:A$502=DATE(2026,4,12)),ROW(Income!A$3:A$502)-2),1)),"")&lt;&gt;"",IFERROR(INDEX(Income!B$3:B$502,SMALL(IF((Income!D$3:D$502="GBP")*(Income!A$3:A$502=DATE(2026,4,12)),ROW(Income!A$3:A$502)-2),1)),""),""))</f>
        <v/>
      </c>
      <c r="Q74" s="103" t="n">
        <v>15</v>
      </c>
      <c r="R74" s="134">
        <f>SUM(C74:C78)+SUM(E74:E78)+SUM(G74:G78)+SUM(I74:I78)+SUM(K74:K78)+SUM(M74:M78)+SUM(O74:O78)</f>
        <v/>
      </c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68">
      <c r="A75" s="9" t="n"/>
      <c r="B75" s="9" t="n"/>
      <c r="C75" s="152">
        <f t="array" ref="C75">IF(IFERROR(-INDEX(Expenses!D$3:D$999,SMALL(IF((Expenses!E$3:E$999="GBP")*(Expenses!A$3:A$999=DATE(2026,4,6)),ROW(Expenses!A$3:A$999)-2),2)),0)+IFERROR(INDEX(Income!C$3:C$502,SMALL(IF((Income!D$3:D$502="GBP")*(Income!A$3:A$502=DATE(2026,4,6)),ROW(Income!A$3:A$502)-2),2)),0)=0,"",IFERROR(-INDEX(Expenses!D$3:D$999,SMALL(IF((Expenses!E$3:E$999="GBP")*(Expenses!A$3:A$999=DATE(2026,4,6)),ROW(Expenses!A$3:A$999)-2),2)),0)+IFERROR(INDEX(Income!C$3:C$502,SMALL(IF((Income!D$3:D$502="GBP")*(Income!A$3:A$502=DATE(2026,4,6)),ROW(Income!A$3:A$502)-2),2)),0))</f>
        <v/>
      </c>
      <c r="D75" s="126">
        <f t="array" ref="D75">IF(IFERROR(INDEX(Expenses!B$3:B$999,SMALL(IF((Expenses!E$3:E$999="GBP")*(Expenses!A$3:A$999=DATE(2026,4,6)),ROW(Expenses!A$3:A$999)-2),2)),"")&lt;&gt;"",IFERROR(INDEX(Expenses!B$3:B$999,SMALL(IF((Expenses!E$3:E$999="GBP")*(Expenses!A$3:A$999=DATE(2026,4,6)),ROW(Expenses!A$3:A$999)-2),2)),""),IF(IFERROR(INDEX(Income!B$3:B$502,SMALL(IF((Income!D$3:D$502="GBP")*(Income!A$3:A$502=DATE(2026,4,6)),ROW(Income!A$3:A$502)-2),2)),"")&lt;&gt;"",IFERROR(INDEX(Income!B$3:B$502,SMALL(IF((Income!D$3:D$502="GBP")*(Income!A$3:A$502=DATE(2026,4,6)),ROW(Income!A$3:A$502)-2),2)),""),""))</f>
        <v/>
      </c>
      <c r="E75" s="152">
        <f t="array" ref="E75">IF(IFERROR(-INDEX(Expenses!D$3:D$999,SMALL(IF((Expenses!E$3:E$999="GBP")*(Expenses!A$3:A$999=DATE(2026,4,7)),ROW(Expenses!A$3:A$999)-2),2)),0)+IFERROR(INDEX(Income!C$3:C$502,SMALL(IF((Income!D$3:D$502="GBP")*(Income!A$3:A$502=DATE(2026,4,7)),ROW(Income!A$3:A$502)-2),2)),0)=0,"",IFERROR(-INDEX(Expenses!D$3:D$999,SMALL(IF((Expenses!E$3:E$999="GBP")*(Expenses!A$3:A$999=DATE(2026,4,7)),ROW(Expenses!A$3:A$999)-2),2)),0)+IFERROR(INDEX(Income!C$3:C$502,SMALL(IF((Income!D$3:D$502="GBP")*(Income!A$3:A$502=DATE(2026,4,7)),ROW(Income!A$3:A$502)-2),2)),0))</f>
        <v/>
      </c>
      <c r="F75" s="126">
        <f t="array" ref="F75">IF(IFERROR(INDEX(Expenses!B$3:B$999,SMALL(IF((Expenses!E$3:E$999="GBP")*(Expenses!A$3:A$999=DATE(2026,4,7)),ROW(Expenses!A$3:A$999)-2),2)),"")&lt;&gt;"",IFERROR(INDEX(Expenses!B$3:B$999,SMALL(IF((Expenses!E$3:E$999="GBP")*(Expenses!A$3:A$999=DATE(2026,4,7)),ROW(Expenses!A$3:A$999)-2),2)),""),IF(IFERROR(INDEX(Income!B$3:B$502,SMALL(IF((Income!D$3:D$502="GBP")*(Income!A$3:A$502=DATE(2026,4,7)),ROW(Income!A$3:A$502)-2),2)),"")&lt;&gt;"",IFERROR(INDEX(Income!B$3:B$502,SMALL(IF((Income!D$3:D$502="GBP")*(Income!A$3:A$502=DATE(2026,4,7)),ROW(Income!A$3:A$502)-2),2)),""),""))</f>
        <v/>
      </c>
      <c r="G75" s="152">
        <f t="array" ref="G75">IF(IFERROR(-INDEX(Expenses!D$3:D$999,SMALL(IF((Expenses!E$3:E$999="GBP")*(Expenses!A$3:A$999=DATE(2026,4,8)),ROW(Expenses!A$3:A$999)-2),2)),0)+IFERROR(INDEX(Income!C$3:C$502,SMALL(IF((Income!D$3:D$502="GBP")*(Income!A$3:A$502=DATE(2026,4,8)),ROW(Income!A$3:A$502)-2),2)),0)=0,"",IFERROR(-INDEX(Expenses!D$3:D$999,SMALL(IF((Expenses!E$3:E$999="GBP")*(Expenses!A$3:A$999=DATE(2026,4,8)),ROW(Expenses!A$3:A$999)-2),2)),0)+IFERROR(INDEX(Income!C$3:C$502,SMALL(IF((Income!D$3:D$502="GBP")*(Income!A$3:A$502=DATE(2026,4,8)),ROW(Income!A$3:A$502)-2),2)),0))</f>
        <v/>
      </c>
      <c r="H75" s="126">
        <f t="array" ref="H75">IF(IFERROR(INDEX(Expenses!B$3:B$999,SMALL(IF((Expenses!E$3:E$999="GBP")*(Expenses!A$3:A$999=DATE(2026,4,8)),ROW(Expenses!A$3:A$999)-2),2)),"")&lt;&gt;"",IFERROR(INDEX(Expenses!B$3:B$999,SMALL(IF((Expenses!E$3:E$999="GBP")*(Expenses!A$3:A$999=DATE(2026,4,8)),ROW(Expenses!A$3:A$999)-2),2)),""),IF(IFERROR(INDEX(Income!B$3:B$502,SMALL(IF((Income!D$3:D$502="GBP")*(Income!A$3:A$502=DATE(2026,4,8)),ROW(Income!A$3:A$502)-2),2)),"")&lt;&gt;"",IFERROR(INDEX(Income!B$3:B$502,SMALL(IF((Income!D$3:D$502="GBP")*(Income!A$3:A$502=DATE(2026,4,8)),ROW(Income!A$3:A$502)-2),2)),""),""))</f>
        <v/>
      </c>
      <c r="I75" s="152">
        <f t="array" ref="I75">IF(IFERROR(-INDEX(Expenses!D$3:D$999,SMALL(IF((Expenses!E$3:E$999="GBP")*(Expenses!A$3:A$999=DATE(2026,4,9)),ROW(Expenses!A$3:A$999)-2),2)),0)+IFERROR(INDEX(Income!C$3:C$502,SMALL(IF((Income!D$3:D$502="GBP")*(Income!A$3:A$502=DATE(2026,4,9)),ROW(Income!A$3:A$502)-2),2)),0)=0,"",IFERROR(-INDEX(Expenses!D$3:D$999,SMALL(IF((Expenses!E$3:E$999="GBP")*(Expenses!A$3:A$999=DATE(2026,4,9)),ROW(Expenses!A$3:A$999)-2),2)),0)+IFERROR(INDEX(Income!C$3:C$502,SMALL(IF((Income!D$3:D$502="GBP")*(Income!A$3:A$502=DATE(2026,4,9)),ROW(Income!A$3:A$502)-2),2)),0))</f>
        <v/>
      </c>
      <c r="J75" s="126">
        <f t="array" ref="J75">IF(IFERROR(INDEX(Expenses!B$3:B$999,SMALL(IF((Expenses!E$3:E$999="GBP")*(Expenses!A$3:A$999=DATE(2026,4,9)),ROW(Expenses!A$3:A$999)-2),2)),"")&lt;&gt;"",IFERROR(INDEX(Expenses!B$3:B$999,SMALL(IF((Expenses!E$3:E$999="GBP")*(Expenses!A$3:A$999=DATE(2026,4,9)),ROW(Expenses!A$3:A$999)-2),2)),""),IF(IFERROR(INDEX(Income!B$3:B$502,SMALL(IF((Income!D$3:D$502="GBP")*(Income!A$3:A$502=DATE(2026,4,9)),ROW(Income!A$3:A$502)-2),2)),"")&lt;&gt;"",IFERROR(INDEX(Income!B$3:B$502,SMALL(IF((Income!D$3:D$502="GBP")*(Income!A$3:A$502=DATE(2026,4,9)),ROW(Income!A$3:A$502)-2),2)),""),""))</f>
        <v/>
      </c>
      <c r="K75" s="152">
        <f t="array" ref="K75">IF(IFERROR(-INDEX(Expenses!D$3:D$999,SMALL(IF((Expenses!E$3:E$999="GBP")*(Expenses!A$3:A$999=DATE(2026,4,10)),ROW(Expenses!A$3:A$999)-2),2)),0)+IFERROR(INDEX(Income!C$3:C$502,SMALL(IF((Income!D$3:D$502="GBP")*(Income!A$3:A$502=DATE(2026,4,10)),ROW(Income!A$3:A$502)-2),2)),0)=0,"",IFERROR(-INDEX(Expenses!D$3:D$999,SMALL(IF((Expenses!E$3:E$999="GBP")*(Expenses!A$3:A$999=DATE(2026,4,10)),ROW(Expenses!A$3:A$999)-2),2)),0)+IFERROR(INDEX(Income!C$3:C$502,SMALL(IF((Income!D$3:D$502="GBP")*(Income!A$3:A$502=DATE(2026,4,10)),ROW(Income!A$3:A$502)-2),2)),0))</f>
        <v/>
      </c>
      <c r="L75" s="126">
        <f t="array" ref="L75">IF(IFERROR(INDEX(Expenses!B$3:B$999,SMALL(IF((Expenses!E$3:E$999="GBP")*(Expenses!A$3:A$999=DATE(2026,4,10)),ROW(Expenses!A$3:A$999)-2),2)),"")&lt;&gt;"",IFERROR(INDEX(Expenses!B$3:B$999,SMALL(IF((Expenses!E$3:E$999="GBP")*(Expenses!A$3:A$999=DATE(2026,4,10)),ROW(Expenses!A$3:A$999)-2),2)),""),IF(IFERROR(INDEX(Income!B$3:B$502,SMALL(IF((Income!D$3:D$502="GBP")*(Income!A$3:A$502=DATE(2026,4,10)),ROW(Income!A$3:A$502)-2),2)),"")&lt;&gt;"",IFERROR(INDEX(Income!B$3:B$502,SMALL(IF((Income!D$3:D$502="GBP")*(Income!A$3:A$502=DATE(2026,4,10)),ROW(Income!A$3:A$502)-2),2)),""),""))</f>
        <v/>
      </c>
      <c r="M75" s="152">
        <f t="array" ref="M75">IF(IFERROR(-INDEX(Expenses!D$3:D$999,SMALL(IF((Expenses!E$3:E$999="GBP")*(Expenses!A$3:A$999=DATE(2026,4,11)),ROW(Expenses!A$3:A$999)-2),2)),0)+IFERROR(INDEX(Income!C$3:C$502,SMALL(IF((Income!D$3:D$502="GBP")*(Income!A$3:A$502=DATE(2026,4,11)),ROW(Income!A$3:A$502)-2),2)),0)=0,"",IFERROR(-INDEX(Expenses!D$3:D$999,SMALL(IF((Expenses!E$3:E$999="GBP")*(Expenses!A$3:A$999=DATE(2026,4,11)),ROW(Expenses!A$3:A$999)-2),2)),0)+IFERROR(INDEX(Income!C$3:C$502,SMALL(IF((Income!D$3:D$502="GBP")*(Income!A$3:A$502=DATE(2026,4,11)),ROW(Income!A$3:A$502)-2),2)),0))</f>
        <v/>
      </c>
      <c r="N75" s="126">
        <f t="array" ref="N75">IF(IFERROR(INDEX(Expenses!B$3:B$999,SMALL(IF((Expenses!E$3:E$999="GBP")*(Expenses!A$3:A$999=DATE(2026,4,11)),ROW(Expenses!A$3:A$999)-2),2)),"")&lt;&gt;"",IFERROR(INDEX(Expenses!B$3:B$999,SMALL(IF((Expenses!E$3:E$999="GBP")*(Expenses!A$3:A$999=DATE(2026,4,11)),ROW(Expenses!A$3:A$999)-2),2)),""),IF(IFERROR(INDEX(Income!B$3:B$502,SMALL(IF((Income!D$3:D$502="GBP")*(Income!A$3:A$502=DATE(2026,4,11)),ROW(Income!A$3:A$502)-2),2)),"")&lt;&gt;"",IFERROR(INDEX(Income!B$3:B$502,SMALL(IF((Income!D$3:D$502="GBP")*(Income!A$3:A$502=DATE(2026,4,11)),ROW(Income!A$3:A$502)-2),2)),""),""))</f>
        <v/>
      </c>
      <c r="O75" s="152">
        <f t="array" ref="O75">IF(IFERROR(-INDEX(Expenses!D$3:D$999,SMALL(IF((Expenses!E$3:E$999="GBP")*(Expenses!A$3:A$999=DATE(2026,4,12)),ROW(Expenses!A$3:A$999)-2),2)),0)+IFERROR(INDEX(Income!C$3:C$502,SMALL(IF((Income!D$3:D$502="GBP")*(Income!A$3:A$502=DATE(2026,4,12)),ROW(Income!A$3:A$502)-2),2)),0)=0,"",IFERROR(-INDEX(Expenses!D$3:D$999,SMALL(IF((Expenses!E$3:E$999="GBP")*(Expenses!A$3:A$999=DATE(2026,4,12)),ROW(Expenses!A$3:A$999)-2),2)),0)+IFERROR(INDEX(Income!C$3:C$502,SMALL(IF((Income!D$3:D$502="GBP")*(Income!A$3:A$502=DATE(2026,4,12)),ROW(Income!A$3:A$502)-2),2)),0))</f>
        <v/>
      </c>
      <c r="P75" s="126">
        <f t="array" ref="P75">IF(IFERROR(INDEX(Expenses!B$3:B$999,SMALL(IF((Expenses!E$3:E$999="GBP")*(Expenses!A$3:A$999=DATE(2026,4,12)),ROW(Expenses!A$3:A$999)-2),2)),"")&lt;&gt;"",IFERROR(INDEX(Expenses!B$3:B$999,SMALL(IF((Expenses!E$3:E$999="GBP")*(Expenses!A$3:A$999=DATE(2026,4,12)),ROW(Expenses!A$3:A$999)-2),2)),""),IF(IFERROR(INDEX(Income!B$3:B$502,SMALL(IF((Income!D$3:D$502="GBP")*(Income!A$3:A$502=DATE(2026,4,12)),ROW(Income!A$3:A$502)-2),2)),"")&lt;&gt;"",IFERROR(INDEX(Income!B$3:B$502,SMALL(IF((Income!D$3:D$502="GBP")*(Income!A$3:A$502=DATE(2026,4,12)),ROW(Income!A$3:A$502)-2),2)),""),""))</f>
        <v/>
      </c>
      <c r="Q75" s="9" t="n"/>
      <c r="R75" s="9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68">
      <c r="A76" s="9" t="n"/>
      <c r="B76" s="9" t="n"/>
      <c r="C76" s="152">
        <f t="array" ref="C76">IF(IFERROR(-INDEX(Expenses!D$3:D$999,SMALL(IF((Expenses!E$3:E$999="GBP")*(Expenses!A$3:A$999=DATE(2026,4,6)),ROW(Expenses!A$3:A$999)-2),3)),0)+IFERROR(INDEX(Income!C$3:C$502,SMALL(IF((Income!D$3:D$502="GBP")*(Income!A$3:A$502=DATE(2026,4,6)),ROW(Income!A$3:A$502)-2),3)),0)=0,"",IFERROR(-INDEX(Expenses!D$3:D$999,SMALL(IF((Expenses!E$3:E$999="GBP")*(Expenses!A$3:A$999=DATE(2026,4,6)),ROW(Expenses!A$3:A$999)-2),3)),0)+IFERROR(INDEX(Income!C$3:C$502,SMALL(IF((Income!D$3:D$502="GBP")*(Income!A$3:A$502=DATE(2026,4,6)),ROW(Income!A$3:A$502)-2),3)),0))</f>
        <v/>
      </c>
      <c r="D76" s="126">
        <f t="array" ref="D76">IF(IFERROR(INDEX(Expenses!B$3:B$999,SMALL(IF((Expenses!E$3:E$999="GBP")*(Expenses!A$3:A$999=DATE(2026,4,6)),ROW(Expenses!A$3:A$999)-2),3)),"")&lt;&gt;"",IFERROR(INDEX(Expenses!B$3:B$999,SMALL(IF((Expenses!E$3:E$999="GBP")*(Expenses!A$3:A$999=DATE(2026,4,6)),ROW(Expenses!A$3:A$999)-2),3)),""),IF(IFERROR(INDEX(Income!B$3:B$502,SMALL(IF((Income!D$3:D$502="GBP")*(Income!A$3:A$502=DATE(2026,4,6)),ROW(Income!A$3:A$502)-2),3)),"")&lt;&gt;"",IFERROR(INDEX(Income!B$3:B$502,SMALL(IF((Income!D$3:D$502="GBP")*(Income!A$3:A$502=DATE(2026,4,6)),ROW(Income!A$3:A$502)-2),3)),""),""))</f>
        <v/>
      </c>
      <c r="E76" s="152">
        <f t="array" ref="E76">IF(IFERROR(-INDEX(Expenses!D$3:D$999,SMALL(IF((Expenses!E$3:E$999="GBP")*(Expenses!A$3:A$999=DATE(2026,4,7)),ROW(Expenses!A$3:A$999)-2),3)),0)+IFERROR(INDEX(Income!C$3:C$502,SMALL(IF((Income!D$3:D$502="GBP")*(Income!A$3:A$502=DATE(2026,4,7)),ROW(Income!A$3:A$502)-2),3)),0)=0,"",IFERROR(-INDEX(Expenses!D$3:D$999,SMALL(IF((Expenses!E$3:E$999="GBP")*(Expenses!A$3:A$999=DATE(2026,4,7)),ROW(Expenses!A$3:A$999)-2),3)),0)+IFERROR(INDEX(Income!C$3:C$502,SMALL(IF((Income!D$3:D$502="GBP")*(Income!A$3:A$502=DATE(2026,4,7)),ROW(Income!A$3:A$502)-2),3)),0))</f>
        <v/>
      </c>
      <c r="F76" s="126">
        <f t="array" ref="F76">IF(IFERROR(INDEX(Expenses!B$3:B$999,SMALL(IF((Expenses!E$3:E$999="GBP")*(Expenses!A$3:A$999=DATE(2026,4,7)),ROW(Expenses!A$3:A$999)-2),3)),"")&lt;&gt;"",IFERROR(INDEX(Expenses!B$3:B$999,SMALL(IF((Expenses!E$3:E$999="GBP")*(Expenses!A$3:A$999=DATE(2026,4,7)),ROW(Expenses!A$3:A$999)-2),3)),""),IF(IFERROR(INDEX(Income!B$3:B$502,SMALL(IF((Income!D$3:D$502="GBP")*(Income!A$3:A$502=DATE(2026,4,7)),ROW(Income!A$3:A$502)-2),3)),"")&lt;&gt;"",IFERROR(INDEX(Income!B$3:B$502,SMALL(IF((Income!D$3:D$502="GBP")*(Income!A$3:A$502=DATE(2026,4,7)),ROW(Income!A$3:A$502)-2),3)),""),""))</f>
        <v/>
      </c>
      <c r="G76" s="152">
        <f t="array" ref="G76">IF(IFERROR(-INDEX(Expenses!D$3:D$999,SMALL(IF((Expenses!E$3:E$999="GBP")*(Expenses!A$3:A$999=DATE(2026,4,8)),ROW(Expenses!A$3:A$999)-2),3)),0)+IFERROR(INDEX(Income!C$3:C$502,SMALL(IF((Income!D$3:D$502="GBP")*(Income!A$3:A$502=DATE(2026,4,8)),ROW(Income!A$3:A$502)-2),3)),0)=0,"",IFERROR(-INDEX(Expenses!D$3:D$999,SMALL(IF((Expenses!E$3:E$999="GBP")*(Expenses!A$3:A$999=DATE(2026,4,8)),ROW(Expenses!A$3:A$999)-2),3)),0)+IFERROR(INDEX(Income!C$3:C$502,SMALL(IF((Income!D$3:D$502="GBP")*(Income!A$3:A$502=DATE(2026,4,8)),ROW(Income!A$3:A$502)-2),3)),0))</f>
        <v/>
      </c>
      <c r="H76" s="126">
        <f t="array" ref="H76">IF(IFERROR(INDEX(Expenses!B$3:B$999,SMALL(IF((Expenses!E$3:E$999="GBP")*(Expenses!A$3:A$999=DATE(2026,4,8)),ROW(Expenses!A$3:A$999)-2),3)),"")&lt;&gt;"",IFERROR(INDEX(Expenses!B$3:B$999,SMALL(IF((Expenses!E$3:E$999="GBP")*(Expenses!A$3:A$999=DATE(2026,4,8)),ROW(Expenses!A$3:A$999)-2),3)),""),IF(IFERROR(INDEX(Income!B$3:B$502,SMALL(IF((Income!D$3:D$502="GBP")*(Income!A$3:A$502=DATE(2026,4,8)),ROW(Income!A$3:A$502)-2),3)),"")&lt;&gt;"",IFERROR(INDEX(Income!B$3:B$502,SMALL(IF((Income!D$3:D$502="GBP")*(Income!A$3:A$502=DATE(2026,4,8)),ROW(Income!A$3:A$502)-2),3)),""),""))</f>
        <v/>
      </c>
      <c r="I76" s="152">
        <f t="array" ref="I76">IF(IFERROR(-INDEX(Expenses!D$3:D$999,SMALL(IF((Expenses!E$3:E$999="GBP")*(Expenses!A$3:A$999=DATE(2026,4,9)),ROW(Expenses!A$3:A$999)-2),3)),0)+IFERROR(INDEX(Income!C$3:C$502,SMALL(IF((Income!D$3:D$502="GBP")*(Income!A$3:A$502=DATE(2026,4,9)),ROW(Income!A$3:A$502)-2),3)),0)=0,"",IFERROR(-INDEX(Expenses!D$3:D$999,SMALL(IF((Expenses!E$3:E$999="GBP")*(Expenses!A$3:A$999=DATE(2026,4,9)),ROW(Expenses!A$3:A$999)-2),3)),0)+IFERROR(INDEX(Income!C$3:C$502,SMALL(IF((Income!D$3:D$502="GBP")*(Income!A$3:A$502=DATE(2026,4,9)),ROW(Income!A$3:A$502)-2),3)),0))</f>
        <v/>
      </c>
      <c r="J76" s="126">
        <f t="array" ref="J76">IF(IFERROR(INDEX(Expenses!B$3:B$999,SMALL(IF((Expenses!E$3:E$999="GBP")*(Expenses!A$3:A$999=DATE(2026,4,9)),ROW(Expenses!A$3:A$999)-2),3)),"")&lt;&gt;"",IFERROR(INDEX(Expenses!B$3:B$999,SMALL(IF((Expenses!E$3:E$999="GBP")*(Expenses!A$3:A$999=DATE(2026,4,9)),ROW(Expenses!A$3:A$999)-2),3)),""),IF(IFERROR(INDEX(Income!B$3:B$502,SMALL(IF((Income!D$3:D$502="GBP")*(Income!A$3:A$502=DATE(2026,4,9)),ROW(Income!A$3:A$502)-2),3)),"")&lt;&gt;"",IFERROR(INDEX(Income!B$3:B$502,SMALL(IF((Income!D$3:D$502="GBP")*(Income!A$3:A$502=DATE(2026,4,9)),ROW(Income!A$3:A$502)-2),3)),""),""))</f>
        <v/>
      </c>
      <c r="K76" s="152">
        <f t="array" ref="K76">IF(IFERROR(-INDEX(Expenses!D$3:D$999,SMALL(IF((Expenses!E$3:E$999="GBP")*(Expenses!A$3:A$999=DATE(2026,4,10)),ROW(Expenses!A$3:A$999)-2),3)),0)+IFERROR(INDEX(Income!C$3:C$502,SMALL(IF((Income!D$3:D$502="GBP")*(Income!A$3:A$502=DATE(2026,4,10)),ROW(Income!A$3:A$502)-2),3)),0)=0,"",IFERROR(-INDEX(Expenses!D$3:D$999,SMALL(IF((Expenses!E$3:E$999="GBP")*(Expenses!A$3:A$999=DATE(2026,4,10)),ROW(Expenses!A$3:A$999)-2),3)),0)+IFERROR(INDEX(Income!C$3:C$502,SMALL(IF((Income!D$3:D$502="GBP")*(Income!A$3:A$502=DATE(2026,4,10)),ROW(Income!A$3:A$502)-2),3)),0))</f>
        <v/>
      </c>
      <c r="L76" s="126">
        <f t="array" ref="L76">IF(IFERROR(INDEX(Expenses!B$3:B$999,SMALL(IF((Expenses!E$3:E$999="GBP")*(Expenses!A$3:A$999=DATE(2026,4,10)),ROW(Expenses!A$3:A$999)-2),3)),"")&lt;&gt;"",IFERROR(INDEX(Expenses!B$3:B$999,SMALL(IF((Expenses!E$3:E$999="GBP")*(Expenses!A$3:A$999=DATE(2026,4,10)),ROW(Expenses!A$3:A$999)-2),3)),""),IF(IFERROR(INDEX(Income!B$3:B$502,SMALL(IF((Income!D$3:D$502="GBP")*(Income!A$3:A$502=DATE(2026,4,10)),ROW(Income!A$3:A$502)-2),3)),"")&lt;&gt;"",IFERROR(INDEX(Income!B$3:B$502,SMALL(IF((Income!D$3:D$502="GBP")*(Income!A$3:A$502=DATE(2026,4,10)),ROW(Income!A$3:A$502)-2),3)),""),""))</f>
        <v/>
      </c>
      <c r="M76" s="152">
        <f t="array" ref="M76">IF(IFERROR(-INDEX(Expenses!D$3:D$999,SMALL(IF((Expenses!E$3:E$999="GBP")*(Expenses!A$3:A$999=DATE(2026,4,11)),ROW(Expenses!A$3:A$999)-2),3)),0)+IFERROR(INDEX(Income!C$3:C$502,SMALL(IF((Income!D$3:D$502="GBP")*(Income!A$3:A$502=DATE(2026,4,11)),ROW(Income!A$3:A$502)-2),3)),0)=0,"",IFERROR(-INDEX(Expenses!D$3:D$999,SMALL(IF((Expenses!E$3:E$999="GBP")*(Expenses!A$3:A$999=DATE(2026,4,11)),ROW(Expenses!A$3:A$999)-2),3)),0)+IFERROR(INDEX(Income!C$3:C$502,SMALL(IF((Income!D$3:D$502="GBP")*(Income!A$3:A$502=DATE(2026,4,11)),ROW(Income!A$3:A$502)-2),3)),0))</f>
        <v/>
      </c>
      <c r="N76" s="126">
        <f t="array" ref="N76">IF(IFERROR(INDEX(Expenses!B$3:B$999,SMALL(IF((Expenses!E$3:E$999="GBP")*(Expenses!A$3:A$999=DATE(2026,4,11)),ROW(Expenses!A$3:A$999)-2),3)),"")&lt;&gt;"",IFERROR(INDEX(Expenses!B$3:B$999,SMALL(IF((Expenses!E$3:E$999="GBP")*(Expenses!A$3:A$999=DATE(2026,4,11)),ROW(Expenses!A$3:A$999)-2),3)),""),IF(IFERROR(INDEX(Income!B$3:B$502,SMALL(IF((Income!D$3:D$502="GBP")*(Income!A$3:A$502=DATE(2026,4,11)),ROW(Income!A$3:A$502)-2),3)),"")&lt;&gt;"",IFERROR(INDEX(Income!B$3:B$502,SMALL(IF((Income!D$3:D$502="GBP")*(Income!A$3:A$502=DATE(2026,4,11)),ROW(Income!A$3:A$502)-2),3)),""),""))</f>
        <v/>
      </c>
      <c r="O76" s="152">
        <f t="array" ref="O76">IF(IFERROR(-INDEX(Expenses!D$3:D$999,SMALL(IF((Expenses!E$3:E$999="GBP")*(Expenses!A$3:A$999=DATE(2026,4,12)),ROW(Expenses!A$3:A$999)-2),3)),0)+IFERROR(INDEX(Income!C$3:C$502,SMALL(IF((Income!D$3:D$502="GBP")*(Income!A$3:A$502=DATE(2026,4,12)),ROW(Income!A$3:A$502)-2),3)),0)=0,"",IFERROR(-INDEX(Expenses!D$3:D$999,SMALL(IF((Expenses!E$3:E$999="GBP")*(Expenses!A$3:A$999=DATE(2026,4,12)),ROW(Expenses!A$3:A$999)-2),3)),0)+IFERROR(INDEX(Income!C$3:C$502,SMALL(IF((Income!D$3:D$502="GBP")*(Income!A$3:A$502=DATE(2026,4,12)),ROW(Income!A$3:A$502)-2),3)),0))</f>
        <v/>
      </c>
      <c r="P76" s="126">
        <f t="array" ref="P76">IF(IFERROR(INDEX(Expenses!B$3:B$999,SMALL(IF((Expenses!E$3:E$999="GBP")*(Expenses!A$3:A$999=DATE(2026,4,12)),ROW(Expenses!A$3:A$999)-2),3)),"")&lt;&gt;"",IFERROR(INDEX(Expenses!B$3:B$999,SMALL(IF((Expenses!E$3:E$999="GBP")*(Expenses!A$3:A$999=DATE(2026,4,12)),ROW(Expenses!A$3:A$999)-2),3)),""),IF(IFERROR(INDEX(Income!B$3:B$502,SMALL(IF((Income!D$3:D$502="GBP")*(Income!A$3:A$502=DATE(2026,4,12)),ROW(Income!A$3:A$502)-2),3)),"")&lt;&gt;"",IFERROR(INDEX(Income!B$3:B$502,SMALL(IF((Income!D$3:D$502="GBP")*(Income!A$3:A$502=DATE(2026,4,12)),ROW(Income!A$3:A$502)-2),3)),""),""))</f>
        <v/>
      </c>
      <c r="Q76" s="9" t="n"/>
      <c r="R76" s="9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68">
      <c r="A77" s="9" t="n"/>
      <c r="B77" s="9" t="n"/>
      <c r="C77" s="152">
        <f t="array" ref="C77">IF(IFERROR(-INDEX(Expenses!D$3:D$999,SMALL(IF((Expenses!E$3:E$999="GBP")*(Expenses!A$3:A$999=DATE(2026,4,6)),ROW(Expenses!A$3:A$999)-2),4)),0)+IFERROR(INDEX(Income!C$3:C$502,SMALL(IF((Income!D$3:D$502="GBP")*(Income!A$3:A$502=DATE(2026,4,6)),ROW(Income!A$3:A$502)-2),4)),0)=0,"",IFERROR(-INDEX(Expenses!D$3:D$999,SMALL(IF((Expenses!E$3:E$999="GBP")*(Expenses!A$3:A$999=DATE(2026,4,6)),ROW(Expenses!A$3:A$999)-2),4)),0)+IFERROR(INDEX(Income!C$3:C$502,SMALL(IF((Income!D$3:D$502="GBP")*(Income!A$3:A$502=DATE(2026,4,6)),ROW(Income!A$3:A$502)-2),4)),0))</f>
        <v/>
      </c>
      <c r="D77" s="126">
        <f t="array" ref="D77">IF(IFERROR(INDEX(Expenses!B$3:B$999,SMALL(IF((Expenses!E$3:E$999="GBP")*(Expenses!A$3:A$999=DATE(2026,4,6)),ROW(Expenses!A$3:A$999)-2),4)),"")&lt;&gt;"",IFERROR(INDEX(Expenses!B$3:B$999,SMALL(IF((Expenses!E$3:E$999="GBP")*(Expenses!A$3:A$999=DATE(2026,4,6)),ROW(Expenses!A$3:A$999)-2),4)),""),IF(IFERROR(INDEX(Income!B$3:B$502,SMALL(IF((Income!D$3:D$502="GBP")*(Income!A$3:A$502=DATE(2026,4,6)),ROW(Income!A$3:A$502)-2),4)),"")&lt;&gt;"",IFERROR(INDEX(Income!B$3:B$502,SMALL(IF((Income!D$3:D$502="GBP")*(Income!A$3:A$502=DATE(2026,4,6)),ROW(Income!A$3:A$502)-2),4)),""),""))</f>
        <v/>
      </c>
      <c r="E77" s="152">
        <f t="array" ref="E77">IF(IFERROR(-INDEX(Expenses!D$3:D$999,SMALL(IF((Expenses!E$3:E$999="GBP")*(Expenses!A$3:A$999=DATE(2026,4,7)),ROW(Expenses!A$3:A$999)-2),4)),0)+IFERROR(INDEX(Income!C$3:C$502,SMALL(IF((Income!D$3:D$502="GBP")*(Income!A$3:A$502=DATE(2026,4,7)),ROW(Income!A$3:A$502)-2),4)),0)=0,"",IFERROR(-INDEX(Expenses!D$3:D$999,SMALL(IF((Expenses!E$3:E$999="GBP")*(Expenses!A$3:A$999=DATE(2026,4,7)),ROW(Expenses!A$3:A$999)-2),4)),0)+IFERROR(INDEX(Income!C$3:C$502,SMALL(IF((Income!D$3:D$502="GBP")*(Income!A$3:A$502=DATE(2026,4,7)),ROW(Income!A$3:A$502)-2),4)),0))</f>
        <v/>
      </c>
      <c r="F77" s="126">
        <f t="array" ref="F77">IF(IFERROR(INDEX(Expenses!B$3:B$999,SMALL(IF((Expenses!E$3:E$999="GBP")*(Expenses!A$3:A$999=DATE(2026,4,7)),ROW(Expenses!A$3:A$999)-2),4)),"")&lt;&gt;"",IFERROR(INDEX(Expenses!B$3:B$999,SMALL(IF((Expenses!E$3:E$999="GBP")*(Expenses!A$3:A$999=DATE(2026,4,7)),ROW(Expenses!A$3:A$999)-2),4)),""),IF(IFERROR(INDEX(Income!B$3:B$502,SMALL(IF((Income!D$3:D$502="GBP")*(Income!A$3:A$502=DATE(2026,4,7)),ROW(Income!A$3:A$502)-2),4)),"")&lt;&gt;"",IFERROR(INDEX(Income!B$3:B$502,SMALL(IF((Income!D$3:D$502="GBP")*(Income!A$3:A$502=DATE(2026,4,7)),ROW(Income!A$3:A$502)-2),4)),""),""))</f>
        <v/>
      </c>
      <c r="G77" s="152">
        <f t="array" ref="G77">IF(IFERROR(-INDEX(Expenses!D$3:D$999,SMALL(IF((Expenses!E$3:E$999="GBP")*(Expenses!A$3:A$999=DATE(2026,4,8)),ROW(Expenses!A$3:A$999)-2),4)),0)+IFERROR(INDEX(Income!C$3:C$502,SMALL(IF((Income!D$3:D$502="GBP")*(Income!A$3:A$502=DATE(2026,4,8)),ROW(Income!A$3:A$502)-2),4)),0)=0,"",IFERROR(-INDEX(Expenses!D$3:D$999,SMALL(IF((Expenses!E$3:E$999="GBP")*(Expenses!A$3:A$999=DATE(2026,4,8)),ROW(Expenses!A$3:A$999)-2),4)),0)+IFERROR(INDEX(Income!C$3:C$502,SMALL(IF((Income!D$3:D$502="GBP")*(Income!A$3:A$502=DATE(2026,4,8)),ROW(Income!A$3:A$502)-2),4)),0))</f>
        <v/>
      </c>
      <c r="H77" s="126">
        <f t="array" ref="H77">IF(IFERROR(INDEX(Expenses!B$3:B$999,SMALL(IF((Expenses!E$3:E$999="GBP")*(Expenses!A$3:A$999=DATE(2026,4,8)),ROW(Expenses!A$3:A$999)-2),4)),"")&lt;&gt;"",IFERROR(INDEX(Expenses!B$3:B$999,SMALL(IF((Expenses!E$3:E$999="GBP")*(Expenses!A$3:A$999=DATE(2026,4,8)),ROW(Expenses!A$3:A$999)-2),4)),""),IF(IFERROR(INDEX(Income!B$3:B$502,SMALL(IF((Income!D$3:D$502="GBP")*(Income!A$3:A$502=DATE(2026,4,8)),ROW(Income!A$3:A$502)-2),4)),"")&lt;&gt;"",IFERROR(INDEX(Income!B$3:B$502,SMALL(IF((Income!D$3:D$502="GBP")*(Income!A$3:A$502=DATE(2026,4,8)),ROW(Income!A$3:A$502)-2),4)),""),""))</f>
        <v/>
      </c>
      <c r="I77" s="152">
        <f t="array" ref="I77">IF(IFERROR(-INDEX(Expenses!D$3:D$999,SMALL(IF((Expenses!E$3:E$999="GBP")*(Expenses!A$3:A$999=DATE(2026,4,9)),ROW(Expenses!A$3:A$999)-2),4)),0)+IFERROR(INDEX(Income!C$3:C$502,SMALL(IF((Income!D$3:D$502="GBP")*(Income!A$3:A$502=DATE(2026,4,9)),ROW(Income!A$3:A$502)-2),4)),0)=0,"",IFERROR(-INDEX(Expenses!D$3:D$999,SMALL(IF((Expenses!E$3:E$999="GBP")*(Expenses!A$3:A$999=DATE(2026,4,9)),ROW(Expenses!A$3:A$999)-2),4)),0)+IFERROR(INDEX(Income!C$3:C$502,SMALL(IF((Income!D$3:D$502="GBP")*(Income!A$3:A$502=DATE(2026,4,9)),ROW(Income!A$3:A$502)-2),4)),0))</f>
        <v/>
      </c>
      <c r="J77" s="126">
        <f t="array" ref="J77">IF(IFERROR(INDEX(Expenses!B$3:B$999,SMALL(IF((Expenses!E$3:E$999="GBP")*(Expenses!A$3:A$999=DATE(2026,4,9)),ROW(Expenses!A$3:A$999)-2),4)),"")&lt;&gt;"",IFERROR(INDEX(Expenses!B$3:B$999,SMALL(IF((Expenses!E$3:E$999="GBP")*(Expenses!A$3:A$999=DATE(2026,4,9)),ROW(Expenses!A$3:A$999)-2),4)),""),IF(IFERROR(INDEX(Income!B$3:B$502,SMALL(IF((Income!D$3:D$502="GBP")*(Income!A$3:A$502=DATE(2026,4,9)),ROW(Income!A$3:A$502)-2),4)),"")&lt;&gt;"",IFERROR(INDEX(Income!B$3:B$502,SMALL(IF((Income!D$3:D$502="GBP")*(Income!A$3:A$502=DATE(2026,4,9)),ROW(Income!A$3:A$502)-2),4)),""),""))</f>
        <v/>
      </c>
      <c r="K77" s="152">
        <f t="array" ref="K77">IF(IFERROR(-INDEX(Expenses!D$3:D$999,SMALL(IF((Expenses!E$3:E$999="GBP")*(Expenses!A$3:A$999=DATE(2026,4,10)),ROW(Expenses!A$3:A$999)-2),4)),0)+IFERROR(INDEX(Income!C$3:C$502,SMALL(IF((Income!D$3:D$502="GBP")*(Income!A$3:A$502=DATE(2026,4,10)),ROW(Income!A$3:A$502)-2),4)),0)=0,"",IFERROR(-INDEX(Expenses!D$3:D$999,SMALL(IF((Expenses!E$3:E$999="GBP")*(Expenses!A$3:A$999=DATE(2026,4,10)),ROW(Expenses!A$3:A$999)-2),4)),0)+IFERROR(INDEX(Income!C$3:C$502,SMALL(IF((Income!D$3:D$502="GBP")*(Income!A$3:A$502=DATE(2026,4,10)),ROW(Income!A$3:A$502)-2),4)),0))</f>
        <v/>
      </c>
      <c r="L77" s="126">
        <f t="array" ref="L77">IF(IFERROR(INDEX(Expenses!B$3:B$999,SMALL(IF((Expenses!E$3:E$999="GBP")*(Expenses!A$3:A$999=DATE(2026,4,10)),ROW(Expenses!A$3:A$999)-2),4)),"")&lt;&gt;"",IFERROR(INDEX(Expenses!B$3:B$999,SMALL(IF((Expenses!E$3:E$999="GBP")*(Expenses!A$3:A$999=DATE(2026,4,10)),ROW(Expenses!A$3:A$999)-2),4)),""),IF(IFERROR(INDEX(Income!B$3:B$502,SMALL(IF((Income!D$3:D$502="GBP")*(Income!A$3:A$502=DATE(2026,4,10)),ROW(Income!A$3:A$502)-2),4)),"")&lt;&gt;"",IFERROR(INDEX(Income!B$3:B$502,SMALL(IF((Income!D$3:D$502="GBP")*(Income!A$3:A$502=DATE(2026,4,10)),ROW(Income!A$3:A$502)-2),4)),""),""))</f>
        <v/>
      </c>
      <c r="M77" s="152">
        <f t="array" ref="M77">IF(IFERROR(-INDEX(Expenses!D$3:D$999,SMALL(IF((Expenses!E$3:E$999="GBP")*(Expenses!A$3:A$999=DATE(2026,4,11)),ROW(Expenses!A$3:A$999)-2),4)),0)+IFERROR(INDEX(Income!C$3:C$502,SMALL(IF((Income!D$3:D$502="GBP")*(Income!A$3:A$502=DATE(2026,4,11)),ROW(Income!A$3:A$502)-2),4)),0)=0,"",IFERROR(-INDEX(Expenses!D$3:D$999,SMALL(IF((Expenses!E$3:E$999="GBP")*(Expenses!A$3:A$999=DATE(2026,4,11)),ROW(Expenses!A$3:A$999)-2),4)),0)+IFERROR(INDEX(Income!C$3:C$502,SMALL(IF((Income!D$3:D$502="GBP")*(Income!A$3:A$502=DATE(2026,4,11)),ROW(Income!A$3:A$502)-2),4)),0))</f>
        <v/>
      </c>
      <c r="N77" s="126">
        <f t="array" ref="N77">IF(IFERROR(INDEX(Expenses!B$3:B$999,SMALL(IF((Expenses!E$3:E$999="GBP")*(Expenses!A$3:A$999=DATE(2026,4,11)),ROW(Expenses!A$3:A$999)-2),4)),"")&lt;&gt;"",IFERROR(INDEX(Expenses!B$3:B$999,SMALL(IF((Expenses!E$3:E$999="GBP")*(Expenses!A$3:A$999=DATE(2026,4,11)),ROW(Expenses!A$3:A$999)-2),4)),""),IF(IFERROR(INDEX(Income!B$3:B$502,SMALL(IF((Income!D$3:D$502="GBP")*(Income!A$3:A$502=DATE(2026,4,11)),ROW(Income!A$3:A$502)-2),4)),"")&lt;&gt;"",IFERROR(INDEX(Income!B$3:B$502,SMALL(IF((Income!D$3:D$502="GBP")*(Income!A$3:A$502=DATE(2026,4,11)),ROW(Income!A$3:A$502)-2),4)),""),""))</f>
        <v/>
      </c>
      <c r="O77" s="152">
        <f t="array" ref="O77">IF(IFERROR(-INDEX(Expenses!D$3:D$999,SMALL(IF((Expenses!E$3:E$999="GBP")*(Expenses!A$3:A$999=DATE(2026,4,12)),ROW(Expenses!A$3:A$999)-2),4)),0)+IFERROR(INDEX(Income!C$3:C$502,SMALL(IF((Income!D$3:D$502="GBP")*(Income!A$3:A$502=DATE(2026,4,12)),ROW(Income!A$3:A$502)-2),4)),0)=0,"",IFERROR(-INDEX(Expenses!D$3:D$999,SMALL(IF((Expenses!E$3:E$999="GBP")*(Expenses!A$3:A$999=DATE(2026,4,12)),ROW(Expenses!A$3:A$999)-2),4)),0)+IFERROR(INDEX(Income!C$3:C$502,SMALL(IF((Income!D$3:D$502="GBP")*(Income!A$3:A$502=DATE(2026,4,12)),ROW(Income!A$3:A$502)-2),4)),0))</f>
        <v/>
      </c>
      <c r="P77" s="126">
        <f t="array" ref="P77">IF(IFERROR(INDEX(Expenses!B$3:B$999,SMALL(IF((Expenses!E$3:E$999="GBP")*(Expenses!A$3:A$999=DATE(2026,4,12)),ROW(Expenses!A$3:A$999)-2),4)),"")&lt;&gt;"",IFERROR(INDEX(Expenses!B$3:B$999,SMALL(IF((Expenses!E$3:E$999="GBP")*(Expenses!A$3:A$999=DATE(2026,4,12)),ROW(Expenses!A$3:A$999)-2),4)),""),IF(IFERROR(INDEX(Income!B$3:B$502,SMALL(IF((Income!D$3:D$502="GBP")*(Income!A$3:A$502=DATE(2026,4,12)),ROW(Income!A$3:A$502)-2),4)),"")&lt;&gt;"",IFERROR(INDEX(Income!B$3:B$502,SMALL(IF((Income!D$3:D$502="GBP")*(Income!A$3:A$502=DATE(2026,4,12)),ROW(Income!A$3:A$502)-2),4)),""),""))</f>
        <v/>
      </c>
      <c r="Q77" s="9" t="n"/>
      <c r="R77" s="9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68">
      <c r="A78" s="9" t="n"/>
      <c r="B78" s="9" t="n"/>
      <c r="C78" s="152">
        <f t="array" ref="C78">IF(IFERROR(-INDEX(Expenses!D$3:D$999,SMALL(IF((Expenses!E$3:E$999="GBP")*(Expenses!A$3:A$999=DATE(2026,4,6)),ROW(Expenses!A$3:A$999)-2),5)),0)+IFERROR(INDEX(Income!C$3:C$502,SMALL(IF((Income!D$3:D$502="GBP")*(Income!A$3:A$502=DATE(2026,4,6)),ROW(Income!A$3:A$502)-2),5)),0)=0,"",IFERROR(-INDEX(Expenses!D$3:D$999,SMALL(IF((Expenses!E$3:E$999="GBP")*(Expenses!A$3:A$999=DATE(2026,4,6)),ROW(Expenses!A$3:A$999)-2),5)),0)+IFERROR(INDEX(Income!C$3:C$502,SMALL(IF((Income!D$3:D$502="GBP")*(Income!A$3:A$502=DATE(2026,4,6)),ROW(Income!A$3:A$502)-2),5)),0))</f>
        <v/>
      </c>
      <c r="D78" s="126">
        <f t="array" ref="D78">IF(IFERROR(INDEX(Expenses!B$3:B$999,SMALL(IF((Expenses!E$3:E$999="GBP")*(Expenses!A$3:A$999=DATE(2026,4,6)),ROW(Expenses!A$3:A$999)-2),5)),"")&lt;&gt;"",IFERROR(INDEX(Expenses!B$3:B$999,SMALL(IF((Expenses!E$3:E$999="GBP")*(Expenses!A$3:A$999=DATE(2026,4,6)),ROW(Expenses!A$3:A$999)-2),5)),""),IF(IFERROR(INDEX(Income!B$3:B$502,SMALL(IF((Income!D$3:D$502="GBP")*(Income!A$3:A$502=DATE(2026,4,6)),ROW(Income!A$3:A$502)-2),5)),"")&lt;&gt;"",IFERROR(INDEX(Income!B$3:B$502,SMALL(IF((Income!D$3:D$502="GBP")*(Income!A$3:A$502=DATE(2026,4,6)),ROW(Income!A$3:A$502)-2),5)),""),""))</f>
        <v/>
      </c>
      <c r="E78" s="152">
        <f t="array" ref="E78">IF(IFERROR(-INDEX(Expenses!D$3:D$999,SMALL(IF((Expenses!E$3:E$999="GBP")*(Expenses!A$3:A$999=DATE(2026,4,7)),ROW(Expenses!A$3:A$999)-2),5)),0)+IFERROR(INDEX(Income!C$3:C$502,SMALL(IF((Income!D$3:D$502="GBP")*(Income!A$3:A$502=DATE(2026,4,7)),ROW(Income!A$3:A$502)-2),5)),0)=0,"",IFERROR(-INDEX(Expenses!D$3:D$999,SMALL(IF((Expenses!E$3:E$999="GBP")*(Expenses!A$3:A$999=DATE(2026,4,7)),ROW(Expenses!A$3:A$999)-2),5)),0)+IFERROR(INDEX(Income!C$3:C$502,SMALL(IF((Income!D$3:D$502="GBP")*(Income!A$3:A$502=DATE(2026,4,7)),ROW(Income!A$3:A$502)-2),5)),0))</f>
        <v/>
      </c>
      <c r="F78" s="126">
        <f t="array" ref="F78">IF(IFERROR(INDEX(Expenses!B$3:B$999,SMALL(IF((Expenses!E$3:E$999="GBP")*(Expenses!A$3:A$999=DATE(2026,4,7)),ROW(Expenses!A$3:A$999)-2),5)),"")&lt;&gt;"",IFERROR(INDEX(Expenses!B$3:B$999,SMALL(IF((Expenses!E$3:E$999="GBP")*(Expenses!A$3:A$999=DATE(2026,4,7)),ROW(Expenses!A$3:A$999)-2),5)),""),IF(IFERROR(INDEX(Income!B$3:B$502,SMALL(IF((Income!D$3:D$502="GBP")*(Income!A$3:A$502=DATE(2026,4,7)),ROW(Income!A$3:A$502)-2),5)),"")&lt;&gt;"",IFERROR(INDEX(Income!B$3:B$502,SMALL(IF((Income!D$3:D$502="GBP")*(Income!A$3:A$502=DATE(2026,4,7)),ROW(Income!A$3:A$502)-2),5)),""),""))</f>
        <v/>
      </c>
      <c r="G78" s="152">
        <f t="array" ref="G78">IF(IFERROR(-INDEX(Expenses!D$3:D$999,SMALL(IF((Expenses!E$3:E$999="GBP")*(Expenses!A$3:A$999=DATE(2026,4,8)),ROW(Expenses!A$3:A$999)-2),5)),0)+IFERROR(INDEX(Income!C$3:C$502,SMALL(IF((Income!D$3:D$502="GBP")*(Income!A$3:A$502=DATE(2026,4,8)),ROW(Income!A$3:A$502)-2),5)),0)=0,"",IFERROR(-INDEX(Expenses!D$3:D$999,SMALL(IF((Expenses!E$3:E$999="GBP")*(Expenses!A$3:A$999=DATE(2026,4,8)),ROW(Expenses!A$3:A$999)-2),5)),0)+IFERROR(INDEX(Income!C$3:C$502,SMALL(IF((Income!D$3:D$502="GBP")*(Income!A$3:A$502=DATE(2026,4,8)),ROW(Income!A$3:A$502)-2),5)),0))</f>
        <v/>
      </c>
      <c r="H78" s="126">
        <f t="array" ref="H78">IF(IFERROR(INDEX(Expenses!B$3:B$999,SMALL(IF((Expenses!E$3:E$999="GBP")*(Expenses!A$3:A$999=DATE(2026,4,8)),ROW(Expenses!A$3:A$999)-2),5)),"")&lt;&gt;"",IFERROR(INDEX(Expenses!B$3:B$999,SMALL(IF((Expenses!E$3:E$999="GBP")*(Expenses!A$3:A$999=DATE(2026,4,8)),ROW(Expenses!A$3:A$999)-2),5)),""),IF(IFERROR(INDEX(Income!B$3:B$502,SMALL(IF((Income!D$3:D$502="GBP")*(Income!A$3:A$502=DATE(2026,4,8)),ROW(Income!A$3:A$502)-2),5)),"")&lt;&gt;"",IFERROR(INDEX(Income!B$3:B$502,SMALL(IF((Income!D$3:D$502="GBP")*(Income!A$3:A$502=DATE(2026,4,8)),ROW(Income!A$3:A$502)-2),5)),""),""))</f>
        <v/>
      </c>
      <c r="I78" s="152">
        <f t="array" ref="I78">IF(IFERROR(-INDEX(Expenses!D$3:D$999,SMALL(IF((Expenses!E$3:E$999="GBP")*(Expenses!A$3:A$999=DATE(2026,4,9)),ROW(Expenses!A$3:A$999)-2),5)),0)+IFERROR(INDEX(Income!C$3:C$502,SMALL(IF((Income!D$3:D$502="GBP")*(Income!A$3:A$502=DATE(2026,4,9)),ROW(Income!A$3:A$502)-2),5)),0)=0,"",IFERROR(-INDEX(Expenses!D$3:D$999,SMALL(IF((Expenses!E$3:E$999="GBP")*(Expenses!A$3:A$999=DATE(2026,4,9)),ROW(Expenses!A$3:A$999)-2),5)),0)+IFERROR(INDEX(Income!C$3:C$502,SMALL(IF((Income!D$3:D$502="GBP")*(Income!A$3:A$502=DATE(2026,4,9)),ROW(Income!A$3:A$502)-2),5)),0))</f>
        <v/>
      </c>
      <c r="J78" s="126">
        <f t="array" ref="J78">IF(IFERROR(INDEX(Expenses!B$3:B$999,SMALL(IF((Expenses!E$3:E$999="GBP")*(Expenses!A$3:A$999=DATE(2026,4,9)),ROW(Expenses!A$3:A$999)-2),5)),"")&lt;&gt;"",IFERROR(INDEX(Expenses!B$3:B$999,SMALL(IF((Expenses!E$3:E$999="GBP")*(Expenses!A$3:A$999=DATE(2026,4,9)),ROW(Expenses!A$3:A$999)-2),5)),""),IF(IFERROR(INDEX(Income!B$3:B$502,SMALL(IF((Income!D$3:D$502="GBP")*(Income!A$3:A$502=DATE(2026,4,9)),ROW(Income!A$3:A$502)-2),5)),"")&lt;&gt;"",IFERROR(INDEX(Income!B$3:B$502,SMALL(IF((Income!D$3:D$502="GBP")*(Income!A$3:A$502=DATE(2026,4,9)),ROW(Income!A$3:A$502)-2),5)),""),""))</f>
        <v/>
      </c>
      <c r="K78" s="152">
        <f t="array" ref="K78">IF(IFERROR(-INDEX(Expenses!D$3:D$999,SMALL(IF((Expenses!E$3:E$999="GBP")*(Expenses!A$3:A$999=DATE(2026,4,10)),ROW(Expenses!A$3:A$999)-2),5)),0)+IFERROR(INDEX(Income!C$3:C$502,SMALL(IF((Income!D$3:D$502="GBP")*(Income!A$3:A$502=DATE(2026,4,10)),ROW(Income!A$3:A$502)-2),5)),0)=0,"",IFERROR(-INDEX(Expenses!D$3:D$999,SMALL(IF((Expenses!E$3:E$999="GBP")*(Expenses!A$3:A$999=DATE(2026,4,10)),ROW(Expenses!A$3:A$999)-2),5)),0)+IFERROR(INDEX(Income!C$3:C$502,SMALL(IF((Income!D$3:D$502="GBP")*(Income!A$3:A$502=DATE(2026,4,10)),ROW(Income!A$3:A$502)-2),5)),0))</f>
        <v/>
      </c>
      <c r="L78" s="126">
        <f t="array" ref="L78">IF(IFERROR(INDEX(Expenses!B$3:B$999,SMALL(IF((Expenses!E$3:E$999="GBP")*(Expenses!A$3:A$999=DATE(2026,4,10)),ROW(Expenses!A$3:A$999)-2),5)),"")&lt;&gt;"",IFERROR(INDEX(Expenses!B$3:B$999,SMALL(IF((Expenses!E$3:E$999="GBP")*(Expenses!A$3:A$999=DATE(2026,4,10)),ROW(Expenses!A$3:A$999)-2),5)),""),IF(IFERROR(INDEX(Income!B$3:B$502,SMALL(IF((Income!D$3:D$502="GBP")*(Income!A$3:A$502=DATE(2026,4,10)),ROW(Income!A$3:A$502)-2),5)),"")&lt;&gt;"",IFERROR(INDEX(Income!B$3:B$502,SMALL(IF((Income!D$3:D$502="GBP")*(Income!A$3:A$502=DATE(2026,4,10)),ROW(Income!A$3:A$502)-2),5)),""),""))</f>
        <v/>
      </c>
      <c r="M78" s="152">
        <f t="array" ref="M78">IF(IFERROR(-INDEX(Expenses!D$3:D$999,SMALL(IF((Expenses!E$3:E$999="GBP")*(Expenses!A$3:A$999=DATE(2026,4,11)),ROW(Expenses!A$3:A$999)-2),5)),0)+IFERROR(INDEX(Income!C$3:C$502,SMALL(IF((Income!D$3:D$502="GBP")*(Income!A$3:A$502=DATE(2026,4,11)),ROW(Income!A$3:A$502)-2),5)),0)=0,"",IFERROR(-INDEX(Expenses!D$3:D$999,SMALL(IF((Expenses!E$3:E$999="GBP")*(Expenses!A$3:A$999=DATE(2026,4,11)),ROW(Expenses!A$3:A$999)-2),5)),0)+IFERROR(INDEX(Income!C$3:C$502,SMALL(IF((Income!D$3:D$502="GBP")*(Income!A$3:A$502=DATE(2026,4,11)),ROW(Income!A$3:A$502)-2),5)),0))</f>
        <v/>
      </c>
      <c r="N78" s="126">
        <f t="array" ref="N78">IF(IFERROR(INDEX(Expenses!B$3:B$999,SMALL(IF((Expenses!E$3:E$999="GBP")*(Expenses!A$3:A$999=DATE(2026,4,11)),ROW(Expenses!A$3:A$999)-2),5)),"")&lt;&gt;"",IFERROR(INDEX(Expenses!B$3:B$999,SMALL(IF((Expenses!E$3:E$999="GBP")*(Expenses!A$3:A$999=DATE(2026,4,11)),ROW(Expenses!A$3:A$999)-2),5)),""),IF(IFERROR(INDEX(Income!B$3:B$502,SMALL(IF((Income!D$3:D$502="GBP")*(Income!A$3:A$502=DATE(2026,4,11)),ROW(Income!A$3:A$502)-2),5)),"")&lt;&gt;"",IFERROR(INDEX(Income!B$3:B$502,SMALL(IF((Income!D$3:D$502="GBP")*(Income!A$3:A$502=DATE(2026,4,11)),ROW(Income!A$3:A$502)-2),5)),""),""))</f>
        <v/>
      </c>
      <c r="O78" s="152">
        <f t="array" ref="O78">IF(IFERROR(-INDEX(Expenses!D$3:D$999,SMALL(IF((Expenses!E$3:E$999="GBP")*(Expenses!A$3:A$999=DATE(2026,4,12)),ROW(Expenses!A$3:A$999)-2),5)),0)+IFERROR(INDEX(Income!C$3:C$502,SMALL(IF((Income!D$3:D$502="GBP")*(Income!A$3:A$502=DATE(2026,4,12)),ROW(Income!A$3:A$502)-2),5)),0)=0,"",IFERROR(-INDEX(Expenses!D$3:D$999,SMALL(IF((Expenses!E$3:E$999="GBP")*(Expenses!A$3:A$999=DATE(2026,4,12)),ROW(Expenses!A$3:A$999)-2),5)),0)+IFERROR(INDEX(Income!C$3:C$502,SMALL(IF((Income!D$3:D$502="GBP")*(Income!A$3:A$502=DATE(2026,4,12)),ROW(Income!A$3:A$502)-2),5)),0))</f>
        <v/>
      </c>
      <c r="P78" s="126">
        <f t="array" ref="P78">IF(IFERROR(INDEX(Expenses!B$3:B$999,SMALL(IF((Expenses!E$3:E$999="GBP")*(Expenses!A$3:A$999=DATE(2026,4,12)),ROW(Expenses!A$3:A$999)-2),5)),"")&lt;&gt;"",IFERROR(INDEX(Expenses!B$3:B$999,SMALL(IF((Expenses!E$3:E$999="GBP")*(Expenses!A$3:A$999=DATE(2026,4,12)),ROW(Expenses!A$3:A$999)-2),5)),""),IF(IFERROR(INDEX(Income!B$3:B$502,SMALL(IF((Income!D$3:D$502="GBP")*(Income!A$3:A$502=DATE(2026,4,12)),ROW(Income!A$3:A$502)-2),5)),"")&lt;&gt;"",IFERROR(INDEX(Income!B$3:B$502,SMALL(IF((Income!D$3:D$502="GBP")*(Income!A$3:A$502=DATE(2026,4,12)),ROW(Income!A$3:A$502)-2),5)),""),""))</f>
        <v/>
      </c>
      <c r="Q78" s="9" t="n"/>
      <c r="R78" s="9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68">
      <c r="A79" s="151" t="n">
        <v>46125</v>
      </c>
      <c r="B79" s="103" t="n">
        <v>16</v>
      </c>
      <c r="C79" s="152">
        <f t="array" ref="C79">IF(IFERROR(-INDEX(Expenses!D$3:D$999,SMALL(IF((Expenses!E$3:E$999="GBP")*(Expenses!A$3:A$999=DATE(2026,4,13)),ROW(Expenses!A$3:A$999)-2),1)),0)+IFERROR(INDEX(Income!C$3:C$502,SMALL(IF((Income!D$3:D$502="GBP")*(Income!A$3:A$502=DATE(2026,4,13)),ROW(Income!A$3:A$502)-2),1)),0)=0,"",IFERROR(-INDEX(Expenses!D$3:D$999,SMALL(IF((Expenses!E$3:E$999="GBP")*(Expenses!A$3:A$999=DATE(2026,4,13)),ROW(Expenses!A$3:A$999)-2),1)),0)+IFERROR(INDEX(Income!C$3:C$502,SMALL(IF((Income!D$3:D$502="GBP")*(Income!A$3:A$502=DATE(2026,4,13)),ROW(Income!A$3:A$502)-2),1)),0))</f>
        <v/>
      </c>
      <c r="D79" s="126">
        <f t="array" ref="D79">IF(IFERROR(INDEX(Expenses!B$3:B$999,SMALL(IF((Expenses!E$3:E$999="GBP")*(Expenses!A$3:A$999=DATE(2026,4,13)),ROW(Expenses!A$3:A$999)-2),1)),"")&lt;&gt;"",IFERROR(INDEX(Expenses!B$3:B$999,SMALL(IF((Expenses!E$3:E$999="GBP")*(Expenses!A$3:A$999=DATE(2026,4,13)),ROW(Expenses!A$3:A$999)-2),1)),""),IF(IFERROR(INDEX(Income!B$3:B$502,SMALL(IF((Income!D$3:D$502="GBP")*(Income!A$3:A$502=DATE(2026,4,13)),ROW(Income!A$3:A$502)-2),1)),"")&lt;&gt;"",IFERROR(INDEX(Income!B$3:B$502,SMALL(IF((Income!D$3:D$502="GBP")*(Income!A$3:A$502=DATE(2026,4,13)),ROW(Income!A$3:A$502)-2),1)),""),""))</f>
        <v/>
      </c>
      <c r="E79" s="152" t="n">
        <v>-27.99</v>
      </c>
      <c r="F79" s="126">
        <f t="array" ref="F79">IF(IFERROR(INDEX(Expenses!B$3:B$999,SMALL(IF((Expenses!E$3:E$999="GBP")*(Expenses!A$3:A$999=DATE(2026,4,14)),ROW(Expenses!A$3:A$999)-2),1)),"")&lt;&gt;"",IFERROR(INDEX(Expenses!B$3:B$999,SMALL(IF((Expenses!E$3:E$999="GBP")*(Expenses!A$3:A$999=DATE(2026,4,14)),ROW(Expenses!A$3:A$999)-2),1)),""),IF(IFERROR(INDEX(Income!B$3:B$502,SMALL(IF((Income!D$3:D$502="GBP")*(Income!A$3:A$502=DATE(2026,4,14)),ROW(Income!A$3:A$502)-2),1)),"")&lt;&gt;"",IFERROR(INDEX(Income!B$3:B$502,SMALL(IF((Income!D$3:D$502="GBP")*(Income!A$3:A$502=DATE(2026,4,14)),ROW(Income!A$3:A$502)-2),1)),""),""))</f>
        <v/>
      </c>
      <c r="G79" s="152" t="n">
        <v>-6</v>
      </c>
      <c r="H79" s="126">
        <f t="array" ref="H79">IF(IFERROR(INDEX(Expenses!B$3:B$999,SMALL(IF((Expenses!E$3:E$999="GBP")*(Expenses!A$3:A$999=DATE(2026,4,15)),ROW(Expenses!A$3:A$999)-2),1)),"")&lt;&gt;"",IFERROR(INDEX(Expenses!B$3:B$999,SMALL(IF((Expenses!E$3:E$999="GBP")*(Expenses!A$3:A$999=DATE(2026,4,15)),ROW(Expenses!A$3:A$999)-2),1)),""),IF(IFERROR(INDEX(Income!B$3:B$502,SMALL(IF((Income!D$3:D$502="GBP")*(Income!A$3:A$502=DATE(2026,4,15)),ROW(Income!A$3:A$502)-2),1)),"")&lt;&gt;"",IFERROR(INDEX(Income!B$3:B$502,SMALL(IF((Income!D$3:D$502="GBP")*(Income!A$3:A$502=DATE(2026,4,15)),ROW(Income!A$3:A$502)-2),1)),""),""))</f>
        <v/>
      </c>
      <c r="I79" s="152" t="inlineStr">
        <is>
          <t>-</t>
        </is>
      </c>
      <c r="J79" s="126">
        <f t="array" ref="J79">IF(IFERROR(INDEX(Expenses!B$3:B$999,SMALL(IF((Expenses!E$3:E$999="GBP")*(Expenses!A$3:A$999=DATE(2026,4,16)),ROW(Expenses!A$3:A$999)-2),1)),"")&lt;&gt;"",IFERROR(INDEX(Expenses!B$3:B$999,SMALL(IF((Expenses!E$3:E$999="GBP")*(Expenses!A$3:A$999=DATE(2026,4,16)),ROW(Expenses!A$3:A$999)-2),1)),""),IF(IFERROR(INDEX(Income!B$3:B$502,SMALL(IF((Income!D$3:D$502="GBP")*(Income!A$3:A$502=DATE(2026,4,16)),ROW(Income!A$3:A$502)-2),1)),"")&lt;&gt;"",IFERROR(INDEX(Income!B$3:B$502,SMALL(IF((Income!D$3:D$502="GBP")*(Income!A$3:A$502=DATE(2026,4,16)),ROW(Income!A$3:A$502)-2),1)),""),""))</f>
        <v/>
      </c>
      <c r="K79" s="152">
        <f t="array" ref="K79">IF(IFERROR(-INDEX(Expenses!D$3:D$999,SMALL(IF((Expenses!E$3:E$999="GBP")*(Expenses!A$3:A$999=DATE(2026,4,17)),ROW(Expenses!A$3:A$999)-2),1)),0)+IFERROR(INDEX(Income!C$3:C$502,SMALL(IF((Income!D$3:D$502="GBP")*(Income!A$3:A$502=DATE(2026,4,17)),ROW(Income!A$3:A$502)-2),1)),0)=0,"",IFERROR(-INDEX(Expenses!D$3:D$999,SMALL(IF((Expenses!E$3:E$999="GBP")*(Expenses!A$3:A$999=DATE(2026,4,17)),ROW(Expenses!A$3:A$999)-2),1)),0)+IFERROR(INDEX(Income!C$3:C$502,SMALL(IF((Income!D$3:D$502="GBP")*(Income!A$3:A$502=DATE(2026,4,17)),ROW(Income!A$3:A$502)-2),1)),0))</f>
        <v/>
      </c>
      <c r="L79" s="126">
        <f t="array" ref="L79">IF(IFERROR(INDEX(Expenses!B$3:B$999,SMALL(IF((Expenses!E$3:E$999="GBP")*(Expenses!A$3:A$999=DATE(2026,4,17)),ROW(Expenses!A$3:A$999)-2),1)),"")&lt;&gt;"",IFERROR(INDEX(Expenses!B$3:B$999,SMALL(IF((Expenses!E$3:E$999="GBP")*(Expenses!A$3:A$999=DATE(2026,4,17)),ROW(Expenses!A$3:A$999)-2),1)),""),IF(IFERROR(INDEX(Income!B$3:B$502,SMALL(IF((Income!D$3:D$502="GBP")*(Income!A$3:A$502=DATE(2026,4,17)),ROW(Income!A$3:A$502)-2),1)),"")&lt;&gt;"",IFERROR(INDEX(Income!B$3:B$502,SMALL(IF((Income!D$3:D$502="GBP")*(Income!A$3:A$502=DATE(2026,4,17)),ROW(Income!A$3:A$502)-2),1)),""),""))</f>
        <v/>
      </c>
      <c r="M79" s="152">
        <f t="array" ref="M79">IF(IFERROR(-INDEX(Expenses!D$3:D$999,SMALL(IF((Expenses!E$3:E$999="GBP")*(Expenses!A$3:A$999=DATE(2026,4,18)),ROW(Expenses!A$3:A$999)-2),1)),0)+IFERROR(INDEX(Income!C$3:C$502,SMALL(IF((Income!D$3:D$502="GBP")*(Income!A$3:A$502=DATE(2026,4,18)),ROW(Income!A$3:A$502)-2),1)),0)=0,"",IFERROR(-INDEX(Expenses!D$3:D$999,SMALL(IF((Expenses!E$3:E$999="GBP")*(Expenses!A$3:A$999=DATE(2026,4,18)),ROW(Expenses!A$3:A$999)-2),1)),0)+IFERROR(INDEX(Income!C$3:C$502,SMALL(IF((Income!D$3:D$502="GBP")*(Income!A$3:A$502=DATE(2026,4,18)),ROW(Income!A$3:A$502)-2),1)),0))</f>
        <v/>
      </c>
      <c r="N79" s="126">
        <f t="array" ref="N79">IF(IFERROR(INDEX(Expenses!B$3:B$999,SMALL(IF((Expenses!E$3:E$999="GBP")*(Expenses!A$3:A$999=DATE(2026,4,18)),ROW(Expenses!A$3:A$999)-2),1)),"")&lt;&gt;"",IFERROR(INDEX(Expenses!B$3:B$999,SMALL(IF((Expenses!E$3:E$999="GBP")*(Expenses!A$3:A$999=DATE(2026,4,18)),ROW(Expenses!A$3:A$999)-2),1)),""),IF(IFERROR(INDEX(Income!B$3:B$502,SMALL(IF((Income!D$3:D$502="GBP")*(Income!A$3:A$502=DATE(2026,4,18)),ROW(Income!A$3:A$502)-2),1)),"")&lt;&gt;"",IFERROR(INDEX(Income!B$3:B$502,SMALL(IF((Income!D$3:D$502="GBP")*(Income!A$3:A$502=DATE(2026,4,18)),ROW(Income!A$3:A$502)-2),1)),""),""))</f>
        <v/>
      </c>
      <c r="O79" s="152">
        <f t="array" ref="O79">IF(IFERROR(-INDEX(Expenses!D$3:D$999,SMALL(IF((Expenses!E$3:E$999="GBP")*(Expenses!A$3:A$999=DATE(2026,4,19)),ROW(Expenses!A$3:A$999)-2),1)),0)+IFERROR(INDEX(Income!C$3:C$502,SMALL(IF((Income!D$3:D$502="GBP")*(Income!A$3:A$502=DATE(2026,4,19)),ROW(Income!A$3:A$502)-2),1)),0)=0,"",IFERROR(-INDEX(Expenses!D$3:D$999,SMALL(IF((Expenses!E$3:E$999="GBP")*(Expenses!A$3:A$999=DATE(2026,4,19)),ROW(Expenses!A$3:A$999)-2),1)),0)+IFERROR(INDEX(Income!C$3:C$502,SMALL(IF((Income!D$3:D$502="GBP")*(Income!A$3:A$502=DATE(2026,4,19)),ROW(Income!A$3:A$502)-2),1)),0))</f>
        <v/>
      </c>
      <c r="P79" s="126">
        <f t="array" ref="P79">IF(IFERROR(INDEX(Expenses!B$3:B$999,SMALL(IF((Expenses!E$3:E$999="GBP")*(Expenses!A$3:A$999=DATE(2026,4,19)),ROW(Expenses!A$3:A$999)-2),1)),"")&lt;&gt;"",IFERROR(INDEX(Expenses!B$3:B$999,SMALL(IF((Expenses!E$3:E$999="GBP")*(Expenses!A$3:A$999=DATE(2026,4,19)),ROW(Expenses!A$3:A$999)-2),1)),""),IF(IFERROR(INDEX(Income!B$3:B$502,SMALL(IF((Income!D$3:D$502="GBP")*(Income!A$3:A$502=DATE(2026,4,19)),ROW(Income!A$3:A$502)-2),1)),"")&lt;&gt;"",IFERROR(INDEX(Income!B$3:B$502,SMALL(IF((Income!D$3:D$502="GBP")*(Income!A$3:A$502=DATE(2026,4,19)),ROW(Income!A$3:A$502)-2),1)),""),""))</f>
        <v/>
      </c>
      <c r="Q79" s="103" t="n">
        <v>16</v>
      </c>
      <c r="R79" s="134">
        <f>SUM(C79:C83)+SUM(E79:E83)+SUM(G79:G83)+SUM(I79:I83)+SUM(K79:K83)+SUM(M79:M83)+SUM(O79:O83)</f>
        <v/>
      </c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68">
      <c r="A80" s="9" t="n"/>
      <c r="B80" s="9" t="n"/>
      <c r="C80" s="152">
        <f t="array" ref="C80">IF(IFERROR(-INDEX(Expenses!D$3:D$999,SMALL(IF((Expenses!E$3:E$999="GBP")*(Expenses!A$3:A$999=DATE(2026,4,13)),ROW(Expenses!A$3:A$999)-2),2)),0)+IFERROR(INDEX(Income!C$3:C$502,SMALL(IF((Income!D$3:D$502="GBP")*(Income!A$3:A$502=DATE(2026,4,13)),ROW(Income!A$3:A$502)-2),2)),0)=0,"",IFERROR(-INDEX(Expenses!D$3:D$999,SMALL(IF((Expenses!E$3:E$999="GBP")*(Expenses!A$3:A$999=DATE(2026,4,13)),ROW(Expenses!A$3:A$999)-2),2)),0)+IFERROR(INDEX(Income!C$3:C$502,SMALL(IF((Income!D$3:D$502="GBP")*(Income!A$3:A$502=DATE(2026,4,13)),ROW(Income!A$3:A$502)-2),2)),0))</f>
        <v/>
      </c>
      <c r="D80" s="126">
        <f t="array" ref="D80">IF(IFERROR(INDEX(Expenses!B$3:B$999,SMALL(IF((Expenses!E$3:E$999="GBP")*(Expenses!A$3:A$999=DATE(2026,4,13)),ROW(Expenses!A$3:A$999)-2),2)),"")&lt;&gt;"",IFERROR(INDEX(Expenses!B$3:B$999,SMALL(IF((Expenses!E$3:E$999="GBP")*(Expenses!A$3:A$999=DATE(2026,4,13)),ROW(Expenses!A$3:A$999)-2),2)),""),IF(IFERROR(INDEX(Income!B$3:B$502,SMALL(IF((Income!D$3:D$502="GBP")*(Income!A$3:A$502=DATE(2026,4,13)),ROW(Income!A$3:A$502)-2),2)),"")&lt;&gt;"",IFERROR(INDEX(Income!B$3:B$502,SMALL(IF((Income!D$3:D$502="GBP")*(Income!A$3:A$502=DATE(2026,4,13)),ROW(Income!A$3:A$502)-2),2)),""),""))</f>
        <v/>
      </c>
      <c r="E80" s="152">
        <f t="array" ref="E80">IF(IFERROR(-INDEX(Expenses!D$3:D$999,SMALL(IF((Expenses!E$3:E$999="GBP")*(Expenses!A$3:A$999=DATE(2026,4,14)),ROW(Expenses!A$3:A$999)-2),2)),0)+IFERROR(INDEX(Income!C$3:C$502,SMALL(IF((Income!D$3:D$502="GBP")*(Income!A$3:A$502=DATE(2026,4,14)),ROW(Income!A$3:A$502)-2),2)),0)=0,"",IFERROR(-INDEX(Expenses!D$3:D$999,SMALL(IF((Expenses!E$3:E$999="GBP")*(Expenses!A$3:A$999=DATE(2026,4,14)),ROW(Expenses!A$3:A$999)-2),2)),0)+IFERROR(INDEX(Income!C$3:C$502,SMALL(IF((Income!D$3:D$502="GBP")*(Income!A$3:A$502=DATE(2026,4,14)),ROW(Income!A$3:A$502)-2),2)),0))</f>
        <v/>
      </c>
      <c r="F80" s="126">
        <f t="array" ref="F80">IF(IFERROR(INDEX(Expenses!B$3:B$999,SMALL(IF((Expenses!E$3:E$999="GBP")*(Expenses!A$3:A$999=DATE(2026,4,14)),ROW(Expenses!A$3:A$999)-2),2)),"")&lt;&gt;"",IFERROR(INDEX(Expenses!B$3:B$999,SMALL(IF((Expenses!E$3:E$999="GBP")*(Expenses!A$3:A$999=DATE(2026,4,14)),ROW(Expenses!A$3:A$999)-2),2)),""),IF(IFERROR(INDEX(Income!B$3:B$502,SMALL(IF((Income!D$3:D$502="GBP")*(Income!A$3:A$502=DATE(2026,4,14)),ROW(Income!A$3:A$502)-2),2)),"")&lt;&gt;"",IFERROR(INDEX(Income!B$3:B$502,SMALL(IF((Income!D$3:D$502="GBP")*(Income!A$3:A$502=DATE(2026,4,14)),ROW(Income!A$3:A$502)-2),2)),""),""))</f>
        <v/>
      </c>
      <c r="G80" s="152">
        <f t="array" ref="G80">IF(IFERROR(-INDEX(Expenses!D$3:D$999,SMALL(IF((Expenses!E$3:E$999="GBP")*(Expenses!A$3:A$999=DATE(2026,4,15)),ROW(Expenses!A$3:A$999)-2),2)),0)+IFERROR(INDEX(Income!C$3:C$502,SMALL(IF((Income!D$3:D$502="GBP")*(Income!A$3:A$502=DATE(2026,4,15)),ROW(Income!A$3:A$502)-2),2)),0)=0,"",IFERROR(-INDEX(Expenses!D$3:D$999,SMALL(IF((Expenses!E$3:E$999="GBP")*(Expenses!A$3:A$999=DATE(2026,4,15)),ROW(Expenses!A$3:A$999)-2),2)),0)+IFERROR(INDEX(Income!C$3:C$502,SMALL(IF((Income!D$3:D$502="GBP")*(Income!A$3:A$502=DATE(2026,4,15)),ROW(Income!A$3:A$502)-2),2)),0))</f>
        <v/>
      </c>
      <c r="H80" s="126">
        <f t="array" ref="H80">IF(IFERROR(INDEX(Expenses!B$3:B$999,SMALL(IF((Expenses!E$3:E$999="GBP")*(Expenses!A$3:A$999=DATE(2026,4,15)),ROW(Expenses!A$3:A$999)-2),2)),"")&lt;&gt;"",IFERROR(INDEX(Expenses!B$3:B$999,SMALL(IF((Expenses!E$3:E$999="GBP")*(Expenses!A$3:A$999=DATE(2026,4,15)),ROW(Expenses!A$3:A$999)-2),2)),""),IF(IFERROR(INDEX(Income!B$3:B$502,SMALL(IF((Income!D$3:D$502="GBP")*(Income!A$3:A$502=DATE(2026,4,15)),ROW(Income!A$3:A$502)-2),2)),"")&lt;&gt;"",IFERROR(INDEX(Income!B$3:B$502,SMALL(IF((Income!D$3:D$502="GBP")*(Income!A$3:A$502=DATE(2026,4,15)),ROW(Income!A$3:A$502)-2),2)),""),""))</f>
        <v/>
      </c>
      <c r="I80" s="152">
        <f t="array" ref="I80">IF(IFERROR(-INDEX(Expenses!D$3:D$999,SMALL(IF((Expenses!E$3:E$999="GBP")*(Expenses!A$3:A$999=DATE(2026,4,16)),ROW(Expenses!A$3:A$999)-2),2)),0)+IFERROR(INDEX(Income!C$3:C$502,SMALL(IF((Income!D$3:D$502="GBP")*(Income!A$3:A$502=DATE(2026,4,16)),ROW(Income!A$3:A$502)-2),2)),0)=0,"",IFERROR(-INDEX(Expenses!D$3:D$999,SMALL(IF((Expenses!E$3:E$999="GBP")*(Expenses!A$3:A$999=DATE(2026,4,16)),ROW(Expenses!A$3:A$999)-2),2)),0)+IFERROR(INDEX(Income!C$3:C$502,SMALL(IF((Income!D$3:D$502="GBP")*(Income!A$3:A$502=DATE(2026,4,16)),ROW(Income!A$3:A$502)-2),2)),0))</f>
        <v/>
      </c>
      <c r="J80" s="126">
        <f t="array" ref="J80">IF(IFERROR(INDEX(Expenses!B$3:B$999,SMALL(IF((Expenses!E$3:E$999="GBP")*(Expenses!A$3:A$999=DATE(2026,4,16)),ROW(Expenses!A$3:A$999)-2),2)),"")&lt;&gt;"",IFERROR(INDEX(Expenses!B$3:B$999,SMALL(IF((Expenses!E$3:E$999="GBP")*(Expenses!A$3:A$999=DATE(2026,4,16)),ROW(Expenses!A$3:A$999)-2),2)),""),IF(IFERROR(INDEX(Income!B$3:B$502,SMALL(IF((Income!D$3:D$502="GBP")*(Income!A$3:A$502=DATE(2026,4,16)),ROW(Income!A$3:A$502)-2),2)),"")&lt;&gt;"",IFERROR(INDEX(Income!B$3:B$502,SMALL(IF((Income!D$3:D$502="GBP")*(Income!A$3:A$502=DATE(2026,4,16)),ROW(Income!A$3:A$502)-2),2)),""),""))</f>
        <v/>
      </c>
      <c r="K80" s="152">
        <f t="array" ref="K80">IF(IFERROR(-INDEX(Expenses!D$3:D$999,SMALL(IF((Expenses!E$3:E$999="GBP")*(Expenses!A$3:A$999=DATE(2026,4,17)),ROW(Expenses!A$3:A$999)-2),2)),0)+IFERROR(INDEX(Income!C$3:C$502,SMALL(IF((Income!D$3:D$502="GBP")*(Income!A$3:A$502=DATE(2026,4,17)),ROW(Income!A$3:A$502)-2),2)),0)=0,"",IFERROR(-INDEX(Expenses!D$3:D$999,SMALL(IF((Expenses!E$3:E$999="GBP")*(Expenses!A$3:A$999=DATE(2026,4,17)),ROW(Expenses!A$3:A$999)-2),2)),0)+IFERROR(INDEX(Income!C$3:C$502,SMALL(IF((Income!D$3:D$502="GBP")*(Income!A$3:A$502=DATE(2026,4,17)),ROW(Income!A$3:A$502)-2),2)),0))</f>
        <v/>
      </c>
      <c r="L80" s="126">
        <f t="array" ref="L80">IF(IFERROR(INDEX(Expenses!B$3:B$999,SMALL(IF((Expenses!E$3:E$999="GBP")*(Expenses!A$3:A$999=DATE(2026,4,17)),ROW(Expenses!A$3:A$999)-2),2)),"")&lt;&gt;"",IFERROR(INDEX(Expenses!B$3:B$999,SMALL(IF((Expenses!E$3:E$999="GBP")*(Expenses!A$3:A$999=DATE(2026,4,17)),ROW(Expenses!A$3:A$999)-2),2)),""),IF(IFERROR(INDEX(Income!B$3:B$502,SMALL(IF((Income!D$3:D$502="GBP")*(Income!A$3:A$502=DATE(2026,4,17)),ROW(Income!A$3:A$502)-2),2)),"")&lt;&gt;"",IFERROR(INDEX(Income!B$3:B$502,SMALL(IF((Income!D$3:D$502="GBP")*(Income!A$3:A$502=DATE(2026,4,17)),ROW(Income!A$3:A$502)-2),2)),""),""))</f>
        <v/>
      </c>
      <c r="M80" s="152">
        <f t="array" ref="M80">IF(IFERROR(-INDEX(Expenses!D$3:D$999,SMALL(IF((Expenses!E$3:E$999="GBP")*(Expenses!A$3:A$999=DATE(2026,4,18)),ROW(Expenses!A$3:A$999)-2),2)),0)+IFERROR(INDEX(Income!C$3:C$502,SMALL(IF((Income!D$3:D$502="GBP")*(Income!A$3:A$502=DATE(2026,4,18)),ROW(Income!A$3:A$502)-2),2)),0)=0,"",IFERROR(-INDEX(Expenses!D$3:D$999,SMALL(IF((Expenses!E$3:E$999="GBP")*(Expenses!A$3:A$999=DATE(2026,4,18)),ROW(Expenses!A$3:A$999)-2),2)),0)+IFERROR(INDEX(Income!C$3:C$502,SMALL(IF((Income!D$3:D$502="GBP")*(Income!A$3:A$502=DATE(2026,4,18)),ROW(Income!A$3:A$502)-2),2)),0))</f>
        <v/>
      </c>
      <c r="N80" s="126">
        <f t="array" ref="N80">IF(IFERROR(INDEX(Expenses!B$3:B$999,SMALL(IF((Expenses!E$3:E$999="GBP")*(Expenses!A$3:A$999=DATE(2026,4,18)),ROW(Expenses!A$3:A$999)-2),2)),"")&lt;&gt;"",IFERROR(INDEX(Expenses!B$3:B$999,SMALL(IF((Expenses!E$3:E$999="GBP")*(Expenses!A$3:A$999=DATE(2026,4,18)),ROW(Expenses!A$3:A$999)-2),2)),""),IF(IFERROR(INDEX(Income!B$3:B$502,SMALL(IF((Income!D$3:D$502="GBP")*(Income!A$3:A$502=DATE(2026,4,18)),ROW(Income!A$3:A$502)-2),2)),"")&lt;&gt;"",IFERROR(INDEX(Income!B$3:B$502,SMALL(IF((Income!D$3:D$502="GBP")*(Income!A$3:A$502=DATE(2026,4,18)),ROW(Income!A$3:A$502)-2),2)),""),""))</f>
        <v/>
      </c>
      <c r="O80" s="152">
        <f t="array" ref="O80">IF(IFERROR(-INDEX(Expenses!D$3:D$999,SMALL(IF((Expenses!E$3:E$999="GBP")*(Expenses!A$3:A$999=DATE(2026,4,19)),ROW(Expenses!A$3:A$999)-2),2)),0)+IFERROR(INDEX(Income!C$3:C$502,SMALL(IF((Income!D$3:D$502="GBP")*(Income!A$3:A$502=DATE(2026,4,19)),ROW(Income!A$3:A$502)-2),2)),0)=0,"",IFERROR(-INDEX(Expenses!D$3:D$999,SMALL(IF((Expenses!E$3:E$999="GBP")*(Expenses!A$3:A$999=DATE(2026,4,19)),ROW(Expenses!A$3:A$999)-2),2)),0)+IFERROR(INDEX(Income!C$3:C$502,SMALL(IF((Income!D$3:D$502="GBP")*(Income!A$3:A$502=DATE(2026,4,19)),ROW(Income!A$3:A$502)-2),2)),0))</f>
        <v/>
      </c>
      <c r="P80" s="126">
        <f t="array" ref="P80">IF(IFERROR(INDEX(Expenses!B$3:B$999,SMALL(IF((Expenses!E$3:E$999="GBP")*(Expenses!A$3:A$999=DATE(2026,4,19)),ROW(Expenses!A$3:A$999)-2),2)),"")&lt;&gt;"",IFERROR(INDEX(Expenses!B$3:B$999,SMALL(IF((Expenses!E$3:E$999="GBP")*(Expenses!A$3:A$999=DATE(2026,4,19)),ROW(Expenses!A$3:A$999)-2),2)),""),IF(IFERROR(INDEX(Income!B$3:B$502,SMALL(IF((Income!D$3:D$502="GBP")*(Income!A$3:A$502=DATE(2026,4,19)),ROW(Income!A$3:A$502)-2),2)),"")&lt;&gt;"",IFERROR(INDEX(Income!B$3:B$502,SMALL(IF((Income!D$3:D$502="GBP")*(Income!A$3:A$502=DATE(2026,4,19)),ROW(Income!A$3:A$502)-2),2)),""),""))</f>
        <v/>
      </c>
      <c r="Q80" s="9" t="n"/>
      <c r="R80" s="9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68">
      <c r="A81" s="9" t="n"/>
      <c r="B81" s="9" t="n"/>
      <c r="C81" s="152">
        <f t="array" ref="C81">IF(IFERROR(-INDEX(Expenses!D$3:D$999,SMALL(IF((Expenses!E$3:E$999="GBP")*(Expenses!A$3:A$999=DATE(2026,4,13)),ROW(Expenses!A$3:A$999)-2),3)),0)+IFERROR(INDEX(Income!C$3:C$502,SMALL(IF((Income!D$3:D$502="GBP")*(Income!A$3:A$502=DATE(2026,4,13)),ROW(Income!A$3:A$502)-2),3)),0)=0,"",IFERROR(-INDEX(Expenses!D$3:D$999,SMALL(IF((Expenses!E$3:E$999="GBP")*(Expenses!A$3:A$999=DATE(2026,4,13)),ROW(Expenses!A$3:A$999)-2),3)),0)+IFERROR(INDEX(Income!C$3:C$502,SMALL(IF((Income!D$3:D$502="GBP")*(Income!A$3:A$502=DATE(2026,4,13)),ROW(Income!A$3:A$502)-2),3)),0))</f>
        <v/>
      </c>
      <c r="D81" s="126">
        <f t="array" ref="D81">IF(IFERROR(INDEX(Expenses!B$3:B$999,SMALL(IF((Expenses!E$3:E$999="GBP")*(Expenses!A$3:A$999=DATE(2026,4,13)),ROW(Expenses!A$3:A$999)-2),3)),"")&lt;&gt;"",IFERROR(INDEX(Expenses!B$3:B$999,SMALL(IF((Expenses!E$3:E$999="GBP")*(Expenses!A$3:A$999=DATE(2026,4,13)),ROW(Expenses!A$3:A$999)-2),3)),""),IF(IFERROR(INDEX(Income!B$3:B$502,SMALL(IF((Income!D$3:D$502="GBP")*(Income!A$3:A$502=DATE(2026,4,13)),ROW(Income!A$3:A$502)-2),3)),"")&lt;&gt;"",IFERROR(INDEX(Income!B$3:B$502,SMALL(IF((Income!D$3:D$502="GBP")*(Income!A$3:A$502=DATE(2026,4,13)),ROW(Income!A$3:A$502)-2),3)),""),""))</f>
        <v/>
      </c>
      <c r="E81" s="152">
        <f t="array" ref="E81">IF(IFERROR(-INDEX(Expenses!D$3:D$999,SMALL(IF((Expenses!E$3:E$999="GBP")*(Expenses!A$3:A$999=DATE(2026,4,14)),ROW(Expenses!A$3:A$999)-2),3)),0)+IFERROR(INDEX(Income!C$3:C$502,SMALL(IF((Income!D$3:D$502="GBP")*(Income!A$3:A$502=DATE(2026,4,14)),ROW(Income!A$3:A$502)-2),3)),0)=0,"",IFERROR(-INDEX(Expenses!D$3:D$999,SMALL(IF((Expenses!E$3:E$999="GBP")*(Expenses!A$3:A$999=DATE(2026,4,14)),ROW(Expenses!A$3:A$999)-2),3)),0)+IFERROR(INDEX(Income!C$3:C$502,SMALL(IF((Income!D$3:D$502="GBP")*(Income!A$3:A$502=DATE(2026,4,14)),ROW(Income!A$3:A$502)-2),3)),0))</f>
        <v/>
      </c>
      <c r="F81" s="126">
        <f t="array" ref="F81">IF(IFERROR(INDEX(Expenses!B$3:B$999,SMALL(IF((Expenses!E$3:E$999="GBP")*(Expenses!A$3:A$999=DATE(2026,4,14)),ROW(Expenses!A$3:A$999)-2),3)),"")&lt;&gt;"",IFERROR(INDEX(Expenses!B$3:B$999,SMALL(IF((Expenses!E$3:E$999="GBP")*(Expenses!A$3:A$999=DATE(2026,4,14)),ROW(Expenses!A$3:A$999)-2),3)),""),IF(IFERROR(INDEX(Income!B$3:B$502,SMALL(IF((Income!D$3:D$502="GBP")*(Income!A$3:A$502=DATE(2026,4,14)),ROW(Income!A$3:A$502)-2),3)),"")&lt;&gt;"",IFERROR(INDEX(Income!B$3:B$502,SMALL(IF((Income!D$3:D$502="GBP")*(Income!A$3:A$502=DATE(2026,4,14)),ROW(Income!A$3:A$502)-2),3)),""),""))</f>
        <v/>
      </c>
      <c r="G81" s="152">
        <f t="array" ref="G81">IF(IFERROR(-INDEX(Expenses!D$3:D$999,SMALL(IF((Expenses!E$3:E$999="GBP")*(Expenses!A$3:A$999=DATE(2026,4,15)),ROW(Expenses!A$3:A$999)-2),3)),0)+IFERROR(INDEX(Income!C$3:C$502,SMALL(IF((Income!D$3:D$502="GBP")*(Income!A$3:A$502=DATE(2026,4,15)),ROW(Income!A$3:A$502)-2),3)),0)=0,"",IFERROR(-INDEX(Expenses!D$3:D$999,SMALL(IF((Expenses!E$3:E$999="GBP")*(Expenses!A$3:A$999=DATE(2026,4,15)),ROW(Expenses!A$3:A$999)-2),3)),0)+IFERROR(INDEX(Income!C$3:C$502,SMALL(IF((Income!D$3:D$502="GBP")*(Income!A$3:A$502=DATE(2026,4,15)),ROW(Income!A$3:A$502)-2),3)),0))</f>
        <v/>
      </c>
      <c r="H81" s="126">
        <f t="array" ref="H81">IF(IFERROR(INDEX(Expenses!B$3:B$999,SMALL(IF((Expenses!E$3:E$999="GBP")*(Expenses!A$3:A$999=DATE(2026,4,15)),ROW(Expenses!A$3:A$999)-2),3)),"")&lt;&gt;"",IFERROR(INDEX(Expenses!B$3:B$999,SMALL(IF((Expenses!E$3:E$999="GBP")*(Expenses!A$3:A$999=DATE(2026,4,15)),ROW(Expenses!A$3:A$999)-2),3)),""),IF(IFERROR(INDEX(Income!B$3:B$502,SMALL(IF((Income!D$3:D$502="GBP")*(Income!A$3:A$502=DATE(2026,4,15)),ROW(Income!A$3:A$502)-2),3)),"")&lt;&gt;"",IFERROR(INDEX(Income!B$3:B$502,SMALL(IF((Income!D$3:D$502="GBP")*(Income!A$3:A$502=DATE(2026,4,15)),ROW(Income!A$3:A$502)-2),3)),""),""))</f>
        <v/>
      </c>
      <c r="I81" s="152">
        <f t="array" ref="I81">IF(IFERROR(-INDEX(Expenses!D$3:D$999,SMALL(IF((Expenses!E$3:E$999="GBP")*(Expenses!A$3:A$999=DATE(2026,4,16)),ROW(Expenses!A$3:A$999)-2),3)),0)+IFERROR(INDEX(Income!C$3:C$502,SMALL(IF((Income!D$3:D$502="GBP")*(Income!A$3:A$502=DATE(2026,4,16)),ROW(Income!A$3:A$502)-2),3)),0)=0,"",IFERROR(-INDEX(Expenses!D$3:D$999,SMALL(IF((Expenses!E$3:E$999="GBP")*(Expenses!A$3:A$999=DATE(2026,4,16)),ROW(Expenses!A$3:A$999)-2),3)),0)+IFERROR(INDEX(Income!C$3:C$502,SMALL(IF((Income!D$3:D$502="GBP")*(Income!A$3:A$502=DATE(2026,4,16)),ROW(Income!A$3:A$502)-2),3)),0))</f>
        <v/>
      </c>
      <c r="J81" s="126">
        <f t="array" ref="J81">IF(IFERROR(INDEX(Expenses!B$3:B$999,SMALL(IF((Expenses!E$3:E$999="GBP")*(Expenses!A$3:A$999=DATE(2026,4,16)),ROW(Expenses!A$3:A$999)-2),3)),"")&lt;&gt;"",IFERROR(INDEX(Expenses!B$3:B$999,SMALL(IF((Expenses!E$3:E$999="GBP")*(Expenses!A$3:A$999=DATE(2026,4,16)),ROW(Expenses!A$3:A$999)-2),3)),""),IF(IFERROR(INDEX(Income!B$3:B$502,SMALL(IF((Income!D$3:D$502="GBP")*(Income!A$3:A$502=DATE(2026,4,16)),ROW(Income!A$3:A$502)-2),3)),"")&lt;&gt;"",IFERROR(INDEX(Income!B$3:B$502,SMALL(IF((Income!D$3:D$502="GBP")*(Income!A$3:A$502=DATE(2026,4,16)),ROW(Income!A$3:A$502)-2),3)),""),""))</f>
        <v/>
      </c>
      <c r="K81" s="152">
        <f t="array" ref="K81">IF(IFERROR(-INDEX(Expenses!D$3:D$999,SMALL(IF((Expenses!E$3:E$999="GBP")*(Expenses!A$3:A$999=DATE(2026,4,17)),ROW(Expenses!A$3:A$999)-2),3)),0)+IFERROR(INDEX(Income!C$3:C$502,SMALL(IF((Income!D$3:D$502="GBP")*(Income!A$3:A$502=DATE(2026,4,17)),ROW(Income!A$3:A$502)-2),3)),0)=0,"",IFERROR(-INDEX(Expenses!D$3:D$999,SMALL(IF((Expenses!E$3:E$999="GBP")*(Expenses!A$3:A$999=DATE(2026,4,17)),ROW(Expenses!A$3:A$999)-2),3)),0)+IFERROR(INDEX(Income!C$3:C$502,SMALL(IF((Income!D$3:D$502="GBP")*(Income!A$3:A$502=DATE(2026,4,17)),ROW(Income!A$3:A$502)-2),3)),0))</f>
        <v/>
      </c>
      <c r="L81" s="126">
        <f t="array" ref="L81">IF(IFERROR(INDEX(Expenses!B$3:B$999,SMALL(IF((Expenses!E$3:E$999="GBP")*(Expenses!A$3:A$999=DATE(2026,4,17)),ROW(Expenses!A$3:A$999)-2),3)),"")&lt;&gt;"",IFERROR(INDEX(Expenses!B$3:B$999,SMALL(IF((Expenses!E$3:E$999="GBP")*(Expenses!A$3:A$999=DATE(2026,4,17)),ROW(Expenses!A$3:A$999)-2),3)),""),IF(IFERROR(INDEX(Income!B$3:B$502,SMALL(IF((Income!D$3:D$502="GBP")*(Income!A$3:A$502=DATE(2026,4,17)),ROW(Income!A$3:A$502)-2),3)),"")&lt;&gt;"",IFERROR(INDEX(Income!B$3:B$502,SMALL(IF((Income!D$3:D$502="GBP")*(Income!A$3:A$502=DATE(2026,4,17)),ROW(Income!A$3:A$502)-2),3)),""),""))</f>
        <v/>
      </c>
      <c r="M81" s="152">
        <f t="array" ref="M81">IF(IFERROR(-INDEX(Expenses!D$3:D$999,SMALL(IF((Expenses!E$3:E$999="GBP")*(Expenses!A$3:A$999=DATE(2026,4,18)),ROW(Expenses!A$3:A$999)-2),3)),0)+IFERROR(INDEX(Income!C$3:C$502,SMALL(IF((Income!D$3:D$502="GBP")*(Income!A$3:A$502=DATE(2026,4,18)),ROW(Income!A$3:A$502)-2),3)),0)=0,"",IFERROR(-INDEX(Expenses!D$3:D$999,SMALL(IF((Expenses!E$3:E$999="GBP")*(Expenses!A$3:A$999=DATE(2026,4,18)),ROW(Expenses!A$3:A$999)-2),3)),0)+IFERROR(INDEX(Income!C$3:C$502,SMALL(IF((Income!D$3:D$502="GBP")*(Income!A$3:A$502=DATE(2026,4,18)),ROW(Income!A$3:A$502)-2),3)),0))</f>
        <v/>
      </c>
      <c r="N81" s="126">
        <f t="array" ref="N81">IF(IFERROR(INDEX(Expenses!B$3:B$999,SMALL(IF((Expenses!E$3:E$999="GBP")*(Expenses!A$3:A$999=DATE(2026,4,18)),ROW(Expenses!A$3:A$999)-2),3)),"")&lt;&gt;"",IFERROR(INDEX(Expenses!B$3:B$999,SMALL(IF((Expenses!E$3:E$999="GBP")*(Expenses!A$3:A$999=DATE(2026,4,18)),ROW(Expenses!A$3:A$999)-2),3)),""),IF(IFERROR(INDEX(Income!B$3:B$502,SMALL(IF((Income!D$3:D$502="GBP")*(Income!A$3:A$502=DATE(2026,4,18)),ROW(Income!A$3:A$502)-2),3)),"")&lt;&gt;"",IFERROR(INDEX(Income!B$3:B$502,SMALL(IF((Income!D$3:D$502="GBP")*(Income!A$3:A$502=DATE(2026,4,18)),ROW(Income!A$3:A$502)-2),3)),""),""))</f>
        <v/>
      </c>
      <c r="O81" s="152">
        <f t="array" ref="O81">IF(IFERROR(-INDEX(Expenses!D$3:D$999,SMALL(IF((Expenses!E$3:E$999="GBP")*(Expenses!A$3:A$999=DATE(2026,4,19)),ROW(Expenses!A$3:A$999)-2),3)),0)+IFERROR(INDEX(Income!C$3:C$502,SMALL(IF((Income!D$3:D$502="GBP")*(Income!A$3:A$502=DATE(2026,4,19)),ROW(Income!A$3:A$502)-2),3)),0)=0,"",IFERROR(-INDEX(Expenses!D$3:D$999,SMALL(IF((Expenses!E$3:E$999="GBP")*(Expenses!A$3:A$999=DATE(2026,4,19)),ROW(Expenses!A$3:A$999)-2),3)),0)+IFERROR(INDEX(Income!C$3:C$502,SMALL(IF((Income!D$3:D$502="GBP")*(Income!A$3:A$502=DATE(2026,4,19)),ROW(Income!A$3:A$502)-2),3)),0))</f>
        <v/>
      </c>
      <c r="P81" s="126">
        <f t="array" ref="P81">IF(IFERROR(INDEX(Expenses!B$3:B$999,SMALL(IF((Expenses!E$3:E$999="GBP")*(Expenses!A$3:A$999=DATE(2026,4,19)),ROW(Expenses!A$3:A$999)-2),3)),"")&lt;&gt;"",IFERROR(INDEX(Expenses!B$3:B$999,SMALL(IF((Expenses!E$3:E$999="GBP")*(Expenses!A$3:A$999=DATE(2026,4,19)),ROW(Expenses!A$3:A$999)-2),3)),""),IF(IFERROR(INDEX(Income!B$3:B$502,SMALL(IF((Income!D$3:D$502="GBP")*(Income!A$3:A$502=DATE(2026,4,19)),ROW(Income!A$3:A$502)-2),3)),"")&lt;&gt;"",IFERROR(INDEX(Income!B$3:B$502,SMALL(IF((Income!D$3:D$502="GBP")*(Income!A$3:A$502=DATE(2026,4,19)),ROW(Income!A$3:A$502)-2),3)),""),""))</f>
        <v/>
      </c>
      <c r="Q81" s="9" t="n"/>
      <c r="R81" s="9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68">
      <c r="A82" s="9" t="n"/>
      <c r="B82" s="9" t="n"/>
      <c r="C82" s="152">
        <f t="array" ref="C82">IF(IFERROR(-INDEX(Expenses!D$3:D$999,SMALL(IF((Expenses!E$3:E$999="GBP")*(Expenses!A$3:A$999=DATE(2026,4,13)),ROW(Expenses!A$3:A$999)-2),4)),0)+IFERROR(INDEX(Income!C$3:C$502,SMALL(IF((Income!D$3:D$502="GBP")*(Income!A$3:A$502=DATE(2026,4,13)),ROW(Income!A$3:A$502)-2),4)),0)=0,"",IFERROR(-INDEX(Expenses!D$3:D$999,SMALL(IF((Expenses!E$3:E$999="GBP")*(Expenses!A$3:A$999=DATE(2026,4,13)),ROW(Expenses!A$3:A$999)-2),4)),0)+IFERROR(INDEX(Income!C$3:C$502,SMALL(IF((Income!D$3:D$502="GBP")*(Income!A$3:A$502=DATE(2026,4,13)),ROW(Income!A$3:A$502)-2),4)),0))</f>
        <v/>
      </c>
      <c r="D82" s="126">
        <f t="array" ref="D82">IF(IFERROR(INDEX(Expenses!B$3:B$999,SMALL(IF((Expenses!E$3:E$999="GBP")*(Expenses!A$3:A$999=DATE(2026,4,13)),ROW(Expenses!A$3:A$999)-2),4)),"")&lt;&gt;"",IFERROR(INDEX(Expenses!B$3:B$999,SMALL(IF((Expenses!E$3:E$999="GBP")*(Expenses!A$3:A$999=DATE(2026,4,13)),ROW(Expenses!A$3:A$999)-2),4)),""),IF(IFERROR(INDEX(Income!B$3:B$502,SMALL(IF((Income!D$3:D$502="GBP")*(Income!A$3:A$502=DATE(2026,4,13)),ROW(Income!A$3:A$502)-2),4)),"")&lt;&gt;"",IFERROR(INDEX(Income!B$3:B$502,SMALL(IF((Income!D$3:D$502="GBP")*(Income!A$3:A$502=DATE(2026,4,13)),ROW(Income!A$3:A$502)-2),4)),""),""))</f>
        <v/>
      </c>
      <c r="E82" s="152">
        <f t="array" ref="E82">IF(IFERROR(-INDEX(Expenses!D$3:D$999,SMALL(IF((Expenses!E$3:E$999="GBP")*(Expenses!A$3:A$999=DATE(2026,4,14)),ROW(Expenses!A$3:A$999)-2),4)),0)+IFERROR(INDEX(Income!C$3:C$502,SMALL(IF((Income!D$3:D$502="GBP")*(Income!A$3:A$502=DATE(2026,4,14)),ROW(Income!A$3:A$502)-2),4)),0)=0,"",IFERROR(-INDEX(Expenses!D$3:D$999,SMALL(IF((Expenses!E$3:E$999="GBP")*(Expenses!A$3:A$999=DATE(2026,4,14)),ROW(Expenses!A$3:A$999)-2),4)),0)+IFERROR(INDEX(Income!C$3:C$502,SMALL(IF((Income!D$3:D$502="GBP")*(Income!A$3:A$502=DATE(2026,4,14)),ROW(Income!A$3:A$502)-2),4)),0))</f>
        <v/>
      </c>
      <c r="F82" s="126">
        <f t="array" ref="F82">IF(IFERROR(INDEX(Expenses!B$3:B$999,SMALL(IF((Expenses!E$3:E$999="GBP")*(Expenses!A$3:A$999=DATE(2026,4,14)),ROW(Expenses!A$3:A$999)-2),4)),"")&lt;&gt;"",IFERROR(INDEX(Expenses!B$3:B$999,SMALL(IF((Expenses!E$3:E$999="GBP")*(Expenses!A$3:A$999=DATE(2026,4,14)),ROW(Expenses!A$3:A$999)-2),4)),""),IF(IFERROR(INDEX(Income!B$3:B$502,SMALL(IF((Income!D$3:D$502="GBP")*(Income!A$3:A$502=DATE(2026,4,14)),ROW(Income!A$3:A$502)-2),4)),"")&lt;&gt;"",IFERROR(INDEX(Income!B$3:B$502,SMALL(IF((Income!D$3:D$502="GBP")*(Income!A$3:A$502=DATE(2026,4,14)),ROW(Income!A$3:A$502)-2),4)),""),""))</f>
        <v/>
      </c>
      <c r="G82" s="152">
        <f t="array" ref="G82">IF(IFERROR(-INDEX(Expenses!D$3:D$999,SMALL(IF((Expenses!E$3:E$999="GBP")*(Expenses!A$3:A$999=DATE(2026,4,15)),ROW(Expenses!A$3:A$999)-2),4)),0)+IFERROR(INDEX(Income!C$3:C$502,SMALL(IF((Income!D$3:D$502="GBP")*(Income!A$3:A$502=DATE(2026,4,15)),ROW(Income!A$3:A$502)-2),4)),0)=0,"",IFERROR(-INDEX(Expenses!D$3:D$999,SMALL(IF((Expenses!E$3:E$999="GBP")*(Expenses!A$3:A$999=DATE(2026,4,15)),ROW(Expenses!A$3:A$999)-2),4)),0)+IFERROR(INDEX(Income!C$3:C$502,SMALL(IF((Income!D$3:D$502="GBP")*(Income!A$3:A$502=DATE(2026,4,15)),ROW(Income!A$3:A$502)-2),4)),0))</f>
        <v/>
      </c>
      <c r="H82" s="126">
        <f t="array" ref="H82">IF(IFERROR(INDEX(Expenses!B$3:B$999,SMALL(IF((Expenses!E$3:E$999="GBP")*(Expenses!A$3:A$999=DATE(2026,4,15)),ROW(Expenses!A$3:A$999)-2),4)),"")&lt;&gt;"",IFERROR(INDEX(Expenses!B$3:B$999,SMALL(IF((Expenses!E$3:E$999="GBP")*(Expenses!A$3:A$999=DATE(2026,4,15)),ROW(Expenses!A$3:A$999)-2),4)),""),IF(IFERROR(INDEX(Income!B$3:B$502,SMALL(IF((Income!D$3:D$502="GBP")*(Income!A$3:A$502=DATE(2026,4,15)),ROW(Income!A$3:A$502)-2),4)),"")&lt;&gt;"",IFERROR(INDEX(Income!B$3:B$502,SMALL(IF((Income!D$3:D$502="GBP")*(Income!A$3:A$502=DATE(2026,4,15)),ROW(Income!A$3:A$502)-2),4)),""),""))</f>
        <v/>
      </c>
      <c r="I82" s="152">
        <f t="array" ref="I82">IF(IFERROR(-INDEX(Expenses!D$3:D$999,SMALL(IF((Expenses!E$3:E$999="GBP")*(Expenses!A$3:A$999=DATE(2026,4,16)),ROW(Expenses!A$3:A$999)-2),4)),0)+IFERROR(INDEX(Income!C$3:C$502,SMALL(IF((Income!D$3:D$502="GBP")*(Income!A$3:A$502=DATE(2026,4,16)),ROW(Income!A$3:A$502)-2),4)),0)=0,"",IFERROR(-INDEX(Expenses!D$3:D$999,SMALL(IF((Expenses!E$3:E$999="GBP")*(Expenses!A$3:A$999=DATE(2026,4,16)),ROW(Expenses!A$3:A$999)-2),4)),0)+IFERROR(INDEX(Income!C$3:C$502,SMALL(IF((Income!D$3:D$502="GBP")*(Income!A$3:A$502=DATE(2026,4,16)),ROW(Income!A$3:A$502)-2),4)),0))</f>
        <v/>
      </c>
      <c r="J82" s="126">
        <f t="array" ref="J82">IF(IFERROR(INDEX(Expenses!B$3:B$999,SMALL(IF((Expenses!E$3:E$999="GBP")*(Expenses!A$3:A$999=DATE(2026,4,16)),ROW(Expenses!A$3:A$999)-2),4)),"")&lt;&gt;"",IFERROR(INDEX(Expenses!B$3:B$999,SMALL(IF((Expenses!E$3:E$999="GBP")*(Expenses!A$3:A$999=DATE(2026,4,16)),ROW(Expenses!A$3:A$999)-2),4)),""),IF(IFERROR(INDEX(Income!B$3:B$502,SMALL(IF((Income!D$3:D$502="GBP")*(Income!A$3:A$502=DATE(2026,4,16)),ROW(Income!A$3:A$502)-2),4)),"")&lt;&gt;"",IFERROR(INDEX(Income!B$3:B$502,SMALL(IF((Income!D$3:D$502="GBP")*(Income!A$3:A$502=DATE(2026,4,16)),ROW(Income!A$3:A$502)-2),4)),""),""))</f>
        <v/>
      </c>
      <c r="K82" s="152">
        <f t="array" ref="K82">IF(IFERROR(-INDEX(Expenses!D$3:D$999,SMALL(IF((Expenses!E$3:E$999="GBP")*(Expenses!A$3:A$999=DATE(2026,4,17)),ROW(Expenses!A$3:A$999)-2),4)),0)+IFERROR(INDEX(Income!C$3:C$502,SMALL(IF((Income!D$3:D$502="GBP")*(Income!A$3:A$502=DATE(2026,4,17)),ROW(Income!A$3:A$502)-2),4)),0)=0,"",IFERROR(-INDEX(Expenses!D$3:D$999,SMALL(IF((Expenses!E$3:E$999="GBP")*(Expenses!A$3:A$999=DATE(2026,4,17)),ROW(Expenses!A$3:A$999)-2),4)),0)+IFERROR(INDEX(Income!C$3:C$502,SMALL(IF((Income!D$3:D$502="GBP")*(Income!A$3:A$502=DATE(2026,4,17)),ROW(Income!A$3:A$502)-2),4)),0))</f>
        <v/>
      </c>
      <c r="L82" s="126">
        <f t="array" ref="L82">IF(IFERROR(INDEX(Expenses!B$3:B$999,SMALL(IF((Expenses!E$3:E$999="GBP")*(Expenses!A$3:A$999=DATE(2026,4,17)),ROW(Expenses!A$3:A$999)-2),4)),"")&lt;&gt;"",IFERROR(INDEX(Expenses!B$3:B$999,SMALL(IF((Expenses!E$3:E$999="GBP")*(Expenses!A$3:A$999=DATE(2026,4,17)),ROW(Expenses!A$3:A$999)-2),4)),""),IF(IFERROR(INDEX(Income!B$3:B$502,SMALL(IF((Income!D$3:D$502="GBP")*(Income!A$3:A$502=DATE(2026,4,17)),ROW(Income!A$3:A$502)-2),4)),"")&lt;&gt;"",IFERROR(INDEX(Income!B$3:B$502,SMALL(IF((Income!D$3:D$502="GBP")*(Income!A$3:A$502=DATE(2026,4,17)),ROW(Income!A$3:A$502)-2),4)),""),""))</f>
        <v/>
      </c>
      <c r="M82" s="152">
        <f t="array" ref="M82">IF(IFERROR(-INDEX(Expenses!D$3:D$999,SMALL(IF((Expenses!E$3:E$999="GBP")*(Expenses!A$3:A$999=DATE(2026,4,18)),ROW(Expenses!A$3:A$999)-2),4)),0)+IFERROR(INDEX(Income!C$3:C$502,SMALL(IF((Income!D$3:D$502="GBP")*(Income!A$3:A$502=DATE(2026,4,18)),ROW(Income!A$3:A$502)-2),4)),0)=0,"",IFERROR(-INDEX(Expenses!D$3:D$999,SMALL(IF((Expenses!E$3:E$999="GBP")*(Expenses!A$3:A$999=DATE(2026,4,18)),ROW(Expenses!A$3:A$999)-2),4)),0)+IFERROR(INDEX(Income!C$3:C$502,SMALL(IF((Income!D$3:D$502="GBP")*(Income!A$3:A$502=DATE(2026,4,18)),ROW(Income!A$3:A$502)-2),4)),0))</f>
        <v/>
      </c>
      <c r="N82" s="126">
        <f t="array" ref="N82">IF(IFERROR(INDEX(Expenses!B$3:B$999,SMALL(IF((Expenses!E$3:E$999="GBP")*(Expenses!A$3:A$999=DATE(2026,4,18)),ROW(Expenses!A$3:A$999)-2),4)),"")&lt;&gt;"",IFERROR(INDEX(Expenses!B$3:B$999,SMALL(IF((Expenses!E$3:E$999="GBP")*(Expenses!A$3:A$999=DATE(2026,4,18)),ROW(Expenses!A$3:A$999)-2),4)),""),IF(IFERROR(INDEX(Income!B$3:B$502,SMALL(IF((Income!D$3:D$502="GBP")*(Income!A$3:A$502=DATE(2026,4,18)),ROW(Income!A$3:A$502)-2),4)),"")&lt;&gt;"",IFERROR(INDEX(Income!B$3:B$502,SMALL(IF((Income!D$3:D$502="GBP")*(Income!A$3:A$502=DATE(2026,4,18)),ROW(Income!A$3:A$502)-2),4)),""),""))</f>
        <v/>
      </c>
      <c r="O82" s="152">
        <f t="array" ref="O82">IF(IFERROR(-INDEX(Expenses!D$3:D$999,SMALL(IF((Expenses!E$3:E$999="GBP")*(Expenses!A$3:A$999=DATE(2026,4,19)),ROW(Expenses!A$3:A$999)-2),4)),0)+IFERROR(INDEX(Income!C$3:C$502,SMALL(IF((Income!D$3:D$502="GBP")*(Income!A$3:A$502=DATE(2026,4,19)),ROW(Income!A$3:A$502)-2),4)),0)=0,"",IFERROR(-INDEX(Expenses!D$3:D$999,SMALL(IF((Expenses!E$3:E$999="GBP")*(Expenses!A$3:A$999=DATE(2026,4,19)),ROW(Expenses!A$3:A$999)-2),4)),0)+IFERROR(INDEX(Income!C$3:C$502,SMALL(IF((Income!D$3:D$502="GBP")*(Income!A$3:A$502=DATE(2026,4,19)),ROW(Income!A$3:A$502)-2),4)),0))</f>
        <v/>
      </c>
      <c r="P82" s="126">
        <f t="array" ref="P82">IF(IFERROR(INDEX(Expenses!B$3:B$999,SMALL(IF((Expenses!E$3:E$999="GBP")*(Expenses!A$3:A$999=DATE(2026,4,19)),ROW(Expenses!A$3:A$999)-2),4)),"")&lt;&gt;"",IFERROR(INDEX(Expenses!B$3:B$999,SMALL(IF((Expenses!E$3:E$999="GBP")*(Expenses!A$3:A$999=DATE(2026,4,19)),ROW(Expenses!A$3:A$999)-2),4)),""),IF(IFERROR(INDEX(Income!B$3:B$502,SMALL(IF((Income!D$3:D$502="GBP")*(Income!A$3:A$502=DATE(2026,4,19)),ROW(Income!A$3:A$502)-2),4)),"")&lt;&gt;"",IFERROR(INDEX(Income!B$3:B$502,SMALL(IF((Income!D$3:D$502="GBP")*(Income!A$3:A$502=DATE(2026,4,19)),ROW(Income!A$3:A$502)-2),4)),""),""))</f>
        <v/>
      </c>
      <c r="Q82" s="9" t="n"/>
      <c r="R82" s="9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68">
      <c r="A83" s="9" t="n"/>
      <c r="B83" s="9" t="n"/>
      <c r="C83" s="152">
        <f t="array" ref="C83">IF(IFERROR(-INDEX(Expenses!D$3:D$999,SMALL(IF((Expenses!E$3:E$999="GBP")*(Expenses!A$3:A$999=DATE(2026,4,13)),ROW(Expenses!A$3:A$999)-2),5)),0)+IFERROR(INDEX(Income!C$3:C$502,SMALL(IF((Income!D$3:D$502="GBP")*(Income!A$3:A$502=DATE(2026,4,13)),ROW(Income!A$3:A$502)-2),5)),0)=0,"",IFERROR(-INDEX(Expenses!D$3:D$999,SMALL(IF((Expenses!E$3:E$999="GBP")*(Expenses!A$3:A$999=DATE(2026,4,13)),ROW(Expenses!A$3:A$999)-2),5)),0)+IFERROR(INDEX(Income!C$3:C$502,SMALL(IF((Income!D$3:D$502="GBP")*(Income!A$3:A$502=DATE(2026,4,13)),ROW(Income!A$3:A$502)-2),5)),0))</f>
        <v/>
      </c>
      <c r="D83" s="126">
        <f t="array" ref="D83">IF(IFERROR(INDEX(Expenses!B$3:B$999,SMALL(IF((Expenses!E$3:E$999="GBP")*(Expenses!A$3:A$999=DATE(2026,4,13)),ROW(Expenses!A$3:A$999)-2),5)),"")&lt;&gt;"",IFERROR(INDEX(Expenses!B$3:B$999,SMALL(IF((Expenses!E$3:E$999="GBP")*(Expenses!A$3:A$999=DATE(2026,4,13)),ROW(Expenses!A$3:A$999)-2),5)),""),IF(IFERROR(INDEX(Income!B$3:B$502,SMALL(IF((Income!D$3:D$502="GBP")*(Income!A$3:A$502=DATE(2026,4,13)),ROW(Income!A$3:A$502)-2),5)),"")&lt;&gt;"",IFERROR(INDEX(Income!B$3:B$502,SMALL(IF((Income!D$3:D$502="GBP")*(Income!A$3:A$502=DATE(2026,4,13)),ROW(Income!A$3:A$502)-2),5)),""),""))</f>
        <v/>
      </c>
      <c r="E83" s="152">
        <f t="array" ref="E83">IF(IFERROR(-INDEX(Expenses!D$3:D$999,SMALL(IF((Expenses!E$3:E$999="GBP")*(Expenses!A$3:A$999=DATE(2026,4,14)),ROW(Expenses!A$3:A$999)-2),5)),0)+IFERROR(INDEX(Income!C$3:C$502,SMALL(IF((Income!D$3:D$502="GBP")*(Income!A$3:A$502=DATE(2026,4,14)),ROW(Income!A$3:A$502)-2),5)),0)=0,"",IFERROR(-INDEX(Expenses!D$3:D$999,SMALL(IF((Expenses!E$3:E$999="GBP")*(Expenses!A$3:A$999=DATE(2026,4,14)),ROW(Expenses!A$3:A$999)-2),5)),0)+IFERROR(INDEX(Income!C$3:C$502,SMALL(IF((Income!D$3:D$502="GBP")*(Income!A$3:A$502=DATE(2026,4,14)),ROW(Income!A$3:A$502)-2),5)),0))</f>
        <v/>
      </c>
      <c r="F83" s="126">
        <f t="array" ref="F83">IF(IFERROR(INDEX(Expenses!B$3:B$999,SMALL(IF((Expenses!E$3:E$999="GBP")*(Expenses!A$3:A$999=DATE(2026,4,14)),ROW(Expenses!A$3:A$999)-2),5)),"")&lt;&gt;"",IFERROR(INDEX(Expenses!B$3:B$999,SMALL(IF((Expenses!E$3:E$999="GBP")*(Expenses!A$3:A$999=DATE(2026,4,14)),ROW(Expenses!A$3:A$999)-2),5)),""),IF(IFERROR(INDEX(Income!B$3:B$502,SMALL(IF((Income!D$3:D$502="GBP")*(Income!A$3:A$502=DATE(2026,4,14)),ROW(Income!A$3:A$502)-2),5)),"")&lt;&gt;"",IFERROR(INDEX(Income!B$3:B$502,SMALL(IF((Income!D$3:D$502="GBP")*(Income!A$3:A$502=DATE(2026,4,14)),ROW(Income!A$3:A$502)-2),5)),""),""))</f>
        <v/>
      </c>
      <c r="G83" s="152">
        <f t="array" ref="G83">IF(IFERROR(-INDEX(Expenses!D$3:D$999,SMALL(IF((Expenses!E$3:E$999="GBP")*(Expenses!A$3:A$999=DATE(2026,4,15)),ROW(Expenses!A$3:A$999)-2),5)),0)+IFERROR(INDEX(Income!C$3:C$502,SMALL(IF((Income!D$3:D$502="GBP")*(Income!A$3:A$502=DATE(2026,4,15)),ROW(Income!A$3:A$502)-2),5)),0)=0,"",IFERROR(-INDEX(Expenses!D$3:D$999,SMALL(IF((Expenses!E$3:E$999="GBP")*(Expenses!A$3:A$999=DATE(2026,4,15)),ROW(Expenses!A$3:A$999)-2),5)),0)+IFERROR(INDEX(Income!C$3:C$502,SMALL(IF((Income!D$3:D$502="GBP")*(Income!A$3:A$502=DATE(2026,4,15)),ROW(Income!A$3:A$502)-2),5)),0))</f>
        <v/>
      </c>
      <c r="H83" s="126">
        <f t="array" ref="H83">IF(IFERROR(INDEX(Expenses!B$3:B$999,SMALL(IF((Expenses!E$3:E$999="GBP")*(Expenses!A$3:A$999=DATE(2026,4,15)),ROW(Expenses!A$3:A$999)-2),5)),"")&lt;&gt;"",IFERROR(INDEX(Expenses!B$3:B$999,SMALL(IF((Expenses!E$3:E$999="GBP")*(Expenses!A$3:A$999=DATE(2026,4,15)),ROW(Expenses!A$3:A$999)-2),5)),""),IF(IFERROR(INDEX(Income!B$3:B$502,SMALL(IF((Income!D$3:D$502="GBP")*(Income!A$3:A$502=DATE(2026,4,15)),ROW(Income!A$3:A$502)-2),5)),"")&lt;&gt;"",IFERROR(INDEX(Income!B$3:B$502,SMALL(IF((Income!D$3:D$502="GBP")*(Income!A$3:A$502=DATE(2026,4,15)),ROW(Income!A$3:A$502)-2),5)),""),""))</f>
        <v/>
      </c>
      <c r="I83" s="152">
        <f t="array" ref="I83">IF(IFERROR(-INDEX(Expenses!D$3:D$999,SMALL(IF((Expenses!E$3:E$999="GBP")*(Expenses!A$3:A$999=DATE(2026,4,16)),ROW(Expenses!A$3:A$999)-2),5)),0)+IFERROR(INDEX(Income!C$3:C$502,SMALL(IF((Income!D$3:D$502="GBP")*(Income!A$3:A$502=DATE(2026,4,16)),ROW(Income!A$3:A$502)-2),5)),0)=0,"",IFERROR(-INDEX(Expenses!D$3:D$999,SMALL(IF((Expenses!E$3:E$999="GBP")*(Expenses!A$3:A$999=DATE(2026,4,16)),ROW(Expenses!A$3:A$999)-2),5)),0)+IFERROR(INDEX(Income!C$3:C$502,SMALL(IF((Income!D$3:D$502="GBP")*(Income!A$3:A$502=DATE(2026,4,16)),ROW(Income!A$3:A$502)-2),5)),0))</f>
        <v/>
      </c>
      <c r="J83" s="126">
        <f t="array" ref="J83">IF(IFERROR(INDEX(Expenses!B$3:B$999,SMALL(IF((Expenses!E$3:E$999="GBP")*(Expenses!A$3:A$999=DATE(2026,4,16)),ROW(Expenses!A$3:A$999)-2),5)),"")&lt;&gt;"",IFERROR(INDEX(Expenses!B$3:B$999,SMALL(IF((Expenses!E$3:E$999="GBP")*(Expenses!A$3:A$999=DATE(2026,4,16)),ROW(Expenses!A$3:A$999)-2),5)),""),IF(IFERROR(INDEX(Income!B$3:B$502,SMALL(IF((Income!D$3:D$502="GBP")*(Income!A$3:A$502=DATE(2026,4,16)),ROW(Income!A$3:A$502)-2),5)),"")&lt;&gt;"",IFERROR(INDEX(Income!B$3:B$502,SMALL(IF((Income!D$3:D$502="GBP")*(Income!A$3:A$502=DATE(2026,4,16)),ROW(Income!A$3:A$502)-2),5)),""),""))</f>
        <v/>
      </c>
      <c r="K83" s="152">
        <f t="array" ref="K83">IF(IFERROR(-INDEX(Expenses!D$3:D$999,SMALL(IF((Expenses!E$3:E$999="GBP")*(Expenses!A$3:A$999=DATE(2026,4,17)),ROW(Expenses!A$3:A$999)-2),5)),0)+IFERROR(INDEX(Income!C$3:C$502,SMALL(IF((Income!D$3:D$502="GBP")*(Income!A$3:A$502=DATE(2026,4,17)),ROW(Income!A$3:A$502)-2),5)),0)=0,"",IFERROR(-INDEX(Expenses!D$3:D$999,SMALL(IF((Expenses!E$3:E$999="GBP")*(Expenses!A$3:A$999=DATE(2026,4,17)),ROW(Expenses!A$3:A$999)-2),5)),0)+IFERROR(INDEX(Income!C$3:C$502,SMALL(IF((Income!D$3:D$502="GBP")*(Income!A$3:A$502=DATE(2026,4,17)),ROW(Income!A$3:A$502)-2),5)),0))</f>
        <v/>
      </c>
      <c r="L83" s="126">
        <f t="array" ref="L83">IF(IFERROR(INDEX(Expenses!B$3:B$999,SMALL(IF((Expenses!E$3:E$999="GBP")*(Expenses!A$3:A$999=DATE(2026,4,17)),ROW(Expenses!A$3:A$999)-2),5)),"")&lt;&gt;"",IFERROR(INDEX(Expenses!B$3:B$999,SMALL(IF((Expenses!E$3:E$999="GBP")*(Expenses!A$3:A$999=DATE(2026,4,17)),ROW(Expenses!A$3:A$999)-2),5)),""),IF(IFERROR(INDEX(Income!B$3:B$502,SMALL(IF((Income!D$3:D$502="GBP")*(Income!A$3:A$502=DATE(2026,4,17)),ROW(Income!A$3:A$502)-2),5)),"")&lt;&gt;"",IFERROR(INDEX(Income!B$3:B$502,SMALL(IF((Income!D$3:D$502="GBP")*(Income!A$3:A$502=DATE(2026,4,17)),ROW(Income!A$3:A$502)-2),5)),""),""))</f>
        <v/>
      </c>
      <c r="M83" s="152">
        <f t="array" ref="M83">IF(IFERROR(-INDEX(Expenses!D$3:D$999,SMALL(IF((Expenses!E$3:E$999="GBP")*(Expenses!A$3:A$999=DATE(2026,4,18)),ROW(Expenses!A$3:A$999)-2),5)),0)+IFERROR(INDEX(Income!C$3:C$502,SMALL(IF((Income!D$3:D$502="GBP")*(Income!A$3:A$502=DATE(2026,4,18)),ROW(Income!A$3:A$502)-2),5)),0)=0,"",IFERROR(-INDEX(Expenses!D$3:D$999,SMALL(IF((Expenses!E$3:E$999="GBP")*(Expenses!A$3:A$999=DATE(2026,4,18)),ROW(Expenses!A$3:A$999)-2),5)),0)+IFERROR(INDEX(Income!C$3:C$502,SMALL(IF((Income!D$3:D$502="GBP")*(Income!A$3:A$502=DATE(2026,4,18)),ROW(Income!A$3:A$502)-2),5)),0))</f>
        <v/>
      </c>
      <c r="N83" s="126">
        <f t="array" ref="N83">IF(IFERROR(INDEX(Expenses!B$3:B$999,SMALL(IF((Expenses!E$3:E$999="GBP")*(Expenses!A$3:A$999=DATE(2026,4,18)),ROW(Expenses!A$3:A$999)-2),5)),"")&lt;&gt;"",IFERROR(INDEX(Expenses!B$3:B$999,SMALL(IF((Expenses!E$3:E$999="GBP")*(Expenses!A$3:A$999=DATE(2026,4,18)),ROW(Expenses!A$3:A$999)-2),5)),""),IF(IFERROR(INDEX(Income!B$3:B$502,SMALL(IF((Income!D$3:D$502="GBP")*(Income!A$3:A$502=DATE(2026,4,18)),ROW(Income!A$3:A$502)-2),5)),"")&lt;&gt;"",IFERROR(INDEX(Income!B$3:B$502,SMALL(IF((Income!D$3:D$502="GBP")*(Income!A$3:A$502=DATE(2026,4,18)),ROW(Income!A$3:A$502)-2),5)),""),""))</f>
        <v/>
      </c>
      <c r="O83" s="152">
        <f t="array" ref="O83">IF(IFERROR(-INDEX(Expenses!D$3:D$999,SMALL(IF((Expenses!E$3:E$999="GBP")*(Expenses!A$3:A$999=DATE(2026,4,19)),ROW(Expenses!A$3:A$999)-2),5)),0)+IFERROR(INDEX(Income!C$3:C$502,SMALL(IF((Income!D$3:D$502="GBP")*(Income!A$3:A$502=DATE(2026,4,19)),ROW(Income!A$3:A$502)-2),5)),0)=0,"",IFERROR(-INDEX(Expenses!D$3:D$999,SMALL(IF((Expenses!E$3:E$999="GBP")*(Expenses!A$3:A$999=DATE(2026,4,19)),ROW(Expenses!A$3:A$999)-2),5)),0)+IFERROR(INDEX(Income!C$3:C$502,SMALL(IF((Income!D$3:D$502="GBP")*(Income!A$3:A$502=DATE(2026,4,19)),ROW(Income!A$3:A$502)-2),5)),0))</f>
        <v/>
      </c>
      <c r="P83" s="126">
        <f t="array" ref="P83">IF(IFERROR(INDEX(Expenses!B$3:B$999,SMALL(IF((Expenses!E$3:E$999="GBP")*(Expenses!A$3:A$999=DATE(2026,4,19)),ROW(Expenses!A$3:A$999)-2),5)),"")&lt;&gt;"",IFERROR(INDEX(Expenses!B$3:B$999,SMALL(IF((Expenses!E$3:E$999="GBP")*(Expenses!A$3:A$999=DATE(2026,4,19)),ROW(Expenses!A$3:A$999)-2),5)),""),IF(IFERROR(INDEX(Income!B$3:B$502,SMALL(IF((Income!D$3:D$502="GBP")*(Income!A$3:A$502=DATE(2026,4,19)),ROW(Income!A$3:A$502)-2),5)),"")&lt;&gt;"",IFERROR(INDEX(Income!B$3:B$502,SMALL(IF((Income!D$3:D$502="GBP")*(Income!A$3:A$502=DATE(2026,4,19)),ROW(Income!A$3:A$502)-2),5)),""),""))</f>
        <v/>
      </c>
      <c r="Q83" s="9" t="n"/>
      <c r="R83" s="9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68">
      <c r="A84" s="151" t="n">
        <v>46132</v>
      </c>
      <c r="B84" s="103" t="n">
        <v>17</v>
      </c>
      <c r="C84" s="152">
        <f t="array" ref="C84">IF(IFERROR(-INDEX(Expenses!D$3:D$999,SMALL(IF((Expenses!E$3:E$999="GBP")*(Expenses!A$3:A$999=DATE(2026,4,20)),ROW(Expenses!A$3:A$999)-2),1)),0)+IFERROR(INDEX(Income!C$3:C$502,SMALL(IF((Income!D$3:D$502="GBP")*(Income!A$3:A$502=DATE(2026,4,20)),ROW(Income!A$3:A$502)-2),1)),0)=0,"",IFERROR(-INDEX(Expenses!D$3:D$999,SMALL(IF((Expenses!E$3:E$999="GBP")*(Expenses!A$3:A$999=DATE(2026,4,20)),ROW(Expenses!A$3:A$999)-2),1)),0)+IFERROR(INDEX(Income!C$3:C$502,SMALL(IF((Income!D$3:D$502="GBP")*(Income!A$3:A$502=DATE(2026,4,20)),ROW(Income!A$3:A$502)-2),1)),0))</f>
        <v/>
      </c>
      <c r="D84" s="126">
        <f t="array" ref="D84">IF(IFERROR(INDEX(Expenses!B$3:B$999,SMALL(IF((Expenses!E$3:E$999="GBP")*(Expenses!A$3:A$999=DATE(2026,4,20)),ROW(Expenses!A$3:A$999)-2),1)),"")&lt;&gt;"",IFERROR(INDEX(Expenses!B$3:B$999,SMALL(IF((Expenses!E$3:E$999="GBP")*(Expenses!A$3:A$999=DATE(2026,4,20)),ROW(Expenses!A$3:A$999)-2),1)),""),IF(IFERROR(INDEX(Income!B$3:B$502,SMALL(IF((Income!D$3:D$502="GBP")*(Income!A$3:A$502=DATE(2026,4,20)),ROW(Income!A$3:A$502)-2),1)),"")&lt;&gt;"",IFERROR(INDEX(Income!B$3:B$502,SMALL(IF((Income!D$3:D$502="GBP")*(Income!A$3:A$502=DATE(2026,4,20)),ROW(Income!A$3:A$502)-2),1)),""),""))</f>
        <v/>
      </c>
      <c r="E84" s="152">
        <f t="array" ref="E84">IF(IFERROR(-INDEX(Expenses!D$3:D$999,SMALL(IF((Expenses!E$3:E$999="GBP")*(Expenses!A$3:A$999=DATE(2026,4,21)),ROW(Expenses!A$3:A$999)-2),1)),0)+IFERROR(INDEX(Income!C$3:C$502,SMALL(IF((Income!D$3:D$502="GBP")*(Income!A$3:A$502=DATE(2026,4,21)),ROW(Income!A$3:A$502)-2),1)),0)=0,"",IFERROR(-INDEX(Expenses!D$3:D$999,SMALL(IF((Expenses!E$3:E$999="GBP")*(Expenses!A$3:A$999=DATE(2026,4,21)),ROW(Expenses!A$3:A$999)-2),1)),0)+IFERROR(INDEX(Income!C$3:C$502,SMALL(IF((Income!D$3:D$502="GBP")*(Income!A$3:A$502=DATE(2026,4,21)),ROW(Income!A$3:A$502)-2),1)),0))</f>
        <v/>
      </c>
      <c r="F84" s="126">
        <f t="array" ref="F84">IF(IFERROR(INDEX(Expenses!B$3:B$999,SMALL(IF((Expenses!E$3:E$999="GBP")*(Expenses!A$3:A$999=DATE(2026,4,21)),ROW(Expenses!A$3:A$999)-2),1)),"")&lt;&gt;"",IFERROR(INDEX(Expenses!B$3:B$999,SMALL(IF((Expenses!E$3:E$999="GBP")*(Expenses!A$3:A$999=DATE(2026,4,21)),ROW(Expenses!A$3:A$999)-2),1)),""),IF(IFERROR(INDEX(Income!B$3:B$502,SMALL(IF((Income!D$3:D$502="GBP")*(Income!A$3:A$502=DATE(2026,4,21)),ROW(Income!A$3:A$502)-2),1)),"")&lt;&gt;"",IFERROR(INDEX(Income!B$3:B$502,SMALL(IF((Income!D$3:D$502="GBP")*(Income!A$3:A$502=DATE(2026,4,21)),ROW(Income!A$3:A$502)-2),1)),""),""))</f>
        <v/>
      </c>
      <c r="G84" s="152">
        <f t="array" ref="G84">IF(IFERROR(-INDEX(Expenses!D$3:D$999,SMALL(IF((Expenses!E$3:E$999="GBP")*(Expenses!A$3:A$999=DATE(2026,4,22)),ROW(Expenses!A$3:A$999)-2),1)),0)+IFERROR(INDEX(Income!C$3:C$502,SMALL(IF((Income!D$3:D$502="GBP")*(Income!A$3:A$502=DATE(2026,4,22)),ROW(Income!A$3:A$502)-2),1)),0)=0,"",IFERROR(-INDEX(Expenses!D$3:D$999,SMALL(IF((Expenses!E$3:E$999="GBP")*(Expenses!A$3:A$999=DATE(2026,4,22)),ROW(Expenses!A$3:A$999)-2),1)),0)+IFERROR(INDEX(Income!C$3:C$502,SMALL(IF((Income!D$3:D$502="GBP")*(Income!A$3:A$502=DATE(2026,4,22)),ROW(Income!A$3:A$502)-2),1)),0))</f>
        <v/>
      </c>
      <c r="H84" s="126">
        <f t="array" ref="H84">IF(IFERROR(INDEX(Expenses!B$3:B$999,SMALL(IF((Expenses!E$3:E$999="GBP")*(Expenses!A$3:A$999=DATE(2026,4,22)),ROW(Expenses!A$3:A$999)-2),1)),"")&lt;&gt;"",IFERROR(INDEX(Expenses!B$3:B$999,SMALL(IF((Expenses!E$3:E$999="GBP")*(Expenses!A$3:A$999=DATE(2026,4,22)),ROW(Expenses!A$3:A$999)-2),1)),""),IF(IFERROR(INDEX(Income!B$3:B$502,SMALL(IF((Income!D$3:D$502="GBP")*(Income!A$3:A$502=DATE(2026,4,22)),ROW(Income!A$3:A$502)-2),1)),"")&lt;&gt;"",IFERROR(INDEX(Income!B$3:B$502,SMALL(IF((Income!D$3:D$502="GBP")*(Income!A$3:A$502=DATE(2026,4,22)),ROW(Income!A$3:A$502)-2),1)),""),""))</f>
        <v/>
      </c>
      <c r="I84" s="152">
        <f t="array" ref="I84">IF(IFERROR(-INDEX(Expenses!D$3:D$999,SMALL(IF((Expenses!E$3:E$999="GBP")*(Expenses!A$3:A$999=DATE(2026,4,23)),ROW(Expenses!A$3:A$999)-2),1)),0)+IFERROR(INDEX(Income!C$3:C$502,SMALL(IF((Income!D$3:D$502="GBP")*(Income!A$3:A$502=DATE(2026,4,23)),ROW(Income!A$3:A$502)-2),1)),0)=0,"",IFERROR(-INDEX(Expenses!D$3:D$999,SMALL(IF((Expenses!E$3:E$999="GBP")*(Expenses!A$3:A$999=DATE(2026,4,23)),ROW(Expenses!A$3:A$999)-2),1)),0)+IFERROR(INDEX(Income!C$3:C$502,SMALL(IF((Income!D$3:D$502="GBP")*(Income!A$3:A$502=DATE(2026,4,23)),ROW(Income!A$3:A$502)-2),1)),0))</f>
        <v/>
      </c>
      <c r="J84" s="126">
        <f t="array" ref="J84">IF(IFERROR(INDEX(Expenses!B$3:B$999,SMALL(IF((Expenses!E$3:E$999="GBP")*(Expenses!A$3:A$999=DATE(2026,4,23)),ROW(Expenses!A$3:A$999)-2),1)),"")&lt;&gt;"",IFERROR(INDEX(Expenses!B$3:B$999,SMALL(IF((Expenses!E$3:E$999="GBP")*(Expenses!A$3:A$999=DATE(2026,4,23)),ROW(Expenses!A$3:A$999)-2),1)),""),IF(IFERROR(INDEX(Income!B$3:B$502,SMALL(IF((Income!D$3:D$502="GBP")*(Income!A$3:A$502=DATE(2026,4,23)),ROW(Income!A$3:A$502)-2),1)),"")&lt;&gt;"",IFERROR(INDEX(Income!B$3:B$502,SMALL(IF((Income!D$3:D$502="GBP")*(Income!A$3:A$502=DATE(2026,4,23)),ROW(Income!A$3:A$502)-2),1)),""),""))</f>
        <v/>
      </c>
      <c r="K84" s="152">
        <f t="array" ref="K84">IF(IFERROR(-INDEX(Expenses!D$3:D$999,SMALL(IF((Expenses!E$3:E$999="GBP")*(Expenses!A$3:A$999=DATE(2026,4,24)),ROW(Expenses!A$3:A$999)-2),1)),0)+IFERROR(INDEX(Income!C$3:C$502,SMALL(IF((Income!D$3:D$502="GBP")*(Income!A$3:A$502=DATE(2026,4,24)),ROW(Income!A$3:A$502)-2),1)),0)=0,"",IFERROR(-INDEX(Expenses!D$3:D$999,SMALL(IF((Expenses!E$3:E$999="GBP")*(Expenses!A$3:A$999=DATE(2026,4,24)),ROW(Expenses!A$3:A$999)-2),1)),0)+IFERROR(INDEX(Income!C$3:C$502,SMALL(IF((Income!D$3:D$502="GBP")*(Income!A$3:A$502=DATE(2026,4,24)),ROW(Income!A$3:A$502)-2),1)),0))</f>
        <v/>
      </c>
      <c r="L84" s="126">
        <f t="array" ref="L84">IF(IFERROR(INDEX(Expenses!B$3:B$999,SMALL(IF((Expenses!E$3:E$999="GBP")*(Expenses!A$3:A$999=DATE(2026,4,24)),ROW(Expenses!A$3:A$999)-2),1)),"")&lt;&gt;"",IFERROR(INDEX(Expenses!B$3:B$999,SMALL(IF((Expenses!E$3:E$999="GBP")*(Expenses!A$3:A$999=DATE(2026,4,24)),ROW(Expenses!A$3:A$999)-2),1)),""),IF(IFERROR(INDEX(Income!B$3:B$502,SMALL(IF((Income!D$3:D$502="GBP")*(Income!A$3:A$502=DATE(2026,4,24)),ROW(Income!A$3:A$502)-2),1)),"")&lt;&gt;"",IFERROR(INDEX(Income!B$3:B$502,SMALL(IF((Income!D$3:D$502="GBP")*(Income!A$3:A$502=DATE(2026,4,24)),ROW(Income!A$3:A$502)-2),1)),""),""))</f>
        <v/>
      </c>
      <c r="M84" s="152">
        <f t="array" ref="M84">IF(IFERROR(-INDEX(Expenses!D$3:D$999,SMALL(IF((Expenses!E$3:E$999="GBP")*(Expenses!A$3:A$999=DATE(2026,4,25)),ROW(Expenses!A$3:A$999)-2),1)),0)+IFERROR(INDEX(Income!C$3:C$502,SMALL(IF((Income!D$3:D$502="GBP")*(Income!A$3:A$502=DATE(2026,4,25)),ROW(Income!A$3:A$502)-2),1)),0)=0,"",IFERROR(-INDEX(Expenses!D$3:D$999,SMALL(IF((Expenses!E$3:E$999="GBP")*(Expenses!A$3:A$999=DATE(2026,4,25)),ROW(Expenses!A$3:A$999)-2),1)),0)+IFERROR(INDEX(Income!C$3:C$502,SMALL(IF((Income!D$3:D$502="GBP")*(Income!A$3:A$502=DATE(2026,4,25)),ROW(Income!A$3:A$502)-2),1)),0))</f>
        <v/>
      </c>
      <c r="N84" s="126">
        <f t="array" ref="N84">IF(IFERROR(INDEX(Expenses!B$3:B$999,SMALL(IF((Expenses!E$3:E$999="GBP")*(Expenses!A$3:A$999=DATE(2026,4,25)),ROW(Expenses!A$3:A$999)-2),1)),"")&lt;&gt;"",IFERROR(INDEX(Expenses!B$3:B$999,SMALL(IF((Expenses!E$3:E$999="GBP")*(Expenses!A$3:A$999=DATE(2026,4,25)),ROW(Expenses!A$3:A$999)-2),1)),""),IF(IFERROR(INDEX(Income!B$3:B$502,SMALL(IF((Income!D$3:D$502="GBP")*(Income!A$3:A$502=DATE(2026,4,25)),ROW(Income!A$3:A$502)-2),1)),"")&lt;&gt;"",IFERROR(INDEX(Income!B$3:B$502,SMALL(IF((Income!D$3:D$502="GBP")*(Income!A$3:A$502=DATE(2026,4,25)),ROW(Income!A$3:A$502)-2),1)),""),""))</f>
        <v/>
      </c>
      <c r="O84" s="152">
        <f t="array" ref="O84">IF(IFERROR(-INDEX(Expenses!D$3:D$999,SMALL(IF((Expenses!E$3:E$999="GBP")*(Expenses!A$3:A$999=DATE(2026,4,26)),ROW(Expenses!A$3:A$999)-2),1)),0)+IFERROR(INDEX(Income!C$3:C$502,SMALL(IF((Income!D$3:D$502="GBP")*(Income!A$3:A$502=DATE(2026,4,26)),ROW(Income!A$3:A$502)-2),1)),0)=0,"",IFERROR(-INDEX(Expenses!D$3:D$999,SMALL(IF((Expenses!E$3:E$999="GBP")*(Expenses!A$3:A$999=DATE(2026,4,26)),ROW(Expenses!A$3:A$999)-2),1)),0)+IFERROR(INDEX(Income!C$3:C$502,SMALL(IF((Income!D$3:D$502="GBP")*(Income!A$3:A$502=DATE(2026,4,26)),ROW(Income!A$3:A$502)-2),1)),0))</f>
        <v/>
      </c>
      <c r="P84" s="126">
        <f t="array" ref="P84">IF(IFERROR(INDEX(Expenses!B$3:B$999,SMALL(IF((Expenses!E$3:E$999="GBP")*(Expenses!A$3:A$999=DATE(2026,4,26)),ROW(Expenses!A$3:A$999)-2),1)),"")&lt;&gt;"",IFERROR(INDEX(Expenses!B$3:B$999,SMALL(IF((Expenses!E$3:E$999="GBP")*(Expenses!A$3:A$999=DATE(2026,4,26)),ROW(Expenses!A$3:A$999)-2),1)),""),IF(IFERROR(INDEX(Income!B$3:B$502,SMALL(IF((Income!D$3:D$502="GBP")*(Income!A$3:A$502=DATE(2026,4,26)),ROW(Income!A$3:A$502)-2),1)),"")&lt;&gt;"",IFERROR(INDEX(Income!B$3:B$502,SMALL(IF((Income!D$3:D$502="GBP")*(Income!A$3:A$502=DATE(2026,4,26)),ROW(Income!A$3:A$502)-2),1)),""),""))</f>
        <v/>
      </c>
      <c r="Q84" s="103" t="n">
        <v>17</v>
      </c>
      <c r="R84" s="134">
        <f>SUM(C84:C88)+SUM(E84:E88)+SUM(G84:G88)+SUM(I84:I88)+SUM(K84:K88)+SUM(M84:M88)+SUM(O84:O88)</f>
        <v/>
      </c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68">
      <c r="A85" s="9" t="n"/>
      <c r="B85" s="9" t="n"/>
      <c r="C85" s="152">
        <f t="array" ref="C85">IF(IFERROR(-INDEX(Expenses!D$3:D$999,SMALL(IF((Expenses!E$3:E$999="GBP")*(Expenses!A$3:A$999=DATE(2026,4,20)),ROW(Expenses!A$3:A$999)-2),2)),0)+IFERROR(INDEX(Income!C$3:C$502,SMALL(IF((Income!D$3:D$502="GBP")*(Income!A$3:A$502=DATE(2026,4,20)),ROW(Income!A$3:A$502)-2),2)),0)=0,"",IFERROR(-INDEX(Expenses!D$3:D$999,SMALL(IF((Expenses!E$3:E$999="GBP")*(Expenses!A$3:A$999=DATE(2026,4,20)),ROW(Expenses!A$3:A$999)-2),2)),0)+IFERROR(INDEX(Income!C$3:C$502,SMALL(IF((Income!D$3:D$502="GBP")*(Income!A$3:A$502=DATE(2026,4,20)),ROW(Income!A$3:A$502)-2),2)),0))</f>
        <v/>
      </c>
      <c r="D85" s="126">
        <f t="array" ref="D85">IF(IFERROR(INDEX(Expenses!B$3:B$999,SMALL(IF((Expenses!E$3:E$999="GBP")*(Expenses!A$3:A$999=DATE(2026,4,20)),ROW(Expenses!A$3:A$999)-2),2)),"")&lt;&gt;"",IFERROR(INDEX(Expenses!B$3:B$999,SMALL(IF((Expenses!E$3:E$999="GBP")*(Expenses!A$3:A$999=DATE(2026,4,20)),ROW(Expenses!A$3:A$999)-2),2)),""),IF(IFERROR(INDEX(Income!B$3:B$502,SMALL(IF((Income!D$3:D$502="GBP")*(Income!A$3:A$502=DATE(2026,4,20)),ROW(Income!A$3:A$502)-2),2)),"")&lt;&gt;"",IFERROR(INDEX(Income!B$3:B$502,SMALL(IF((Income!D$3:D$502="GBP")*(Income!A$3:A$502=DATE(2026,4,20)),ROW(Income!A$3:A$502)-2),2)),""),""))</f>
        <v/>
      </c>
      <c r="E85" s="152">
        <f t="array" ref="E85">IF(IFERROR(-INDEX(Expenses!D$3:D$999,SMALL(IF((Expenses!E$3:E$999="GBP")*(Expenses!A$3:A$999=DATE(2026,4,21)),ROW(Expenses!A$3:A$999)-2),2)),0)+IFERROR(INDEX(Income!C$3:C$502,SMALL(IF((Income!D$3:D$502="GBP")*(Income!A$3:A$502=DATE(2026,4,21)),ROW(Income!A$3:A$502)-2),2)),0)=0,"",IFERROR(-INDEX(Expenses!D$3:D$999,SMALL(IF((Expenses!E$3:E$999="GBP")*(Expenses!A$3:A$999=DATE(2026,4,21)),ROW(Expenses!A$3:A$999)-2),2)),0)+IFERROR(INDEX(Income!C$3:C$502,SMALL(IF((Income!D$3:D$502="GBP")*(Income!A$3:A$502=DATE(2026,4,21)),ROW(Income!A$3:A$502)-2),2)),0))</f>
        <v/>
      </c>
      <c r="F85" s="126">
        <f t="array" ref="F85">IF(IFERROR(INDEX(Expenses!B$3:B$999,SMALL(IF((Expenses!E$3:E$999="GBP")*(Expenses!A$3:A$999=DATE(2026,4,21)),ROW(Expenses!A$3:A$999)-2),2)),"")&lt;&gt;"",IFERROR(INDEX(Expenses!B$3:B$999,SMALL(IF((Expenses!E$3:E$999="GBP")*(Expenses!A$3:A$999=DATE(2026,4,21)),ROW(Expenses!A$3:A$999)-2),2)),""),IF(IFERROR(INDEX(Income!B$3:B$502,SMALL(IF((Income!D$3:D$502="GBP")*(Income!A$3:A$502=DATE(2026,4,21)),ROW(Income!A$3:A$502)-2),2)),"")&lt;&gt;"",IFERROR(INDEX(Income!B$3:B$502,SMALL(IF((Income!D$3:D$502="GBP")*(Income!A$3:A$502=DATE(2026,4,21)),ROW(Income!A$3:A$502)-2),2)),""),""))</f>
        <v/>
      </c>
      <c r="G85" s="152">
        <f t="array" ref="G85">IF(IFERROR(-INDEX(Expenses!D$3:D$999,SMALL(IF((Expenses!E$3:E$999="GBP")*(Expenses!A$3:A$999=DATE(2026,4,22)),ROW(Expenses!A$3:A$999)-2),2)),0)+IFERROR(INDEX(Income!C$3:C$502,SMALL(IF((Income!D$3:D$502="GBP")*(Income!A$3:A$502=DATE(2026,4,22)),ROW(Income!A$3:A$502)-2),2)),0)=0,"",IFERROR(-INDEX(Expenses!D$3:D$999,SMALL(IF((Expenses!E$3:E$999="GBP")*(Expenses!A$3:A$999=DATE(2026,4,22)),ROW(Expenses!A$3:A$999)-2),2)),0)+IFERROR(INDEX(Income!C$3:C$502,SMALL(IF((Income!D$3:D$502="GBP")*(Income!A$3:A$502=DATE(2026,4,22)),ROW(Income!A$3:A$502)-2),2)),0))</f>
        <v/>
      </c>
      <c r="H85" s="126">
        <f t="array" ref="H85">IF(IFERROR(INDEX(Expenses!B$3:B$999,SMALL(IF((Expenses!E$3:E$999="GBP")*(Expenses!A$3:A$999=DATE(2026,4,22)),ROW(Expenses!A$3:A$999)-2),2)),"")&lt;&gt;"",IFERROR(INDEX(Expenses!B$3:B$999,SMALL(IF((Expenses!E$3:E$999="GBP")*(Expenses!A$3:A$999=DATE(2026,4,22)),ROW(Expenses!A$3:A$999)-2),2)),""),IF(IFERROR(INDEX(Income!B$3:B$502,SMALL(IF((Income!D$3:D$502="GBP")*(Income!A$3:A$502=DATE(2026,4,22)),ROW(Income!A$3:A$502)-2),2)),"")&lt;&gt;"",IFERROR(INDEX(Income!B$3:B$502,SMALL(IF((Income!D$3:D$502="GBP")*(Income!A$3:A$502=DATE(2026,4,22)),ROW(Income!A$3:A$502)-2),2)),""),""))</f>
        <v/>
      </c>
      <c r="I85" s="152">
        <f t="array" ref="I85">IF(IFERROR(-INDEX(Expenses!D$3:D$999,SMALL(IF((Expenses!E$3:E$999="GBP")*(Expenses!A$3:A$999=DATE(2026,4,23)),ROW(Expenses!A$3:A$999)-2),2)),0)+IFERROR(INDEX(Income!C$3:C$502,SMALL(IF((Income!D$3:D$502="GBP")*(Income!A$3:A$502=DATE(2026,4,23)),ROW(Income!A$3:A$502)-2),2)),0)=0,"",IFERROR(-INDEX(Expenses!D$3:D$999,SMALL(IF((Expenses!E$3:E$999="GBP")*(Expenses!A$3:A$999=DATE(2026,4,23)),ROW(Expenses!A$3:A$999)-2),2)),0)+IFERROR(INDEX(Income!C$3:C$502,SMALL(IF((Income!D$3:D$502="GBP")*(Income!A$3:A$502=DATE(2026,4,23)),ROW(Income!A$3:A$502)-2),2)),0))</f>
        <v/>
      </c>
      <c r="J85" s="126">
        <f t="array" ref="J85">IF(IFERROR(INDEX(Expenses!B$3:B$999,SMALL(IF((Expenses!E$3:E$999="GBP")*(Expenses!A$3:A$999=DATE(2026,4,23)),ROW(Expenses!A$3:A$999)-2),2)),"")&lt;&gt;"",IFERROR(INDEX(Expenses!B$3:B$999,SMALL(IF((Expenses!E$3:E$999="GBP")*(Expenses!A$3:A$999=DATE(2026,4,23)),ROW(Expenses!A$3:A$999)-2),2)),""),IF(IFERROR(INDEX(Income!B$3:B$502,SMALL(IF((Income!D$3:D$502="GBP")*(Income!A$3:A$502=DATE(2026,4,23)),ROW(Income!A$3:A$502)-2),2)),"")&lt;&gt;"",IFERROR(INDEX(Income!B$3:B$502,SMALL(IF((Income!D$3:D$502="GBP")*(Income!A$3:A$502=DATE(2026,4,23)),ROW(Income!A$3:A$502)-2),2)),""),""))</f>
        <v/>
      </c>
      <c r="K85" s="152">
        <f t="array" ref="K85">IF(IFERROR(-INDEX(Expenses!D$3:D$999,SMALL(IF((Expenses!E$3:E$999="GBP")*(Expenses!A$3:A$999=DATE(2026,4,24)),ROW(Expenses!A$3:A$999)-2),2)),0)+IFERROR(INDEX(Income!C$3:C$502,SMALL(IF((Income!D$3:D$502="GBP")*(Income!A$3:A$502=DATE(2026,4,24)),ROW(Income!A$3:A$502)-2),2)),0)=0,"",IFERROR(-INDEX(Expenses!D$3:D$999,SMALL(IF((Expenses!E$3:E$999="GBP")*(Expenses!A$3:A$999=DATE(2026,4,24)),ROW(Expenses!A$3:A$999)-2),2)),0)+IFERROR(INDEX(Income!C$3:C$502,SMALL(IF((Income!D$3:D$502="GBP")*(Income!A$3:A$502=DATE(2026,4,24)),ROW(Income!A$3:A$502)-2),2)),0))</f>
        <v/>
      </c>
      <c r="L85" s="126">
        <f t="array" ref="L85">IF(IFERROR(INDEX(Expenses!B$3:B$999,SMALL(IF((Expenses!E$3:E$999="GBP")*(Expenses!A$3:A$999=DATE(2026,4,24)),ROW(Expenses!A$3:A$999)-2),2)),"")&lt;&gt;"",IFERROR(INDEX(Expenses!B$3:B$999,SMALL(IF((Expenses!E$3:E$999="GBP")*(Expenses!A$3:A$999=DATE(2026,4,24)),ROW(Expenses!A$3:A$999)-2),2)),""),IF(IFERROR(INDEX(Income!B$3:B$502,SMALL(IF((Income!D$3:D$502="GBP")*(Income!A$3:A$502=DATE(2026,4,24)),ROW(Income!A$3:A$502)-2),2)),"")&lt;&gt;"",IFERROR(INDEX(Income!B$3:B$502,SMALL(IF((Income!D$3:D$502="GBP")*(Income!A$3:A$502=DATE(2026,4,24)),ROW(Income!A$3:A$502)-2),2)),""),""))</f>
        <v/>
      </c>
      <c r="M85" s="152">
        <f t="array" ref="M85">IF(IFERROR(-INDEX(Expenses!D$3:D$999,SMALL(IF((Expenses!E$3:E$999="GBP")*(Expenses!A$3:A$999=DATE(2026,4,25)),ROW(Expenses!A$3:A$999)-2),2)),0)+IFERROR(INDEX(Income!C$3:C$502,SMALL(IF((Income!D$3:D$502="GBP")*(Income!A$3:A$502=DATE(2026,4,25)),ROW(Income!A$3:A$502)-2),2)),0)=0,"",IFERROR(-INDEX(Expenses!D$3:D$999,SMALL(IF((Expenses!E$3:E$999="GBP")*(Expenses!A$3:A$999=DATE(2026,4,25)),ROW(Expenses!A$3:A$999)-2),2)),0)+IFERROR(INDEX(Income!C$3:C$502,SMALL(IF((Income!D$3:D$502="GBP")*(Income!A$3:A$502=DATE(2026,4,25)),ROW(Income!A$3:A$502)-2),2)),0))</f>
        <v/>
      </c>
      <c r="N85" s="126">
        <f t="array" ref="N85">IF(IFERROR(INDEX(Expenses!B$3:B$999,SMALL(IF((Expenses!E$3:E$999="GBP")*(Expenses!A$3:A$999=DATE(2026,4,25)),ROW(Expenses!A$3:A$999)-2),2)),"")&lt;&gt;"",IFERROR(INDEX(Expenses!B$3:B$999,SMALL(IF((Expenses!E$3:E$999="GBP")*(Expenses!A$3:A$999=DATE(2026,4,25)),ROW(Expenses!A$3:A$999)-2),2)),""),IF(IFERROR(INDEX(Income!B$3:B$502,SMALL(IF((Income!D$3:D$502="GBP")*(Income!A$3:A$502=DATE(2026,4,25)),ROW(Income!A$3:A$502)-2),2)),"")&lt;&gt;"",IFERROR(INDEX(Income!B$3:B$502,SMALL(IF((Income!D$3:D$502="GBP")*(Income!A$3:A$502=DATE(2026,4,25)),ROW(Income!A$3:A$502)-2),2)),""),""))</f>
        <v/>
      </c>
      <c r="O85" s="152">
        <f t="array" ref="O85">IF(IFERROR(-INDEX(Expenses!D$3:D$999,SMALL(IF((Expenses!E$3:E$999="GBP")*(Expenses!A$3:A$999=DATE(2026,4,26)),ROW(Expenses!A$3:A$999)-2),2)),0)+IFERROR(INDEX(Income!C$3:C$502,SMALL(IF((Income!D$3:D$502="GBP")*(Income!A$3:A$502=DATE(2026,4,26)),ROW(Income!A$3:A$502)-2),2)),0)=0,"",IFERROR(-INDEX(Expenses!D$3:D$999,SMALL(IF((Expenses!E$3:E$999="GBP")*(Expenses!A$3:A$999=DATE(2026,4,26)),ROW(Expenses!A$3:A$999)-2),2)),0)+IFERROR(INDEX(Income!C$3:C$502,SMALL(IF((Income!D$3:D$502="GBP")*(Income!A$3:A$502=DATE(2026,4,26)),ROW(Income!A$3:A$502)-2),2)),0))</f>
        <v/>
      </c>
      <c r="P85" s="126">
        <f t="array" ref="P85">IF(IFERROR(INDEX(Expenses!B$3:B$999,SMALL(IF((Expenses!E$3:E$999="GBP")*(Expenses!A$3:A$999=DATE(2026,4,26)),ROW(Expenses!A$3:A$999)-2),2)),"")&lt;&gt;"",IFERROR(INDEX(Expenses!B$3:B$999,SMALL(IF((Expenses!E$3:E$999="GBP")*(Expenses!A$3:A$999=DATE(2026,4,26)),ROW(Expenses!A$3:A$999)-2),2)),""),IF(IFERROR(INDEX(Income!B$3:B$502,SMALL(IF((Income!D$3:D$502="GBP")*(Income!A$3:A$502=DATE(2026,4,26)),ROW(Income!A$3:A$502)-2),2)),"")&lt;&gt;"",IFERROR(INDEX(Income!B$3:B$502,SMALL(IF((Income!D$3:D$502="GBP")*(Income!A$3:A$502=DATE(2026,4,26)),ROW(Income!A$3:A$502)-2),2)),""),""))</f>
        <v/>
      </c>
      <c r="Q85" s="9" t="n"/>
      <c r="R85" s="9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68">
      <c r="A86" s="9" t="n"/>
      <c r="B86" s="9" t="n"/>
      <c r="C86" s="152">
        <f t="array" ref="C86">IF(IFERROR(-INDEX(Expenses!D$3:D$999,SMALL(IF((Expenses!E$3:E$999="GBP")*(Expenses!A$3:A$999=DATE(2026,4,20)),ROW(Expenses!A$3:A$999)-2),3)),0)+IFERROR(INDEX(Income!C$3:C$502,SMALL(IF((Income!D$3:D$502="GBP")*(Income!A$3:A$502=DATE(2026,4,20)),ROW(Income!A$3:A$502)-2),3)),0)=0,"",IFERROR(-INDEX(Expenses!D$3:D$999,SMALL(IF((Expenses!E$3:E$999="GBP")*(Expenses!A$3:A$999=DATE(2026,4,20)),ROW(Expenses!A$3:A$999)-2),3)),0)+IFERROR(INDEX(Income!C$3:C$502,SMALL(IF((Income!D$3:D$502="GBP")*(Income!A$3:A$502=DATE(2026,4,20)),ROW(Income!A$3:A$502)-2),3)),0))</f>
        <v/>
      </c>
      <c r="D86" s="126">
        <f t="array" ref="D86">IF(IFERROR(INDEX(Expenses!B$3:B$999,SMALL(IF((Expenses!E$3:E$999="GBP")*(Expenses!A$3:A$999=DATE(2026,4,20)),ROW(Expenses!A$3:A$999)-2),3)),"")&lt;&gt;"",IFERROR(INDEX(Expenses!B$3:B$999,SMALL(IF((Expenses!E$3:E$999="GBP")*(Expenses!A$3:A$999=DATE(2026,4,20)),ROW(Expenses!A$3:A$999)-2),3)),""),IF(IFERROR(INDEX(Income!B$3:B$502,SMALL(IF((Income!D$3:D$502="GBP")*(Income!A$3:A$502=DATE(2026,4,20)),ROW(Income!A$3:A$502)-2),3)),"")&lt;&gt;"",IFERROR(INDEX(Income!B$3:B$502,SMALL(IF((Income!D$3:D$502="GBP")*(Income!A$3:A$502=DATE(2026,4,20)),ROW(Income!A$3:A$502)-2),3)),""),""))</f>
        <v/>
      </c>
      <c r="E86" s="152">
        <f t="array" ref="E86">IF(IFERROR(-INDEX(Expenses!D$3:D$999,SMALL(IF((Expenses!E$3:E$999="GBP")*(Expenses!A$3:A$999=DATE(2026,4,21)),ROW(Expenses!A$3:A$999)-2),3)),0)+IFERROR(INDEX(Income!C$3:C$502,SMALL(IF((Income!D$3:D$502="GBP")*(Income!A$3:A$502=DATE(2026,4,21)),ROW(Income!A$3:A$502)-2),3)),0)=0,"",IFERROR(-INDEX(Expenses!D$3:D$999,SMALL(IF((Expenses!E$3:E$999="GBP")*(Expenses!A$3:A$999=DATE(2026,4,21)),ROW(Expenses!A$3:A$999)-2),3)),0)+IFERROR(INDEX(Income!C$3:C$502,SMALL(IF((Income!D$3:D$502="GBP")*(Income!A$3:A$502=DATE(2026,4,21)),ROW(Income!A$3:A$502)-2),3)),0))</f>
        <v/>
      </c>
      <c r="F86" s="126">
        <f t="array" ref="F86">IF(IFERROR(INDEX(Expenses!B$3:B$999,SMALL(IF((Expenses!E$3:E$999="GBP")*(Expenses!A$3:A$999=DATE(2026,4,21)),ROW(Expenses!A$3:A$999)-2),3)),"")&lt;&gt;"",IFERROR(INDEX(Expenses!B$3:B$999,SMALL(IF((Expenses!E$3:E$999="GBP")*(Expenses!A$3:A$999=DATE(2026,4,21)),ROW(Expenses!A$3:A$999)-2),3)),""),IF(IFERROR(INDEX(Income!B$3:B$502,SMALL(IF((Income!D$3:D$502="GBP")*(Income!A$3:A$502=DATE(2026,4,21)),ROW(Income!A$3:A$502)-2),3)),"")&lt;&gt;"",IFERROR(INDEX(Income!B$3:B$502,SMALL(IF((Income!D$3:D$502="GBP")*(Income!A$3:A$502=DATE(2026,4,21)),ROW(Income!A$3:A$502)-2),3)),""),""))</f>
        <v/>
      </c>
      <c r="G86" s="152">
        <f t="array" ref="G86">IF(IFERROR(-INDEX(Expenses!D$3:D$999,SMALL(IF((Expenses!E$3:E$999="GBP")*(Expenses!A$3:A$999=DATE(2026,4,22)),ROW(Expenses!A$3:A$999)-2),3)),0)+IFERROR(INDEX(Income!C$3:C$502,SMALL(IF((Income!D$3:D$502="GBP")*(Income!A$3:A$502=DATE(2026,4,22)),ROW(Income!A$3:A$502)-2),3)),0)=0,"",IFERROR(-INDEX(Expenses!D$3:D$999,SMALL(IF((Expenses!E$3:E$999="GBP")*(Expenses!A$3:A$999=DATE(2026,4,22)),ROW(Expenses!A$3:A$999)-2),3)),0)+IFERROR(INDEX(Income!C$3:C$502,SMALL(IF((Income!D$3:D$502="GBP")*(Income!A$3:A$502=DATE(2026,4,22)),ROW(Income!A$3:A$502)-2),3)),0))</f>
        <v/>
      </c>
      <c r="H86" s="126">
        <f t="array" ref="H86">IF(IFERROR(INDEX(Expenses!B$3:B$999,SMALL(IF((Expenses!E$3:E$999="GBP")*(Expenses!A$3:A$999=DATE(2026,4,22)),ROW(Expenses!A$3:A$999)-2),3)),"")&lt;&gt;"",IFERROR(INDEX(Expenses!B$3:B$999,SMALL(IF((Expenses!E$3:E$999="GBP")*(Expenses!A$3:A$999=DATE(2026,4,22)),ROW(Expenses!A$3:A$999)-2),3)),""),IF(IFERROR(INDEX(Income!B$3:B$502,SMALL(IF((Income!D$3:D$502="GBP")*(Income!A$3:A$502=DATE(2026,4,22)),ROW(Income!A$3:A$502)-2),3)),"")&lt;&gt;"",IFERROR(INDEX(Income!B$3:B$502,SMALL(IF((Income!D$3:D$502="GBP")*(Income!A$3:A$502=DATE(2026,4,22)),ROW(Income!A$3:A$502)-2),3)),""),""))</f>
        <v/>
      </c>
      <c r="I86" s="152">
        <f t="array" ref="I86">IF(IFERROR(-INDEX(Expenses!D$3:D$999,SMALL(IF((Expenses!E$3:E$999="GBP")*(Expenses!A$3:A$999=DATE(2026,4,23)),ROW(Expenses!A$3:A$999)-2),3)),0)+IFERROR(INDEX(Income!C$3:C$502,SMALL(IF((Income!D$3:D$502="GBP")*(Income!A$3:A$502=DATE(2026,4,23)),ROW(Income!A$3:A$502)-2),3)),0)=0,"",IFERROR(-INDEX(Expenses!D$3:D$999,SMALL(IF((Expenses!E$3:E$999="GBP")*(Expenses!A$3:A$999=DATE(2026,4,23)),ROW(Expenses!A$3:A$999)-2),3)),0)+IFERROR(INDEX(Income!C$3:C$502,SMALL(IF((Income!D$3:D$502="GBP")*(Income!A$3:A$502=DATE(2026,4,23)),ROW(Income!A$3:A$502)-2),3)),0))</f>
        <v/>
      </c>
      <c r="J86" s="126">
        <f t="array" ref="J86">IF(IFERROR(INDEX(Expenses!B$3:B$999,SMALL(IF((Expenses!E$3:E$999="GBP")*(Expenses!A$3:A$999=DATE(2026,4,23)),ROW(Expenses!A$3:A$999)-2),3)),"")&lt;&gt;"",IFERROR(INDEX(Expenses!B$3:B$999,SMALL(IF((Expenses!E$3:E$999="GBP")*(Expenses!A$3:A$999=DATE(2026,4,23)),ROW(Expenses!A$3:A$999)-2),3)),""),IF(IFERROR(INDEX(Income!B$3:B$502,SMALL(IF((Income!D$3:D$502="GBP")*(Income!A$3:A$502=DATE(2026,4,23)),ROW(Income!A$3:A$502)-2),3)),"")&lt;&gt;"",IFERROR(INDEX(Income!B$3:B$502,SMALL(IF((Income!D$3:D$502="GBP")*(Income!A$3:A$502=DATE(2026,4,23)),ROW(Income!A$3:A$502)-2),3)),""),""))</f>
        <v/>
      </c>
      <c r="K86" s="152">
        <f t="array" ref="K86">IF(IFERROR(-INDEX(Expenses!D$3:D$999,SMALL(IF((Expenses!E$3:E$999="GBP")*(Expenses!A$3:A$999=DATE(2026,4,24)),ROW(Expenses!A$3:A$999)-2),3)),0)+IFERROR(INDEX(Income!C$3:C$502,SMALL(IF((Income!D$3:D$502="GBP")*(Income!A$3:A$502=DATE(2026,4,24)),ROW(Income!A$3:A$502)-2),3)),0)=0,"",IFERROR(-INDEX(Expenses!D$3:D$999,SMALL(IF((Expenses!E$3:E$999="GBP")*(Expenses!A$3:A$999=DATE(2026,4,24)),ROW(Expenses!A$3:A$999)-2),3)),0)+IFERROR(INDEX(Income!C$3:C$502,SMALL(IF((Income!D$3:D$502="GBP")*(Income!A$3:A$502=DATE(2026,4,24)),ROW(Income!A$3:A$502)-2),3)),0))</f>
        <v/>
      </c>
      <c r="L86" s="126">
        <f t="array" ref="L86">IF(IFERROR(INDEX(Expenses!B$3:B$999,SMALL(IF((Expenses!E$3:E$999="GBP")*(Expenses!A$3:A$999=DATE(2026,4,24)),ROW(Expenses!A$3:A$999)-2),3)),"")&lt;&gt;"",IFERROR(INDEX(Expenses!B$3:B$999,SMALL(IF((Expenses!E$3:E$999="GBP")*(Expenses!A$3:A$999=DATE(2026,4,24)),ROW(Expenses!A$3:A$999)-2),3)),""),IF(IFERROR(INDEX(Income!B$3:B$502,SMALL(IF((Income!D$3:D$502="GBP")*(Income!A$3:A$502=DATE(2026,4,24)),ROW(Income!A$3:A$502)-2),3)),"")&lt;&gt;"",IFERROR(INDEX(Income!B$3:B$502,SMALL(IF((Income!D$3:D$502="GBP")*(Income!A$3:A$502=DATE(2026,4,24)),ROW(Income!A$3:A$502)-2),3)),""),""))</f>
        <v/>
      </c>
      <c r="M86" s="152">
        <f t="array" ref="M86">IF(IFERROR(-INDEX(Expenses!D$3:D$999,SMALL(IF((Expenses!E$3:E$999="GBP")*(Expenses!A$3:A$999=DATE(2026,4,25)),ROW(Expenses!A$3:A$999)-2),3)),0)+IFERROR(INDEX(Income!C$3:C$502,SMALL(IF((Income!D$3:D$502="GBP")*(Income!A$3:A$502=DATE(2026,4,25)),ROW(Income!A$3:A$502)-2),3)),0)=0,"",IFERROR(-INDEX(Expenses!D$3:D$999,SMALL(IF((Expenses!E$3:E$999="GBP")*(Expenses!A$3:A$999=DATE(2026,4,25)),ROW(Expenses!A$3:A$999)-2),3)),0)+IFERROR(INDEX(Income!C$3:C$502,SMALL(IF((Income!D$3:D$502="GBP")*(Income!A$3:A$502=DATE(2026,4,25)),ROW(Income!A$3:A$502)-2),3)),0))</f>
        <v/>
      </c>
      <c r="N86" s="126">
        <f t="array" ref="N86">IF(IFERROR(INDEX(Expenses!B$3:B$999,SMALL(IF((Expenses!E$3:E$999="GBP")*(Expenses!A$3:A$999=DATE(2026,4,25)),ROW(Expenses!A$3:A$999)-2),3)),"")&lt;&gt;"",IFERROR(INDEX(Expenses!B$3:B$999,SMALL(IF((Expenses!E$3:E$999="GBP")*(Expenses!A$3:A$999=DATE(2026,4,25)),ROW(Expenses!A$3:A$999)-2),3)),""),IF(IFERROR(INDEX(Income!B$3:B$502,SMALL(IF((Income!D$3:D$502="GBP")*(Income!A$3:A$502=DATE(2026,4,25)),ROW(Income!A$3:A$502)-2),3)),"")&lt;&gt;"",IFERROR(INDEX(Income!B$3:B$502,SMALL(IF((Income!D$3:D$502="GBP")*(Income!A$3:A$502=DATE(2026,4,25)),ROW(Income!A$3:A$502)-2),3)),""),""))</f>
        <v/>
      </c>
      <c r="O86" s="152">
        <f t="array" ref="O86">IF(IFERROR(-INDEX(Expenses!D$3:D$999,SMALL(IF((Expenses!E$3:E$999="GBP")*(Expenses!A$3:A$999=DATE(2026,4,26)),ROW(Expenses!A$3:A$999)-2),3)),0)+IFERROR(INDEX(Income!C$3:C$502,SMALL(IF((Income!D$3:D$502="GBP")*(Income!A$3:A$502=DATE(2026,4,26)),ROW(Income!A$3:A$502)-2),3)),0)=0,"",IFERROR(-INDEX(Expenses!D$3:D$999,SMALL(IF((Expenses!E$3:E$999="GBP")*(Expenses!A$3:A$999=DATE(2026,4,26)),ROW(Expenses!A$3:A$999)-2),3)),0)+IFERROR(INDEX(Income!C$3:C$502,SMALL(IF((Income!D$3:D$502="GBP")*(Income!A$3:A$502=DATE(2026,4,26)),ROW(Income!A$3:A$502)-2),3)),0))</f>
        <v/>
      </c>
      <c r="P86" s="126">
        <f t="array" ref="P86">IF(IFERROR(INDEX(Expenses!B$3:B$999,SMALL(IF((Expenses!E$3:E$999="GBP")*(Expenses!A$3:A$999=DATE(2026,4,26)),ROW(Expenses!A$3:A$999)-2),3)),"")&lt;&gt;"",IFERROR(INDEX(Expenses!B$3:B$999,SMALL(IF((Expenses!E$3:E$999="GBP")*(Expenses!A$3:A$999=DATE(2026,4,26)),ROW(Expenses!A$3:A$999)-2),3)),""),IF(IFERROR(INDEX(Income!B$3:B$502,SMALL(IF((Income!D$3:D$502="GBP")*(Income!A$3:A$502=DATE(2026,4,26)),ROW(Income!A$3:A$502)-2),3)),"")&lt;&gt;"",IFERROR(INDEX(Income!B$3:B$502,SMALL(IF((Income!D$3:D$502="GBP")*(Income!A$3:A$502=DATE(2026,4,26)),ROW(Income!A$3:A$502)-2),3)),""),""))</f>
        <v/>
      </c>
      <c r="Q86" s="9" t="n"/>
      <c r="R86" s="9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68">
      <c r="A87" s="9" t="n"/>
      <c r="B87" s="9" t="n"/>
      <c r="C87" s="152">
        <f t="array" ref="C87">IF(IFERROR(-INDEX(Expenses!D$3:D$999,SMALL(IF((Expenses!E$3:E$999="GBP")*(Expenses!A$3:A$999=DATE(2026,4,20)),ROW(Expenses!A$3:A$999)-2),4)),0)+IFERROR(INDEX(Income!C$3:C$502,SMALL(IF((Income!D$3:D$502="GBP")*(Income!A$3:A$502=DATE(2026,4,20)),ROW(Income!A$3:A$502)-2),4)),0)=0,"",IFERROR(-INDEX(Expenses!D$3:D$999,SMALL(IF((Expenses!E$3:E$999="GBP")*(Expenses!A$3:A$999=DATE(2026,4,20)),ROW(Expenses!A$3:A$999)-2),4)),0)+IFERROR(INDEX(Income!C$3:C$502,SMALL(IF((Income!D$3:D$502="GBP")*(Income!A$3:A$502=DATE(2026,4,20)),ROW(Income!A$3:A$502)-2),4)),0))</f>
        <v/>
      </c>
      <c r="D87" s="126">
        <f t="array" ref="D87">IF(IFERROR(INDEX(Expenses!B$3:B$999,SMALL(IF((Expenses!E$3:E$999="GBP")*(Expenses!A$3:A$999=DATE(2026,4,20)),ROW(Expenses!A$3:A$999)-2),4)),"")&lt;&gt;"",IFERROR(INDEX(Expenses!B$3:B$999,SMALL(IF((Expenses!E$3:E$999="GBP")*(Expenses!A$3:A$999=DATE(2026,4,20)),ROW(Expenses!A$3:A$999)-2),4)),""),IF(IFERROR(INDEX(Income!B$3:B$502,SMALL(IF((Income!D$3:D$502="GBP")*(Income!A$3:A$502=DATE(2026,4,20)),ROW(Income!A$3:A$502)-2),4)),"")&lt;&gt;"",IFERROR(INDEX(Income!B$3:B$502,SMALL(IF((Income!D$3:D$502="GBP")*(Income!A$3:A$502=DATE(2026,4,20)),ROW(Income!A$3:A$502)-2),4)),""),""))</f>
        <v/>
      </c>
      <c r="E87" s="152">
        <f t="array" ref="E87">IF(IFERROR(-INDEX(Expenses!D$3:D$999,SMALL(IF((Expenses!E$3:E$999="GBP")*(Expenses!A$3:A$999=DATE(2026,4,21)),ROW(Expenses!A$3:A$999)-2),4)),0)+IFERROR(INDEX(Income!C$3:C$502,SMALL(IF((Income!D$3:D$502="GBP")*(Income!A$3:A$502=DATE(2026,4,21)),ROW(Income!A$3:A$502)-2),4)),0)=0,"",IFERROR(-INDEX(Expenses!D$3:D$999,SMALL(IF((Expenses!E$3:E$999="GBP")*(Expenses!A$3:A$999=DATE(2026,4,21)),ROW(Expenses!A$3:A$999)-2),4)),0)+IFERROR(INDEX(Income!C$3:C$502,SMALL(IF((Income!D$3:D$502="GBP")*(Income!A$3:A$502=DATE(2026,4,21)),ROW(Income!A$3:A$502)-2),4)),0))</f>
        <v/>
      </c>
      <c r="F87" s="126">
        <f t="array" ref="F87">IF(IFERROR(INDEX(Expenses!B$3:B$999,SMALL(IF((Expenses!E$3:E$999="GBP")*(Expenses!A$3:A$999=DATE(2026,4,21)),ROW(Expenses!A$3:A$999)-2),4)),"")&lt;&gt;"",IFERROR(INDEX(Expenses!B$3:B$999,SMALL(IF((Expenses!E$3:E$999="GBP")*(Expenses!A$3:A$999=DATE(2026,4,21)),ROW(Expenses!A$3:A$999)-2),4)),""),IF(IFERROR(INDEX(Income!B$3:B$502,SMALL(IF((Income!D$3:D$502="GBP")*(Income!A$3:A$502=DATE(2026,4,21)),ROW(Income!A$3:A$502)-2),4)),"")&lt;&gt;"",IFERROR(INDEX(Income!B$3:B$502,SMALL(IF((Income!D$3:D$502="GBP")*(Income!A$3:A$502=DATE(2026,4,21)),ROW(Income!A$3:A$502)-2),4)),""),""))</f>
        <v/>
      </c>
      <c r="G87" s="152">
        <f t="array" ref="G87">IF(IFERROR(-INDEX(Expenses!D$3:D$999,SMALL(IF((Expenses!E$3:E$999="GBP")*(Expenses!A$3:A$999=DATE(2026,4,22)),ROW(Expenses!A$3:A$999)-2),4)),0)+IFERROR(INDEX(Income!C$3:C$502,SMALL(IF((Income!D$3:D$502="GBP")*(Income!A$3:A$502=DATE(2026,4,22)),ROW(Income!A$3:A$502)-2),4)),0)=0,"",IFERROR(-INDEX(Expenses!D$3:D$999,SMALL(IF((Expenses!E$3:E$999="GBP")*(Expenses!A$3:A$999=DATE(2026,4,22)),ROW(Expenses!A$3:A$999)-2),4)),0)+IFERROR(INDEX(Income!C$3:C$502,SMALL(IF((Income!D$3:D$502="GBP")*(Income!A$3:A$502=DATE(2026,4,22)),ROW(Income!A$3:A$502)-2),4)),0))</f>
        <v/>
      </c>
      <c r="H87" s="126">
        <f t="array" ref="H87">IF(IFERROR(INDEX(Expenses!B$3:B$999,SMALL(IF((Expenses!E$3:E$999="GBP")*(Expenses!A$3:A$999=DATE(2026,4,22)),ROW(Expenses!A$3:A$999)-2),4)),"")&lt;&gt;"",IFERROR(INDEX(Expenses!B$3:B$999,SMALL(IF((Expenses!E$3:E$999="GBP")*(Expenses!A$3:A$999=DATE(2026,4,22)),ROW(Expenses!A$3:A$999)-2),4)),""),IF(IFERROR(INDEX(Income!B$3:B$502,SMALL(IF((Income!D$3:D$502="GBP")*(Income!A$3:A$502=DATE(2026,4,22)),ROW(Income!A$3:A$502)-2),4)),"")&lt;&gt;"",IFERROR(INDEX(Income!B$3:B$502,SMALL(IF((Income!D$3:D$502="GBP")*(Income!A$3:A$502=DATE(2026,4,22)),ROW(Income!A$3:A$502)-2),4)),""),""))</f>
        <v/>
      </c>
      <c r="I87" s="152">
        <f t="array" ref="I87">IF(IFERROR(-INDEX(Expenses!D$3:D$999,SMALL(IF((Expenses!E$3:E$999="GBP")*(Expenses!A$3:A$999=DATE(2026,4,23)),ROW(Expenses!A$3:A$999)-2),4)),0)+IFERROR(INDEX(Income!C$3:C$502,SMALL(IF((Income!D$3:D$502="GBP")*(Income!A$3:A$502=DATE(2026,4,23)),ROW(Income!A$3:A$502)-2),4)),0)=0,"",IFERROR(-INDEX(Expenses!D$3:D$999,SMALL(IF((Expenses!E$3:E$999="GBP")*(Expenses!A$3:A$999=DATE(2026,4,23)),ROW(Expenses!A$3:A$999)-2),4)),0)+IFERROR(INDEX(Income!C$3:C$502,SMALL(IF((Income!D$3:D$502="GBP")*(Income!A$3:A$502=DATE(2026,4,23)),ROW(Income!A$3:A$502)-2),4)),0))</f>
        <v/>
      </c>
      <c r="J87" s="126">
        <f t="array" ref="J87">IF(IFERROR(INDEX(Expenses!B$3:B$999,SMALL(IF((Expenses!E$3:E$999="GBP")*(Expenses!A$3:A$999=DATE(2026,4,23)),ROW(Expenses!A$3:A$999)-2),4)),"")&lt;&gt;"",IFERROR(INDEX(Expenses!B$3:B$999,SMALL(IF((Expenses!E$3:E$999="GBP")*(Expenses!A$3:A$999=DATE(2026,4,23)),ROW(Expenses!A$3:A$999)-2),4)),""),IF(IFERROR(INDEX(Income!B$3:B$502,SMALL(IF((Income!D$3:D$502="GBP")*(Income!A$3:A$502=DATE(2026,4,23)),ROW(Income!A$3:A$502)-2),4)),"")&lt;&gt;"",IFERROR(INDEX(Income!B$3:B$502,SMALL(IF((Income!D$3:D$502="GBP")*(Income!A$3:A$502=DATE(2026,4,23)),ROW(Income!A$3:A$502)-2),4)),""),""))</f>
        <v/>
      </c>
      <c r="K87" s="152">
        <f t="array" ref="K87">IF(IFERROR(-INDEX(Expenses!D$3:D$999,SMALL(IF((Expenses!E$3:E$999="GBP")*(Expenses!A$3:A$999=DATE(2026,4,24)),ROW(Expenses!A$3:A$999)-2),4)),0)+IFERROR(INDEX(Income!C$3:C$502,SMALL(IF((Income!D$3:D$502="GBP")*(Income!A$3:A$502=DATE(2026,4,24)),ROW(Income!A$3:A$502)-2),4)),0)=0,"",IFERROR(-INDEX(Expenses!D$3:D$999,SMALL(IF((Expenses!E$3:E$999="GBP")*(Expenses!A$3:A$999=DATE(2026,4,24)),ROW(Expenses!A$3:A$999)-2),4)),0)+IFERROR(INDEX(Income!C$3:C$502,SMALL(IF((Income!D$3:D$502="GBP")*(Income!A$3:A$502=DATE(2026,4,24)),ROW(Income!A$3:A$502)-2),4)),0))</f>
        <v/>
      </c>
      <c r="L87" s="126">
        <f t="array" ref="L87">IF(IFERROR(INDEX(Expenses!B$3:B$999,SMALL(IF((Expenses!E$3:E$999="GBP")*(Expenses!A$3:A$999=DATE(2026,4,24)),ROW(Expenses!A$3:A$999)-2),4)),"")&lt;&gt;"",IFERROR(INDEX(Expenses!B$3:B$999,SMALL(IF((Expenses!E$3:E$999="GBP")*(Expenses!A$3:A$999=DATE(2026,4,24)),ROW(Expenses!A$3:A$999)-2),4)),""),IF(IFERROR(INDEX(Income!B$3:B$502,SMALL(IF((Income!D$3:D$502="GBP")*(Income!A$3:A$502=DATE(2026,4,24)),ROW(Income!A$3:A$502)-2),4)),"")&lt;&gt;"",IFERROR(INDEX(Income!B$3:B$502,SMALL(IF((Income!D$3:D$502="GBP")*(Income!A$3:A$502=DATE(2026,4,24)),ROW(Income!A$3:A$502)-2),4)),""),""))</f>
        <v/>
      </c>
      <c r="M87" s="152">
        <f t="array" ref="M87">IF(IFERROR(-INDEX(Expenses!D$3:D$999,SMALL(IF((Expenses!E$3:E$999="GBP")*(Expenses!A$3:A$999=DATE(2026,4,25)),ROW(Expenses!A$3:A$999)-2),4)),0)+IFERROR(INDEX(Income!C$3:C$502,SMALL(IF((Income!D$3:D$502="GBP")*(Income!A$3:A$502=DATE(2026,4,25)),ROW(Income!A$3:A$502)-2),4)),0)=0,"",IFERROR(-INDEX(Expenses!D$3:D$999,SMALL(IF((Expenses!E$3:E$999="GBP")*(Expenses!A$3:A$999=DATE(2026,4,25)),ROW(Expenses!A$3:A$999)-2),4)),0)+IFERROR(INDEX(Income!C$3:C$502,SMALL(IF((Income!D$3:D$502="GBP")*(Income!A$3:A$502=DATE(2026,4,25)),ROW(Income!A$3:A$502)-2),4)),0))</f>
        <v/>
      </c>
      <c r="N87" s="126">
        <f t="array" ref="N87">IF(IFERROR(INDEX(Expenses!B$3:B$999,SMALL(IF((Expenses!E$3:E$999="GBP")*(Expenses!A$3:A$999=DATE(2026,4,25)),ROW(Expenses!A$3:A$999)-2),4)),"")&lt;&gt;"",IFERROR(INDEX(Expenses!B$3:B$999,SMALL(IF((Expenses!E$3:E$999="GBP")*(Expenses!A$3:A$999=DATE(2026,4,25)),ROW(Expenses!A$3:A$999)-2),4)),""),IF(IFERROR(INDEX(Income!B$3:B$502,SMALL(IF((Income!D$3:D$502="GBP")*(Income!A$3:A$502=DATE(2026,4,25)),ROW(Income!A$3:A$502)-2),4)),"")&lt;&gt;"",IFERROR(INDEX(Income!B$3:B$502,SMALL(IF((Income!D$3:D$502="GBP")*(Income!A$3:A$502=DATE(2026,4,25)),ROW(Income!A$3:A$502)-2),4)),""),""))</f>
        <v/>
      </c>
      <c r="O87" s="152">
        <f t="array" ref="O87">IF(IFERROR(-INDEX(Expenses!D$3:D$999,SMALL(IF((Expenses!E$3:E$999="GBP")*(Expenses!A$3:A$999=DATE(2026,4,26)),ROW(Expenses!A$3:A$999)-2),4)),0)+IFERROR(INDEX(Income!C$3:C$502,SMALL(IF((Income!D$3:D$502="GBP")*(Income!A$3:A$502=DATE(2026,4,26)),ROW(Income!A$3:A$502)-2),4)),0)=0,"",IFERROR(-INDEX(Expenses!D$3:D$999,SMALL(IF((Expenses!E$3:E$999="GBP")*(Expenses!A$3:A$999=DATE(2026,4,26)),ROW(Expenses!A$3:A$999)-2),4)),0)+IFERROR(INDEX(Income!C$3:C$502,SMALL(IF((Income!D$3:D$502="GBP")*(Income!A$3:A$502=DATE(2026,4,26)),ROW(Income!A$3:A$502)-2),4)),0))</f>
        <v/>
      </c>
      <c r="P87" s="126">
        <f t="array" ref="P87">IF(IFERROR(INDEX(Expenses!B$3:B$999,SMALL(IF((Expenses!E$3:E$999="GBP")*(Expenses!A$3:A$999=DATE(2026,4,26)),ROW(Expenses!A$3:A$999)-2),4)),"")&lt;&gt;"",IFERROR(INDEX(Expenses!B$3:B$999,SMALL(IF((Expenses!E$3:E$999="GBP")*(Expenses!A$3:A$999=DATE(2026,4,26)),ROW(Expenses!A$3:A$999)-2),4)),""),IF(IFERROR(INDEX(Income!B$3:B$502,SMALL(IF((Income!D$3:D$502="GBP")*(Income!A$3:A$502=DATE(2026,4,26)),ROW(Income!A$3:A$502)-2),4)),"")&lt;&gt;"",IFERROR(INDEX(Income!B$3:B$502,SMALL(IF((Income!D$3:D$502="GBP")*(Income!A$3:A$502=DATE(2026,4,26)),ROW(Income!A$3:A$502)-2),4)),""),""))</f>
        <v/>
      </c>
      <c r="Q87" s="9" t="n"/>
      <c r="R87" s="9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68">
      <c r="A88" s="9" t="n"/>
      <c r="B88" s="9" t="n"/>
      <c r="C88" s="152">
        <f t="array" ref="C88">IF(IFERROR(-INDEX(Expenses!D$3:D$999,SMALL(IF((Expenses!E$3:E$999="GBP")*(Expenses!A$3:A$999=DATE(2026,4,20)),ROW(Expenses!A$3:A$999)-2),5)),0)+IFERROR(INDEX(Income!C$3:C$502,SMALL(IF((Income!D$3:D$502="GBP")*(Income!A$3:A$502=DATE(2026,4,20)),ROW(Income!A$3:A$502)-2),5)),0)=0,"",IFERROR(-INDEX(Expenses!D$3:D$999,SMALL(IF((Expenses!E$3:E$999="GBP")*(Expenses!A$3:A$999=DATE(2026,4,20)),ROW(Expenses!A$3:A$999)-2),5)),0)+IFERROR(INDEX(Income!C$3:C$502,SMALL(IF((Income!D$3:D$502="GBP")*(Income!A$3:A$502=DATE(2026,4,20)),ROW(Income!A$3:A$502)-2),5)),0))</f>
        <v/>
      </c>
      <c r="D88" s="126">
        <f t="array" ref="D88">IF(IFERROR(INDEX(Expenses!B$3:B$999,SMALL(IF((Expenses!E$3:E$999="GBP")*(Expenses!A$3:A$999=DATE(2026,4,20)),ROW(Expenses!A$3:A$999)-2),5)),"")&lt;&gt;"",IFERROR(INDEX(Expenses!B$3:B$999,SMALL(IF((Expenses!E$3:E$999="GBP")*(Expenses!A$3:A$999=DATE(2026,4,20)),ROW(Expenses!A$3:A$999)-2),5)),""),IF(IFERROR(INDEX(Income!B$3:B$502,SMALL(IF((Income!D$3:D$502="GBP")*(Income!A$3:A$502=DATE(2026,4,20)),ROW(Income!A$3:A$502)-2),5)),"")&lt;&gt;"",IFERROR(INDEX(Income!B$3:B$502,SMALL(IF((Income!D$3:D$502="GBP")*(Income!A$3:A$502=DATE(2026,4,20)),ROW(Income!A$3:A$502)-2),5)),""),""))</f>
        <v/>
      </c>
      <c r="E88" s="152">
        <f t="array" ref="E88">IF(IFERROR(-INDEX(Expenses!D$3:D$999,SMALL(IF((Expenses!E$3:E$999="GBP")*(Expenses!A$3:A$999=DATE(2026,4,21)),ROW(Expenses!A$3:A$999)-2),5)),0)+IFERROR(INDEX(Income!C$3:C$502,SMALL(IF((Income!D$3:D$502="GBP")*(Income!A$3:A$502=DATE(2026,4,21)),ROW(Income!A$3:A$502)-2),5)),0)=0,"",IFERROR(-INDEX(Expenses!D$3:D$999,SMALL(IF((Expenses!E$3:E$999="GBP")*(Expenses!A$3:A$999=DATE(2026,4,21)),ROW(Expenses!A$3:A$999)-2),5)),0)+IFERROR(INDEX(Income!C$3:C$502,SMALL(IF((Income!D$3:D$502="GBP")*(Income!A$3:A$502=DATE(2026,4,21)),ROW(Income!A$3:A$502)-2),5)),0))</f>
        <v/>
      </c>
      <c r="F88" s="126">
        <f t="array" ref="F88">IF(IFERROR(INDEX(Expenses!B$3:B$999,SMALL(IF((Expenses!E$3:E$999="GBP")*(Expenses!A$3:A$999=DATE(2026,4,21)),ROW(Expenses!A$3:A$999)-2),5)),"")&lt;&gt;"",IFERROR(INDEX(Expenses!B$3:B$999,SMALL(IF((Expenses!E$3:E$999="GBP")*(Expenses!A$3:A$999=DATE(2026,4,21)),ROW(Expenses!A$3:A$999)-2),5)),""),IF(IFERROR(INDEX(Income!B$3:B$502,SMALL(IF((Income!D$3:D$502="GBP")*(Income!A$3:A$502=DATE(2026,4,21)),ROW(Income!A$3:A$502)-2),5)),"")&lt;&gt;"",IFERROR(INDEX(Income!B$3:B$502,SMALL(IF((Income!D$3:D$502="GBP")*(Income!A$3:A$502=DATE(2026,4,21)),ROW(Income!A$3:A$502)-2),5)),""),""))</f>
        <v/>
      </c>
      <c r="G88" s="152">
        <f t="array" ref="G88">IF(IFERROR(-INDEX(Expenses!D$3:D$999,SMALL(IF((Expenses!E$3:E$999="GBP")*(Expenses!A$3:A$999=DATE(2026,4,22)),ROW(Expenses!A$3:A$999)-2),5)),0)+IFERROR(INDEX(Income!C$3:C$502,SMALL(IF((Income!D$3:D$502="GBP")*(Income!A$3:A$502=DATE(2026,4,22)),ROW(Income!A$3:A$502)-2),5)),0)=0,"",IFERROR(-INDEX(Expenses!D$3:D$999,SMALL(IF((Expenses!E$3:E$999="GBP")*(Expenses!A$3:A$999=DATE(2026,4,22)),ROW(Expenses!A$3:A$999)-2),5)),0)+IFERROR(INDEX(Income!C$3:C$502,SMALL(IF((Income!D$3:D$502="GBP")*(Income!A$3:A$502=DATE(2026,4,22)),ROW(Income!A$3:A$502)-2),5)),0))</f>
        <v/>
      </c>
      <c r="H88" s="126">
        <f t="array" ref="H88">IF(IFERROR(INDEX(Expenses!B$3:B$999,SMALL(IF((Expenses!E$3:E$999="GBP")*(Expenses!A$3:A$999=DATE(2026,4,22)),ROW(Expenses!A$3:A$999)-2),5)),"")&lt;&gt;"",IFERROR(INDEX(Expenses!B$3:B$999,SMALL(IF((Expenses!E$3:E$999="GBP")*(Expenses!A$3:A$999=DATE(2026,4,22)),ROW(Expenses!A$3:A$999)-2),5)),""),IF(IFERROR(INDEX(Income!B$3:B$502,SMALL(IF((Income!D$3:D$502="GBP")*(Income!A$3:A$502=DATE(2026,4,22)),ROW(Income!A$3:A$502)-2),5)),"")&lt;&gt;"",IFERROR(INDEX(Income!B$3:B$502,SMALL(IF((Income!D$3:D$502="GBP")*(Income!A$3:A$502=DATE(2026,4,22)),ROW(Income!A$3:A$502)-2),5)),""),""))</f>
        <v/>
      </c>
      <c r="I88" s="152">
        <f t="array" ref="I88">IF(IFERROR(-INDEX(Expenses!D$3:D$999,SMALL(IF((Expenses!E$3:E$999="GBP")*(Expenses!A$3:A$999=DATE(2026,4,23)),ROW(Expenses!A$3:A$999)-2),5)),0)+IFERROR(INDEX(Income!C$3:C$502,SMALL(IF((Income!D$3:D$502="GBP")*(Income!A$3:A$502=DATE(2026,4,23)),ROW(Income!A$3:A$502)-2),5)),0)=0,"",IFERROR(-INDEX(Expenses!D$3:D$999,SMALL(IF((Expenses!E$3:E$999="GBP")*(Expenses!A$3:A$999=DATE(2026,4,23)),ROW(Expenses!A$3:A$999)-2),5)),0)+IFERROR(INDEX(Income!C$3:C$502,SMALL(IF((Income!D$3:D$502="GBP")*(Income!A$3:A$502=DATE(2026,4,23)),ROW(Income!A$3:A$502)-2),5)),0))</f>
        <v/>
      </c>
      <c r="J88" s="126">
        <f t="array" ref="J88">IF(IFERROR(INDEX(Expenses!B$3:B$999,SMALL(IF((Expenses!E$3:E$999="GBP")*(Expenses!A$3:A$999=DATE(2026,4,23)),ROW(Expenses!A$3:A$999)-2),5)),"")&lt;&gt;"",IFERROR(INDEX(Expenses!B$3:B$999,SMALL(IF((Expenses!E$3:E$999="GBP")*(Expenses!A$3:A$999=DATE(2026,4,23)),ROW(Expenses!A$3:A$999)-2),5)),""),IF(IFERROR(INDEX(Income!B$3:B$502,SMALL(IF((Income!D$3:D$502="GBP")*(Income!A$3:A$502=DATE(2026,4,23)),ROW(Income!A$3:A$502)-2),5)),"")&lt;&gt;"",IFERROR(INDEX(Income!B$3:B$502,SMALL(IF((Income!D$3:D$502="GBP")*(Income!A$3:A$502=DATE(2026,4,23)),ROW(Income!A$3:A$502)-2),5)),""),""))</f>
        <v/>
      </c>
      <c r="K88" s="152">
        <f t="array" ref="K88">IF(IFERROR(-INDEX(Expenses!D$3:D$999,SMALL(IF((Expenses!E$3:E$999="GBP")*(Expenses!A$3:A$999=DATE(2026,4,24)),ROW(Expenses!A$3:A$999)-2),5)),0)+IFERROR(INDEX(Income!C$3:C$502,SMALL(IF((Income!D$3:D$502="GBP")*(Income!A$3:A$502=DATE(2026,4,24)),ROW(Income!A$3:A$502)-2),5)),0)=0,"",IFERROR(-INDEX(Expenses!D$3:D$999,SMALL(IF((Expenses!E$3:E$999="GBP")*(Expenses!A$3:A$999=DATE(2026,4,24)),ROW(Expenses!A$3:A$999)-2),5)),0)+IFERROR(INDEX(Income!C$3:C$502,SMALL(IF((Income!D$3:D$502="GBP")*(Income!A$3:A$502=DATE(2026,4,24)),ROW(Income!A$3:A$502)-2),5)),0))</f>
        <v/>
      </c>
      <c r="L88" s="126">
        <f t="array" ref="L88">IF(IFERROR(INDEX(Expenses!B$3:B$999,SMALL(IF((Expenses!E$3:E$999="GBP")*(Expenses!A$3:A$999=DATE(2026,4,24)),ROW(Expenses!A$3:A$999)-2),5)),"")&lt;&gt;"",IFERROR(INDEX(Expenses!B$3:B$999,SMALL(IF((Expenses!E$3:E$999="GBP")*(Expenses!A$3:A$999=DATE(2026,4,24)),ROW(Expenses!A$3:A$999)-2),5)),""),IF(IFERROR(INDEX(Income!B$3:B$502,SMALL(IF((Income!D$3:D$502="GBP")*(Income!A$3:A$502=DATE(2026,4,24)),ROW(Income!A$3:A$502)-2),5)),"")&lt;&gt;"",IFERROR(INDEX(Income!B$3:B$502,SMALL(IF((Income!D$3:D$502="GBP")*(Income!A$3:A$502=DATE(2026,4,24)),ROW(Income!A$3:A$502)-2),5)),""),""))</f>
        <v/>
      </c>
      <c r="M88" s="152">
        <f t="array" ref="M88">IF(IFERROR(-INDEX(Expenses!D$3:D$999,SMALL(IF((Expenses!E$3:E$999="GBP")*(Expenses!A$3:A$999=DATE(2026,4,25)),ROW(Expenses!A$3:A$999)-2),5)),0)+IFERROR(INDEX(Income!C$3:C$502,SMALL(IF((Income!D$3:D$502="GBP")*(Income!A$3:A$502=DATE(2026,4,25)),ROW(Income!A$3:A$502)-2),5)),0)=0,"",IFERROR(-INDEX(Expenses!D$3:D$999,SMALL(IF((Expenses!E$3:E$999="GBP")*(Expenses!A$3:A$999=DATE(2026,4,25)),ROW(Expenses!A$3:A$999)-2),5)),0)+IFERROR(INDEX(Income!C$3:C$502,SMALL(IF((Income!D$3:D$502="GBP")*(Income!A$3:A$502=DATE(2026,4,25)),ROW(Income!A$3:A$502)-2),5)),0))</f>
        <v/>
      </c>
      <c r="N88" s="126">
        <f t="array" ref="N88">IF(IFERROR(INDEX(Expenses!B$3:B$999,SMALL(IF((Expenses!E$3:E$999="GBP")*(Expenses!A$3:A$999=DATE(2026,4,25)),ROW(Expenses!A$3:A$999)-2),5)),"")&lt;&gt;"",IFERROR(INDEX(Expenses!B$3:B$999,SMALL(IF((Expenses!E$3:E$999="GBP")*(Expenses!A$3:A$999=DATE(2026,4,25)),ROW(Expenses!A$3:A$999)-2),5)),""),IF(IFERROR(INDEX(Income!B$3:B$502,SMALL(IF((Income!D$3:D$502="GBP")*(Income!A$3:A$502=DATE(2026,4,25)),ROW(Income!A$3:A$502)-2),5)),"")&lt;&gt;"",IFERROR(INDEX(Income!B$3:B$502,SMALL(IF((Income!D$3:D$502="GBP")*(Income!A$3:A$502=DATE(2026,4,25)),ROW(Income!A$3:A$502)-2),5)),""),""))</f>
        <v/>
      </c>
      <c r="O88" s="152">
        <f t="array" ref="O88">IF(IFERROR(-INDEX(Expenses!D$3:D$999,SMALL(IF((Expenses!E$3:E$999="GBP")*(Expenses!A$3:A$999=DATE(2026,4,26)),ROW(Expenses!A$3:A$999)-2),5)),0)+IFERROR(INDEX(Income!C$3:C$502,SMALL(IF((Income!D$3:D$502="GBP")*(Income!A$3:A$502=DATE(2026,4,26)),ROW(Income!A$3:A$502)-2),5)),0)=0,"",IFERROR(-INDEX(Expenses!D$3:D$999,SMALL(IF((Expenses!E$3:E$999="GBP")*(Expenses!A$3:A$999=DATE(2026,4,26)),ROW(Expenses!A$3:A$999)-2),5)),0)+IFERROR(INDEX(Income!C$3:C$502,SMALL(IF((Income!D$3:D$502="GBP")*(Income!A$3:A$502=DATE(2026,4,26)),ROW(Income!A$3:A$502)-2),5)),0))</f>
        <v/>
      </c>
      <c r="P88" s="126">
        <f t="array" ref="P88">IF(IFERROR(INDEX(Expenses!B$3:B$999,SMALL(IF((Expenses!E$3:E$999="GBP")*(Expenses!A$3:A$999=DATE(2026,4,26)),ROW(Expenses!A$3:A$999)-2),5)),"")&lt;&gt;"",IFERROR(INDEX(Expenses!B$3:B$999,SMALL(IF((Expenses!E$3:E$999="GBP")*(Expenses!A$3:A$999=DATE(2026,4,26)),ROW(Expenses!A$3:A$999)-2),5)),""),IF(IFERROR(INDEX(Income!B$3:B$502,SMALL(IF((Income!D$3:D$502="GBP")*(Income!A$3:A$502=DATE(2026,4,26)),ROW(Income!A$3:A$502)-2),5)),"")&lt;&gt;"",IFERROR(INDEX(Income!B$3:B$502,SMALL(IF((Income!D$3:D$502="GBP")*(Income!A$3:A$502=DATE(2026,4,26)),ROW(Income!A$3:A$502)-2),5)),""),""))</f>
        <v/>
      </c>
      <c r="Q88" s="9" t="n"/>
      <c r="R88" s="9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68">
      <c r="A89" s="151" t="n">
        <v>46139</v>
      </c>
      <c r="B89" s="103" t="n">
        <v>18</v>
      </c>
      <c r="C89" s="152">
        <f t="array" ref="C89">IF(IFERROR(-INDEX(Expenses!D$3:D$999,SMALL(IF((Expenses!E$3:E$999="GBP")*(Expenses!A$3:A$999=DATE(2026,4,27)),ROW(Expenses!A$3:A$999)-2),1)),0)+IFERROR(INDEX(Income!C$3:C$502,SMALL(IF((Income!D$3:D$502="GBP")*(Income!A$3:A$502=DATE(2026,4,27)),ROW(Income!A$3:A$502)-2),1)),0)=0,"",IFERROR(-INDEX(Expenses!D$3:D$999,SMALL(IF((Expenses!E$3:E$999="GBP")*(Expenses!A$3:A$999=DATE(2026,4,27)),ROW(Expenses!A$3:A$999)-2),1)),0)+IFERROR(INDEX(Income!C$3:C$502,SMALL(IF((Income!D$3:D$502="GBP")*(Income!A$3:A$502=DATE(2026,4,27)),ROW(Income!A$3:A$502)-2),1)),0))</f>
        <v/>
      </c>
      <c r="D89" s="126">
        <f t="array" ref="D89">IF(IFERROR(INDEX(Expenses!B$3:B$999,SMALL(IF((Expenses!E$3:E$999="GBP")*(Expenses!A$3:A$999=DATE(2026,4,27)),ROW(Expenses!A$3:A$999)-2),1)),"")&lt;&gt;"",IFERROR(INDEX(Expenses!B$3:B$999,SMALL(IF((Expenses!E$3:E$999="GBP")*(Expenses!A$3:A$999=DATE(2026,4,27)),ROW(Expenses!A$3:A$999)-2),1)),""),IF(IFERROR(INDEX(Income!B$3:B$502,SMALL(IF((Income!D$3:D$502="GBP")*(Income!A$3:A$502=DATE(2026,4,27)),ROW(Income!A$3:A$502)-2),1)),"")&lt;&gt;"",IFERROR(INDEX(Income!B$3:B$502,SMALL(IF((Income!D$3:D$502="GBP")*(Income!A$3:A$502=DATE(2026,4,27)),ROW(Income!A$3:A$502)-2),1)),""),""))</f>
        <v/>
      </c>
      <c r="E89" s="152">
        <f t="array" ref="E89">IF(IFERROR(-INDEX(Expenses!D$3:D$999,SMALL(IF((Expenses!E$3:E$999="GBP")*(Expenses!A$3:A$999=DATE(2026,4,28)),ROW(Expenses!A$3:A$999)-2),1)),0)+IFERROR(INDEX(Income!C$3:C$502,SMALL(IF((Income!D$3:D$502="GBP")*(Income!A$3:A$502=DATE(2026,4,28)),ROW(Income!A$3:A$502)-2),1)),0)=0,"",IFERROR(-INDEX(Expenses!D$3:D$999,SMALL(IF((Expenses!E$3:E$999="GBP")*(Expenses!A$3:A$999=DATE(2026,4,28)),ROW(Expenses!A$3:A$999)-2),1)),0)+IFERROR(INDEX(Income!C$3:C$502,SMALL(IF((Income!D$3:D$502="GBP")*(Income!A$3:A$502=DATE(2026,4,28)),ROW(Income!A$3:A$502)-2),1)),0))</f>
        <v/>
      </c>
      <c r="F89" s="126">
        <f t="array" ref="F89">IF(IFERROR(INDEX(Expenses!B$3:B$999,SMALL(IF((Expenses!E$3:E$999="GBP")*(Expenses!A$3:A$999=DATE(2026,4,28)),ROW(Expenses!A$3:A$999)-2),1)),"")&lt;&gt;"",IFERROR(INDEX(Expenses!B$3:B$999,SMALL(IF((Expenses!E$3:E$999="GBP")*(Expenses!A$3:A$999=DATE(2026,4,28)),ROW(Expenses!A$3:A$999)-2),1)),""),IF(IFERROR(INDEX(Income!B$3:B$502,SMALL(IF((Income!D$3:D$502="GBP")*(Income!A$3:A$502=DATE(2026,4,28)),ROW(Income!A$3:A$502)-2),1)),"")&lt;&gt;"",IFERROR(INDEX(Income!B$3:B$502,SMALL(IF((Income!D$3:D$502="GBP")*(Income!A$3:A$502=DATE(2026,4,28)),ROW(Income!A$3:A$502)-2),1)),""),""))</f>
        <v/>
      </c>
      <c r="G89" s="152">
        <f t="array" ref="G89">IF(IFERROR(-INDEX(Expenses!D$3:D$999,SMALL(IF((Expenses!E$3:E$999="GBP")*(Expenses!A$3:A$999=DATE(2026,4,29)),ROW(Expenses!A$3:A$999)-2),1)),0)+IFERROR(INDEX(Income!C$3:C$502,SMALL(IF((Income!D$3:D$502="GBP")*(Income!A$3:A$502=DATE(2026,4,29)),ROW(Income!A$3:A$502)-2),1)),0)=0,"",IFERROR(-INDEX(Expenses!D$3:D$999,SMALL(IF((Expenses!E$3:E$999="GBP")*(Expenses!A$3:A$999=DATE(2026,4,29)),ROW(Expenses!A$3:A$999)-2),1)),0)+IFERROR(INDEX(Income!C$3:C$502,SMALL(IF((Income!D$3:D$502="GBP")*(Income!A$3:A$502=DATE(2026,4,29)),ROW(Income!A$3:A$502)-2),1)),0))</f>
        <v/>
      </c>
      <c r="H89" s="126">
        <f t="array" ref="H89">IF(IFERROR(INDEX(Expenses!B$3:B$999,SMALL(IF((Expenses!E$3:E$999="GBP")*(Expenses!A$3:A$999=DATE(2026,4,29)),ROW(Expenses!A$3:A$999)-2),1)),"")&lt;&gt;"",IFERROR(INDEX(Expenses!B$3:B$999,SMALL(IF((Expenses!E$3:E$999="GBP")*(Expenses!A$3:A$999=DATE(2026,4,29)),ROW(Expenses!A$3:A$999)-2),1)),""),IF(IFERROR(INDEX(Income!B$3:B$502,SMALL(IF((Income!D$3:D$502="GBP")*(Income!A$3:A$502=DATE(2026,4,29)),ROW(Income!A$3:A$502)-2),1)),"")&lt;&gt;"",IFERROR(INDEX(Income!B$3:B$502,SMALL(IF((Income!D$3:D$502="GBP")*(Income!A$3:A$502=DATE(2026,4,29)),ROW(Income!A$3:A$502)-2),1)),""),""))</f>
        <v/>
      </c>
      <c r="I89" s="152">
        <f t="array" ref="I89">IF(IFERROR(-INDEX(Expenses!D$3:D$999,SMALL(IF((Expenses!E$3:E$999="GBP")*(Expenses!A$3:A$999=DATE(2026,4,30)),ROW(Expenses!A$3:A$999)-2),1)),0)+IFERROR(INDEX(Income!C$3:C$502,SMALL(IF((Income!D$3:D$502="GBP")*(Income!A$3:A$502=DATE(2026,4,30)),ROW(Income!A$3:A$502)-2),1)),0)=0,"",IFERROR(-INDEX(Expenses!D$3:D$999,SMALL(IF((Expenses!E$3:E$999="GBP")*(Expenses!A$3:A$999=DATE(2026,4,30)),ROW(Expenses!A$3:A$999)-2),1)),0)+IFERROR(INDEX(Income!C$3:C$502,SMALL(IF((Income!D$3:D$502="GBP")*(Income!A$3:A$502=DATE(2026,4,30)),ROW(Income!A$3:A$502)-2),1)),0))</f>
        <v/>
      </c>
      <c r="J89" s="126">
        <f t="array" ref="J89">IF(IFERROR(INDEX(Expenses!B$3:B$999,SMALL(IF((Expenses!E$3:E$999="GBP")*(Expenses!A$3:A$999=DATE(2026,4,30)),ROW(Expenses!A$3:A$999)-2),1)),"")&lt;&gt;"",IFERROR(INDEX(Expenses!B$3:B$999,SMALL(IF((Expenses!E$3:E$999="GBP")*(Expenses!A$3:A$999=DATE(2026,4,30)),ROW(Expenses!A$3:A$999)-2),1)),""),IF(IFERROR(INDEX(Income!B$3:B$502,SMALL(IF((Income!D$3:D$502="GBP")*(Income!A$3:A$502=DATE(2026,4,30)),ROW(Income!A$3:A$502)-2),1)),"")&lt;&gt;"",IFERROR(INDEX(Income!B$3:B$502,SMALL(IF((Income!D$3:D$502="GBP")*(Income!A$3:A$502=DATE(2026,4,30)),ROW(Income!A$3:A$502)-2),1)),""),""))</f>
        <v/>
      </c>
      <c r="K89" s="152">
        <f t="array" ref="K89">IF(IFERROR(-INDEX(Expenses!D$3:D$999,SMALL(IF((Expenses!E$3:E$999="GBP")*(Expenses!A$3:A$999=DATE(2026,5,1)),ROW(Expenses!A$3:A$999)-2),1)),0)+IFERROR(INDEX(Income!C$3:C$502,SMALL(IF((Income!D$3:D$502="GBP")*(Income!A$3:A$502=DATE(2026,5,1)),ROW(Income!A$3:A$502)-2),1)),0)=0,"",IFERROR(-INDEX(Expenses!D$3:D$999,SMALL(IF((Expenses!E$3:E$999="GBP")*(Expenses!A$3:A$999=DATE(2026,5,1)),ROW(Expenses!A$3:A$999)-2),1)),0)+IFERROR(INDEX(Income!C$3:C$502,SMALL(IF((Income!D$3:D$502="GBP")*(Income!A$3:A$502=DATE(2026,5,1)),ROW(Income!A$3:A$502)-2),1)),0))</f>
        <v/>
      </c>
      <c r="L89" s="126">
        <f t="array" ref="L89">IF(IFERROR(INDEX(Expenses!B$3:B$999,SMALL(IF((Expenses!E$3:E$999="GBP")*(Expenses!A$3:A$999=DATE(2026,5,1)),ROW(Expenses!A$3:A$999)-2),1)),"")&lt;&gt;"",IFERROR(INDEX(Expenses!B$3:B$999,SMALL(IF((Expenses!E$3:E$999="GBP")*(Expenses!A$3:A$999=DATE(2026,5,1)),ROW(Expenses!A$3:A$999)-2),1)),""),IF(IFERROR(INDEX(Income!B$3:B$502,SMALL(IF((Income!D$3:D$502="GBP")*(Income!A$3:A$502=DATE(2026,5,1)),ROW(Income!A$3:A$502)-2),1)),"")&lt;&gt;"",IFERROR(INDEX(Income!B$3:B$502,SMALL(IF((Income!D$3:D$502="GBP")*(Income!A$3:A$502=DATE(2026,5,1)),ROW(Income!A$3:A$502)-2),1)),""),""))</f>
        <v/>
      </c>
      <c r="M89" s="152">
        <f t="array" ref="M89">IF(IFERROR(-INDEX(Expenses!D$3:D$999,SMALL(IF((Expenses!E$3:E$999="GBP")*(Expenses!A$3:A$999=DATE(2026,5,2)),ROW(Expenses!A$3:A$999)-2),1)),0)+IFERROR(INDEX(Income!C$3:C$502,SMALL(IF((Income!D$3:D$502="GBP")*(Income!A$3:A$502=DATE(2026,5,2)),ROW(Income!A$3:A$502)-2),1)),0)=0,"",IFERROR(-INDEX(Expenses!D$3:D$999,SMALL(IF((Expenses!E$3:E$999="GBP")*(Expenses!A$3:A$999=DATE(2026,5,2)),ROW(Expenses!A$3:A$999)-2),1)),0)+IFERROR(INDEX(Income!C$3:C$502,SMALL(IF((Income!D$3:D$502="GBP")*(Income!A$3:A$502=DATE(2026,5,2)),ROW(Income!A$3:A$502)-2),1)),0))</f>
        <v/>
      </c>
      <c r="N89" s="126">
        <f t="array" ref="N89">IF(IFERROR(INDEX(Expenses!B$3:B$999,SMALL(IF((Expenses!E$3:E$999="GBP")*(Expenses!A$3:A$999=DATE(2026,5,2)),ROW(Expenses!A$3:A$999)-2),1)),"")&lt;&gt;"",IFERROR(INDEX(Expenses!B$3:B$999,SMALL(IF((Expenses!E$3:E$999="GBP")*(Expenses!A$3:A$999=DATE(2026,5,2)),ROW(Expenses!A$3:A$999)-2),1)),""),IF(IFERROR(INDEX(Income!B$3:B$502,SMALL(IF((Income!D$3:D$502="GBP")*(Income!A$3:A$502=DATE(2026,5,2)),ROW(Income!A$3:A$502)-2),1)),"")&lt;&gt;"",IFERROR(INDEX(Income!B$3:B$502,SMALL(IF((Income!D$3:D$502="GBP")*(Income!A$3:A$502=DATE(2026,5,2)),ROW(Income!A$3:A$502)-2),1)),""),""))</f>
        <v/>
      </c>
      <c r="O89" s="152">
        <f t="array" ref="O89">IF(IFERROR(-INDEX(Expenses!D$3:D$999,SMALL(IF((Expenses!E$3:E$999="GBP")*(Expenses!A$3:A$999=DATE(2026,5,3)),ROW(Expenses!A$3:A$999)-2),1)),0)+IFERROR(INDEX(Income!C$3:C$502,SMALL(IF((Income!D$3:D$502="GBP")*(Income!A$3:A$502=DATE(2026,5,3)),ROW(Income!A$3:A$502)-2),1)),0)=0,"",IFERROR(-INDEX(Expenses!D$3:D$999,SMALL(IF((Expenses!E$3:E$999="GBP")*(Expenses!A$3:A$999=DATE(2026,5,3)),ROW(Expenses!A$3:A$999)-2),1)),0)+IFERROR(INDEX(Income!C$3:C$502,SMALL(IF((Income!D$3:D$502="GBP")*(Income!A$3:A$502=DATE(2026,5,3)),ROW(Income!A$3:A$502)-2),1)),0))</f>
        <v/>
      </c>
      <c r="P89" s="126">
        <f t="array" ref="P89">IF(IFERROR(INDEX(Expenses!B$3:B$999,SMALL(IF((Expenses!E$3:E$999="GBP")*(Expenses!A$3:A$999=DATE(2026,5,3)),ROW(Expenses!A$3:A$999)-2),1)),"")&lt;&gt;"",IFERROR(INDEX(Expenses!B$3:B$999,SMALL(IF((Expenses!E$3:E$999="GBP")*(Expenses!A$3:A$999=DATE(2026,5,3)),ROW(Expenses!A$3:A$999)-2),1)),""),IF(IFERROR(INDEX(Income!B$3:B$502,SMALL(IF((Income!D$3:D$502="GBP")*(Income!A$3:A$502=DATE(2026,5,3)),ROW(Income!A$3:A$502)-2),1)),"")&lt;&gt;"",IFERROR(INDEX(Income!B$3:B$502,SMALL(IF((Income!D$3:D$502="GBP")*(Income!A$3:A$502=DATE(2026,5,3)),ROW(Income!A$3:A$502)-2),1)),""),""))</f>
        <v/>
      </c>
      <c r="Q89" s="103" t="n">
        <v>18</v>
      </c>
      <c r="R89" s="134">
        <f>SUM(C89:C93)+SUM(E89:E93)+SUM(G89:G93)+SUM(I89:I93)+SUM(K89:K93)+SUM(M89:M93)+SUM(O89:O93)</f>
        <v/>
      </c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68">
      <c r="A90" s="9" t="n"/>
      <c r="B90" s="9" t="n"/>
      <c r="C90" s="152">
        <f t="array" ref="C90">IF(IFERROR(-INDEX(Expenses!D$3:D$999,SMALL(IF((Expenses!E$3:E$999="GBP")*(Expenses!A$3:A$999=DATE(2026,4,27)),ROW(Expenses!A$3:A$999)-2),2)),0)+IFERROR(INDEX(Income!C$3:C$502,SMALL(IF((Income!D$3:D$502="GBP")*(Income!A$3:A$502=DATE(2026,4,27)),ROW(Income!A$3:A$502)-2),2)),0)=0,"",IFERROR(-INDEX(Expenses!D$3:D$999,SMALL(IF((Expenses!E$3:E$999="GBP")*(Expenses!A$3:A$999=DATE(2026,4,27)),ROW(Expenses!A$3:A$999)-2),2)),0)+IFERROR(INDEX(Income!C$3:C$502,SMALL(IF((Income!D$3:D$502="GBP")*(Income!A$3:A$502=DATE(2026,4,27)),ROW(Income!A$3:A$502)-2),2)),0))</f>
        <v/>
      </c>
      <c r="D90" s="126">
        <f t="array" ref="D90">IF(IFERROR(INDEX(Expenses!B$3:B$999,SMALL(IF((Expenses!E$3:E$999="GBP")*(Expenses!A$3:A$999=DATE(2026,4,27)),ROW(Expenses!A$3:A$999)-2),2)),"")&lt;&gt;"",IFERROR(INDEX(Expenses!B$3:B$999,SMALL(IF((Expenses!E$3:E$999="GBP")*(Expenses!A$3:A$999=DATE(2026,4,27)),ROW(Expenses!A$3:A$999)-2),2)),""),IF(IFERROR(INDEX(Income!B$3:B$502,SMALL(IF((Income!D$3:D$502="GBP")*(Income!A$3:A$502=DATE(2026,4,27)),ROW(Income!A$3:A$502)-2),2)),"")&lt;&gt;"",IFERROR(INDEX(Income!B$3:B$502,SMALL(IF((Income!D$3:D$502="GBP")*(Income!A$3:A$502=DATE(2026,4,27)),ROW(Income!A$3:A$502)-2),2)),""),""))</f>
        <v/>
      </c>
      <c r="E90" s="152">
        <f t="array" ref="E90">IF(IFERROR(-INDEX(Expenses!D$3:D$999,SMALL(IF((Expenses!E$3:E$999="GBP")*(Expenses!A$3:A$999=DATE(2026,4,28)),ROW(Expenses!A$3:A$999)-2),2)),0)+IFERROR(INDEX(Income!C$3:C$502,SMALL(IF((Income!D$3:D$502="GBP")*(Income!A$3:A$502=DATE(2026,4,28)),ROW(Income!A$3:A$502)-2),2)),0)=0,"",IFERROR(-INDEX(Expenses!D$3:D$999,SMALL(IF((Expenses!E$3:E$999="GBP")*(Expenses!A$3:A$999=DATE(2026,4,28)),ROW(Expenses!A$3:A$999)-2),2)),0)+IFERROR(INDEX(Income!C$3:C$502,SMALL(IF((Income!D$3:D$502="GBP")*(Income!A$3:A$502=DATE(2026,4,28)),ROW(Income!A$3:A$502)-2),2)),0))</f>
        <v/>
      </c>
      <c r="F90" s="126">
        <f t="array" ref="F90">IF(IFERROR(INDEX(Expenses!B$3:B$999,SMALL(IF((Expenses!E$3:E$999="GBP")*(Expenses!A$3:A$999=DATE(2026,4,28)),ROW(Expenses!A$3:A$999)-2),2)),"")&lt;&gt;"",IFERROR(INDEX(Expenses!B$3:B$999,SMALL(IF((Expenses!E$3:E$999="GBP")*(Expenses!A$3:A$999=DATE(2026,4,28)),ROW(Expenses!A$3:A$999)-2),2)),""),IF(IFERROR(INDEX(Income!B$3:B$502,SMALL(IF((Income!D$3:D$502="GBP")*(Income!A$3:A$502=DATE(2026,4,28)),ROW(Income!A$3:A$502)-2),2)),"")&lt;&gt;"",IFERROR(INDEX(Income!B$3:B$502,SMALL(IF((Income!D$3:D$502="GBP")*(Income!A$3:A$502=DATE(2026,4,28)),ROW(Income!A$3:A$502)-2),2)),""),""))</f>
        <v/>
      </c>
      <c r="G90" s="152">
        <f t="array" ref="G90">IF(IFERROR(-INDEX(Expenses!D$3:D$999,SMALL(IF((Expenses!E$3:E$999="GBP")*(Expenses!A$3:A$999=DATE(2026,4,29)),ROW(Expenses!A$3:A$999)-2),2)),0)+IFERROR(INDEX(Income!C$3:C$502,SMALL(IF((Income!D$3:D$502="GBP")*(Income!A$3:A$502=DATE(2026,4,29)),ROW(Income!A$3:A$502)-2),2)),0)=0,"",IFERROR(-INDEX(Expenses!D$3:D$999,SMALL(IF((Expenses!E$3:E$999="GBP")*(Expenses!A$3:A$999=DATE(2026,4,29)),ROW(Expenses!A$3:A$999)-2),2)),0)+IFERROR(INDEX(Income!C$3:C$502,SMALL(IF((Income!D$3:D$502="GBP")*(Income!A$3:A$502=DATE(2026,4,29)),ROW(Income!A$3:A$502)-2),2)),0))</f>
        <v/>
      </c>
      <c r="H90" s="126">
        <f t="array" ref="H90">IF(IFERROR(INDEX(Expenses!B$3:B$999,SMALL(IF((Expenses!E$3:E$999="GBP")*(Expenses!A$3:A$999=DATE(2026,4,29)),ROW(Expenses!A$3:A$999)-2),2)),"")&lt;&gt;"",IFERROR(INDEX(Expenses!B$3:B$999,SMALL(IF((Expenses!E$3:E$999="GBP")*(Expenses!A$3:A$999=DATE(2026,4,29)),ROW(Expenses!A$3:A$999)-2),2)),""),IF(IFERROR(INDEX(Income!B$3:B$502,SMALL(IF((Income!D$3:D$502="GBP")*(Income!A$3:A$502=DATE(2026,4,29)),ROW(Income!A$3:A$502)-2),2)),"")&lt;&gt;"",IFERROR(INDEX(Income!B$3:B$502,SMALL(IF((Income!D$3:D$502="GBP")*(Income!A$3:A$502=DATE(2026,4,29)),ROW(Income!A$3:A$502)-2),2)),""),""))</f>
        <v/>
      </c>
      <c r="I90" s="152">
        <f t="array" ref="I90">IF(IFERROR(-INDEX(Expenses!D$3:D$999,SMALL(IF((Expenses!E$3:E$999="GBP")*(Expenses!A$3:A$999=DATE(2026,4,30)),ROW(Expenses!A$3:A$999)-2),2)),0)+IFERROR(INDEX(Income!C$3:C$502,SMALL(IF((Income!D$3:D$502="GBP")*(Income!A$3:A$502=DATE(2026,4,30)),ROW(Income!A$3:A$502)-2),2)),0)=0,"",IFERROR(-INDEX(Expenses!D$3:D$999,SMALL(IF((Expenses!E$3:E$999="GBP")*(Expenses!A$3:A$999=DATE(2026,4,30)),ROW(Expenses!A$3:A$999)-2),2)),0)+IFERROR(INDEX(Income!C$3:C$502,SMALL(IF((Income!D$3:D$502="GBP")*(Income!A$3:A$502=DATE(2026,4,30)),ROW(Income!A$3:A$502)-2),2)),0))</f>
        <v/>
      </c>
      <c r="J90" s="126">
        <f t="array" ref="J90">IF(IFERROR(INDEX(Expenses!B$3:B$999,SMALL(IF((Expenses!E$3:E$999="GBP")*(Expenses!A$3:A$999=DATE(2026,4,30)),ROW(Expenses!A$3:A$999)-2),2)),"")&lt;&gt;"",IFERROR(INDEX(Expenses!B$3:B$999,SMALL(IF((Expenses!E$3:E$999="GBP")*(Expenses!A$3:A$999=DATE(2026,4,30)),ROW(Expenses!A$3:A$999)-2),2)),""),IF(IFERROR(INDEX(Income!B$3:B$502,SMALL(IF((Income!D$3:D$502="GBP")*(Income!A$3:A$502=DATE(2026,4,30)),ROW(Income!A$3:A$502)-2),2)),"")&lt;&gt;"",IFERROR(INDEX(Income!B$3:B$502,SMALL(IF((Income!D$3:D$502="GBP")*(Income!A$3:A$502=DATE(2026,4,30)),ROW(Income!A$3:A$502)-2),2)),""),""))</f>
        <v/>
      </c>
      <c r="K90" s="152">
        <f t="array" ref="K90">IF(IFERROR(-INDEX(Expenses!D$3:D$999,SMALL(IF((Expenses!E$3:E$999="GBP")*(Expenses!A$3:A$999=DATE(2026,5,1)),ROW(Expenses!A$3:A$999)-2),2)),0)+IFERROR(INDEX(Income!C$3:C$502,SMALL(IF((Income!D$3:D$502="GBP")*(Income!A$3:A$502=DATE(2026,5,1)),ROW(Income!A$3:A$502)-2),2)),0)=0,"",IFERROR(-INDEX(Expenses!D$3:D$999,SMALL(IF((Expenses!E$3:E$999="GBP")*(Expenses!A$3:A$999=DATE(2026,5,1)),ROW(Expenses!A$3:A$999)-2),2)),0)+IFERROR(INDEX(Income!C$3:C$502,SMALL(IF((Income!D$3:D$502="GBP")*(Income!A$3:A$502=DATE(2026,5,1)),ROW(Income!A$3:A$502)-2),2)),0))</f>
        <v/>
      </c>
      <c r="L90" s="126">
        <f t="array" ref="L90">IF(IFERROR(INDEX(Expenses!B$3:B$999,SMALL(IF((Expenses!E$3:E$999="GBP")*(Expenses!A$3:A$999=DATE(2026,5,1)),ROW(Expenses!A$3:A$999)-2),2)),"")&lt;&gt;"",IFERROR(INDEX(Expenses!B$3:B$999,SMALL(IF((Expenses!E$3:E$999="GBP")*(Expenses!A$3:A$999=DATE(2026,5,1)),ROW(Expenses!A$3:A$999)-2),2)),""),IF(IFERROR(INDEX(Income!B$3:B$502,SMALL(IF((Income!D$3:D$502="GBP")*(Income!A$3:A$502=DATE(2026,5,1)),ROW(Income!A$3:A$502)-2),2)),"")&lt;&gt;"",IFERROR(INDEX(Income!B$3:B$502,SMALL(IF((Income!D$3:D$502="GBP")*(Income!A$3:A$502=DATE(2026,5,1)),ROW(Income!A$3:A$502)-2),2)),""),""))</f>
        <v/>
      </c>
      <c r="M90" s="152">
        <f t="array" ref="M90">IF(IFERROR(-INDEX(Expenses!D$3:D$999,SMALL(IF((Expenses!E$3:E$999="GBP")*(Expenses!A$3:A$999=DATE(2026,5,2)),ROW(Expenses!A$3:A$999)-2),2)),0)+IFERROR(INDEX(Income!C$3:C$502,SMALL(IF((Income!D$3:D$502="GBP")*(Income!A$3:A$502=DATE(2026,5,2)),ROW(Income!A$3:A$502)-2),2)),0)=0,"",IFERROR(-INDEX(Expenses!D$3:D$999,SMALL(IF((Expenses!E$3:E$999="GBP")*(Expenses!A$3:A$999=DATE(2026,5,2)),ROW(Expenses!A$3:A$999)-2),2)),0)+IFERROR(INDEX(Income!C$3:C$502,SMALL(IF((Income!D$3:D$502="GBP")*(Income!A$3:A$502=DATE(2026,5,2)),ROW(Income!A$3:A$502)-2),2)),0))</f>
        <v/>
      </c>
      <c r="N90" s="126">
        <f t="array" ref="N90">IF(IFERROR(INDEX(Expenses!B$3:B$999,SMALL(IF((Expenses!E$3:E$999="GBP")*(Expenses!A$3:A$999=DATE(2026,5,2)),ROW(Expenses!A$3:A$999)-2),2)),"")&lt;&gt;"",IFERROR(INDEX(Expenses!B$3:B$999,SMALL(IF((Expenses!E$3:E$999="GBP")*(Expenses!A$3:A$999=DATE(2026,5,2)),ROW(Expenses!A$3:A$999)-2),2)),""),IF(IFERROR(INDEX(Income!B$3:B$502,SMALL(IF((Income!D$3:D$502="GBP")*(Income!A$3:A$502=DATE(2026,5,2)),ROW(Income!A$3:A$502)-2),2)),"")&lt;&gt;"",IFERROR(INDEX(Income!B$3:B$502,SMALL(IF((Income!D$3:D$502="GBP")*(Income!A$3:A$502=DATE(2026,5,2)),ROW(Income!A$3:A$502)-2),2)),""),""))</f>
        <v/>
      </c>
      <c r="O90" s="152">
        <f t="array" ref="O90">IF(IFERROR(-INDEX(Expenses!D$3:D$999,SMALL(IF((Expenses!E$3:E$999="GBP")*(Expenses!A$3:A$999=DATE(2026,5,3)),ROW(Expenses!A$3:A$999)-2),2)),0)+IFERROR(INDEX(Income!C$3:C$502,SMALL(IF((Income!D$3:D$502="GBP")*(Income!A$3:A$502=DATE(2026,5,3)),ROW(Income!A$3:A$502)-2),2)),0)=0,"",IFERROR(-INDEX(Expenses!D$3:D$999,SMALL(IF((Expenses!E$3:E$999="GBP")*(Expenses!A$3:A$999=DATE(2026,5,3)),ROW(Expenses!A$3:A$999)-2),2)),0)+IFERROR(INDEX(Income!C$3:C$502,SMALL(IF((Income!D$3:D$502="GBP")*(Income!A$3:A$502=DATE(2026,5,3)),ROW(Income!A$3:A$502)-2),2)),0))</f>
        <v/>
      </c>
      <c r="P90" s="126">
        <f t="array" ref="P90">IF(IFERROR(INDEX(Expenses!B$3:B$999,SMALL(IF((Expenses!E$3:E$999="GBP")*(Expenses!A$3:A$999=DATE(2026,5,3)),ROW(Expenses!A$3:A$999)-2),2)),"")&lt;&gt;"",IFERROR(INDEX(Expenses!B$3:B$999,SMALL(IF((Expenses!E$3:E$999="GBP")*(Expenses!A$3:A$999=DATE(2026,5,3)),ROW(Expenses!A$3:A$999)-2),2)),""),IF(IFERROR(INDEX(Income!B$3:B$502,SMALL(IF((Income!D$3:D$502="GBP")*(Income!A$3:A$502=DATE(2026,5,3)),ROW(Income!A$3:A$502)-2),2)),"")&lt;&gt;"",IFERROR(INDEX(Income!B$3:B$502,SMALL(IF((Income!D$3:D$502="GBP")*(Income!A$3:A$502=DATE(2026,5,3)),ROW(Income!A$3:A$502)-2),2)),""),""))</f>
        <v/>
      </c>
      <c r="Q90" s="9" t="n"/>
      <c r="R90" s="9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68">
      <c r="A91" s="9" t="n"/>
      <c r="B91" s="9" t="n"/>
      <c r="C91" s="152">
        <f t="array" ref="C91">IF(IFERROR(-INDEX(Expenses!D$3:D$999,SMALL(IF((Expenses!E$3:E$999="GBP")*(Expenses!A$3:A$999=DATE(2026,4,27)),ROW(Expenses!A$3:A$999)-2),3)),0)+IFERROR(INDEX(Income!C$3:C$502,SMALL(IF((Income!D$3:D$502="GBP")*(Income!A$3:A$502=DATE(2026,4,27)),ROW(Income!A$3:A$502)-2),3)),0)=0,"",IFERROR(-INDEX(Expenses!D$3:D$999,SMALL(IF((Expenses!E$3:E$999="GBP")*(Expenses!A$3:A$999=DATE(2026,4,27)),ROW(Expenses!A$3:A$999)-2),3)),0)+IFERROR(INDEX(Income!C$3:C$502,SMALL(IF((Income!D$3:D$502="GBP")*(Income!A$3:A$502=DATE(2026,4,27)),ROW(Income!A$3:A$502)-2),3)),0))</f>
        <v/>
      </c>
      <c r="D91" s="126">
        <f t="array" ref="D91">IF(IFERROR(INDEX(Expenses!B$3:B$999,SMALL(IF((Expenses!E$3:E$999="GBP")*(Expenses!A$3:A$999=DATE(2026,4,27)),ROW(Expenses!A$3:A$999)-2),3)),"")&lt;&gt;"",IFERROR(INDEX(Expenses!B$3:B$999,SMALL(IF((Expenses!E$3:E$999="GBP")*(Expenses!A$3:A$999=DATE(2026,4,27)),ROW(Expenses!A$3:A$999)-2),3)),""),IF(IFERROR(INDEX(Income!B$3:B$502,SMALL(IF((Income!D$3:D$502="GBP")*(Income!A$3:A$502=DATE(2026,4,27)),ROW(Income!A$3:A$502)-2),3)),"")&lt;&gt;"",IFERROR(INDEX(Income!B$3:B$502,SMALL(IF((Income!D$3:D$502="GBP")*(Income!A$3:A$502=DATE(2026,4,27)),ROW(Income!A$3:A$502)-2),3)),""),""))</f>
        <v/>
      </c>
      <c r="E91" s="152">
        <f t="array" ref="E91">IF(IFERROR(-INDEX(Expenses!D$3:D$999,SMALL(IF((Expenses!E$3:E$999="GBP")*(Expenses!A$3:A$999=DATE(2026,4,28)),ROW(Expenses!A$3:A$999)-2),3)),0)+IFERROR(INDEX(Income!C$3:C$502,SMALL(IF((Income!D$3:D$502="GBP")*(Income!A$3:A$502=DATE(2026,4,28)),ROW(Income!A$3:A$502)-2),3)),0)=0,"",IFERROR(-INDEX(Expenses!D$3:D$999,SMALL(IF((Expenses!E$3:E$999="GBP")*(Expenses!A$3:A$999=DATE(2026,4,28)),ROW(Expenses!A$3:A$999)-2),3)),0)+IFERROR(INDEX(Income!C$3:C$502,SMALL(IF((Income!D$3:D$502="GBP")*(Income!A$3:A$502=DATE(2026,4,28)),ROW(Income!A$3:A$502)-2),3)),0))</f>
        <v/>
      </c>
      <c r="F91" s="126">
        <f t="array" ref="F91">IF(IFERROR(INDEX(Expenses!B$3:B$999,SMALL(IF((Expenses!E$3:E$999="GBP")*(Expenses!A$3:A$999=DATE(2026,4,28)),ROW(Expenses!A$3:A$999)-2),3)),"")&lt;&gt;"",IFERROR(INDEX(Expenses!B$3:B$999,SMALL(IF((Expenses!E$3:E$999="GBP")*(Expenses!A$3:A$999=DATE(2026,4,28)),ROW(Expenses!A$3:A$999)-2),3)),""),IF(IFERROR(INDEX(Income!B$3:B$502,SMALL(IF((Income!D$3:D$502="GBP")*(Income!A$3:A$502=DATE(2026,4,28)),ROW(Income!A$3:A$502)-2),3)),"")&lt;&gt;"",IFERROR(INDEX(Income!B$3:B$502,SMALL(IF((Income!D$3:D$502="GBP")*(Income!A$3:A$502=DATE(2026,4,28)),ROW(Income!A$3:A$502)-2),3)),""),""))</f>
        <v/>
      </c>
      <c r="G91" s="152">
        <f t="array" ref="G91">IF(IFERROR(-INDEX(Expenses!D$3:D$999,SMALL(IF((Expenses!E$3:E$999="GBP")*(Expenses!A$3:A$999=DATE(2026,4,29)),ROW(Expenses!A$3:A$999)-2),3)),0)+IFERROR(INDEX(Income!C$3:C$502,SMALL(IF((Income!D$3:D$502="GBP")*(Income!A$3:A$502=DATE(2026,4,29)),ROW(Income!A$3:A$502)-2),3)),0)=0,"",IFERROR(-INDEX(Expenses!D$3:D$999,SMALL(IF((Expenses!E$3:E$999="GBP")*(Expenses!A$3:A$999=DATE(2026,4,29)),ROW(Expenses!A$3:A$999)-2),3)),0)+IFERROR(INDEX(Income!C$3:C$502,SMALL(IF((Income!D$3:D$502="GBP")*(Income!A$3:A$502=DATE(2026,4,29)),ROW(Income!A$3:A$502)-2),3)),0))</f>
        <v/>
      </c>
      <c r="H91" s="126">
        <f t="array" ref="H91">IF(IFERROR(INDEX(Expenses!B$3:B$999,SMALL(IF((Expenses!E$3:E$999="GBP")*(Expenses!A$3:A$999=DATE(2026,4,29)),ROW(Expenses!A$3:A$999)-2),3)),"")&lt;&gt;"",IFERROR(INDEX(Expenses!B$3:B$999,SMALL(IF((Expenses!E$3:E$999="GBP")*(Expenses!A$3:A$999=DATE(2026,4,29)),ROW(Expenses!A$3:A$999)-2),3)),""),IF(IFERROR(INDEX(Income!B$3:B$502,SMALL(IF((Income!D$3:D$502="GBP")*(Income!A$3:A$502=DATE(2026,4,29)),ROW(Income!A$3:A$502)-2),3)),"")&lt;&gt;"",IFERROR(INDEX(Income!B$3:B$502,SMALL(IF((Income!D$3:D$502="GBP")*(Income!A$3:A$502=DATE(2026,4,29)),ROW(Income!A$3:A$502)-2),3)),""),""))</f>
        <v/>
      </c>
      <c r="I91" s="152">
        <f t="array" ref="I91">IF(IFERROR(-INDEX(Expenses!D$3:D$999,SMALL(IF((Expenses!E$3:E$999="GBP")*(Expenses!A$3:A$999=DATE(2026,4,30)),ROW(Expenses!A$3:A$999)-2),3)),0)+IFERROR(INDEX(Income!C$3:C$502,SMALL(IF((Income!D$3:D$502="GBP")*(Income!A$3:A$502=DATE(2026,4,30)),ROW(Income!A$3:A$502)-2),3)),0)=0,"",IFERROR(-INDEX(Expenses!D$3:D$999,SMALL(IF((Expenses!E$3:E$999="GBP")*(Expenses!A$3:A$999=DATE(2026,4,30)),ROW(Expenses!A$3:A$999)-2),3)),0)+IFERROR(INDEX(Income!C$3:C$502,SMALL(IF((Income!D$3:D$502="GBP")*(Income!A$3:A$502=DATE(2026,4,30)),ROW(Income!A$3:A$502)-2),3)),0))</f>
        <v/>
      </c>
      <c r="J91" s="126">
        <f t="array" ref="J91">IF(IFERROR(INDEX(Expenses!B$3:B$999,SMALL(IF((Expenses!E$3:E$999="GBP")*(Expenses!A$3:A$999=DATE(2026,4,30)),ROW(Expenses!A$3:A$999)-2),3)),"")&lt;&gt;"",IFERROR(INDEX(Expenses!B$3:B$999,SMALL(IF((Expenses!E$3:E$999="GBP")*(Expenses!A$3:A$999=DATE(2026,4,30)),ROW(Expenses!A$3:A$999)-2),3)),""),IF(IFERROR(INDEX(Income!B$3:B$502,SMALL(IF((Income!D$3:D$502="GBP")*(Income!A$3:A$502=DATE(2026,4,30)),ROW(Income!A$3:A$502)-2),3)),"")&lt;&gt;"",IFERROR(INDEX(Income!B$3:B$502,SMALL(IF((Income!D$3:D$502="GBP")*(Income!A$3:A$502=DATE(2026,4,30)),ROW(Income!A$3:A$502)-2),3)),""),""))</f>
        <v/>
      </c>
      <c r="K91" s="152">
        <f t="array" ref="K91">IF(IFERROR(-INDEX(Expenses!D$3:D$999,SMALL(IF((Expenses!E$3:E$999="GBP")*(Expenses!A$3:A$999=DATE(2026,5,1)),ROW(Expenses!A$3:A$999)-2),3)),0)+IFERROR(INDEX(Income!C$3:C$502,SMALL(IF((Income!D$3:D$502="GBP")*(Income!A$3:A$502=DATE(2026,5,1)),ROW(Income!A$3:A$502)-2),3)),0)=0,"",IFERROR(-INDEX(Expenses!D$3:D$999,SMALL(IF((Expenses!E$3:E$999="GBP")*(Expenses!A$3:A$999=DATE(2026,5,1)),ROW(Expenses!A$3:A$999)-2),3)),0)+IFERROR(INDEX(Income!C$3:C$502,SMALL(IF((Income!D$3:D$502="GBP")*(Income!A$3:A$502=DATE(2026,5,1)),ROW(Income!A$3:A$502)-2),3)),0))</f>
        <v/>
      </c>
      <c r="L91" s="126">
        <f t="array" ref="L91">IF(IFERROR(INDEX(Expenses!B$3:B$999,SMALL(IF((Expenses!E$3:E$999="GBP")*(Expenses!A$3:A$999=DATE(2026,5,1)),ROW(Expenses!A$3:A$999)-2),3)),"")&lt;&gt;"",IFERROR(INDEX(Expenses!B$3:B$999,SMALL(IF((Expenses!E$3:E$999="GBP")*(Expenses!A$3:A$999=DATE(2026,5,1)),ROW(Expenses!A$3:A$999)-2),3)),""),IF(IFERROR(INDEX(Income!B$3:B$502,SMALL(IF((Income!D$3:D$502="GBP")*(Income!A$3:A$502=DATE(2026,5,1)),ROW(Income!A$3:A$502)-2),3)),"")&lt;&gt;"",IFERROR(INDEX(Income!B$3:B$502,SMALL(IF((Income!D$3:D$502="GBP")*(Income!A$3:A$502=DATE(2026,5,1)),ROW(Income!A$3:A$502)-2),3)),""),""))</f>
        <v/>
      </c>
      <c r="M91" s="152">
        <f t="array" ref="M91">IF(IFERROR(-INDEX(Expenses!D$3:D$999,SMALL(IF((Expenses!E$3:E$999="GBP")*(Expenses!A$3:A$999=DATE(2026,5,2)),ROW(Expenses!A$3:A$999)-2),3)),0)+IFERROR(INDEX(Income!C$3:C$502,SMALL(IF((Income!D$3:D$502="GBP")*(Income!A$3:A$502=DATE(2026,5,2)),ROW(Income!A$3:A$502)-2),3)),0)=0,"",IFERROR(-INDEX(Expenses!D$3:D$999,SMALL(IF((Expenses!E$3:E$999="GBP")*(Expenses!A$3:A$999=DATE(2026,5,2)),ROW(Expenses!A$3:A$999)-2),3)),0)+IFERROR(INDEX(Income!C$3:C$502,SMALL(IF((Income!D$3:D$502="GBP")*(Income!A$3:A$502=DATE(2026,5,2)),ROW(Income!A$3:A$502)-2),3)),0))</f>
        <v/>
      </c>
      <c r="N91" s="126">
        <f t="array" ref="N91">IF(IFERROR(INDEX(Expenses!B$3:B$999,SMALL(IF((Expenses!E$3:E$999="GBP")*(Expenses!A$3:A$999=DATE(2026,5,2)),ROW(Expenses!A$3:A$999)-2),3)),"")&lt;&gt;"",IFERROR(INDEX(Expenses!B$3:B$999,SMALL(IF((Expenses!E$3:E$999="GBP")*(Expenses!A$3:A$999=DATE(2026,5,2)),ROW(Expenses!A$3:A$999)-2),3)),""),IF(IFERROR(INDEX(Income!B$3:B$502,SMALL(IF((Income!D$3:D$502="GBP")*(Income!A$3:A$502=DATE(2026,5,2)),ROW(Income!A$3:A$502)-2),3)),"")&lt;&gt;"",IFERROR(INDEX(Income!B$3:B$502,SMALL(IF((Income!D$3:D$502="GBP")*(Income!A$3:A$502=DATE(2026,5,2)),ROW(Income!A$3:A$502)-2),3)),""),""))</f>
        <v/>
      </c>
      <c r="O91" s="152">
        <f t="array" ref="O91">IF(IFERROR(-INDEX(Expenses!D$3:D$999,SMALL(IF((Expenses!E$3:E$999="GBP")*(Expenses!A$3:A$999=DATE(2026,5,3)),ROW(Expenses!A$3:A$999)-2),3)),0)+IFERROR(INDEX(Income!C$3:C$502,SMALL(IF((Income!D$3:D$502="GBP")*(Income!A$3:A$502=DATE(2026,5,3)),ROW(Income!A$3:A$502)-2),3)),0)=0,"",IFERROR(-INDEX(Expenses!D$3:D$999,SMALL(IF((Expenses!E$3:E$999="GBP")*(Expenses!A$3:A$999=DATE(2026,5,3)),ROW(Expenses!A$3:A$999)-2),3)),0)+IFERROR(INDEX(Income!C$3:C$502,SMALL(IF((Income!D$3:D$502="GBP")*(Income!A$3:A$502=DATE(2026,5,3)),ROW(Income!A$3:A$502)-2),3)),0))</f>
        <v/>
      </c>
      <c r="P91" s="126">
        <f t="array" ref="P91">IF(IFERROR(INDEX(Expenses!B$3:B$999,SMALL(IF((Expenses!E$3:E$999="GBP")*(Expenses!A$3:A$999=DATE(2026,5,3)),ROW(Expenses!A$3:A$999)-2),3)),"")&lt;&gt;"",IFERROR(INDEX(Expenses!B$3:B$999,SMALL(IF((Expenses!E$3:E$999="GBP")*(Expenses!A$3:A$999=DATE(2026,5,3)),ROW(Expenses!A$3:A$999)-2),3)),""),IF(IFERROR(INDEX(Income!B$3:B$502,SMALL(IF((Income!D$3:D$502="GBP")*(Income!A$3:A$502=DATE(2026,5,3)),ROW(Income!A$3:A$502)-2),3)),"")&lt;&gt;"",IFERROR(INDEX(Income!B$3:B$502,SMALL(IF((Income!D$3:D$502="GBP")*(Income!A$3:A$502=DATE(2026,5,3)),ROW(Income!A$3:A$502)-2),3)),""),""))</f>
        <v/>
      </c>
      <c r="Q91" s="9" t="n"/>
      <c r="R91" s="9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68">
      <c r="A92" s="9" t="n"/>
      <c r="B92" s="9" t="n"/>
      <c r="C92" s="152">
        <f t="array" ref="C92">IF(IFERROR(-INDEX(Expenses!D$3:D$999,SMALL(IF((Expenses!E$3:E$999="GBP")*(Expenses!A$3:A$999=DATE(2026,4,27)),ROW(Expenses!A$3:A$999)-2),4)),0)+IFERROR(INDEX(Income!C$3:C$502,SMALL(IF((Income!D$3:D$502="GBP")*(Income!A$3:A$502=DATE(2026,4,27)),ROW(Income!A$3:A$502)-2),4)),0)=0,"",IFERROR(-INDEX(Expenses!D$3:D$999,SMALL(IF((Expenses!E$3:E$999="GBP")*(Expenses!A$3:A$999=DATE(2026,4,27)),ROW(Expenses!A$3:A$999)-2),4)),0)+IFERROR(INDEX(Income!C$3:C$502,SMALL(IF((Income!D$3:D$502="GBP")*(Income!A$3:A$502=DATE(2026,4,27)),ROW(Income!A$3:A$502)-2),4)),0))</f>
        <v/>
      </c>
      <c r="D92" s="126">
        <f t="array" ref="D92">IF(IFERROR(INDEX(Expenses!B$3:B$999,SMALL(IF((Expenses!E$3:E$999="GBP")*(Expenses!A$3:A$999=DATE(2026,4,27)),ROW(Expenses!A$3:A$999)-2),4)),"")&lt;&gt;"",IFERROR(INDEX(Expenses!B$3:B$999,SMALL(IF((Expenses!E$3:E$999="GBP")*(Expenses!A$3:A$999=DATE(2026,4,27)),ROW(Expenses!A$3:A$999)-2),4)),""),IF(IFERROR(INDEX(Income!B$3:B$502,SMALL(IF((Income!D$3:D$502="GBP")*(Income!A$3:A$502=DATE(2026,4,27)),ROW(Income!A$3:A$502)-2),4)),"")&lt;&gt;"",IFERROR(INDEX(Income!B$3:B$502,SMALL(IF((Income!D$3:D$502="GBP")*(Income!A$3:A$502=DATE(2026,4,27)),ROW(Income!A$3:A$502)-2),4)),""),""))</f>
        <v/>
      </c>
      <c r="E92" s="152">
        <f t="array" ref="E92">IF(IFERROR(-INDEX(Expenses!D$3:D$999,SMALL(IF((Expenses!E$3:E$999="GBP")*(Expenses!A$3:A$999=DATE(2026,4,28)),ROW(Expenses!A$3:A$999)-2),4)),0)+IFERROR(INDEX(Income!C$3:C$502,SMALL(IF((Income!D$3:D$502="GBP")*(Income!A$3:A$502=DATE(2026,4,28)),ROW(Income!A$3:A$502)-2),4)),0)=0,"",IFERROR(-INDEX(Expenses!D$3:D$999,SMALL(IF((Expenses!E$3:E$999="GBP")*(Expenses!A$3:A$999=DATE(2026,4,28)),ROW(Expenses!A$3:A$999)-2),4)),0)+IFERROR(INDEX(Income!C$3:C$502,SMALL(IF((Income!D$3:D$502="GBP")*(Income!A$3:A$502=DATE(2026,4,28)),ROW(Income!A$3:A$502)-2),4)),0))</f>
        <v/>
      </c>
      <c r="F92" s="126">
        <f t="array" ref="F92">IF(IFERROR(INDEX(Expenses!B$3:B$999,SMALL(IF((Expenses!E$3:E$999="GBP")*(Expenses!A$3:A$999=DATE(2026,4,28)),ROW(Expenses!A$3:A$999)-2),4)),"")&lt;&gt;"",IFERROR(INDEX(Expenses!B$3:B$999,SMALL(IF((Expenses!E$3:E$999="GBP")*(Expenses!A$3:A$999=DATE(2026,4,28)),ROW(Expenses!A$3:A$999)-2),4)),""),IF(IFERROR(INDEX(Income!B$3:B$502,SMALL(IF((Income!D$3:D$502="GBP")*(Income!A$3:A$502=DATE(2026,4,28)),ROW(Income!A$3:A$502)-2),4)),"")&lt;&gt;"",IFERROR(INDEX(Income!B$3:B$502,SMALL(IF((Income!D$3:D$502="GBP")*(Income!A$3:A$502=DATE(2026,4,28)),ROW(Income!A$3:A$502)-2),4)),""),""))</f>
        <v/>
      </c>
      <c r="G92" s="152">
        <f t="array" ref="G92">IF(IFERROR(-INDEX(Expenses!D$3:D$999,SMALL(IF((Expenses!E$3:E$999="GBP")*(Expenses!A$3:A$999=DATE(2026,4,29)),ROW(Expenses!A$3:A$999)-2),4)),0)+IFERROR(INDEX(Income!C$3:C$502,SMALL(IF((Income!D$3:D$502="GBP")*(Income!A$3:A$502=DATE(2026,4,29)),ROW(Income!A$3:A$502)-2),4)),0)=0,"",IFERROR(-INDEX(Expenses!D$3:D$999,SMALL(IF((Expenses!E$3:E$999="GBP")*(Expenses!A$3:A$999=DATE(2026,4,29)),ROW(Expenses!A$3:A$999)-2),4)),0)+IFERROR(INDEX(Income!C$3:C$502,SMALL(IF((Income!D$3:D$502="GBP")*(Income!A$3:A$502=DATE(2026,4,29)),ROW(Income!A$3:A$502)-2),4)),0))</f>
        <v/>
      </c>
      <c r="H92" s="126">
        <f t="array" ref="H92">IF(IFERROR(INDEX(Expenses!B$3:B$999,SMALL(IF((Expenses!E$3:E$999="GBP")*(Expenses!A$3:A$999=DATE(2026,4,29)),ROW(Expenses!A$3:A$999)-2),4)),"")&lt;&gt;"",IFERROR(INDEX(Expenses!B$3:B$999,SMALL(IF((Expenses!E$3:E$999="GBP")*(Expenses!A$3:A$999=DATE(2026,4,29)),ROW(Expenses!A$3:A$999)-2),4)),""),IF(IFERROR(INDEX(Income!B$3:B$502,SMALL(IF((Income!D$3:D$502="GBP")*(Income!A$3:A$502=DATE(2026,4,29)),ROW(Income!A$3:A$502)-2),4)),"")&lt;&gt;"",IFERROR(INDEX(Income!B$3:B$502,SMALL(IF((Income!D$3:D$502="GBP")*(Income!A$3:A$502=DATE(2026,4,29)),ROW(Income!A$3:A$502)-2),4)),""),""))</f>
        <v/>
      </c>
      <c r="I92" s="152">
        <f t="array" ref="I92">IF(IFERROR(-INDEX(Expenses!D$3:D$999,SMALL(IF((Expenses!E$3:E$999="GBP")*(Expenses!A$3:A$999=DATE(2026,4,30)),ROW(Expenses!A$3:A$999)-2),4)),0)+IFERROR(INDEX(Income!C$3:C$502,SMALL(IF((Income!D$3:D$502="GBP")*(Income!A$3:A$502=DATE(2026,4,30)),ROW(Income!A$3:A$502)-2),4)),0)=0,"",IFERROR(-INDEX(Expenses!D$3:D$999,SMALL(IF((Expenses!E$3:E$999="GBP")*(Expenses!A$3:A$999=DATE(2026,4,30)),ROW(Expenses!A$3:A$999)-2),4)),0)+IFERROR(INDEX(Income!C$3:C$502,SMALL(IF((Income!D$3:D$502="GBP")*(Income!A$3:A$502=DATE(2026,4,30)),ROW(Income!A$3:A$502)-2),4)),0))</f>
        <v/>
      </c>
      <c r="J92" s="126">
        <f t="array" ref="J92">IF(IFERROR(INDEX(Expenses!B$3:B$999,SMALL(IF((Expenses!E$3:E$999="GBP")*(Expenses!A$3:A$999=DATE(2026,4,30)),ROW(Expenses!A$3:A$999)-2),4)),"")&lt;&gt;"",IFERROR(INDEX(Expenses!B$3:B$999,SMALL(IF((Expenses!E$3:E$999="GBP")*(Expenses!A$3:A$999=DATE(2026,4,30)),ROW(Expenses!A$3:A$999)-2),4)),""),IF(IFERROR(INDEX(Income!B$3:B$502,SMALL(IF((Income!D$3:D$502="GBP")*(Income!A$3:A$502=DATE(2026,4,30)),ROW(Income!A$3:A$502)-2),4)),"")&lt;&gt;"",IFERROR(INDEX(Income!B$3:B$502,SMALL(IF((Income!D$3:D$502="GBP")*(Income!A$3:A$502=DATE(2026,4,30)),ROW(Income!A$3:A$502)-2),4)),""),""))</f>
        <v/>
      </c>
      <c r="K92" s="152">
        <f t="array" ref="K92">IF(IFERROR(-INDEX(Expenses!D$3:D$999,SMALL(IF((Expenses!E$3:E$999="GBP")*(Expenses!A$3:A$999=DATE(2026,5,1)),ROW(Expenses!A$3:A$999)-2),4)),0)+IFERROR(INDEX(Income!C$3:C$502,SMALL(IF((Income!D$3:D$502="GBP")*(Income!A$3:A$502=DATE(2026,5,1)),ROW(Income!A$3:A$502)-2),4)),0)=0,"",IFERROR(-INDEX(Expenses!D$3:D$999,SMALL(IF((Expenses!E$3:E$999="GBP")*(Expenses!A$3:A$999=DATE(2026,5,1)),ROW(Expenses!A$3:A$999)-2),4)),0)+IFERROR(INDEX(Income!C$3:C$502,SMALL(IF((Income!D$3:D$502="GBP")*(Income!A$3:A$502=DATE(2026,5,1)),ROW(Income!A$3:A$502)-2),4)),0))</f>
        <v/>
      </c>
      <c r="L92" s="126">
        <f t="array" ref="L92">IF(IFERROR(INDEX(Expenses!B$3:B$999,SMALL(IF((Expenses!E$3:E$999="GBP")*(Expenses!A$3:A$999=DATE(2026,5,1)),ROW(Expenses!A$3:A$999)-2),4)),"")&lt;&gt;"",IFERROR(INDEX(Expenses!B$3:B$999,SMALL(IF((Expenses!E$3:E$999="GBP")*(Expenses!A$3:A$999=DATE(2026,5,1)),ROW(Expenses!A$3:A$999)-2),4)),""),IF(IFERROR(INDEX(Income!B$3:B$502,SMALL(IF((Income!D$3:D$502="GBP")*(Income!A$3:A$502=DATE(2026,5,1)),ROW(Income!A$3:A$502)-2),4)),"")&lt;&gt;"",IFERROR(INDEX(Income!B$3:B$502,SMALL(IF((Income!D$3:D$502="GBP")*(Income!A$3:A$502=DATE(2026,5,1)),ROW(Income!A$3:A$502)-2),4)),""),""))</f>
        <v/>
      </c>
      <c r="M92" s="152">
        <f t="array" ref="M92">IF(IFERROR(-INDEX(Expenses!D$3:D$999,SMALL(IF((Expenses!E$3:E$999="GBP")*(Expenses!A$3:A$999=DATE(2026,5,2)),ROW(Expenses!A$3:A$999)-2),4)),0)+IFERROR(INDEX(Income!C$3:C$502,SMALL(IF((Income!D$3:D$502="GBP")*(Income!A$3:A$502=DATE(2026,5,2)),ROW(Income!A$3:A$502)-2),4)),0)=0,"",IFERROR(-INDEX(Expenses!D$3:D$999,SMALL(IF((Expenses!E$3:E$999="GBP")*(Expenses!A$3:A$999=DATE(2026,5,2)),ROW(Expenses!A$3:A$999)-2),4)),0)+IFERROR(INDEX(Income!C$3:C$502,SMALL(IF((Income!D$3:D$502="GBP")*(Income!A$3:A$502=DATE(2026,5,2)),ROW(Income!A$3:A$502)-2),4)),0))</f>
        <v/>
      </c>
      <c r="N92" s="126">
        <f t="array" ref="N92">IF(IFERROR(INDEX(Expenses!B$3:B$999,SMALL(IF((Expenses!E$3:E$999="GBP")*(Expenses!A$3:A$999=DATE(2026,5,2)),ROW(Expenses!A$3:A$999)-2),4)),"")&lt;&gt;"",IFERROR(INDEX(Expenses!B$3:B$999,SMALL(IF((Expenses!E$3:E$999="GBP")*(Expenses!A$3:A$999=DATE(2026,5,2)),ROW(Expenses!A$3:A$999)-2),4)),""),IF(IFERROR(INDEX(Income!B$3:B$502,SMALL(IF((Income!D$3:D$502="GBP")*(Income!A$3:A$502=DATE(2026,5,2)),ROW(Income!A$3:A$502)-2),4)),"")&lt;&gt;"",IFERROR(INDEX(Income!B$3:B$502,SMALL(IF((Income!D$3:D$502="GBP")*(Income!A$3:A$502=DATE(2026,5,2)),ROW(Income!A$3:A$502)-2),4)),""),""))</f>
        <v/>
      </c>
      <c r="O92" s="152">
        <f t="array" ref="O92">IF(IFERROR(-INDEX(Expenses!D$3:D$999,SMALL(IF((Expenses!E$3:E$999="GBP")*(Expenses!A$3:A$999=DATE(2026,5,3)),ROW(Expenses!A$3:A$999)-2),4)),0)+IFERROR(INDEX(Income!C$3:C$502,SMALL(IF((Income!D$3:D$502="GBP")*(Income!A$3:A$502=DATE(2026,5,3)),ROW(Income!A$3:A$502)-2),4)),0)=0,"",IFERROR(-INDEX(Expenses!D$3:D$999,SMALL(IF((Expenses!E$3:E$999="GBP")*(Expenses!A$3:A$999=DATE(2026,5,3)),ROW(Expenses!A$3:A$999)-2),4)),0)+IFERROR(INDEX(Income!C$3:C$502,SMALL(IF((Income!D$3:D$502="GBP")*(Income!A$3:A$502=DATE(2026,5,3)),ROW(Income!A$3:A$502)-2),4)),0))</f>
        <v/>
      </c>
      <c r="P92" s="126">
        <f t="array" ref="P92">IF(IFERROR(INDEX(Expenses!B$3:B$999,SMALL(IF((Expenses!E$3:E$999="GBP")*(Expenses!A$3:A$999=DATE(2026,5,3)),ROW(Expenses!A$3:A$999)-2),4)),"")&lt;&gt;"",IFERROR(INDEX(Expenses!B$3:B$999,SMALL(IF((Expenses!E$3:E$999="GBP")*(Expenses!A$3:A$999=DATE(2026,5,3)),ROW(Expenses!A$3:A$999)-2),4)),""),IF(IFERROR(INDEX(Income!B$3:B$502,SMALL(IF((Income!D$3:D$502="GBP")*(Income!A$3:A$502=DATE(2026,5,3)),ROW(Income!A$3:A$502)-2),4)),"")&lt;&gt;"",IFERROR(INDEX(Income!B$3:B$502,SMALL(IF((Income!D$3:D$502="GBP")*(Income!A$3:A$502=DATE(2026,5,3)),ROW(Income!A$3:A$502)-2),4)),""),""))</f>
        <v/>
      </c>
      <c r="Q92" s="9" t="n"/>
      <c r="R92" s="9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68">
      <c r="A93" s="9" t="n"/>
      <c r="B93" s="9" t="n"/>
      <c r="C93" s="152">
        <f t="array" ref="C93">IF(IFERROR(-INDEX(Expenses!D$3:D$999,SMALL(IF((Expenses!E$3:E$999="GBP")*(Expenses!A$3:A$999=DATE(2026,4,27)),ROW(Expenses!A$3:A$999)-2),5)),0)+IFERROR(INDEX(Income!C$3:C$502,SMALL(IF((Income!D$3:D$502="GBP")*(Income!A$3:A$502=DATE(2026,4,27)),ROW(Income!A$3:A$502)-2),5)),0)=0,"",IFERROR(-INDEX(Expenses!D$3:D$999,SMALL(IF((Expenses!E$3:E$999="GBP")*(Expenses!A$3:A$999=DATE(2026,4,27)),ROW(Expenses!A$3:A$999)-2),5)),0)+IFERROR(INDEX(Income!C$3:C$502,SMALL(IF((Income!D$3:D$502="GBP")*(Income!A$3:A$502=DATE(2026,4,27)),ROW(Income!A$3:A$502)-2),5)),0))</f>
        <v/>
      </c>
      <c r="D93" s="126">
        <f t="array" ref="D93">IF(IFERROR(INDEX(Expenses!B$3:B$999,SMALL(IF((Expenses!E$3:E$999="GBP")*(Expenses!A$3:A$999=DATE(2026,4,27)),ROW(Expenses!A$3:A$999)-2),5)),"")&lt;&gt;"",IFERROR(INDEX(Expenses!B$3:B$999,SMALL(IF((Expenses!E$3:E$999="GBP")*(Expenses!A$3:A$999=DATE(2026,4,27)),ROW(Expenses!A$3:A$999)-2),5)),""),IF(IFERROR(INDEX(Income!B$3:B$502,SMALL(IF((Income!D$3:D$502="GBP")*(Income!A$3:A$502=DATE(2026,4,27)),ROW(Income!A$3:A$502)-2),5)),"")&lt;&gt;"",IFERROR(INDEX(Income!B$3:B$502,SMALL(IF((Income!D$3:D$502="GBP")*(Income!A$3:A$502=DATE(2026,4,27)),ROW(Income!A$3:A$502)-2),5)),""),""))</f>
        <v/>
      </c>
      <c r="E93" s="152">
        <f t="array" ref="E93">IF(IFERROR(-INDEX(Expenses!D$3:D$999,SMALL(IF((Expenses!E$3:E$999="GBP")*(Expenses!A$3:A$999=DATE(2026,4,28)),ROW(Expenses!A$3:A$999)-2),5)),0)+IFERROR(INDEX(Income!C$3:C$502,SMALL(IF((Income!D$3:D$502="GBP")*(Income!A$3:A$502=DATE(2026,4,28)),ROW(Income!A$3:A$502)-2),5)),0)=0,"",IFERROR(-INDEX(Expenses!D$3:D$999,SMALL(IF((Expenses!E$3:E$999="GBP")*(Expenses!A$3:A$999=DATE(2026,4,28)),ROW(Expenses!A$3:A$999)-2),5)),0)+IFERROR(INDEX(Income!C$3:C$502,SMALL(IF((Income!D$3:D$502="GBP")*(Income!A$3:A$502=DATE(2026,4,28)),ROW(Income!A$3:A$502)-2),5)),0))</f>
        <v/>
      </c>
      <c r="F93" s="126">
        <f t="array" ref="F93">IF(IFERROR(INDEX(Expenses!B$3:B$999,SMALL(IF((Expenses!E$3:E$999="GBP")*(Expenses!A$3:A$999=DATE(2026,4,28)),ROW(Expenses!A$3:A$999)-2),5)),"")&lt;&gt;"",IFERROR(INDEX(Expenses!B$3:B$999,SMALL(IF((Expenses!E$3:E$999="GBP")*(Expenses!A$3:A$999=DATE(2026,4,28)),ROW(Expenses!A$3:A$999)-2),5)),""),IF(IFERROR(INDEX(Income!B$3:B$502,SMALL(IF((Income!D$3:D$502="GBP")*(Income!A$3:A$502=DATE(2026,4,28)),ROW(Income!A$3:A$502)-2),5)),"")&lt;&gt;"",IFERROR(INDEX(Income!B$3:B$502,SMALL(IF((Income!D$3:D$502="GBP")*(Income!A$3:A$502=DATE(2026,4,28)),ROW(Income!A$3:A$502)-2),5)),""),""))</f>
        <v/>
      </c>
      <c r="G93" s="152">
        <f t="array" ref="G93">IF(IFERROR(-INDEX(Expenses!D$3:D$999,SMALL(IF((Expenses!E$3:E$999="GBP")*(Expenses!A$3:A$999=DATE(2026,4,29)),ROW(Expenses!A$3:A$999)-2),5)),0)+IFERROR(INDEX(Income!C$3:C$502,SMALL(IF((Income!D$3:D$502="GBP")*(Income!A$3:A$502=DATE(2026,4,29)),ROW(Income!A$3:A$502)-2),5)),0)=0,"",IFERROR(-INDEX(Expenses!D$3:D$999,SMALL(IF((Expenses!E$3:E$999="GBP")*(Expenses!A$3:A$999=DATE(2026,4,29)),ROW(Expenses!A$3:A$999)-2),5)),0)+IFERROR(INDEX(Income!C$3:C$502,SMALL(IF((Income!D$3:D$502="GBP")*(Income!A$3:A$502=DATE(2026,4,29)),ROW(Income!A$3:A$502)-2),5)),0))</f>
        <v/>
      </c>
      <c r="H93" s="126">
        <f t="array" ref="H93">IF(IFERROR(INDEX(Expenses!B$3:B$999,SMALL(IF((Expenses!E$3:E$999="GBP")*(Expenses!A$3:A$999=DATE(2026,4,29)),ROW(Expenses!A$3:A$999)-2),5)),"")&lt;&gt;"",IFERROR(INDEX(Expenses!B$3:B$999,SMALL(IF((Expenses!E$3:E$999="GBP")*(Expenses!A$3:A$999=DATE(2026,4,29)),ROW(Expenses!A$3:A$999)-2),5)),""),IF(IFERROR(INDEX(Income!B$3:B$502,SMALL(IF((Income!D$3:D$502="GBP")*(Income!A$3:A$502=DATE(2026,4,29)),ROW(Income!A$3:A$502)-2),5)),"")&lt;&gt;"",IFERROR(INDEX(Income!B$3:B$502,SMALL(IF((Income!D$3:D$502="GBP")*(Income!A$3:A$502=DATE(2026,4,29)),ROW(Income!A$3:A$502)-2),5)),""),""))</f>
        <v/>
      </c>
      <c r="I93" s="152">
        <f t="array" ref="I93">IF(IFERROR(-INDEX(Expenses!D$3:D$999,SMALL(IF((Expenses!E$3:E$999="GBP")*(Expenses!A$3:A$999=DATE(2026,4,30)),ROW(Expenses!A$3:A$999)-2),5)),0)+IFERROR(INDEX(Income!C$3:C$502,SMALL(IF((Income!D$3:D$502="GBP")*(Income!A$3:A$502=DATE(2026,4,30)),ROW(Income!A$3:A$502)-2),5)),0)=0,"",IFERROR(-INDEX(Expenses!D$3:D$999,SMALL(IF((Expenses!E$3:E$999="GBP")*(Expenses!A$3:A$999=DATE(2026,4,30)),ROW(Expenses!A$3:A$999)-2),5)),0)+IFERROR(INDEX(Income!C$3:C$502,SMALL(IF((Income!D$3:D$502="GBP")*(Income!A$3:A$502=DATE(2026,4,30)),ROW(Income!A$3:A$502)-2),5)),0))</f>
        <v/>
      </c>
      <c r="J93" s="126">
        <f t="array" ref="J93">IF(IFERROR(INDEX(Expenses!B$3:B$999,SMALL(IF((Expenses!E$3:E$999="GBP")*(Expenses!A$3:A$999=DATE(2026,4,30)),ROW(Expenses!A$3:A$999)-2),5)),"")&lt;&gt;"",IFERROR(INDEX(Expenses!B$3:B$999,SMALL(IF((Expenses!E$3:E$999="GBP")*(Expenses!A$3:A$999=DATE(2026,4,30)),ROW(Expenses!A$3:A$999)-2),5)),""),IF(IFERROR(INDEX(Income!B$3:B$502,SMALL(IF((Income!D$3:D$502="GBP")*(Income!A$3:A$502=DATE(2026,4,30)),ROW(Income!A$3:A$502)-2),5)),"")&lt;&gt;"",IFERROR(INDEX(Income!B$3:B$502,SMALL(IF((Income!D$3:D$502="GBP")*(Income!A$3:A$502=DATE(2026,4,30)),ROW(Income!A$3:A$502)-2),5)),""),""))</f>
        <v/>
      </c>
      <c r="K93" s="152">
        <f t="array" ref="K93">IF(IFERROR(-INDEX(Expenses!D$3:D$999,SMALL(IF((Expenses!E$3:E$999="GBP")*(Expenses!A$3:A$999=DATE(2026,5,1)),ROW(Expenses!A$3:A$999)-2),5)),0)+IFERROR(INDEX(Income!C$3:C$502,SMALL(IF((Income!D$3:D$502="GBP")*(Income!A$3:A$502=DATE(2026,5,1)),ROW(Income!A$3:A$502)-2),5)),0)=0,"",IFERROR(-INDEX(Expenses!D$3:D$999,SMALL(IF((Expenses!E$3:E$999="GBP")*(Expenses!A$3:A$999=DATE(2026,5,1)),ROW(Expenses!A$3:A$999)-2),5)),0)+IFERROR(INDEX(Income!C$3:C$502,SMALL(IF((Income!D$3:D$502="GBP")*(Income!A$3:A$502=DATE(2026,5,1)),ROW(Income!A$3:A$502)-2),5)),0))</f>
        <v/>
      </c>
      <c r="L93" s="126">
        <f t="array" ref="L93">IF(IFERROR(INDEX(Expenses!B$3:B$999,SMALL(IF((Expenses!E$3:E$999="GBP")*(Expenses!A$3:A$999=DATE(2026,5,1)),ROW(Expenses!A$3:A$999)-2),5)),"")&lt;&gt;"",IFERROR(INDEX(Expenses!B$3:B$999,SMALL(IF((Expenses!E$3:E$999="GBP")*(Expenses!A$3:A$999=DATE(2026,5,1)),ROW(Expenses!A$3:A$999)-2),5)),""),IF(IFERROR(INDEX(Income!B$3:B$502,SMALL(IF((Income!D$3:D$502="GBP")*(Income!A$3:A$502=DATE(2026,5,1)),ROW(Income!A$3:A$502)-2),5)),"")&lt;&gt;"",IFERROR(INDEX(Income!B$3:B$502,SMALL(IF((Income!D$3:D$502="GBP")*(Income!A$3:A$502=DATE(2026,5,1)),ROW(Income!A$3:A$502)-2),5)),""),""))</f>
        <v/>
      </c>
      <c r="M93" s="152">
        <f t="array" ref="M93">IF(IFERROR(-INDEX(Expenses!D$3:D$999,SMALL(IF((Expenses!E$3:E$999="GBP")*(Expenses!A$3:A$999=DATE(2026,5,2)),ROW(Expenses!A$3:A$999)-2),5)),0)+IFERROR(INDEX(Income!C$3:C$502,SMALL(IF((Income!D$3:D$502="GBP")*(Income!A$3:A$502=DATE(2026,5,2)),ROW(Income!A$3:A$502)-2),5)),0)=0,"",IFERROR(-INDEX(Expenses!D$3:D$999,SMALL(IF((Expenses!E$3:E$999="GBP")*(Expenses!A$3:A$999=DATE(2026,5,2)),ROW(Expenses!A$3:A$999)-2),5)),0)+IFERROR(INDEX(Income!C$3:C$502,SMALL(IF((Income!D$3:D$502="GBP")*(Income!A$3:A$502=DATE(2026,5,2)),ROW(Income!A$3:A$502)-2),5)),0))</f>
        <v/>
      </c>
      <c r="N93" s="126">
        <f t="array" ref="N93">IF(IFERROR(INDEX(Expenses!B$3:B$999,SMALL(IF((Expenses!E$3:E$999="GBP")*(Expenses!A$3:A$999=DATE(2026,5,2)),ROW(Expenses!A$3:A$999)-2),5)),"")&lt;&gt;"",IFERROR(INDEX(Expenses!B$3:B$999,SMALL(IF((Expenses!E$3:E$999="GBP")*(Expenses!A$3:A$999=DATE(2026,5,2)),ROW(Expenses!A$3:A$999)-2),5)),""),IF(IFERROR(INDEX(Income!B$3:B$502,SMALL(IF((Income!D$3:D$502="GBP")*(Income!A$3:A$502=DATE(2026,5,2)),ROW(Income!A$3:A$502)-2),5)),"")&lt;&gt;"",IFERROR(INDEX(Income!B$3:B$502,SMALL(IF((Income!D$3:D$502="GBP")*(Income!A$3:A$502=DATE(2026,5,2)),ROW(Income!A$3:A$502)-2),5)),""),""))</f>
        <v/>
      </c>
      <c r="O93" s="152">
        <f t="array" ref="O93">IF(IFERROR(-INDEX(Expenses!D$3:D$999,SMALL(IF((Expenses!E$3:E$999="GBP")*(Expenses!A$3:A$999=DATE(2026,5,3)),ROW(Expenses!A$3:A$999)-2),5)),0)+IFERROR(INDEX(Income!C$3:C$502,SMALL(IF((Income!D$3:D$502="GBP")*(Income!A$3:A$502=DATE(2026,5,3)),ROW(Income!A$3:A$502)-2),5)),0)=0,"",IFERROR(-INDEX(Expenses!D$3:D$999,SMALL(IF((Expenses!E$3:E$999="GBP")*(Expenses!A$3:A$999=DATE(2026,5,3)),ROW(Expenses!A$3:A$999)-2),5)),0)+IFERROR(INDEX(Income!C$3:C$502,SMALL(IF((Income!D$3:D$502="GBP")*(Income!A$3:A$502=DATE(2026,5,3)),ROW(Income!A$3:A$502)-2),5)),0))</f>
        <v/>
      </c>
      <c r="P93" s="126">
        <f t="array" ref="P93">IF(IFERROR(INDEX(Expenses!B$3:B$999,SMALL(IF((Expenses!E$3:E$999="GBP")*(Expenses!A$3:A$999=DATE(2026,5,3)),ROW(Expenses!A$3:A$999)-2),5)),"")&lt;&gt;"",IFERROR(INDEX(Expenses!B$3:B$999,SMALL(IF((Expenses!E$3:E$999="GBP")*(Expenses!A$3:A$999=DATE(2026,5,3)),ROW(Expenses!A$3:A$999)-2),5)),""),IF(IFERROR(INDEX(Income!B$3:B$502,SMALL(IF((Income!D$3:D$502="GBP")*(Income!A$3:A$502=DATE(2026,5,3)),ROW(Income!A$3:A$502)-2),5)),"")&lt;&gt;"",IFERROR(INDEX(Income!B$3:B$502,SMALL(IF((Income!D$3:D$502="GBP")*(Income!A$3:A$502=DATE(2026,5,3)),ROW(Income!A$3:A$502)-2),5)),""),""))</f>
        <v/>
      </c>
      <c r="Q93" s="9" t="n"/>
      <c r="R93" s="9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68">
      <c r="A94" s="151" t="n">
        <v>46146</v>
      </c>
      <c r="B94" s="103" t="n">
        <v>19</v>
      </c>
      <c r="C94" s="152">
        <f t="array" ref="C94">IF(IFERROR(-INDEX(Expenses!D$3:D$999,SMALL(IF((Expenses!E$3:E$999="GBP")*(Expenses!A$3:A$999=DATE(2026,5,4)),ROW(Expenses!A$3:A$999)-2),1)),0)+IFERROR(INDEX(Income!C$3:C$502,SMALL(IF((Income!D$3:D$502="GBP")*(Income!A$3:A$502=DATE(2026,5,4)),ROW(Income!A$3:A$502)-2),1)),0)=0,"",IFERROR(-INDEX(Expenses!D$3:D$999,SMALL(IF((Expenses!E$3:E$999="GBP")*(Expenses!A$3:A$999=DATE(2026,5,4)),ROW(Expenses!A$3:A$999)-2),1)),0)+IFERROR(INDEX(Income!C$3:C$502,SMALL(IF((Income!D$3:D$502="GBP")*(Income!A$3:A$502=DATE(2026,5,4)),ROW(Income!A$3:A$502)-2),1)),0))</f>
        <v/>
      </c>
      <c r="D94" s="126">
        <f t="array" ref="D94">IF(IFERROR(INDEX(Expenses!B$3:B$999,SMALL(IF((Expenses!E$3:E$999="GBP")*(Expenses!A$3:A$999=DATE(2026,5,4)),ROW(Expenses!A$3:A$999)-2),1)),"")&lt;&gt;"",IFERROR(INDEX(Expenses!B$3:B$999,SMALL(IF((Expenses!E$3:E$999="GBP")*(Expenses!A$3:A$999=DATE(2026,5,4)),ROW(Expenses!A$3:A$999)-2),1)),""),IF(IFERROR(INDEX(Income!B$3:B$502,SMALL(IF((Income!D$3:D$502="GBP")*(Income!A$3:A$502=DATE(2026,5,4)),ROW(Income!A$3:A$502)-2),1)),"")&lt;&gt;"",IFERROR(INDEX(Income!B$3:B$502,SMALL(IF((Income!D$3:D$502="GBP")*(Income!A$3:A$502=DATE(2026,5,4)),ROW(Income!A$3:A$502)-2),1)),""),""))</f>
        <v/>
      </c>
      <c r="E94" s="152">
        <f t="array" ref="E94">IF(IFERROR(-INDEX(Expenses!D$3:D$999,SMALL(IF((Expenses!E$3:E$999="GBP")*(Expenses!A$3:A$999=DATE(2026,5,5)),ROW(Expenses!A$3:A$999)-2),1)),0)+IFERROR(INDEX(Income!C$3:C$502,SMALL(IF((Income!D$3:D$502="GBP")*(Income!A$3:A$502=DATE(2026,5,5)),ROW(Income!A$3:A$502)-2),1)),0)=0,"",IFERROR(-INDEX(Expenses!D$3:D$999,SMALL(IF((Expenses!E$3:E$999="GBP")*(Expenses!A$3:A$999=DATE(2026,5,5)),ROW(Expenses!A$3:A$999)-2),1)),0)+IFERROR(INDEX(Income!C$3:C$502,SMALL(IF((Income!D$3:D$502="GBP")*(Income!A$3:A$502=DATE(2026,5,5)),ROW(Income!A$3:A$502)-2),1)),0))</f>
        <v/>
      </c>
      <c r="F94" s="126">
        <f t="array" ref="F94">IF(IFERROR(INDEX(Expenses!B$3:B$999,SMALL(IF((Expenses!E$3:E$999="GBP")*(Expenses!A$3:A$999=DATE(2026,5,5)),ROW(Expenses!A$3:A$999)-2),1)),"")&lt;&gt;"",IFERROR(INDEX(Expenses!B$3:B$999,SMALL(IF((Expenses!E$3:E$999="GBP")*(Expenses!A$3:A$999=DATE(2026,5,5)),ROW(Expenses!A$3:A$999)-2),1)),""),IF(IFERROR(INDEX(Income!B$3:B$502,SMALL(IF((Income!D$3:D$502="GBP")*(Income!A$3:A$502=DATE(2026,5,5)),ROW(Income!A$3:A$502)-2),1)),"")&lt;&gt;"",IFERROR(INDEX(Income!B$3:B$502,SMALL(IF((Income!D$3:D$502="GBP")*(Income!A$3:A$502=DATE(2026,5,5)),ROW(Income!A$3:A$502)-2),1)),""),""))</f>
        <v/>
      </c>
      <c r="G94" s="152">
        <f t="array" ref="G94">IF(IFERROR(-INDEX(Expenses!D$3:D$999,SMALL(IF((Expenses!E$3:E$999="GBP")*(Expenses!A$3:A$999=DATE(2026,5,6)),ROW(Expenses!A$3:A$999)-2),1)),0)+IFERROR(INDEX(Income!C$3:C$502,SMALL(IF((Income!D$3:D$502="GBP")*(Income!A$3:A$502=DATE(2026,5,6)),ROW(Income!A$3:A$502)-2),1)),0)=0,"",IFERROR(-INDEX(Expenses!D$3:D$999,SMALL(IF((Expenses!E$3:E$999="GBP")*(Expenses!A$3:A$999=DATE(2026,5,6)),ROW(Expenses!A$3:A$999)-2),1)),0)+IFERROR(INDEX(Income!C$3:C$502,SMALL(IF((Income!D$3:D$502="GBP")*(Income!A$3:A$502=DATE(2026,5,6)),ROW(Income!A$3:A$502)-2),1)),0))</f>
        <v/>
      </c>
      <c r="H94" s="126">
        <f t="array" ref="H94">IF(IFERROR(INDEX(Expenses!B$3:B$999,SMALL(IF((Expenses!E$3:E$999="GBP")*(Expenses!A$3:A$999=DATE(2026,5,6)),ROW(Expenses!A$3:A$999)-2),1)),"")&lt;&gt;"",IFERROR(INDEX(Expenses!B$3:B$999,SMALL(IF((Expenses!E$3:E$999="GBP")*(Expenses!A$3:A$999=DATE(2026,5,6)),ROW(Expenses!A$3:A$999)-2),1)),""),IF(IFERROR(INDEX(Income!B$3:B$502,SMALL(IF((Income!D$3:D$502="GBP")*(Income!A$3:A$502=DATE(2026,5,6)),ROW(Income!A$3:A$502)-2),1)),"")&lt;&gt;"",IFERROR(INDEX(Income!B$3:B$502,SMALL(IF((Income!D$3:D$502="GBP")*(Income!A$3:A$502=DATE(2026,5,6)),ROW(Income!A$3:A$502)-2),1)),""),""))</f>
        <v/>
      </c>
      <c r="I94" s="152">
        <f t="array" ref="I94">IF(IFERROR(-INDEX(Expenses!D$3:D$999,SMALL(IF((Expenses!E$3:E$999="GBP")*(Expenses!A$3:A$999=DATE(2026,5,7)),ROW(Expenses!A$3:A$999)-2),1)),0)+IFERROR(INDEX(Income!C$3:C$502,SMALL(IF((Income!D$3:D$502="GBP")*(Income!A$3:A$502=DATE(2026,5,7)),ROW(Income!A$3:A$502)-2),1)),0)=0,"",IFERROR(-INDEX(Expenses!D$3:D$999,SMALL(IF((Expenses!E$3:E$999="GBP")*(Expenses!A$3:A$999=DATE(2026,5,7)),ROW(Expenses!A$3:A$999)-2),1)),0)+IFERROR(INDEX(Income!C$3:C$502,SMALL(IF((Income!D$3:D$502="GBP")*(Income!A$3:A$502=DATE(2026,5,7)),ROW(Income!A$3:A$502)-2),1)),0))</f>
        <v/>
      </c>
      <c r="J94" s="126">
        <f t="array" ref="J94">IF(IFERROR(INDEX(Expenses!B$3:B$999,SMALL(IF((Expenses!E$3:E$999="GBP")*(Expenses!A$3:A$999=DATE(2026,5,7)),ROW(Expenses!A$3:A$999)-2),1)),"")&lt;&gt;"",IFERROR(INDEX(Expenses!B$3:B$999,SMALL(IF((Expenses!E$3:E$999="GBP")*(Expenses!A$3:A$999=DATE(2026,5,7)),ROW(Expenses!A$3:A$999)-2),1)),""),IF(IFERROR(INDEX(Income!B$3:B$502,SMALL(IF((Income!D$3:D$502="GBP")*(Income!A$3:A$502=DATE(2026,5,7)),ROW(Income!A$3:A$502)-2),1)),"")&lt;&gt;"",IFERROR(INDEX(Income!B$3:B$502,SMALL(IF((Income!D$3:D$502="GBP")*(Income!A$3:A$502=DATE(2026,5,7)),ROW(Income!A$3:A$502)-2),1)),""),""))</f>
        <v/>
      </c>
      <c r="K94" s="152">
        <f t="array" ref="K94">IF(IFERROR(-INDEX(Expenses!D$3:D$999,SMALL(IF((Expenses!E$3:E$999="GBP")*(Expenses!A$3:A$999=DATE(2026,5,8)),ROW(Expenses!A$3:A$999)-2),1)),0)+IFERROR(INDEX(Income!C$3:C$502,SMALL(IF((Income!D$3:D$502="GBP")*(Income!A$3:A$502=DATE(2026,5,8)),ROW(Income!A$3:A$502)-2),1)),0)=0,"",IFERROR(-INDEX(Expenses!D$3:D$999,SMALL(IF((Expenses!E$3:E$999="GBP")*(Expenses!A$3:A$999=DATE(2026,5,8)),ROW(Expenses!A$3:A$999)-2),1)),0)+IFERROR(INDEX(Income!C$3:C$502,SMALL(IF((Income!D$3:D$502="GBP")*(Income!A$3:A$502=DATE(2026,5,8)),ROW(Income!A$3:A$502)-2),1)),0))</f>
        <v/>
      </c>
      <c r="L94" s="126">
        <f t="array" ref="L94">IF(IFERROR(INDEX(Expenses!B$3:B$999,SMALL(IF((Expenses!E$3:E$999="GBP")*(Expenses!A$3:A$999=DATE(2026,5,8)),ROW(Expenses!A$3:A$999)-2),1)),"")&lt;&gt;"",IFERROR(INDEX(Expenses!B$3:B$999,SMALL(IF((Expenses!E$3:E$999="GBP")*(Expenses!A$3:A$999=DATE(2026,5,8)),ROW(Expenses!A$3:A$999)-2),1)),""),IF(IFERROR(INDEX(Income!B$3:B$502,SMALL(IF((Income!D$3:D$502="GBP")*(Income!A$3:A$502=DATE(2026,5,8)),ROW(Income!A$3:A$502)-2),1)),"")&lt;&gt;"",IFERROR(INDEX(Income!B$3:B$502,SMALL(IF((Income!D$3:D$502="GBP")*(Income!A$3:A$502=DATE(2026,5,8)),ROW(Income!A$3:A$502)-2),1)),""),""))</f>
        <v/>
      </c>
      <c r="M94" s="152">
        <f t="array" ref="M94">IF(IFERROR(-INDEX(Expenses!D$3:D$999,SMALL(IF((Expenses!E$3:E$999="GBP")*(Expenses!A$3:A$999=DATE(2026,5,9)),ROW(Expenses!A$3:A$999)-2),1)),0)+IFERROR(INDEX(Income!C$3:C$502,SMALL(IF((Income!D$3:D$502="GBP")*(Income!A$3:A$502=DATE(2026,5,9)),ROW(Income!A$3:A$502)-2),1)),0)=0,"",IFERROR(-INDEX(Expenses!D$3:D$999,SMALL(IF((Expenses!E$3:E$999="GBP")*(Expenses!A$3:A$999=DATE(2026,5,9)),ROW(Expenses!A$3:A$999)-2),1)),0)+IFERROR(INDEX(Income!C$3:C$502,SMALL(IF((Income!D$3:D$502="GBP")*(Income!A$3:A$502=DATE(2026,5,9)),ROW(Income!A$3:A$502)-2),1)),0))</f>
        <v/>
      </c>
      <c r="N94" s="126">
        <f t="array" ref="N94">IF(IFERROR(INDEX(Expenses!B$3:B$999,SMALL(IF((Expenses!E$3:E$999="GBP")*(Expenses!A$3:A$999=DATE(2026,5,9)),ROW(Expenses!A$3:A$999)-2),1)),"")&lt;&gt;"",IFERROR(INDEX(Expenses!B$3:B$999,SMALL(IF((Expenses!E$3:E$999="GBP")*(Expenses!A$3:A$999=DATE(2026,5,9)),ROW(Expenses!A$3:A$999)-2),1)),""),IF(IFERROR(INDEX(Income!B$3:B$502,SMALL(IF((Income!D$3:D$502="GBP")*(Income!A$3:A$502=DATE(2026,5,9)),ROW(Income!A$3:A$502)-2),1)),"")&lt;&gt;"",IFERROR(INDEX(Income!B$3:B$502,SMALL(IF((Income!D$3:D$502="GBP")*(Income!A$3:A$502=DATE(2026,5,9)),ROW(Income!A$3:A$502)-2),1)),""),""))</f>
        <v/>
      </c>
      <c r="O94" s="152">
        <f t="array" ref="O94">IF(IFERROR(-INDEX(Expenses!D$3:D$999,SMALL(IF((Expenses!E$3:E$999="GBP")*(Expenses!A$3:A$999=DATE(2026,5,10)),ROW(Expenses!A$3:A$999)-2),1)),0)+IFERROR(INDEX(Income!C$3:C$502,SMALL(IF((Income!D$3:D$502="GBP")*(Income!A$3:A$502=DATE(2026,5,10)),ROW(Income!A$3:A$502)-2),1)),0)=0,"",IFERROR(-INDEX(Expenses!D$3:D$999,SMALL(IF((Expenses!E$3:E$999="GBP")*(Expenses!A$3:A$999=DATE(2026,5,10)),ROW(Expenses!A$3:A$999)-2),1)),0)+IFERROR(INDEX(Income!C$3:C$502,SMALL(IF((Income!D$3:D$502="GBP")*(Income!A$3:A$502=DATE(2026,5,10)),ROW(Income!A$3:A$502)-2),1)),0))</f>
        <v/>
      </c>
      <c r="P94" s="126">
        <f t="array" ref="P94">IF(IFERROR(INDEX(Expenses!B$3:B$999,SMALL(IF((Expenses!E$3:E$999="GBP")*(Expenses!A$3:A$999=DATE(2026,5,10)),ROW(Expenses!A$3:A$999)-2),1)),"")&lt;&gt;"",IFERROR(INDEX(Expenses!B$3:B$999,SMALL(IF((Expenses!E$3:E$999="GBP")*(Expenses!A$3:A$999=DATE(2026,5,10)),ROW(Expenses!A$3:A$999)-2),1)),""),IF(IFERROR(INDEX(Income!B$3:B$502,SMALL(IF((Income!D$3:D$502="GBP")*(Income!A$3:A$502=DATE(2026,5,10)),ROW(Income!A$3:A$502)-2),1)),"")&lt;&gt;"",IFERROR(INDEX(Income!B$3:B$502,SMALL(IF((Income!D$3:D$502="GBP")*(Income!A$3:A$502=DATE(2026,5,10)),ROW(Income!A$3:A$502)-2),1)),""),""))</f>
        <v/>
      </c>
      <c r="Q94" s="103" t="n">
        <v>19</v>
      </c>
      <c r="R94" s="134">
        <f>SUM(C94:C98)+SUM(E94:E98)+SUM(G94:G98)+SUM(I94:I98)+SUM(K94:K98)+SUM(M94:M98)+SUM(O94:O98)</f>
        <v/>
      </c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68">
      <c r="A95" s="9" t="n"/>
      <c r="B95" s="9" t="n"/>
      <c r="C95" s="152">
        <f t="array" ref="C95">IF(IFERROR(-INDEX(Expenses!D$3:D$999,SMALL(IF((Expenses!E$3:E$999="GBP")*(Expenses!A$3:A$999=DATE(2026,5,4)),ROW(Expenses!A$3:A$999)-2),2)),0)+IFERROR(INDEX(Income!C$3:C$502,SMALL(IF((Income!D$3:D$502="GBP")*(Income!A$3:A$502=DATE(2026,5,4)),ROW(Income!A$3:A$502)-2),2)),0)=0,"",IFERROR(-INDEX(Expenses!D$3:D$999,SMALL(IF((Expenses!E$3:E$999="GBP")*(Expenses!A$3:A$999=DATE(2026,5,4)),ROW(Expenses!A$3:A$999)-2),2)),0)+IFERROR(INDEX(Income!C$3:C$502,SMALL(IF((Income!D$3:D$502="GBP")*(Income!A$3:A$502=DATE(2026,5,4)),ROW(Income!A$3:A$502)-2),2)),0))</f>
        <v/>
      </c>
      <c r="D95" s="126">
        <f t="array" ref="D95">IF(IFERROR(INDEX(Expenses!B$3:B$999,SMALL(IF((Expenses!E$3:E$999="GBP")*(Expenses!A$3:A$999=DATE(2026,5,4)),ROW(Expenses!A$3:A$999)-2),2)),"")&lt;&gt;"",IFERROR(INDEX(Expenses!B$3:B$999,SMALL(IF((Expenses!E$3:E$999="GBP")*(Expenses!A$3:A$999=DATE(2026,5,4)),ROW(Expenses!A$3:A$999)-2),2)),""),IF(IFERROR(INDEX(Income!B$3:B$502,SMALL(IF((Income!D$3:D$502="GBP")*(Income!A$3:A$502=DATE(2026,5,4)),ROW(Income!A$3:A$502)-2),2)),"")&lt;&gt;"",IFERROR(INDEX(Income!B$3:B$502,SMALL(IF((Income!D$3:D$502="GBP")*(Income!A$3:A$502=DATE(2026,5,4)),ROW(Income!A$3:A$502)-2),2)),""),""))</f>
        <v/>
      </c>
      <c r="E95" s="152">
        <f t="array" ref="E95">IF(IFERROR(-INDEX(Expenses!D$3:D$999,SMALL(IF((Expenses!E$3:E$999="GBP")*(Expenses!A$3:A$999=DATE(2026,5,5)),ROW(Expenses!A$3:A$999)-2),2)),0)+IFERROR(INDEX(Income!C$3:C$502,SMALL(IF((Income!D$3:D$502="GBP")*(Income!A$3:A$502=DATE(2026,5,5)),ROW(Income!A$3:A$502)-2),2)),0)=0,"",IFERROR(-INDEX(Expenses!D$3:D$999,SMALL(IF((Expenses!E$3:E$999="GBP")*(Expenses!A$3:A$999=DATE(2026,5,5)),ROW(Expenses!A$3:A$999)-2),2)),0)+IFERROR(INDEX(Income!C$3:C$502,SMALL(IF((Income!D$3:D$502="GBP")*(Income!A$3:A$502=DATE(2026,5,5)),ROW(Income!A$3:A$502)-2),2)),0))</f>
        <v/>
      </c>
      <c r="F95" s="126">
        <f t="array" ref="F95">IF(IFERROR(INDEX(Expenses!B$3:B$999,SMALL(IF((Expenses!E$3:E$999="GBP")*(Expenses!A$3:A$999=DATE(2026,5,5)),ROW(Expenses!A$3:A$999)-2),2)),"")&lt;&gt;"",IFERROR(INDEX(Expenses!B$3:B$999,SMALL(IF((Expenses!E$3:E$999="GBP")*(Expenses!A$3:A$999=DATE(2026,5,5)),ROW(Expenses!A$3:A$999)-2),2)),""),IF(IFERROR(INDEX(Income!B$3:B$502,SMALL(IF((Income!D$3:D$502="GBP")*(Income!A$3:A$502=DATE(2026,5,5)),ROW(Income!A$3:A$502)-2),2)),"")&lt;&gt;"",IFERROR(INDEX(Income!B$3:B$502,SMALL(IF((Income!D$3:D$502="GBP")*(Income!A$3:A$502=DATE(2026,5,5)),ROW(Income!A$3:A$502)-2),2)),""),""))</f>
        <v/>
      </c>
      <c r="G95" s="152">
        <f t="array" ref="G95">IF(IFERROR(-INDEX(Expenses!D$3:D$999,SMALL(IF((Expenses!E$3:E$999="GBP")*(Expenses!A$3:A$999=DATE(2026,5,6)),ROW(Expenses!A$3:A$999)-2),2)),0)+IFERROR(INDEX(Income!C$3:C$502,SMALL(IF((Income!D$3:D$502="GBP")*(Income!A$3:A$502=DATE(2026,5,6)),ROW(Income!A$3:A$502)-2),2)),0)=0,"",IFERROR(-INDEX(Expenses!D$3:D$999,SMALL(IF((Expenses!E$3:E$999="GBP")*(Expenses!A$3:A$999=DATE(2026,5,6)),ROW(Expenses!A$3:A$999)-2),2)),0)+IFERROR(INDEX(Income!C$3:C$502,SMALL(IF((Income!D$3:D$502="GBP")*(Income!A$3:A$502=DATE(2026,5,6)),ROW(Income!A$3:A$502)-2),2)),0))</f>
        <v/>
      </c>
      <c r="H95" s="126">
        <f t="array" ref="H95">IF(IFERROR(INDEX(Expenses!B$3:B$999,SMALL(IF((Expenses!E$3:E$999="GBP")*(Expenses!A$3:A$999=DATE(2026,5,6)),ROW(Expenses!A$3:A$999)-2),2)),"")&lt;&gt;"",IFERROR(INDEX(Expenses!B$3:B$999,SMALL(IF((Expenses!E$3:E$999="GBP")*(Expenses!A$3:A$999=DATE(2026,5,6)),ROW(Expenses!A$3:A$999)-2),2)),""),IF(IFERROR(INDEX(Income!B$3:B$502,SMALL(IF((Income!D$3:D$502="GBP")*(Income!A$3:A$502=DATE(2026,5,6)),ROW(Income!A$3:A$502)-2),2)),"")&lt;&gt;"",IFERROR(INDEX(Income!B$3:B$502,SMALL(IF((Income!D$3:D$502="GBP")*(Income!A$3:A$502=DATE(2026,5,6)),ROW(Income!A$3:A$502)-2),2)),""),""))</f>
        <v/>
      </c>
      <c r="I95" s="152">
        <f t="array" ref="I95">IF(IFERROR(-INDEX(Expenses!D$3:D$999,SMALL(IF((Expenses!E$3:E$999="GBP")*(Expenses!A$3:A$999=DATE(2026,5,7)),ROW(Expenses!A$3:A$999)-2),2)),0)+IFERROR(INDEX(Income!C$3:C$502,SMALL(IF((Income!D$3:D$502="GBP")*(Income!A$3:A$502=DATE(2026,5,7)),ROW(Income!A$3:A$502)-2),2)),0)=0,"",IFERROR(-INDEX(Expenses!D$3:D$999,SMALL(IF((Expenses!E$3:E$999="GBP")*(Expenses!A$3:A$999=DATE(2026,5,7)),ROW(Expenses!A$3:A$999)-2),2)),0)+IFERROR(INDEX(Income!C$3:C$502,SMALL(IF((Income!D$3:D$502="GBP")*(Income!A$3:A$502=DATE(2026,5,7)),ROW(Income!A$3:A$502)-2),2)),0))</f>
        <v/>
      </c>
      <c r="J95" s="126">
        <f t="array" ref="J95">IF(IFERROR(INDEX(Expenses!B$3:B$999,SMALL(IF((Expenses!E$3:E$999="GBP")*(Expenses!A$3:A$999=DATE(2026,5,7)),ROW(Expenses!A$3:A$999)-2),2)),"")&lt;&gt;"",IFERROR(INDEX(Expenses!B$3:B$999,SMALL(IF((Expenses!E$3:E$999="GBP")*(Expenses!A$3:A$999=DATE(2026,5,7)),ROW(Expenses!A$3:A$999)-2),2)),""),IF(IFERROR(INDEX(Income!B$3:B$502,SMALL(IF((Income!D$3:D$502="GBP")*(Income!A$3:A$502=DATE(2026,5,7)),ROW(Income!A$3:A$502)-2),2)),"")&lt;&gt;"",IFERROR(INDEX(Income!B$3:B$502,SMALL(IF((Income!D$3:D$502="GBP")*(Income!A$3:A$502=DATE(2026,5,7)),ROW(Income!A$3:A$502)-2),2)),""),""))</f>
        <v/>
      </c>
      <c r="K95" s="152">
        <f t="array" ref="K95">IF(IFERROR(-INDEX(Expenses!D$3:D$999,SMALL(IF((Expenses!E$3:E$999="GBP")*(Expenses!A$3:A$999=DATE(2026,5,8)),ROW(Expenses!A$3:A$999)-2),2)),0)+IFERROR(INDEX(Income!C$3:C$502,SMALL(IF((Income!D$3:D$502="GBP")*(Income!A$3:A$502=DATE(2026,5,8)),ROW(Income!A$3:A$502)-2),2)),0)=0,"",IFERROR(-INDEX(Expenses!D$3:D$999,SMALL(IF((Expenses!E$3:E$999="GBP")*(Expenses!A$3:A$999=DATE(2026,5,8)),ROW(Expenses!A$3:A$999)-2),2)),0)+IFERROR(INDEX(Income!C$3:C$502,SMALL(IF((Income!D$3:D$502="GBP")*(Income!A$3:A$502=DATE(2026,5,8)),ROW(Income!A$3:A$502)-2),2)),0))</f>
        <v/>
      </c>
      <c r="L95" s="126">
        <f t="array" ref="L95">IF(IFERROR(INDEX(Expenses!B$3:B$999,SMALL(IF((Expenses!E$3:E$999="GBP")*(Expenses!A$3:A$999=DATE(2026,5,8)),ROW(Expenses!A$3:A$999)-2),2)),"")&lt;&gt;"",IFERROR(INDEX(Expenses!B$3:B$999,SMALL(IF((Expenses!E$3:E$999="GBP")*(Expenses!A$3:A$999=DATE(2026,5,8)),ROW(Expenses!A$3:A$999)-2),2)),""),IF(IFERROR(INDEX(Income!B$3:B$502,SMALL(IF((Income!D$3:D$502="GBP")*(Income!A$3:A$502=DATE(2026,5,8)),ROW(Income!A$3:A$502)-2),2)),"")&lt;&gt;"",IFERROR(INDEX(Income!B$3:B$502,SMALL(IF((Income!D$3:D$502="GBP")*(Income!A$3:A$502=DATE(2026,5,8)),ROW(Income!A$3:A$502)-2),2)),""),""))</f>
        <v/>
      </c>
      <c r="M95" s="152">
        <f t="array" ref="M95">IF(IFERROR(-INDEX(Expenses!D$3:D$999,SMALL(IF((Expenses!E$3:E$999="GBP")*(Expenses!A$3:A$999=DATE(2026,5,9)),ROW(Expenses!A$3:A$999)-2),2)),0)+IFERROR(INDEX(Income!C$3:C$502,SMALL(IF((Income!D$3:D$502="GBP")*(Income!A$3:A$502=DATE(2026,5,9)),ROW(Income!A$3:A$502)-2),2)),0)=0,"",IFERROR(-INDEX(Expenses!D$3:D$999,SMALL(IF((Expenses!E$3:E$999="GBP")*(Expenses!A$3:A$999=DATE(2026,5,9)),ROW(Expenses!A$3:A$999)-2),2)),0)+IFERROR(INDEX(Income!C$3:C$502,SMALL(IF((Income!D$3:D$502="GBP")*(Income!A$3:A$502=DATE(2026,5,9)),ROW(Income!A$3:A$502)-2),2)),0))</f>
        <v/>
      </c>
      <c r="N95" s="126">
        <f t="array" ref="N95">IF(IFERROR(INDEX(Expenses!B$3:B$999,SMALL(IF((Expenses!E$3:E$999="GBP")*(Expenses!A$3:A$999=DATE(2026,5,9)),ROW(Expenses!A$3:A$999)-2),2)),"")&lt;&gt;"",IFERROR(INDEX(Expenses!B$3:B$999,SMALL(IF((Expenses!E$3:E$999="GBP")*(Expenses!A$3:A$999=DATE(2026,5,9)),ROW(Expenses!A$3:A$999)-2),2)),""),IF(IFERROR(INDEX(Income!B$3:B$502,SMALL(IF((Income!D$3:D$502="GBP")*(Income!A$3:A$502=DATE(2026,5,9)),ROW(Income!A$3:A$502)-2),2)),"")&lt;&gt;"",IFERROR(INDEX(Income!B$3:B$502,SMALL(IF((Income!D$3:D$502="GBP")*(Income!A$3:A$502=DATE(2026,5,9)),ROW(Income!A$3:A$502)-2),2)),""),""))</f>
        <v/>
      </c>
      <c r="O95" s="152">
        <f t="array" ref="O95">IF(IFERROR(-INDEX(Expenses!D$3:D$999,SMALL(IF((Expenses!E$3:E$999="GBP")*(Expenses!A$3:A$999=DATE(2026,5,10)),ROW(Expenses!A$3:A$999)-2),2)),0)+IFERROR(INDEX(Income!C$3:C$502,SMALL(IF((Income!D$3:D$502="GBP")*(Income!A$3:A$502=DATE(2026,5,10)),ROW(Income!A$3:A$502)-2),2)),0)=0,"",IFERROR(-INDEX(Expenses!D$3:D$999,SMALL(IF((Expenses!E$3:E$999="GBP")*(Expenses!A$3:A$999=DATE(2026,5,10)),ROW(Expenses!A$3:A$999)-2),2)),0)+IFERROR(INDEX(Income!C$3:C$502,SMALL(IF((Income!D$3:D$502="GBP")*(Income!A$3:A$502=DATE(2026,5,10)),ROW(Income!A$3:A$502)-2),2)),0))</f>
        <v/>
      </c>
      <c r="P95" s="126">
        <f t="array" ref="P95">IF(IFERROR(INDEX(Expenses!B$3:B$999,SMALL(IF((Expenses!E$3:E$999="GBP")*(Expenses!A$3:A$999=DATE(2026,5,10)),ROW(Expenses!A$3:A$999)-2),2)),"")&lt;&gt;"",IFERROR(INDEX(Expenses!B$3:B$999,SMALL(IF((Expenses!E$3:E$999="GBP")*(Expenses!A$3:A$999=DATE(2026,5,10)),ROW(Expenses!A$3:A$999)-2),2)),""),IF(IFERROR(INDEX(Income!B$3:B$502,SMALL(IF((Income!D$3:D$502="GBP")*(Income!A$3:A$502=DATE(2026,5,10)),ROW(Income!A$3:A$502)-2),2)),"")&lt;&gt;"",IFERROR(INDEX(Income!B$3:B$502,SMALL(IF((Income!D$3:D$502="GBP")*(Income!A$3:A$502=DATE(2026,5,10)),ROW(Income!A$3:A$502)-2),2)),""),""))</f>
        <v/>
      </c>
      <c r="Q95" s="9" t="n"/>
      <c r="R95" s="9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68">
      <c r="A96" s="9" t="n"/>
      <c r="B96" s="9" t="n"/>
      <c r="C96" s="152">
        <f t="array" ref="C96">IF(IFERROR(-INDEX(Expenses!D$3:D$999,SMALL(IF((Expenses!E$3:E$999="GBP")*(Expenses!A$3:A$999=DATE(2026,5,4)),ROW(Expenses!A$3:A$999)-2),3)),0)+IFERROR(INDEX(Income!C$3:C$502,SMALL(IF((Income!D$3:D$502="GBP")*(Income!A$3:A$502=DATE(2026,5,4)),ROW(Income!A$3:A$502)-2),3)),0)=0,"",IFERROR(-INDEX(Expenses!D$3:D$999,SMALL(IF((Expenses!E$3:E$999="GBP")*(Expenses!A$3:A$999=DATE(2026,5,4)),ROW(Expenses!A$3:A$999)-2),3)),0)+IFERROR(INDEX(Income!C$3:C$502,SMALL(IF((Income!D$3:D$502="GBP")*(Income!A$3:A$502=DATE(2026,5,4)),ROW(Income!A$3:A$502)-2),3)),0))</f>
        <v/>
      </c>
      <c r="D96" s="126">
        <f t="array" ref="D96">IF(IFERROR(INDEX(Expenses!B$3:B$999,SMALL(IF((Expenses!E$3:E$999="GBP")*(Expenses!A$3:A$999=DATE(2026,5,4)),ROW(Expenses!A$3:A$999)-2),3)),"")&lt;&gt;"",IFERROR(INDEX(Expenses!B$3:B$999,SMALL(IF((Expenses!E$3:E$999="GBP")*(Expenses!A$3:A$999=DATE(2026,5,4)),ROW(Expenses!A$3:A$999)-2),3)),""),IF(IFERROR(INDEX(Income!B$3:B$502,SMALL(IF((Income!D$3:D$502="GBP")*(Income!A$3:A$502=DATE(2026,5,4)),ROW(Income!A$3:A$502)-2),3)),"")&lt;&gt;"",IFERROR(INDEX(Income!B$3:B$502,SMALL(IF((Income!D$3:D$502="GBP")*(Income!A$3:A$502=DATE(2026,5,4)),ROW(Income!A$3:A$502)-2),3)),""),""))</f>
        <v/>
      </c>
      <c r="E96" s="152">
        <f t="array" ref="E96">IF(IFERROR(-INDEX(Expenses!D$3:D$999,SMALL(IF((Expenses!E$3:E$999="GBP")*(Expenses!A$3:A$999=DATE(2026,5,5)),ROW(Expenses!A$3:A$999)-2),3)),0)+IFERROR(INDEX(Income!C$3:C$502,SMALL(IF((Income!D$3:D$502="GBP")*(Income!A$3:A$502=DATE(2026,5,5)),ROW(Income!A$3:A$502)-2),3)),0)=0,"",IFERROR(-INDEX(Expenses!D$3:D$999,SMALL(IF((Expenses!E$3:E$999="GBP")*(Expenses!A$3:A$999=DATE(2026,5,5)),ROW(Expenses!A$3:A$999)-2),3)),0)+IFERROR(INDEX(Income!C$3:C$502,SMALL(IF((Income!D$3:D$502="GBP")*(Income!A$3:A$502=DATE(2026,5,5)),ROW(Income!A$3:A$502)-2),3)),0))</f>
        <v/>
      </c>
      <c r="F96" s="126">
        <f t="array" ref="F96">IF(IFERROR(INDEX(Expenses!B$3:B$999,SMALL(IF((Expenses!E$3:E$999="GBP")*(Expenses!A$3:A$999=DATE(2026,5,5)),ROW(Expenses!A$3:A$999)-2),3)),"")&lt;&gt;"",IFERROR(INDEX(Expenses!B$3:B$999,SMALL(IF((Expenses!E$3:E$999="GBP")*(Expenses!A$3:A$999=DATE(2026,5,5)),ROW(Expenses!A$3:A$999)-2),3)),""),IF(IFERROR(INDEX(Income!B$3:B$502,SMALL(IF((Income!D$3:D$502="GBP")*(Income!A$3:A$502=DATE(2026,5,5)),ROW(Income!A$3:A$502)-2),3)),"")&lt;&gt;"",IFERROR(INDEX(Income!B$3:B$502,SMALL(IF((Income!D$3:D$502="GBP")*(Income!A$3:A$502=DATE(2026,5,5)),ROW(Income!A$3:A$502)-2),3)),""),""))</f>
        <v/>
      </c>
      <c r="G96" s="152">
        <f t="array" ref="G96">IF(IFERROR(-INDEX(Expenses!D$3:D$999,SMALL(IF((Expenses!E$3:E$999="GBP")*(Expenses!A$3:A$999=DATE(2026,5,6)),ROW(Expenses!A$3:A$999)-2),3)),0)+IFERROR(INDEX(Income!C$3:C$502,SMALL(IF((Income!D$3:D$502="GBP")*(Income!A$3:A$502=DATE(2026,5,6)),ROW(Income!A$3:A$502)-2),3)),0)=0,"",IFERROR(-INDEX(Expenses!D$3:D$999,SMALL(IF((Expenses!E$3:E$999="GBP")*(Expenses!A$3:A$999=DATE(2026,5,6)),ROW(Expenses!A$3:A$999)-2),3)),0)+IFERROR(INDEX(Income!C$3:C$502,SMALL(IF((Income!D$3:D$502="GBP")*(Income!A$3:A$502=DATE(2026,5,6)),ROW(Income!A$3:A$502)-2),3)),0))</f>
        <v/>
      </c>
      <c r="H96" s="126">
        <f t="array" ref="H96">IF(IFERROR(INDEX(Expenses!B$3:B$999,SMALL(IF((Expenses!E$3:E$999="GBP")*(Expenses!A$3:A$999=DATE(2026,5,6)),ROW(Expenses!A$3:A$999)-2),3)),"")&lt;&gt;"",IFERROR(INDEX(Expenses!B$3:B$999,SMALL(IF((Expenses!E$3:E$999="GBP")*(Expenses!A$3:A$999=DATE(2026,5,6)),ROW(Expenses!A$3:A$999)-2),3)),""),IF(IFERROR(INDEX(Income!B$3:B$502,SMALL(IF((Income!D$3:D$502="GBP")*(Income!A$3:A$502=DATE(2026,5,6)),ROW(Income!A$3:A$502)-2),3)),"")&lt;&gt;"",IFERROR(INDEX(Income!B$3:B$502,SMALL(IF((Income!D$3:D$502="GBP")*(Income!A$3:A$502=DATE(2026,5,6)),ROW(Income!A$3:A$502)-2),3)),""),""))</f>
        <v/>
      </c>
      <c r="I96" s="152">
        <f t="array" ref="I96">IF(IFERROR(-INDEX(Expenses!D$3:D$999,SMALL(IF((Expenses!E$3:E$999="GBP")*(Expenses!A$3:A$999=DATE(2026,5,7)),ROW(Expenses!A$3:A$999)-2),3)),0)+IFERROR(INDEX(Income!C$3:C$502,SMALL(IF((Income!D$3:D$502="GBP")*(Income!A$3:A$502=DATE(2026,5,7)),ROW(Income!A$3:A$502)-2),3)),0)=0,"",IFERROR(-INDEX(Expenses!D$3:D$999,SMALL(IF((Expenses!E$3:E$999="GBP")*(Expenses!A$3:A$999=DATE(2026,5,7)),ROW(Expenses!A$3:A$999)-2),3)),0)+IFERROR(INDEX(Income!C$3:C$502,SMALL(IF((Income!D$3:D$502="GBP")*(Income!A$3:A$502=DATE(2026,5,7)),ROW(Income!A$3:A$502)-2),3)),0))</f>
        <v/>
      </c>
      <c r="J96" s="126">
        <f t="array" ref="J96">IF(IFERROR(INDEX(Expenses!B$3:B$999,SMALL(IF((Expenses!E$3:E$999="GBP")*(Expenses!A$3:A$999=DATE(2026,5,7)),ROW(Expenses!A$3:A$999)-2),3)),"")&lt;&gt;"",IFERROR(INDEX(Expenses!B$3:B$999,SMALL(IF((Expenses!E$3:E$999="GBP")*(Expenses!A$3:A$999=DATE(2026,5,7)),ROW(Expenses!A$3:A$999)-2),3)),""),IF(IFERROR(INDEX(Income!B$3:B$502,SMALL(IF((Income!D$3:D$502="GBP")*(Income!A$3:A$502=DATE(2026,5,7)),ROW(Income!A$3:A$502)-2),3)),"")&lt;&gt;"",IFERROR(INDEX(Income!B$3:B$502,SMALL(IF((Income!D$3:D$502="GBP")*(Income!A$3:A$502=DATE(2026,5,7)),ROW(Income!A$3:A$502)-2),3)),""),""))</f>
        <v/>
      </c>
      <c r="K96" s="152">
        <f t="array" ref="K96">IF(IFERROR(-INDEX(Expenses!D$3:D$999,SMALL(IF((Expenses!E$3:E$999="GBP")*(Expenses!A$3:A$999=DATE(2026,5,8)),ROW(Expenses!A$3:A$999)-2),3)),0)+IFERROR(INDEX(Income!C$3:C$502,SMALL(IF((Income!D$3:D$502="GBP")*(Income!A$3:A$502=DATE(2026,5,8)),ROW(Income!A$3:A$502)-2),3)),0)=0,"",IFERROR(-INDEX(Expenses!D$3:D$999,SMALL(IF((Expenses!E$3:E$999="GBP")*(Expenses!A$3:A$999=DATE(2026,5,8)),ROW(Expenses!A$3:A$999)-2),3)),0)+IFERROR(INDEX(Income!C$3:C$502,SMALL(IF((Income!D$3:D$502="GBP")*(Income!A$3:A$502=DATE(2026,5,8)),ROW(Income!A$3:A$502)-2),3)),0))</f>
        <v/>
      </c>
      <c r="L96" s="126">
        <f t="array" ref="L96">IF(IFERROR(INDEX(Expenses!B$3:B$999,SMALL(IF((Expenses!E$3:E$999="GBP")*(Expenses!A$3:A$999=DATE(2026,5,8)),ROW(Expenses!A$3:A$999)-2),3)),"")&lt;&gt;"",IFERROR(INDEX(Expenses!B$3:B$999,SMALL(IF((Expenses!E$3:E$999="GBP")*(Expenses!A$3:A$999=DATE(2026,5,8)),ROW(Expenses!A$3:A$999)-2),3)),""),IF(IFERROR(INDEX(Income!B$3:B$502,SMALL(IF((Income!D$3:D$502="GBP")*(Income!A$3:A$502=DATE(2026,5,8)),ROW(Income!A$3:A$502)-2),3)),"")&lt;&gt;"",IFERROR(INDEX(Income!B$3:B$502,SMALL(IF((Income!D$3:D$502="GBP")*(Income!A$3:A$502=DATE(2026,5,8)),ROW(Income!A$3:A$502)-2),3)),""),""))</f>
        <v/>
      </c>
      <c r="M96" s="152">
        <f t="array" ref="M96">IF(IFERROR(-INDEX(Expenses!D$3:D$999,SMALL(IF((Expenses!E$3:E$999="GBP")*(Expenses!A$3:A$999=DATE(2026,5,9)),ROW(Expenses!A$3:A$999)-2),3)),0)+IFERROR(INDEX(Income!C$3:C$502,SMALL(IF((Income!D$3:D$502="GBP")*(Income!A$3:A$502=DATE(2026,5,9)),ROW(Income!A$3:A$502)-2),3)),0)=0,"",IFERROR(-INDEX(Expenses!D$3:D$999,SMALL(IF((Expenses!E$3:E$999="GBP")*(Expenses!A$3:A$999=DATE(2026,5,9)),ROW(Expenses!A$3:A$999)-2),3)),0)+IFERROR(INDEX(Income!C$3:C$502,SMALL(IF((Income!D$3:D$502="GBP")*(Income!A$3:A$502=DATE(2026,5,9)),ROW(Income!A$3:A$502)-2),3)),0))</f>
        <v/>
      </c>
      <c r="N96" s="126">
        <f t="array" ref="N96">IF(IFERROR(INDEX(Expenses!B$3:B$999,SMALL(IF((Expenses!E$3:E$999="GBP")*(Expenses!A$3:A$999=DATE(2026,5,9)),ROW(Expenses!A$3:A$999)-2),3)),"")&lt;&gt;"",IFERROR(INDEX(Expenses!B$3:B$999,SMALL(IF((Expenses!E$3:E$999="GBP")*(Expenses!A$3:A$999=DATE(2026,5,9)),ROW(Expenses!A$3:A$999)-2),3)),""),IF(IFERROR(INDEX(Income!B$3:B$502,SMALL(IF((Income!D$3:D$502="GBP")*(Income!A$3:A$502=DATE(2026,5,9)),ROW(Income!A$3:A$502)-2),3)),"")&lt;&gt;"",IFERROR(INDEX(Income!B$3:B$502,SMALL(IF((Income!D$3:D$502="GBP")*(Income!A$3:A$502=DATE(2026,5,9)),ROW(Income!A$3:A$502)-2),3)),""),""))</f>
        <v/>
      </c>
      <c r="O96" s="152">
        <f t="array" ref="O96">IF(IFERROR(-INDEX(Expenses!D$3:D$999,SMALL(IF((Expenses!E$3:E$999="GBP")*(Expenses!A$3:A$999=DATE(2026,5,10)),ROW(Expenses!A$3:A$999)-2),3)),0)+IFERROR(INDEX(Income!C$3:C$502,SMALL(IF((Income!D$3:D$502="GBP")*(Income!A$3:A$502=DATE(2026,5,10)),ROW(Income!A$3:A$502)-2),3)),0)=0,"",IFERROR(-INDEX(Expenses!D$3:D$999,SMALL(IF((Expenses!E$3:E$999="GBP")*(Expenses!A$3:A$999=DATE(2026,5,10)),ROW(Expenses!A$3:A$999)-2),3)),0)+IFERROR(INDEX(Income!C$3:C$502,SMALL(IF((Income!D$3:D$502="GBP")*(Income!A$3:A$502=DATE(2026,5,10)),ROW(Income!A$3:A$502)-2),3)),0))</f>
        <v/>
      </c>
      <c r="P96" s="126">
        <f t="array" ref="P96">IF(IFERROR(INDEX(Expenses!B$3:B$999,SMALL(IF((Expenses!E$3:E$999="GBP")*(Expenses!A$3:A$999=DATE(2026,5,10)),ROW(Expenses!A$3:A$999)-2),3)),"")&lt;&gt;"",IFERROR(INDEX(Expenses!B$3:B$999,SMALL(IF((Expenses!E$3:E$999="GBP")*(Expenses!A$3:A$999=DATE(2026,5,10)),ROW(Expenses!A$3:A$999)-2),3)),""),IF(IFERROR(INDEX(Income!B$3:B$502,SMALL(IF((Income!D$3:D$502="GBP")*(Income!A$3:A$502=DATE(2026,5,10)),ROW(Income!A$3:A$502)-2),3)),"")&lt;&gt;"",IFERROR(INDEX(Income!B$3:B$502,SMALL(IF((Income!D$3:D$502="GBP")*(Income!A$3:A$502=DATE(2026,5,10)),ROW(Income!A$3:A$502)-2),3)),""),""))</f>
        <v/>
      </c>
      <c r="Q96" s="9" t="n"/>
      <c r="R96" s="9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68">
      <c r="A97" s="9" t="n"/>
      <c r="B97" s="9" t="n"/>
      <c r="C97" s="152">
        <f t="array" ref="C97">IF(IFERROR(-INDEX(Expenses!D$3:D$999,SMALL(IF((Expenses!E$3:E$999="GBP")*(Expenses!A$3:A$999=DATE(2026,5,4)),ROW(Expenses!A$3:A$999)-2),4)),0)+IFERROR(INDEX(Income!C$3:C$502,SMALL(IF((Income!D$3:D$502="GBP")*(Income!A$3:A$502=DATE(2026,5,4)),ROW(Income!A$3:A$502)-2),4)),0)=0,"",IFERROR(-INDEX(Expenses!D$3:D$999,SMALL(IF((Expenses!E$3:E$999="GBP")*(Expenses!A$3:A$999=DATE(2026,5,4)),ROW(Expenses!A$3:A$999)-2),4)),0)+IFERROR(INDEX(Income!C$3:C$502,SMALL(IF((Income!D$3:D$502="GBP")*(Income!A$3:A$502=DATE(2026,5,4)),ROW(Income!A$3:A$502)-2),4)),0))</f>
        <v/>
      </c>
      <c r="D97" s="126">
        <f t="array" ref="D97">IF(IFERROR(INDEX(Expenses!B$3:B$999,SMALL(IF((Expenses!E$3:E$999="GBP")*(Expenses!A$3:A$999=DATE(2026,5,4)),ROW(Expenses!A$3:A$999)-2),4)),"")&lt;&gt;"",IFERROR(INDEX(Expenses!B$3:B$999,SMALL(IF((Expenses!E$3:E$999="GBP")*(Expenses!A$3:A$999=DATE(2026,5,4)),ROW(Expenses!A$3:A$999)-2),4)),""),IF(IFERROR(INDEX(Income!B$3:B$502,SMALL(IF((Income!D$3:D$502="GBP")*(Income!A$3:A$502=DATE(2026,5,4)),ROW(Income!A$3:A$502)-2),4)),"")&lt;&gt;"",IFERROR(INDEX(Income!B$3:B$502,SMALL(IF((Income!D$3:D$502="GBP")*(Income!A$3:A$502=DATE(2026,5,4)),ROW(Income!A$3:A$502)-2),4)),""),""))</f>
        <v/>
      </c>
      <c r="E97" s="152">
        <f t="array" ref="E97">IF(IFERROR(-INDEX(Expenses!D$3:D$999,SMALL(IF((Expenses!E$3:E$999="GBP")*(Expenses!A$3:A$999=DATE(2026,5,5)),ROW(Expenses!A$3:A$999)-2),4)),0)+IFERROR(INDEX(Income!C$3:C$502,SMALL(IF((Income!D$3:D$502="GBP")*(Income!A$3:A$502=DATE(2026,5,5)),ROW(Income!A$3:A$502)-2),4)),0)=0,"",IFERROR(-INDEX(Expenses!D$3:D$999,SMALL(IF((Expenses!E$3:E$999="GBP")*(Expenses!A$3:A$999=DATE(2026,5,5)),ROW(Expenses!A$3:A$999)-2),4)),0)+IFERROR(INDEX(Income!C$3:C$502,SMALL(IF((Income!D$3:D$502="GBP")*(Income!A$3:A$502=DATE(2026,5,5)),ROW(Income!A$3:A$502)-2),4)),0))</f>
        <v/>
      </c>
      <c r="F97" s="126">
        <f t="array" ref="F97">IF(IFERROR(INDEX(Expenses!B$3:B$999,SMALL(IF((Expenses!E$3:E$999="GBP")*(Expenses!A$3:A$999=DATE(2026,5,5)),ROW(Expenses!A$3:A$999)-2),4)),"")&lt;&gt;"",IFERROR(INDEX(Expenses!B$3:B$999,SMALL(IF((Expenses!E$3:E$999="GBP")*(Expenses!A$3:A$999=DATE(2026,5,5)),ROW(Expenses!A$3:A$999)-2),4)),""),IF(IFERROR(INDEX(Income!B$3:B$502,SMALL(IF((Income!D$3:D$502="GBP")*(Income!A$3:A$502=DATE(2026,5,5)),ROW(Income!A$3:A$502)-2),4)),"")&lt;&gt;"",IFERROR(INDEX(Income!B$3:B$502,SMALL(IF((Income!D$3:D$502="GBP")*(Income!A$3:A$502=DATE(2026,5,5)),ROW(Income!A$3:A$502)-2),4)),""),""))</f>
        <v/>
      </c>
      <c r="G97" s="152">
        <f t="array" ref="G97">IF(IFERROR(-INDEX(Expenses!D$3:D$999,SMALL(IF((Expenses!E$3:E$999="GBP")*(Expenses!A$3:A$999=DATE(2026,5,6)),ROW(Expenses!A$3:A$999)-2),4)),0)+IFERROR(INDEX(Income!C$3:C$502,SMALL(IF((Income!D$3:D$502="GBP")*(Income!A$3:A$502=DATE(2026,5,6)),ROW(Income!A$3:A$502)-2),4)),0)=0,"",IFERROR(-INDEX(Expenses!D$3:D$999,SMALL(IF((Expenses!E$3:E$999="GBP")*(Expenses!A$3:A$999=DATE(2026,5,6)),ROW(Expenses!A$3:A$999)-2),4)),0)+IFERROR(INDEX(Income!C$3:C$502,SMALL(IF((Income!D$3:D$502="GBP")*(Income!A$3:A$502=DATE(2026,5,6)),ROW(Income!A$3:A$502)-2),4)),0))</f>
        <v/>
      </c>
      <c r="H97" s="126">
        <f t="array" ref="H97">IF(IFERROR(INDEX(Expenses!B$3:B$999,SMALL(IF((Expenses!E$3:E$999="GBP")*(Expenses!A$3:A$999=DATE(2026,5,6)),ROW(Expenses!A$3:A$999)-2),4)),"")&lt;&gt;"",IFERROR(INDEX(Expenses!B$3:B$999,SMALL(IF((Expenses!E$3:E$999="GBP")*(Expenses!A$3:A$999=DATE(2026,5,6)),ROW(Expenses!A$3:A$999)-2),4)),""),IF(IFERROR(INDEX(Income!B$3:B$502,SMALL(IF((Income!D$3:D$502="GBP")*(Income!A$3:A$502=DATE(2026,5,6)),ROW(Income!A$3:A$502)-2),4)),"")&lt;&gt;"",IFERROR(INDEX(Income!B$3:B$502,SMALL(IF((Income!D$3:D$502="GBP")*(Income!A$3:A$502=DATE(2026,5,6)),ROW(Income!A$3:A$502)-2),4)),""),""))</f>
        <v/>
      </c>
      <c r="I97" s="152">
        <f t="array" ref="I97">IF(IFERROR(-INDEX(Expenses!D$3:D$999,SMALL(IF((Expenses!E$3:E$999="GBP")*(Expenses!A$3:A$999=DATE(2026,5,7)),ROW(Expenses!A$3:A$999)-2),4)),0)+IFERROR(INDEX(Income!C$3:C$502,SMALL(IF((Income!D$3:D$502="GBP")*(Income!A$3:A$502=DATE(2026,5,7)),ROW(Income!A$3:A$502)-2),4)),0)=0,"",IFERROR(-INDEX(Expenses!D$3:D$999,SMALL(IF((Expenses!E$3:E$999="GBP")*(Expenses!A$3:A$999=DATE(2026,5,7)),ROW(Expenses!A$3:A$999)-2),4)),0)+IFERROR(INDEX(Income!C$3:C$502,SMALL(IF((Income!D$3:D$502="GBP")*(Income!A$3:A$502=DATE(2026,5,7)),ROW(Income!A$3:A$502)-2),4)),0))</f>
        <v/>
      </c>
      <c r="J97" s="126">
        <f t="array" ref="J97">IF(IFERROR(INDEX(Expenses!B$3:B$999,SMALL(IF((Expenses!E$3:E$999="GBP")*(Expenses!A$3:A$999=DATE(2026,5,7)),ROW(Expenses!A$3:A$999)-2),4)),"")&lt;&gt;"",IFERROR(INDEX(Expenses!B$3:B$999,SMALL(IF((Expenses!E$3:E$999="GBP")*(Expenses!A$3:A$999=DATE(2026,5,7)),ROW(Expenses!A$3:A$999)-2),4)),""),IF(IFERROR(INDEX(Income!B$3:B$502,SMALL(IF((Income!D$3:D$502="GBP")*(Income!A$3:A$502=DATE(2026,5,7)),ROW(Income!A$3:A$502)-2),4)),"")&lt;&gt;"",IFERROR(INDEX(Income!B$3:B$502,SMALL(IF((Income!D$3:D$502="GBP")*(Income!A$3:A$502=DATE(2026,5,7)),ROW(Income!A$3:A$502)-2),4)),""),""))</f>
        <v/>
      </c>
      <c r="K97" s="152">
        <f t="array" ref="K97">IF(IFERROR(-INDEX(Expenses!D$3:D$999,SMALL(IF((Expenses!E$3:E$999="GBP")*(Expenses!A$3:A$999=DATE(2026,5,8)),ROW(Expenses!A$3:A$999)-2),4)),0)+IFERROR(INDEX(Income!C$3:C$502,SMALL(IF((Income!D$3:D$502="GBP")*(Income!A$3:A$502=DATE(2026,5,8)),ROW(Income!A$3:A$502)-2),4)),0)=0,"",IFERROR(-INDEX(Expenses!D$3:D$999,SMALL(IF((Expenses!E$3:E$999="GBP")*(Expenses!A$3:A$999=DATE(2026,5,8)),ROW(Expenses!A$3:A$999)-2),4)),0)+IFERROR(INDEX(Income!C$3:C$502,SMALL(IF((Income!D$3:D$502="GBP")*(Income!A$3:A$502=DATE(2026,5,8)),ROW(Income!A$3:A$502)-2),4)),0))</f>
        <v/>
      </c>
      <c r="L97" s="126">
        <f t="array" ref="L97">IF(IFERROR(INDEX(Expenses!B$3:B$999,SMALL(IF((Expenses!E$3:E$999="GBP")*(Expenses!A$3:A$999=DATE(2026,5,8)),ROW(Expenses!A$3:A$999)-2),4)),"")&lt;&gt;"",IFERROR(INDEX(Expenses!B$3:B$999,SMALL(IF((Expenses!E$3:E$999="GBP")*(Expenses!A$3:A$999=DATE(2026,5,8)),ROW(Expenses!A$3:A$999)-2),4)),""),IF(IFERROR(INDEX(Income!B$3:B$502,SMALL(IF((Income!D$3:D$502="GBP")*(Income!A$3:A$502=DATE(2026,5,8)),ROW(Income!A$3:A$502)-2),4)),"")&lt;&gt;"",IFERROR(INDEX(Income!B$3:B$502,SMALL(IF((Income!D$3:D$502="GBP")*(Income!A$3:A$502=DATE(2026,5,8)),ROW(Income!A$3:A$502)-2),4)),""),""))</f>
        <v/>
      </c>
      <c r="M97" s="152">
        <f t="array" ref="M97">IF(IFERROR(-INDEX(Expenses!D$3:D$999,SMALL(IF((Expenses!E$3:E$999="GBP")*(Expenses!A$3:A$999=DATE(2026,5,9)),ROW(Expenses!A$3:A$999)-2),4)),0)+IFERROR(INDEX(Income!C$3:C$502,SMALL(IF((Income!D$3:D$502="GBP")*(Income!A$3:A$502=DATE(2026,5,9)),ROW(Income!A$3:A$502)-2),4)),0)=0,"",IFERROR(-INDEX(Expenses!D$3:D$999,SMALL(IF((Expenses!E$3:E$999="GBP")*(Expenses!A$3:A$999=DATE(2026,5,9)),ROW(Expenses!A$3:A$999)-2),4)),0)+IFERROR(INDEX(Income!C$3:C$502,SMALL(IF((Income!D$3:D$502="GBP")*(Income!A$3:A$502=DATE(2026,5,9)),ROW(Income!A$3:A$502)-2),4)),0))</f>
        <v/>
      </c>
      <c r="N97" s="126">
        <f t="array" ref="N97">IF(IFERROR(INDEX(Expenses!B$3:B$999,SMALL(IF((Expenses!E$3:E$999="GBP")*(Expenses!A$3:A$999=DATE(2026,5,9)),ROW(Expenses!A$3:A$999)-2),4)),"")&lt;&gt;"",IFERROR(INDEX(Expenses!B$3:B$999,SMALL(IF((Expenses!E$3:E$999="GBP")*(Expenses!A$3:A$999=DATE(2026,5,9)),ROW(Expenses!A$3:A$999)-2),4)),""),IF(IFERROR(INDEX(Income!B$3:B$502,SMALL(IF((Income!D$3:D$502="GBP")*(Income!A$3:A$502=DATE(2026,5,9)),ROW(Income!A$3:A$502)-2),4)),"")&lt;&gt;"",IFERROR(INDEX(Income!B$3:B$502,SMALL(IF((Income!D$3:D$502="GBP")*(Income!A$3:A$502=DATE(2026,5,9)),ROW(Income!A$3:A$502)-2),4)),""),""))</f>
        <v/>
      </c>
      <c r="O97" s="152">
        <f t="array" ref="O97">IF(IFERROR(-INDEX(Expenses!D$3:D$999,SMALL(IF((Expenses!E$3:E$999="GBP")*(Expenses!A$3:A$999=DATE(2026,5,10)),ROW(Expenses!A$3:A$999)-2),4)),0)+IFERROR(INDEX(Income!C$3:C$502,SMALL(IF((Income!D$3:D$502="GBP")*(Income!A$3:A$502=DATE(2026,5,10)),ROW(Income!A$3:A$502)-2),4)),0)=0,"",IFERROR(-INDEX(Expenses!D$3:D$999,SMALL(IF((Expenses!E$3:E$999="GBP")*(Expenses!A$3:A$999=DATE(2026,5,10)),ROW(Expenses!A$3:A$999)-2),4)),0)+IFERROR(INDEX(Income!C$3:C$502,SMALL(IF((Income!D$3:D$502="GBP")*(Income!A$3:A$502=DATE(2026,5,10)),ROW(Income!A$3:A$502)-2),4)),0))</f>
        <v/>
      </c>
      <c r="P97" s="126">
        <f t="array" ref="P97">IF(IFERROR(INDEX(Expenses!B$3:B$999,SMALL(IF((Expenses!E$3:E$999="GBP")*(Expenses!A$3:A$999=DATE(2026,5,10)),ROW(Expenses!A$3:A$999)-2),4)),"")&lt;&gt;"",IFERROR(INDEX(Expenses!B$3:B$999,SMALL(IF((Expenses!E$3:E$999="GBP")*(Expenses!A$3:A$999=DATE(2026,5,10)),ROW(Expenses!A$3:A$999)-2),4)),""),IF(IFERROR(INDEX(Income!B$3:B$502,SMALL(IF((Income!D$3:D$502="GBP")*(Income!A$3:A$502=DATE(2026,5,10)),ROW(Income!A$3:A$502)-2),4)),"")&lt;&gt;"",IFERROR(INDEX(Income!B$3:B$502,SMALL(IF((Income!D$3:D$502="GBP")*(Income!A$3:A$502=DATE(2026,5,10)),ROW(Income!A$3:A$502)-2),4)),""),""))</f>
        <v/>
      </c>
      <c r="Q97" s="9" t="n"/>
      <c r="R97" s="9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68">
      <c r="A98" s="9" t="n"/>
      <c r="B98" s="9" t="n"/>
      <c r="C98" s="152">
        <f t="array" ref="C98">IF(IFERROR(-INDEX(Expenses!D$3:D$999,SMALL(IF((Expenses!E$3:E$999="GBP")*(Expenses!A$3:A$999=DATE(2026,5,4)),ROW(Expenses!A$3:A$999)-2),5)),0)+IFERROR(INDEX(Income!C$3:C$502,SMALL(IF((Income!D$3:D$502="GBP")*(Income!A$3:A$502=DATE(2026,5,4)),ROW(Income!A$3:A$502)-2),5)),0)=0,"",IFERROR(-INDEX(Expenses!D$3:D$999,SMALL(IF((Expenses!E$3:E$999="GBP")*(Expenses!A$3:A$999=DATE(2026,5,4)),ROW(Expenses!A$3:A$999)-2),5)),0)+IFERROR(INDEX(Income!C$3:C$502,SMALL(IF((Income!D$3:D$502="GBP")*(Income!A$3:A$502=DATE(2026,5,4)),ROW(Income!A$3:A$502)-2),5)),0))</f>
        <v/>
      </c>
      <c r="D98" s="126">
        <f t="array" ref="D98">IF(IFERROR(INDEX(Expenses!B$3:B$999,SMALL(IF((Expenses!E$3:E$999="GBP")*(Expenses!A$3:A$999=DATE(2026,5,4)),ROW(Expenses!A$3:A$999)-2),5)),"")&lt;&gt;"",IFERROR(INDEX(Expenses!B$3:B$999,SMALL(IF((Expenses!E$3:E$999="GBP")*(Expenses!A$3:A$999=DATE(2026,5,4)),ROW(Expenses!A$3:A$999)-2),5)),""),IF(IFERROR(INDEX(Income!B$3:B$502,SMALL(IF((Income!D$3:D$502="GBP")*(Income!A$3:A$502=DATE(2026,5,4)),ROW(Income!A$3:A$502)-2),5)),"")&lt;&gt;"",IFERROR(INDEX(Income!B$3:B$502,SMALL(IF((Income!D$3:D$502="GBP")*(Income!A$3:A$502=DATE(2026,5,4)),ROW(Income!A$3:A$502)-2),5)),""),""))</f>
        <v/>
      </c>
      <c r="E98" s="152">
        <f t="array" ref="E98">IF(IFERROR(-INDEX(Expenses!D$3:D$999,SMALL(IF((Expenses!E$3:E$999="GBP")*(Expenses!A$3:A$999=DATE(2026,5,5)),ROW(Expenses!A$3:A$999)-2),5)),0)+IFERROR(INDEX(Income!C$3:C$502,SMALL(IF((Income!D$3:D$502="GBP")*(Income!A$3:A$502=DATE(2026,5,5)),ROW(Income!A$3:A$502)-2),5)),0)=0,"",IFERROR(-INDEX(Expenses!D$3:D$999,SMALL(IF((Expenses!E$3:E$999="GBP")*(Expenses!A$3:A$999=DATE(2026,5,5)),ROW(Expenses!A$3:A$999)-2),5)),0)+IFERROR(INDEX(Income!C$3:C$502,SMALL(IF((Income!D$3:D$502="GBP")*(Income!A$3:A$502=DATE(2026,5,5)),ROW(Income!A$3:A$502)-2),5)),0))</f>
        <v/>
      </c>
      <c r="F98" s="126">
        <f t="array" ref="F98">IF(IFERROR(INDEX(Expenses!B$3:B$999,SMALL(IF((Expenses!E$3:E$999="GBP")*(Expenses!A$3:A$999=DATE(2026,5,5)),ROW(Expenses!A$3:A$999)-2),5)),"")&lt;&gt;"",IFERROR(INDEX(Expenses!B$3:B$999,SMALL(IF((Expenses!E$3:E$999="GBP")*(Expenses!A$3:A$999=DATE(2026,5,5)),ROW(Expenses!A$3:A$999)-2),5)),""),IF(IFERROR(INDEX(Income!B$3:B$502,SMALL(IF((Income!D$3:D$502="GBP")*(Income!A$3:A$502=DATE(2026,5,5)),ROW(Income!A$3:A$502)-2),5)),"")&lt;&gt;"",IFERROR(INDEX(Income!B$3:B$502,SMALL(IF((Income!D$3:D$502="GBP")*(Income!A$3:A$502=DATE(2026,5,5)),ROW(Income!A$3:A$502)-2),5)),""),""))</f>
        <v/>
      </c>
      <c r="G98" s="152">
        <f t="array" ref="G98">IF(IFERROR(-INDEX(Expenses!D$3:D$999,SMALL(IF((Expenses!E$3:E$999="GBP")*(Expenses!A$3:A$999=DATE(2026,5,6)),ROW(Expenses!A$3:A$999)-2),5)),0)+IFERROR(INDEX(Income!C$3:C$502,SMALL(IF((Income!D$3:D$502="GBP")*(Income!A$3:A$502=DATE(2026,5,6)),ROW(Income!A$3:A$502)-2),5)),0)=0,"",IFERROR(-INDEX(Expenses!D$3:D$999,SMALL(IF((Expenses!E$3:E$999="GBP")*(Expenses!A$3:A$999=DATE(2026,5,6)),ROW(Expenses!A$3:A$999)-2),5)),0)+IFERROR(INDEX(Income!C$3:C$502,SMALL(IF((Income!D$3:D$502="GBP")*(Income!A$3:A$502=DATE(2026,5,6)),ROW(Income!A$3:A$502)-2),5)),0))</f>
        <v/>
      </c>
      <c r="H98" s="126">
        <f t="array" ref="H98">IF(IFERROR(INDEX(Expenses!B$3:B$999,SMALL(IF((Expenses!E$3:E$999="GBP")*(Expenses!A$3:A$999=DATE(2026,5,6)),ROW(Expenses!A$3:A$999)-2),5)),"")&lt;&gt;"",IFERROR(INDEX(Expenses!B$3:B$999,SMALL(IF((Expenses!E$3:E$999="GBP")*(Expenses!A$3:A$999=DATE(2026,5,6)),ROW(Expenses!A$3:A$999)-2),5)),""),IF(IFERROR(INDEX(Income!B$3:B$502,SMALL(IF((Income!D$3:D$502="GBP")*(Income!A$3:A$502=DATE(2026,5,6)),ROW(Income!A$3:A$502)-2),5)),"")&lt;&gt;"",IFERROR(INDEX(Income!B$3:B$502,SMALL(IF((Income!D$3:D$502="GBP")*(Income!A$3:A$502=DATE(2026,5,6)),ROW(Income!A$3:A$502)-2),5)),""),""))</f>
        <v/>
      </c>
      <c r="I98" s="152">
        <f t="array" ref="I98">IF(IFERROR(-INDEX(Expenses!D$3:D$999,SMALL(IF((Expenses!E$3:E$999="GBP")*(Expenses!A$3:A$999=DATE(2026,5,7)),ROW(Expenses!A$3:A$999)-2),5)),0)+IFERROR(INDEX(Income!C$3:C$502,SMALL(IF((Income!D$3:D$502="GBP")*(Income!A$3:A$502=DATE(2026,5,7)),ROW(Income!A$3:A$502)-2),5)),0)=0,"",IFERROR(-INDEX(Expenses!D$3:D$999,SMALL(IF((Expenses!E$3:E$999="GBP")*(Expenses!A$3:A$999=DATE(2026,5,7)),ROW(Expenses!A$3:A$999)-2),5)),0)+IFERROR(INDEX(Income!C$3:C$502,SMALL(IF((Income!D$3:D$502="GBP")*(Income!A$3:A$502=DATE(2026,5,7)),ROW(Income!A$3:A$502)-2),5)),0))</f>
        <v/>
      </c>
      <c r="J98" s="126">
        <f t="array" ref="J98">IF(IFERROR(INDEX(Expenses!B$3:B$999,SMALL(IF((Expenses!E$3:E$999="GBP")*(Expenses!A$3:A$999=DATE(2026,5,7)),ROW(Expenses!A$3:A$999)-2),5)),"")&lt;&gt;"",IFERROR(INDEX(Expenses!B$3:B$999,SMALL(IF((Expenses!E$3:E$999="GBP")*(Expenses!A$3:A$999=DATE(2026,5,7)),ROW(Expenses!A$3:A$999)-2),5)),""),IF(IFERROR(INDEX(Income!B$3:B$502,SMALL(IF((Income!D$3:D$502="GBP")*(Income!A$3:A$502=DATE(2026,5,7)),ROW(Income!A$3:A$502)-2),5)),"")&lt;&gt;"",IFERROR(INDEX(Income!B$3:B$502,SMALL(IF((Income!D$3:D$502="GBP")*(Income!A$3:A$502=DATE(2026,5,7)),ROW(Income!A$3:A$502)-2),5)),""),""))</f>
        <v/>
      </c>
      <c r="K98" s="152">
        <f t="array" ref="K98">IF(IFERROR(-INDEX(Expenses!D$3:D$999,SMALL(IF((Expenses!E$3:E$999="GBP")*(Expenses!A$3:A$999=DATE(2026,5,8)),ROW(Expenses!A$3:A$999)-2),5)),0)+IFERROR(INDEX(Income!C$3:C$502,SMALL(IF((Income!D$3:D$502="GBP")*(Income!A$3:A$502=DATE(2026,5,8)),ROW(Income!A$3:A$502)-2),5)),0)=0,"",IFERROR(-INDEX(Expenses!D$3:D$999,SMALL(IF((Expenses!E$3:E$999="GBP")*(Expenses!A$3:A$999=DATE(2026,5,8)),ROW(Expenses!A$3:A$999)-2),5)),0)+IFERROR(INDEX(Income!C$3:C$502,SMALL(IF((Income!D$3:D$502="GBP")*(Income!A$3:A$502=DATE(2026,5,8)),ROW(Income!A$3:A$502)-2),5)),0))</f>
        <v/>
      </c>
      <c r="L98" s="126">
        <f t="array" ref="L98">IF(IFERROR(INDEX(Expenses!B$3:B$999,SMALL(IF((Expenses!E$3:E$999="GBP")*(Expenses!A$3:A$999=DATE(2026,5,8)),ROW(Expenses!A$3:A$999)-2),5)),"")&lt;&gt;"",IFERROR(INDEX(Expenses!B$3:B$999,SMALL(IF((Expenses!E$3:E$999="GBP")*(Expenses!A$3:A$999=DATE(2026,5,8)),ROW(Expenses!A$3:A$999)-2),5)),""),IF(IFERROR(INDEX(Income!B$3:B$502,SMALL(IF((Income!D$3:D$502="GBP")*(Income!A$3:A$502=DATE(2026,5,8)),ROW(Income!A$3:A$502)-2),5)),"")&lt;&gt;"",IFERROR(INDEX(Income!B$3:B$502,SMALL(IF((Income!D$3:D$502="GBP")*(Income!A$3:A$502=DATE(2026,5,8)),ROW(Income!A$3:A$502)-2),5)),""),""))</f>
        <v/>
      </c>
      <c r="M98" s="152">
        <f t="array" ref="M98">IF(IFERROR(-INDEX(Expenses!D$3:D$999,SMALL(IF((Expenses!E$3:E$999="GBP")*(Expenses!A$3:A$999=DATE(2026,5,9)),ROW(Expenses!A$3:A$999)-2),5)),0)+IFERROR(INDEX(Income!C$3:C$502,SMALL(IF((Income!D$3:D$502="GBP")*(Income!A$3:A$502=DATE(2026,5,9)),ROW(Income!A$3:A$502)-2),5)),0)=0,"",IFERROR(-INDEX(Expenses!D$3:D$999,SMALL(IF((Expenses!E$3:E$999="GBP")*(Expenses!A$3:A$999=DATE(2026,5,9)),ROW(Expenses!A$3:A$999)-2),5)),0)+IFERROR(INDEX(Income!C$3:C$502,SMALL(IF((Income!D$3:D$502="GBP")*(Income!A$3:A$502=DATE(2026,5,9)),ROW(Income!A$3:A$502)-2),5)),0))</f>
        <v/>
      </c>
      <c r="N98" s="126">
        <f t="array" ref="N98">IF(IFERROR(INDEX(Expenses!B$3:B$999,SMALL(IF((Expenses!E$3:E$999="GBP")*(Expenses!A$3:A$999=DATE(2026,5,9)),ROW(Expenses!A$3:A$999)-2),5)),"")&lt;&gt;"",IFERROR(INDEX(Expenses!B$3:B$999,SMALL(IF((Expenses!E$3:E$999="GBP")*(Expenses!A$3:A$999=DATE(2026,5,9)),ROW(Expenses!A$3:A$999)-2),5)),""),IF(IFERROR(INDEX(Income!B$3:B$502,SMALL(IF((Income!D$3:D$502="GBP")*(Income!A$3:A$502=DATE(2026,5,9)),ROW(Income!A$3:A$502)-2),5)),"")&lt;&gt;"",IFERROR(INDEX(Income!B$3:B$502,SMALL(IF((Income!D$3:D$502="GBP")*(Income!A$3:A$502=DATE(2026,5,9)),ROW(Income!A$3:A$502)-2),5)),""),""))</f>
        <v/>
      </c>
      <c r="O98" s="152">
        <f t="array" ref="O98">IF(IFERROR(-INDEX(Expenses!D$3:D$999,SMALL(IF((Expenses!E$3:E$999="GBP")*(Expenses!A$3:A$999=DATE(2026,5,10)),ROW(Expenses!A$3:A$999)-2),5)),0)+IFERROR(INDEX(Income!C$3:C$502,SMALL(IF((Income!D$3:D$502="GBP")*(Income!A$3:A$502=DATE(2026,5,10)),ROW(Income!A$3:A$502)-2),5)),0)=0,"",IFERROR(-INDEX(Expenses!D$3:D$999,SMALL(IF((Expenses!E$3:E$999="GBP")*(Expenses!A$3:A$999=DATE(2026,5,10)),ROW(Expenses!A$3:A$999)-2),5)),0)+IFERROR(INDEX(Income!C$3:C$502,SMALL(IF((Income!D$3:D$502="GBP")*(Income!A$3:A$502=DATE(2026,5,10)),ROW(Income!A$3:A$502)-2),5)),0))</f>
        <v/>
      </c>
      <c r="P98" s="126">
        <f t="array" ref="P98">IF(IFERROR(INDEX(Expenses!B$3:B$999,SMALL(IF((Expenses!E$3:E$999="GBP")*(Expenses!A$3:A$999=DATE(2026,5,10)),ROW(Expenses!A$3:A$999)-2),5)),"")&lt;&gt;"",IFERROR(INDEX(Expenses!B$3:B$999,SMALL(IF((Expenses!E$3:E$999="GBP")*(Expenses!A$3:A$999=DATE(2026,5,10)),ROW(Expenses!A$3:A$999)-2),5)),""),IF(IFERROR(INDEX(Income!B$3:B$502,SMALL(IF((Income!D$3:D$502="GBP")*(Income!A$3:A$502=DATE(2026,5,10)),ROW(Income!A$3:A$502)-2),5)),"")&lt;&gt;"",IFERROR(INDEX(Income!B$3:B$502,SMALL(IF((Income!D$3:D$502="GBP")*(Income!A$3:A$502=DATE(2026,5,10)),ROW(Income!A$3:A$502)-2),5)),""),""))</f>
        <v/>
      </c>
      <c r="Q98" s="9" t="n"/>
      <c r="R98" s="9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68">
      <c r="A99" s="151" t="n">
        <v>46153</v>
      </c>
      <c r="B99" s="103" t="n">
        <v>20</v>
      </c>
      <c r="C99" s="152">
        <f t="array" ref="C99">IF(IFERROR(-INDEX(Expenses!D$3:D$999,SMALL(IF((Expenses!E$3:E$999="GBP")*(Expenses!A$3:A$999=DATE(2026,5,11)),ROW(Expenses!A$3:A$999)-2),1)),0)+IFERROR(INDEX(Income!C$3:C$502,SMALL(IF((Income!D$3:D$502="GBP")*(Income!A$3:A$502=DATE(2026,5,11)),ROW(Income!A$3:A$502)-2),1)),0)=0,"",IFERROR(-INDEX(Expenses!D$3:D$999,SMALL(IF((Expenses!E$3:E$999="GBP")*(Expenses!A$3:A$999=DATE(2026,5,11)),ROW(Expenses!A$3:A$999)-2),1)),0)+IFERROR(INDEX(Income!C$3:C$502,SMALL(IF((Income!D$3:D$502="GBP")*(Income!A$3:A$502=DATE(2026,5,11)),ROW(Income!A$3:A$502)-2),1)),0))</f>
        <v/>
      </c>
      <c r="D99" s="126">
        <f t="array" ref="D99">IF(IFERROR(INDEX(Expenses!B$3:B$999,SMALL(IF((Expenses!E$3:E$999="GBP")*(Expenses!A$3:A$999=DATE(2026,5,11)),ROW(Expenses!A$3:A$999)-2),1)),"")&lt;&gt;"",IFERROR(INDEX(Expenses!B$3:B$999,SMALL(IF((Expenses!E$3:E$999="GBP")*(Expenses!A$3:A$999=DATE(2026,5,11)),ROW(Expenses!A$3:A$999)-2),1)),""),IF(IFERROR(INDEX(Income!B$3:B$502,SMALL(IF((Income!D$3:D$502="GBP")*(Income!A$3:A$502=DATE(2026,5,11)),ROW(Income!A$3:A$502)-2),1)),"")&lt;&gt;"",IFERROR(INDEX(Income!B$3:B$502,SMALL(IF((Income!D$3:D$502="GBP")*(Income!A$3:A$502=DATE(2026,5,11)),ROW(Income!A$3:A$502)-2),1)),""),""))</f>
        <v/>
      </c>
      <c r="E99" s="152">
        <f t="array" ref="E99">IF(IFERROR(-INDEX(Expenses!D$3:D$999,SMALL(IF((Expenses!E$3:E$999="GBP")*(Expenses!A$3:A$999=DATE(2026,5,12)),ROW(Expenses!A$3:A$999)-2),1)),0)+IFERROR(INDEX(Income!C$3:C$502,SMALL(IF((Income!D$3:D$502="GBP")*(Income!A$3:A$502=DATE(2026,5,12)),ROW(Income!A$3:A$502)-2),1)),0)=0,"",IFERROR(-INDEX(Expenses!D$3:D$999,SMALL(IF((Expenses!E$3:E$999="GBP")*(Expenses!A$3:A$999=DATE(2026,5,12)),ROW(Expenses!A$3:A$999)-2),1)),0)+IFERROR(INDEX(Income!C$3:C$502,SMALL(IF((Income!D$3:D$502="GBP")*(Income!A$3:A$502=DATE(2026,5,12)),ROW(Income!A$3:A$502)-2),1)),0))</f>
        <v/>
      </c>
      <c r="F99" s="126">
        <f t="array" ref="F99">IF(IFERROR(INDEX(Expenses!B$3:B$999,SMALL(IF((Expenses!E$3:E$999="GBP")*(Expenses!A$3:A$999=DATE(2026,5,12)),ROW(Expenses!A$3:A$999)-2),1)),"")&lt;&gt;"",IFERROR(INDEX(Expenses!B$3:B$999,SMALL(IF((Expenses!E$3:E$999="GBP")*(Expenses!A$3:A$999=DATE(2026,5,12)),ROW(Expenses!A$3:A$999)-2),1)),""),IF(IFERROR(INDEX(Income!B$3:B$502,SMALL(IF((Income!D$3:D$502="GBP")*(Income!A$3:A$502=DATE(2026,5,12)),ROW(Income!A$3:A$502)-2),1)),"")&lt;&gt;"",IFERROR(INDEX(Income!B$3:B$502,SMALL(IF((Income!D$3:D$502="GBP")*(Income!A$3:A$502=DATE(2026,5,12)),ROW(Income!A$3:A$502)-2),1)),""),""))</f>
        <v/>
      </c>
      <c r="G99" s="152">
        <f t="array" ref="G99">IF(IFERROR(-INDEX(Expenses!D$3:D$999,SMALL(IF((Expenses!E$3:E$999="GBP")*(Expenses!A$3:A$999=DATE(2026,5,13)),ROW(Expenses!A$3:A$999)-2),1)),0)+IFERROR(INDEX(Income!C$3:C$502,SMALL(IF((Income!D$3:D$502="GBP")*(Income!A$3:A$502=DATE(2026,5,13)),ROW(Income!A$3:A$502)-2),1)),0)=0,"",IFERROR(-INDEX(Expenses!D$3:D$999,SMALL(IF((Expenses!E$3:E$999="GBP")*(Expenses!A$3:A$999=DATE(2026,5,13)),ROW(Expenses!A$3:A$999)-2),1)),0)+IFERROR(INDEX(Income!C$3:C$502,SMALL(IF((Income!D$3:D$502="GBP")*(Income!A$3:A$502=DATE(2026,5,13)),ROW(Income!A$3:A$502)-2),1)),0))</f>
        <v/>
      </c>
      <c r="H99" s="126">
        <f t="array" ref="H99">IF(IFERROR(INDEX(Expenses!B$3:B$999,SMALL(IF((Expenses!E$3:E$999="GBP")*(Expenses!A$3:A$999=DATE(2026,5,13)),ROW(Expenses!A$3:A$999)-2),1)),"")&lt;&gt;"",IFERROR(INDEX(Expenses!B$3:B$999,SMALL(IF((Expenses!E$3:E$999="GBP")*(Expenses!A$3:A$999=DATE(2026,5,13)),ROW(Expenses!A$3:A$999)-2),1)),""),IF(IFERROR(INDEX(Income!B$3:B$502,SMALL(IF((Income!D$3:D$502="GBP")*(Income!A$3:A$502=DATE(2026,5,13)),ROW(Income!A$3:A$502)-2),1)),"")&lt;&gt;"",IFERROR(INDEX(Income!B$3:B$502,SMALL(IF((Income!D$3:D$502="GBP")*(Income!A$3:A$502=DATE(2026,5,13)),ROW(Income!A$3:A$502)-2),1)),""),""))</f>
        <v/>
      </c>
      <c r="I99" s="152">
        <f t="array" ref="I99">IF(IFERROR(-INDEX(Expenses!D$3:D$999,SMALL(IF((Expenses!E$3:E$999="GBP")*(Expenses!A$3:A$999=DATE(2026,5,14)),ROW(Expenses!A$3:A$999)-2),1)),0)+IFERROR(INDEX(Income!C$3:C$502,SMALL(IF((Income!D$3:D$502="GBP")*(Income!A$3:A$502=DATE(2026,5,14)),ROW(Income!A$3:A$502)-2),1)),0)=0,"",IFERROR(-INDEX(Expenses!D$3:D$999,SMALL(IF((Expenses!E$3:E$999="GBP")*(Expenses!A$3:A$999=DATE(2026,5,14)),ROW(Expenses!A$3:A$999)-2),1)),0)+IFERROR(INDEX(Income!C$3:C$502,SMALL(IF((Income!D$3:D$502="GBP")*(Income!A$3:A$502=DATE(2026,5,14)),ROW(Income!A$3:A$502)-2),1)),0))</f>
        <v/>
      </c>
      <c r="J99" s="126">
        <f t="array" ref="J99">IF(IFERROR(INDEX(Expenses!B$3:B$999,SMALL(IF((Expenses!E$3:E$999="GBP")*(Expenses!A$3:A$999=DATE(2026,5,14)),ROW(Expenses!A$3:A$999)-2),1)),"")&lt;&gt;"",IFERROR(INDEX(Expenses!B$3:B$999,SMALL(IF((Expenses!E$3:E$999="GBP")*(Expenses!A$3:A$999=DATE(2026,5,14)),ROW(Expenses!A$3:A$999)-2),1)),""),IF(IFERROR(INDEX(Income!B$3:B$502,SMALL(IF((Income!D$3:D$502="GBP")*(Income!A$3:A$502=DATE(2026,5,14)),ROW(Income!A$3:A$502)-2),1)),"")&lt;&gt;"",IFERROR(INDEX(Income!B$3:B$502,SMALL(IF((Income!D$3:D$502="GBP")*(Income!A$3:A$502=DATE(2026,5,14)),ROW(Income!A$3:A$502)-2),1)),""),""))</f>
        <v/>
      </c>
      <c r="K99" s="152">
        <f t="array" ref="K99">IF(IFERROR(-INDEX(Expenses!D$3:D$999,SMALL(IF((Expenses!E$3:E$999="GBP")*(Expenses!A$3:A$999=DATE(2026,5,15)),ROW(Expenses!A$3:A$999)-2),1)),0)+IFERROR(INDEX(Income!C$3:C$502,SMALL(IF((Income!D$3:D$502="GBP")*(Income!A$3:A$502=DATE(2026,5,15)),ROW(Income!A$3:A$502)-2),1)),0)=0,"",IFERROR(-INDEX(Expenses!D$3:D$999,SMALL(IF((Expenses!E$3:E$999="GBP")*(Expenses!A$3:A$999=DATE(2026,5,15)),ROW(Expenses!A$3:A$999)-2),1)),0)+IFERROR(INDEX(Income!C$3:C$502,SMALL(IF((Income!D$3:D$502="GBP")*(Income!A$3:A$502=DATE(2026,5,15)),ROW(Income!A$3:A$502)-2),1)),0))</f>
        <v/>
      </c>
      <c r="L99" s="126">
        <f t="array" ref="L99">IF(IFERROR(INDEX(Expenses!B$3:B$999,SMALL(IF((Expenses!E$3:E$999="GBP")*(Expenses!A$3:A$999=DATE(2026,5,15)),ROW(Expenses!A$3:A$999)-2),1)),"")&lt;&gt;"",IFERROR(INDEX(Expenses!B$3:B$999,SMALL(IF((Expenses!E$3:E$999="GBP")*(Expenses!A$3:A$999=DATE(2026,5,15)),ROW(Expenses!A$3:A$999)-2),1)),""),IF(IFERROR(INDEX(Income!B$3:B$502,SMALL(IF((Income!D$3:D$502="GBP")*(Income!A$3:A$502=DATE(2026,5,15)),ROW(Income!A$3:A$502)-2),1)),"")&lt;&gt;"",IFERROR(INDEX(Income!B$3:B$502,SMALL(IF((Income!D$3:D$502="GBP")*(Income!A$3:A$502=DATE(2026,5,15)),ROW(Income!A$3:A$502)-2),1)),""),""))</f>
        <v/>
      </c>
      <c r="M99" s="152">
        <f t="array" ref="M99">IF(IFERROR(-INDEX(Expenses!D$3:D$999,SMALL(IF((Expenses!E$3:E$999="GBP")*(Expenses!A$3:A$999=DATE(2026,5,16)),ROW(Expenses!A$3:A$999)-2),1)),0)+IFERROR(INDEX(Income!C$3:C$502,SMALL(IF((Income!D$3:D$502="GBP")*(Income!A$3:A$502=DATE(2026,5,16)),ROW(Income!A$3:A$502)-2),1)),0)=0,"",IFERROR(-INDEX(Expenses!D$3:D$999,SMALL(IF((Expenses!E$3:E$999="GBP")*(Expenses!A$3:A$999=DATE(2026,5,16)),ROW(Expenses!A$3:A$999)-2),1)),0)+IFERROR(INDEX(Income!C$3:C$502,SMALL(IF((Income!D$3:D$502="GBP")*(Income!A$3:A$502=DATE(2026,5,16)),ROW(Income!A$3:A$502)-2),1)),0))</f>
        <v/>
      </c>
      <c r="N99" s="126">
        <f t="array" ref="N99">IF(IFERROR(INDEX(Expenses!B$3:B$999,SMALL(IF((Expenses!E$3:E$999="GBP")*(Expenses!A$3:A$999=DATE(2026,5,16)),ROW(Expenses!A$3:A$999)-2),1)),"")&lt;&gt;"",IFERROR(INDEX(Expenses!B$3:B$999,SMALL(IF((Expenses!E$3:E$999="GBP")*(Expenses!A$3:A$999=DATE(2026,5,16)),ROW(Expenses!A$3:A$999)-2),1)),""),IF(IFERROR(INDEX(Income!B$3:B$502,SMALL(IF((Income!D$3:D$502="GBP")*(Income!A$3:A$502=DATE(2026,5,16)),ROW(Income!A$3:A$502)-2),1)),"")&lt;&gt;"",IFERROR(INDEX(Income!B$3:B$502,SMALL(IF((Income!D$3:D$502="GBP")*(Income!A$3:A$502=DATE(2026,5,16)),ROW(Income!A$3:A$502)-2),1)),""),""))</f>
        <v/>
      </c>
      <c r="O99" s="152">
        <f t="array" ref="O99">IF(IFERROR(-INDEX(Expenses!D$3:D$999,SMALL(IF((Expenses!E$3:E$999="GBP")*(Expenses!A$3:A$999=DATE(2026,5,17)),ROW(Expenses!A$3:A$999)-2),1)),0)+IFERROR(INDEX(Income!C$3:C$502,SMALL(IF((Income!D$3:D$502="GBP")*(Income!A$3:A$502=DATE(2026,5,17)),ROW(Income!A$3:A$502)-2),1)),0)=0,"",IFERROR(-INDEX(Expenses!D$3:D$999,SMALL(IF((Expenses!E$3:E$999="GBP")*(Expenses!A$3:A$999=DATE(2026,5,17)),ROW(Expenses!A$3:A$999)-2),1)),0)+IFERROR(INDEX(Income!C$3:C$502,SMALL(IF((Income!D$3:D$502="GBP")*(Income!A$3:A$502=DATE(2026,5,17)),ROW(Income!A$3:A$502)-2),1)),0))</f>
        <v/>
      </c>
      <c r="P99" s="126">
        <f t="array" ref="P99">IF(IFERROR(INDEX(Expenses!B$3:B$999,SMALL(IF((Expenses!E$3:E$999="GBP")*(Expenses!A$3:A$999=DATE(2026,5,17)),ROW(Expenses!A$3:A$999)-2),1)),"")&lt;&gt;"",IFERROR(INDEX(Expenses!B$3:B$999,SMALL(IF((Expenses!E$3:E$999="GBP")*(Expenses!A$3:A$999=DATE(2026,5,17)),ROW(Expenses!A$3:A$999)-2),1)),""),IF(IFERROR(INDEX(Income!B$3:B$502,SMALL(IF((Income!D$3:D$502="GBP")*(Income!A$3:A$502=DATE(2026,5,17)),ROW(Income!A$3:A$502)-2),1)),"")&lt;&gt;"",IFERROR(INDEX(Income!B$3:B$502,SMALL(IF((Income!D$3:D$502="GBP")*(Income!A$3:A$502=DATE(2026,5,17)),ROW(Income!A$3:A$502)-2),1)),""),""))</f>
        <v/>
      </c>
      <c r="Q99" s="103" t="n">
        <v>20</v>
      </c>
      <c r="R99" s="134">
        <f>SUM(C99:C103)+SUM(E99:E103)+SUM(G99:G103)+SUM(I99:I103)+SUM(K99:K103)+SUM(M99:M103)+SUM(O99:O103)</f>
        <v/>
      </c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68">
      <c r="A100" s="9" t="n"/>
      <c r="B100" s="9" t="n"/>
      <c r="C100" s="152">
        <f t="array" ref="C100">IF(IFERROR(-INDEX(Expenses!D$3:D$999,SMALL(IF((Expenses!E$3:E$999="GBP")*(Expenses!A$3:A$999=DATE(2026,5,11)),ROW(Expenses!A$3:A$999)-2),2)),0)+IFERROR(INDEX(Income!C$3:C$502,SMALL(IF((Income!D$3:D$502="GBP")*(Income!A$3:A$502=DATE(2026,5,11)),ROW(Income!A$3:A$502)-2),2)),0)=0,"",IFERROR(-INDEX(Expenses!D$3:D$999,SMALL(IF((Expenses!E$3:E$999="GBP")*(Expenses!A$3:A$999=DATE(2026,5,11)),ROW(Expenses!A$3:A$999)-2),2)),0)+IFERROR(INDEX(Income!C$3:C$502,SMALL(IF((Income!D$3:D$502="GBP")*(Income!A$3:A$502=DATE(2026,5,11)),ROW(Income!A$3:A$502)-2),2)),0))</f>
        <v/>
      </c>
      <c r="D100" s="126">
        <f t="array" ref="D100">IF(IFERROR(INDEX(Expenses!B$3:B$999,SMALL(IF((Expenses!E$3:E$999="GBP")*(Expenses!A$3:A$999=DATE(2026,5,11)),ROW(Expenses!A$3:A$999)-2),2)),"")&lt;&gt;"",IFERROR(INDEX(Expenses!B$3:B$999,SMALL(IF((Expenses!E$3:E$999="GBP")*(Expenses!A$3:A$999=DATE(2026,5,11)),ROW(Expenses!A$3:A$999)-2),2)),""),IF(IFERROR(INDEX(Income!B$3:B$502,SMALL(IF((Income!D$3:D$502="GBP")*(Income!A$3:A$502=DATE(2026,5,11)),ROW(Income!A$3:A$502)-2),2)),"")&lt;&gt;"",IFERROR(INDEX(Income!B$3:B$502,SMALL(IF((Income!D$3:D$502="GBP")*(Income!A$3:A$502=DATE(2026,5,11)),ROW(Income!A$3:A$502)-2),2)),""),""))</f>
        <v/>
      </c>
      <c r="E100" s="152">
        <f t="array" ref="E100">IF(IFERROR(-INDEX(Expenses!D$3:D$999,SMALL(IF((Expenses!E$3:E$999="GBP")*(Expenses!A$3:A$999=DATE(2026,5,12)),ROW(Expenses!A$3:A$999)-2),2)),0)+IFERROR(INDEX(Income!C$3:C$502,SMALL(IF((Income!D$3:D$502="GBP")*(Income!A$3:A$502=DATE(2026,5,12)),ROW(Income!A$3:A$502)-2),2)),0)=0,"",IFERROR(-INDEX(Expenses!D$3:D$999,SMALL(IF((Expenses!E$3:E$999="GBP")*(Expenses!A$3:A$999=DATE(2026,5,12)),ROW(Expenses!A$3:A$999)-2),2)),0)+IFERROR(INDEX(Income!C$3:C$502,SMALL(IF((Income!D$3:D$502="GBP")*(Income!A$3:A$502=DATE(2026,5,12)),ROW(Income!A$3:A$502)-2),2)),0))</f>
        <v/>
      </c>
      <c r="F100" s="126">
        <f t="array" ref="F100">IF(IFERROR(INDEX(Expenses!B$3:B$999,SMALL(IF((Expenses!E$3:E$999="GBP")*(Expenses!A$3:A$999=DATE(2026,5,12)),ROW(Expenses!A$3:A$999)-2),2)),"")&lt;&gt;"",IFERROR(INDEX(Expenses!B$3:B$999,SMALL(IF((Expenses!E$3:E$999="GBP")*(Expenses!A$3:A$999=DATE(2026,5,12)),ROW(Expenses!A$3:A$999)-2),2)),""),IF(IFERROR(INDEX(Income!B$3:B$502,SMALL(IF((Income!D$3:D$502="GBP")*(Income!A$3:A$502=DATE(2026,5,12)),ROW(Income!A$3:A$502)-2),2)),"")&lt;&gt;"",IFERROR(INDEX(Income!B$3:B$502,SMALL(IF((Income!D$3:D$502="GBP")*(Income!A$3:A$502=DATE(2026,5,12)),ROW(Income!A$3:A$502)-2),2)),""),""))</f>
        <v/>
      </c>
      <c r="G100" s="152">
        <f t="array" ref="G100">IF(IFERROR(-INDEX(Expenses!D$3:D$999,SMALL(IF((Expenses!E$3:E$999="GBP")*(Expenses!A$3:A$999=DATE(2026,5,13)),ROW(Expenses!A$3:A$999)-2),2)),0)+IFERROR(INDEX(Income!C$3:C$502,SMALL(IF((Income!D$3:D$502="GBP")*(Income!A$3:A$502=DATE(2026,5,13)),ROW(Income!A$3:A$502)-2),2)),0)=0,"",IFERROR(-INDEX(Expenses!D$3:D$999,SMALL(IF((Expenses!E$3:E$999="GBP")*(Expenses!A$3:A$999=DATE(2026,5,13)),ROW(Expenses!A$3:A$999)-2),2)),0)+IFERROR(INDEX(Income!C$3:C$502,SMALL(IF((Income!D$3:D$502="GBP")*(Income!A$3:A$502=DATE(2026,5,13)),ROW(Income!A$3:A$502)-2),2)),0))</f>
        <v/>
      </c>
      <c r="H100" s="126">
        <f t="array" ref="H100">IF(IFERROR(INDEX(Expenses!B$3:B$999,SMALL(IF((Expenses!E$3:E$999="GBP")*(Expenses!A$3:A$999=DATE(2026,5,13)),ROW(Expenses!A$3:A$999)-2),2)),"")&lt;&gt;"",IFERROR(INDEX(Expenses!B$3:B$999,SMALL(IF((Expenses!E$3:E$999="GBP")*(Expenses!A$3:A$999=DATE(2026,5,13)),ROW(Expenses!A$3:A$999)-2),2)),""),IF(IFERROR(INDEX(Income!B$3:B$502,SMALL(IF((Income!D$3:D$502="GBP")*(Income!A$3:A$502=DATE(2026,5,13)),ROW(Income!A$3:A$502)-2),2)),"")&lt;&gt;"",IFERROR(INDEX(Income!B$3:B$502,SMALL(IF((Income!D$3:D$502="GBP")*(Income!A$3:A$502=DATE(2026,5,13)),ROW(Income!A$3:A$502)-2),2)),""),""))</f>
        <v/>
      </c>
      <c r="I100" s="152">
        <f t="array" ref="I100">IF(IFERROR(-INDEX(Expenses!D$3:D$999,SMALL(IF((Expenses!E$3:E$999="GBP")*(Expenses!A$3:A$999=DATE(2026,5,14)),ROW(Expenses!A$3:A$999)-2),2)),0)+IFERROR(INDEX(Income!C$3:C$502,SMALL(IF((Income!D$3:D$502="GBP")*(Income!A$3:A$502=DATE(2026,5,14)),ROW(Income!A$3:A$502)-2),2)),0)=0,"",IFERROR(-INDEX(Expenses!D$3:D$999,SMALL(IF((Expenses!E$3:E$999="GBP")*(Expenses!A$3:A$999=DATE(2026,5,14)),ROW(Expenses!A$3:A$999)-2),2)),0)+IFERROR(INDEX(Income!C$3:C$502,SMALL(IF((Income!D$3:D$502="GBP")*(Income!A$3:A$502=DATE(2026,5,14)),ROW(Income!A$3:A$502)-2),2)),0))</f>
        <v/>
      </c>
      <c r="J100" s="126">
        <f t="array" ref="J100">IF(IFERROR(INDEX(Expenses!B$3:B$999,SMALL(IF((Expenses!E$3:E$999="GBP")*(Expenses!A$3:A$999=DATE(2026,5,14)),ROW(Expenses!A$3:A$999)-2),2)),"")&lt;&gt;"",IFERROR(INDEX(Expenses!B$3:B$999,SMALL(IF((Expenses!E$3:E$999="GBP")*(Expenses!A$3:A$999=DATE(2026,5,14)),ROW(Expenses!A$3:A$999)-2),2)),""),IF(IFERROR(INDEX(Income!B$3:B$502,SMALL(IF((Income!D$3:D$502="GBP")*(Income!A$3:A$502=DATE(2026,5,14)),ROW(Income!A$3:A$502)-2),2)),"")&lt;&gt;"",IFERROR(INDEX(Income!B$3:B$502,SMALL(IF((Income!D$3:D$502="GBP")*(Income!A$3:A$502=DATE(2026,5,14)),ROW(Income!A$3:A$502)-2),2)),""),""))</f>
        <v/>
      </c>
      <c r="K100" s="152">
        <f t="array" ref="K100">IF(IFERROR(-INDEX(Expenses!D$3:D$999,SMALL(IF((Expenses!E$3:E$999="GBP")*(Expenses!A$3:A$999=DATE(2026,5,15)),ROW(Expenses!A$3:A$999)-2),2)),0)+IFERROR(INDEX(Income!C$3:C$502,SMALL(IF((Income!D$3:D$502="GBP")*(Income!A$3:A$502=DATE(2026,5,15)),ROW(Income!A$3:A$502)-2),2)),0)=0,"",IFERROR(-INDEX(Expenses!D$3:D$999,SMALL(IF((Expenses!E$3:E$999="GBP")*(Expenses!A$3:A$999=DATE(2026,5,15)),ROW(Expenses!A$3:A$999)-2),2)),0)+IFERROR(INDEX(Income!C$3:C$502,SMALL(IF((Income!D$3:D$502="GBP")*(Income!A$3:A$502=DATE(2026,5,15)),ROW(Income!A$3:A$502)-2),2)),0))</f>
        <v/>
      </c>
      <c r="L100" s="126">
        <f t="array" ref="L100">IF(IFERROR(INDEX(Expenses!B$3:B$999,SMALL(IF((Expenses!E$3:E$999="GBP")*(Expenses!A$3:A$999=DATE(2026,5,15)),ROW(Expenses!A$3:A$999)-2),2)),"")&lt;&gt;"",IFERROR(INDEX(Expenses!B$3:B$999,SMALL(IF((Expenses!E$3:E$999="GBP")*(Expenses!A$3:A$999=DATE(2026,5,15)),ROW(Expenses!A$3:A$999)-2),2)),""),IF(IFERROR(INDEX(Income!B$3:B$502,SMALL(IF((Income!D$3:D$502="GBP")*(Income!A$3:A$502=DATE(2026,5,15)),ROW(Income!A$3:A$502)-2),2)),"")&lt;&gt;"",IFERROR(INDEX(Income!B$3:B$502,SMALL(IF((Income!D$3:D$502="GBP")*(Income!A$3:A$502=DATE(2026,5,15)),ROW(Income!A$3:A$502)-2),2)),""),""))</f>
        <v/>
      </c>
      <c r="M100" s="152">
        <f t="array" ref="M100">IF(IFERROR(-INDEX(Expenses!D$3:D$999,SMALL(IF((Expenses!E$3:E$999="GBP")*(Expenses!A$3:A$999=DATE(2026,5,16)),ROW(Expenses!A$3:A$999)-2),2)),0)+IFERROR(INDEX(Income!C$3:C$502,SMALL(IF((Income!D$3:D$502="GBP")*(Income!A$3:A$502=DATE(2026,5,16)),ROW(Income!A$3:A$502)-2),2)),0)=0,"",IFERROR(-INDEX(Expenses!D$3:D$999,SMALL(IF((Expenses!E$3:E$999="GBP")*(Expenses!A$3:A$999=DATE(2026,5,16)),ROW(Expenses!A$3:A$999)-2),2)),0)+IFERROR(INDEX(Income!C$3:C$502,SMALL(IF((Income!D$3:D$502="GBP")*(Income!A$3:A$502=DATE(2026,5,16)),ROW(Income!A$3:A$502)-2),2)),0))</f>
        <v/>
      </c>
      <c r="N100" s="126">
        <f t="array" ref="N100">IF(IFERROR(INDEX(Expenses!B$3:B$999,SMALL(IF((Expenses!E$3:E$999="GBP")*(Expenses!A$3:A$999=DATE(2026,5,16)),ROW(Expenses!A$3:A$999)-2),2)),"")&lt;&gt;"",IFERROR(INDEX(Expenses!B$3:B$999,SMALL(IF((Expenses!E$3:E$999="GBP")*(Expenses!A$3:A$999=DATE(2026,5,16)),ROW(Expenses!A$3:A$999)-2),2)),""),IF(IFERROR(INDEX(Income!B$3:B$502,SMALL(IF((Income!D$3:D$502="GBP")*(Income!A$3:A$502=DATE(2026,5,16)),ROW(Income!A$3:A$502)-2),2)),"")&lt;&gt;"",IFERROR(INDEX(Income!B$3:B$502,SMALL(IF((Income!D$3:D$502="GBP")*(Income!A$3:A$502=DATE(2026,5,16)),ROW(Income!A$3:A$502)-2),2)),""),""))</f>
        <v/>
      </c>
      <c r="O100" s="152">
        <f t="array" ref="O100">IF(IFERROR(-INDEX(Expenses!D$3:D$999,SMALL(IF((Expenses!E$3:E$999="GBP")*(Expenses!A$3:A$999=DATE(2026,5,17)),ROW(Expenses!A$3:A$999)-2),2)),0)+IFERROR(INDEX(Income!C$3:C$502,SMALL(IF((Income!D$3:D$502="GBP")*(Income!A$3:A$502=DATE(2026,5,17)),ROW(Income!A$3:A$502)-2),2)),0)=0,"",IFERROR(-INDEX(Expenses!D$3:D$999,SMALL(IF((Expenses!E$3:E$999="GBP")*(Expenses!A$3:A$999=DATE(2026,5,17)),ROW(Expenses!A$3:A$999)-2),2)),0)+IFERROR(INDEX(Income!C$3:C$502,SMALL(IF((Income!D$3:D$502="GBP")*(Income!A$3:A$502=DATE(2026,5,17)),ROW(Income!A$3:A$502)-2),2)),0))</f>
        <v/>
      </c>
      <c r="P100" s="126">
        <f t="array" ref="P100">IF(IFERROR(INDEX(Expenses!B$3:B$999,SMALL(IF((Expenses!E$3:E$999="GBP")*(Expenses!A$3:A$999=DATE(2026,5,17)),ROW(Expenses!A$3:A$999)-2),2)),"")&lt;&gt;"",IFERROR(INDEX(Expenses!B$3:B$999,SMALL(IF((Expenses!E$3:E$999="GBP")*(Expenses!A$3:A$999=DATE(2026,5,17)),ROW(Expenses!A$3:A$999)-2),2)),""),IF(IFERROR(INDEX(Income!B$3:B$502,SMALL(IF((Income!D$3:D$502="GBP")*(Income!A$3:A$502=DATE(2026,5,17)),ROW(Income!A$3:A$502)-2),2)),"")&lt;&gt;"",IFERROR(INDEX(Income!B$3:B$502,SMALL(IF((Income!D$3:D$502="GBP")*(Income!A$3:A$502=DATE(2026,5,17)),ROW(Income!A$3:A$502)-2),2)),""),""))</f>
        <v/>
      </c>
      <c r="Q100" s="9" t="n"/>
      <c r="R100" s="9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68">
      <c r="A101" s="9" t="n"/>
      <c r="B101" s="9" t="n"/>
      <c r="C101" s="152">
        <f t="array" ref="C101">IF(IFERROR(-INDEX(Expenses!D$3:D$999,SMALL(IF((Expenses!E$3:E$999="GBP")*(Expenses!A$3:A$999=DATE(2026,5,11)),ROW(Expenses!A$3:A$999)-2),3)),0)+IFERROR(INDEX(Income!C$3:C$502,SMALL(IF((Income!D$3:D$502="GBP")*(Income!A$3:A$502=DATE(2026,5,11)),ROW(Income!A$3:A$502)-2),3)),0)=0,"",IFERROR(-INDEX(Expenses!D$3:D$999,SMALL(IF((Expenses!E$3:E$999="GBP")*(Expenses!A$3:A$999=DATE(2026,5,11)),ROW(Expenses!A$3:A$999)-2),3)),0)+IFERROR(INDEX(Income!C$3:C$502,SMALL(IF((Income!D$3:D$502="GBP")*(Income!A$3:A$502=DATE(2026,5,11)),ROW(Income!A$3:A$502)-2),3)),0))</f>
        <v/>
      </c>
      <c r="D101" s="126">
        <f t="array" ref="D101">IF(IFERROR(INDEX(Expenses!B$3:B$999,SMALL(IF((Expenses!E$3:E$999="GBP")*(Expenses!A$3:A$999=DATE(2026,5,11)),ROW(Expenses!A$3:A$999)-2),3)),"")&lt;&gt;"",IFERROR(INDEX(Expenses!B$3:B$999,SMALL(IF((Expenses!E$3:E$999="GBP")*(Expenses!A$3:A$999=DATE(2026,5,11)),ROW(Expenses!A$3:A$999)-2),3)),""),IF(IFERROR(INDEX(Income!B$3:B$502,SMALL(IF((Income!D$3:D$502="GBP")*(Income!A$3:A$502=DATE(2026,5,11)),ROW(Income!A$3:A$502)-2),3)),"")&lt;&gt;"",IFERROR(INDEX(Income!B$3:B$502,SMALL(IF((Income!D$3:D$502="GBP")*(Income!A$3:A$502=DATE(2026,5,11)),ROW(Income!A$3:A$502)-2),3)),""),""))</f>
        <v/>
      </c>
      <c r="E101" s="152">
        <f t="array" ref="E101">IF(IFERROR(-INDEX(Expenses!D$3:D$999,SMALL(IF((Expenses!E$3:E$999="GBP")*(Expenses!A$3:A$999=DATE(2026,5,12)),ROW(Expenses!A$3:A$999)-2),3)),0)+IFERROR(INDEX(Income!C$3:C$502,SMALL(IF((Income!D$3:D$502="GBP")*(Income!A$3:A$502=DATE(2026,5,12)),ROW(Income!A$3:A$502)-2),3)),0)=0,"",IFERROR(-INDEX(Expenses!D$3:D$999,SMALL(IF((Expenses!E$3:E$999="GBP")*(Expenses!A$3:A$999=DATE(2026,5,12)),ROW(Expenses!A$3:A$999)-2),3)),0)+IFERROR(INDEX(Income!C$3:C$502,SMALL(IF((Income!D$3:D$502="GBP")*(Income!A$3:A$502=DATE(2026,5,12)),ROW(Income!A$3:A$502)-2),3)),0))</f>
        <v/>
      </c>
      <c r="F101" s="126">
        <f t="array" ref="F101">IF(IFERROR(INDEX(Expenses!B$3:B$999,SMALL(IF((Expenses!E$3:E$999="GBP")*(Expenses!A$3:A$999=DATE(2026,5,12)),ROW(Expenses!A$3:A$999)-2),3)),"")&lt;&gt;"",IFERROR(INDEX(Expenses!B$3:B$999,SMALL(IF((Expenses!E$3:E$999="GBP")*(Expenses!A$3:A$999=DATE(2026,5,12)),ROW(Expenses!A$3:A$999)-2),3)),""),IF(IFERROR(INDEX(Income!B$3:B$502,SMALL(IF((Income!D$3:D$502="GBP")*(Income!A$3:A$502=DATE(2026,5,12)),ROW(Income!A$3:A$502)-2),3)),"")&lt;&gt;"",IFERROR(INDEX(Income!B$3:B$502,SMALL(IF((Income!D$3:D$502="GBP")*(Income!A$3:A$502=DATE(2026,5,12)),ROW(Income!A$3:A$502)-2),3)),""),""))</f>
        <v/>
      </c>
      <c r="G101" s="152">
        <f t="array" ref="G101">IF(IFERROR(-INDEX(Expenses!D$3:D$999,SMALL(IF((Expenses!E$3:E$999="GBP")*(Expenses!A$3:A$999=DATE(2026,5,13)),ROW(Expenses!A$3:A$999)-2),3)),0)+IFERROR(INDEX(Income!C$3:C$502,SMALL(IF((Income!D$3:D$502="GBP")*(Income!A$3:A$502=DATE(2026,5,13)),ROW(Income!A$3:A$502)-2),3)),0)=0,"",IFERROR(-INDEX(Expenses!D$3:D$999,SMALL(IF((Expenses!E$3:E$999="GBP")*(Expenses!A$3:A$999=DATE(2026,5,13)),ROW(Expenses!A$3:A$999)-2),3)),0)+IFERROR(INDEX(Income!C$3:C$502,SMALL(IF((Income!D$3:D$502="GBP")*(Income!A$3:A$502=DATE(2026,5,13)),ROW(Income!A$3:A$502)-2),3)),0))</f>
        <v/>
      </c>
      <c r="H101" s="126">
        <f t="array" ref="H101">IF(IFERROR(INDEX(Expenses!B$3:B$999,SMALL(IF((Expenses!E$3:E$999="GBP")*(Expenses!A$3:A$999=DATE(2026,5,13)),ROW(Expenses!A$3:A$999)-2),3)),"")&lt;&gt;"",IFERROR(INDEX(Expenses!B$3:B$999,SMALL(IF((Expenses!E$3:E$999="GBP")*(Expenses!A$3:A$999=DATE(2026,5,13)),ROW(Expenses!A$3:A$999)-2),3)),""),IF(IFERROR(INDEX(Income!B$3:B$502,SMALL(IF((Income!D$3:D$502="GBP")*(Income!A$3:A$502=DATE(2026,5,13)),ROW(Income!A$3:A$502)-2),3)),"")&lt;&gt;"",IFERROR(INDEX(Income!B$3:B$502,SMALL(IF((Income!D$3:D$502="GBP")*(Income!A$3:A$502=DATE(2026,5,13)),ROW(Income!A$3:A$502)-2),3)),""),""))</f>
        <v/>
      </c>
      <c r="I101" s="152">
        <f t="array" ref="I101">IF(IFERROR(-INDEX(Expenses!D$3:D$999,SMALL(IF((Expenses!E$3:E$999="GBP")*(Expenses!A$3:A$999=DATE(2026,5,14)),ROW(Expenses!A$3:A$999)-2),3)),0)+IFERROR(INDEX(Income!C$3:C$502,SMALL(IF((Income!D$3:D$502="GBP")*(Income!A$3:A$502=DATE(2026,5,14)),ROW(Income!A$3:A$502)-2),3)),0)=0,"",IFERROR(-INDEX(Expenses!D$3:D$999,SMALL(IF((Expenses!E$3:E$999="GBP")*(Expenses!A$3:A$999=DATE(2026,5,14)),ROW(Expenses!A$3:A$999)-2),3)),0)+IFERROR(INDEX(Income!C$3:C$502,SMALL(IF((Income!D$3:D$502="GBP")*(Income!A$3:A$502=DATE(2026,5,14)),ROW(Income!A$3:A$502)-2),3)),0))</f>
        <v/>
      </c>
      <c r="J101" s="126">
        <f t="array" ref="J101">IF(IFERROR(INDEX(Expenses!B$3:B$999,SMALL(IF((Expenses!E$3:E$999="GBP")*(Expenses!A$3:A$999=DATE(2026,5,14)),ROW(Expenses!A$3:A$999)-2),3)),"")&lt;&gt;"",IFERROR(INDEX(Expenses!B$3:B$999,SMALL(IF((Expenses!E$3:E$999="GBP")*(Expenses!A$3:A$999=DATE(2026,5,14)),ROW(Expenses!A$3:A$999)-2),3)),""),IF(IFERROR(INDEX(Income!B$3:B$502,SMALL(IF((Income!D$3:D$502="GBP")*(Income!A$3:A$502=DATE(2026,5,14)),ROW(Income!A$3:A$502)-2),3)),"")&lt;&gt;"",IFERROR(INDEX(Income!B$3:B$502,SMALL(IF((Income!D$3:D$502="GBP")*(Income!A$3:A$502=DATE(2026,5,14)),ROW(Income!A$3:A$502)-2),3)),""),""))</f>
        <v/>
      </c>
      <c r="K101" s="152">
        <f t="array" ref="K101">IF(IFERROR(-INDEX(Expenses!D$3:D$999,SMALL(IF((Expenses!E$3:E$999="GBP")*(Expenses!A$3:A$999=DATE(2026,5,15)),ROW(Expenses!A$3:A$999)-2),3)),0)+IFERROR(INDEX(Income!C$3:C$502,SMALL(IF((Income!D$3:D$502="GBP")*(Income!A$3:A$502=DATE(2026,5,15)),ROW(Income!A$3:A$502)-2),3)),0)=0,"",IFERROR(-INDEX(Expenses!D$3:D$999,SMALL(IF((Expenses!E$3:E$999="GBP")*(Expenses!A$3:A$999=DATE(2026,5,15)),ROW(Expenses!A$3:A$999)-2),3)),0)+IFERROR(INDEX(Income!C$3:C$502,SMALL(IF((Income!D$3:D$502="GBP")*(Income!A$3:A$502=DATE(2026,5,15)),ROW(Income!A$3:A$502)-2),3)),0))</f>
        <v/>
      </c>
      <c r="L101" s="126">
        <f t="array" ref="L101">IF(IFERROR(INDEX(Expenses!B$3:B$999,SMALL(IF((Expenses!E$3:E$999="GBP")*(Expenses!A$3:A$999=DATE(2026,5,15)),ROW(Expenses!A$3:A$999)-2),3)),"")&lt;&gt;"",IFERROR(INDEX(Expenses!B$3:B$999,SMALL(IF((Expenses!E$3:E$999="GBP")*(Expenses!A$3:A$999=DATE(2026,5,15)),ROW(Expenses!A$3:A$999)-2),3)),""),IF(IFERROR(INDEX(Income!B$3:B$502,SMALL(IF((Income!D$3:D$502="GBP")*(Income!A$3:A$502=DATE(2026,5,15)),ROW(Income!A$3:A$502)-2),3)),"")&lt;&gt;"",IFERROR(INDEX(Income!B$3:B$502,SMALL(IF((Income!D$3:D$502="GBP")*(Income!A$3:A$502=DATE(2026,5,15)),ROW(Income!A$3:A$502)-2),3)),""),""))</f>
        <v/>
      </c>
      <c r="M101" s="152">
        <f t="array" ref="M101">IF(IFERROR(-INDEX(Expenses!D$3:D$999,SMALL(IF((Expenses!E$3:E$999="GBP")*(Expenses!A$3:A$999=DATE(2026,5,16)),ROW(Expenses!A$3:A$999)-2),3)),0)+IFERROR(INDEX(Income!C$3:C$502,SMALL(IF((Income!D$3:D$502="GBP")*(Income!A$3:A$502=DATE(2026,5,16)),ROW(Income!A$3:A$502)-2),3)),0)=0,"",IFERROR(-INDEX(Expenses!D$3:D$999,SMALL(IF((Expenses!E$3:E$999="GBP")*(Expenses!A$3:A$999=DATE(2026,5,16)),ROW(Expenses!A$3:A$999)-2),3)),0)+IFERROR(INDEX(Income!C$3:C$502,SMALL(IF((Income!D$3:D$502="GBP")*(Income!A$3:A$502=DATE(2026,5,16)),ROW(Income!A$3:A$502)-2),3)),0))</f>
        <v/>
      </c>
      <c r="N101" s="126">
        <f t="array" ref="N101">IF(IFERROR(INDEX(Expenses!B$3:B$999,SMALL(IF((Expenses!E$3:E$999="GBP")*(Expenses!A$3:A$999=DATE(2026,5,16)),ROW(Expenses!A$3:A$999)-2),3)),"")&lt;&gt;"",IFERROR(INDEX(Expenses!B$3:B$999,SMALL(IF((Expenses!E$3:E$999="GBP")*(Expenses!A$3:A$999=DATE(2026,5,16)),ROW(Expenses!A$3:A$999)-2),3)),""),IF(IFERROR(INDEX(Income!B$3:B$502,SMALL(IF((Income!D$3:D$502="GBP")*(Income!A$3:A$502=DATE(2026,5,16)),ROW(Income!A$3:A$502)-2),3)),"")&lt;&gt;"",IFERROR(INDEX(Income!B$3:B$502,SMALL(IF((Income!D$3:D$502="GBP")*(Income!A$3:A$502=DATE(2026,5,16)),ROW(Income!A$3:A$502)-2),3)),""),""))</f>
        <v/>
      </c>
      <c r="O101" s="152">
        <f t="array" ref="O101">IF(IFERROR(-INDEX(Expenses!D$3:D$999,SMALL(IF((Expenses!E$3:E$999="GBP")*(Expenses!A$3:A$999=DATE(2026,5,17)),ROW(Expenses!A$3:A$999)-2),3)),0)+IFERROR(INDEX(Income!C$3:C$502,SMALL(IF((Income!D$3:D$502="GBP")*(Income!A$3:A$502=DATE(2026,5,17)),ROW(Income!A$3:A$502)-2),3)),0)=0,"",IFERROR(-INDEX(Expenses!D$3:D$999,SMALL(IF((Expenses!E$3:E$999="GBP")*(Expenses!A$3:A$999=DATE(2026,5,17)),ROW(Expenses!A$3:A$999)-2),3)),0)+IFERROR(INDEX(Income!C$3:C$502,SMALL(IF((Income!D$3:D$502="GBP")*(Income!A$3:A$502=DATE(2026,5,17)),ROW(Income!A$3:A$502)-2),3)),0))</f>
        <v/>
      </c>
      <c r="P101" s="126">
        <f t="array" ref="P101">IF(IFERROR(INDEX(Expenses!B$3:B$999,SMALL(IF((Expenses!E$3:E$999="GBP")*(Expenses!A$3:A$999=DATE(2026,5,17)),ROW(Expenses!A$3:A$999)-2),3)),"")&lt;&gt;"",IFERROR(INDEX(Expenses!B$3:B$999,SMALL(IF((Expenses!E$3:E$999="GBP")*(Expenses!A$3:A$999=DATE(2026,5,17)),ROW(Expenses!A$3:A$999)-2),3)),""),IF(IFERROR(INDEX(Income!B$3:B$502,SMALL(IF((Income!D$3:D$502="GBP")*(Income!A$3:A$502=DATE(2026,5,17)),ROW(Income!A$3:A$502)-2),3)),"")&lt;&gt;"",IFERROR(INDEX(Income!B$3:B$502,SMALL(IF((Income!D$3:D$502="GBP")*(Income!A$3:A$502=DATE(2026,5,17)),ROW(Income!A$3:A$502)-2),3)),""),""))</f>
        <v/>
      </c>
      <c r="Q101" s="9" t="n"/>
      <c r="R101" s="9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68">
      <c r="A102" s="9" t="n"/>
      <c r="B102" s="9" t="n"/>
      <c r="C102" s="152">
        <f t="array" ref="C102">IF(IFERROR(-INDEX(Expenses!D$3:D$999,SMALL(IF((Expenses!E$3:E$999="GBP")*(Expenses!A$3:A$999=DATE(2026,5,11)),ROW(Expenses!A$3:A$999)-2),4)),0)+IFERROR(INDEX(Income!C$3:C$502,SMALL(IF((Income!D$3:D$502="GBP")*(Income!A$3:A$502=DATE(2026,5,11)),ROW(Income!A$3:A$502)-2),4)),0)=0,"",IFERROR(-INDEX(Expenses!D$3:D$999,SMALL(IF((Expenses!E$3:E$999="GBP")*(Expenses!A$3:A$999=DATE(2026,5,11)),ROW(Expenses!A$3:A$999)-2),4)),0)+IFERROR(INDEX(Income!C$3:C$502,SMALL(IF((Income!D$3:D$502="GBP")*(Income!A$3:A$502=DATE(2026,5,11)),ROW(Income!A$3:A$502)-2),4)),0))</f>
        <v/>
      </c>
      <c r="D102" s="126">
        <f t="array" ref="D102">IF(IFERROR(INDEX(Expenses!B$3:B$999,SMALL(IF((Expenses!E$3:E$999="GBP")*(Expenses!A$3:A$999=DATE(2026,5,11)),ROW(Expenses!A$3:A$999)-2),4)),"")&lt;&gt;"",IFERROR(INDEX(Expenses!B$3:B$999,SMALL(IF((Expenses!E$3:E$999="GBP")*(Expenses!A$3:A$999=DATE(2026,5,11)),ROW(Expenses!A$3:A$999)-2),4)),""),IF(IFERROR(INDEX(Income!B$3:B$502,SMALL(IF((Income!D$3:D$502="GBP")*(Income!A$3:A$502=DATE(2026,5,11)),ROW(Income!A$3:A$502)-2),4)),"")&lt;&gt;"",IFERROR(INDEX(Income!B$3:B$502,SMALL(IF((Income!D$3:D$502="GBP")*(Income!A$3:A$502=DATE(2026,5,11)),ROW(Income!A$3:A$502)-2),4)),""),""))</f>
        <v/>
      </c>
      <c r="E102" s="152">
        <f t="array" ref="E102">IF(IFERROR(-INDEX(Expenses!D$3:D$999,SMALL(IF((Expenses!E$3:E$999="GBP")*(Expenses!A$3:A$999=DATE(2026,5,12)),ROW(Expenses!A$3:A$999)-2),4)),0)+IFERROR(INDEX(Income!C$3:C$502,SMALL(IF((Income!D$3:D$502="GBP")*(Income!A$3:A$502=DATE(2026,5,12)),ROW(Income!A$3:A$502)-2),4)),0)=0,"",IFERROR(-INDEX(Expenses!D$3:D$999,SMALL(IF((Expenses!E$3:E$999="GBP")*(Expenses!A$3:A$999=DATE(2026,5,12)),ROW(Expenses!A$3:A$999)-2),4)),0)+IFERROR(INDEX(Income!C$3:C$502,SMALL(IF((Income!D$3:D$502="GBP")*(Income!A$3:A$502=DATE(2026,5,12)),ROW(Income!A$3:A$502)-2),4)),0))</f>
        <v/>
      </c>
      <c r="F102" s="126">
        <f t="array" ref="F102">IF(IFERROR(INDEX(Expenses!B$3:B$999,SMALL(IF((Expenses!E$3:E$999="GBP")*(Expenses!A$3:A$999=DATE(2026,5,12)),ROW(Expenses!A$3:A$999)-2),4)),"")&lt;&gt;"",IFERROR(INDEX(Expenses!B$3:B$999,SMALL(IF((Expenses!E$3:E$999="GBP")*(Expenses!A$3:A$999=DATE(2026,5,12)),ROW(Expenses!A$3:A$999)-2),4)),""),IF(IFERROR(INDEX(Income!B$3:B$502,SMALL(IF((Income!D$3:D$502="GBP")*(Income!A$3:A$502=DATE(2026,5,12)),ROW(Income!A$3:A$502)-2),4)),"")&lt;&gt;"",IFERROR(INDEX(Income!B$3:B$502,SMALL(IF((Income!D$3:D$502="GBP")*(Income!A$3:A$502=DATE(2026,5,12)),ROW(Income!A$3:A$502)-2),4)),""),""))</f>
        <v/>
      </c>
      <c r="G102" s="152">
        <f t="array" ref="G102">IF(IFERROR(-INDEX(Expenses!D$3:D$999,SMALL(IF((Expenses!E$3:E$999="GBP")*(Expenses!A$3:A$999=DATE(2026,5,13)),ROW(Expenses!A$3:A$999)-2),4)),0)+IFERROR(INDEX(Income!C$3:C$502,SMALL(IF((Income!D$3:D$502="GBP")*(Income!A$3:A$502=DATE(2026,5,13)),ROW(Income!A$3:A$502)-2),4)),0)=0,"",IFERROR(-INDEX(Expenses!D$3:D$999,SMALL(IF((Expenses!E$3:E$999="GBP")*(Expenses!A$3:A$999=DATE(2026,5,13)),ROW(Expenses!A$3:A$999)-2),4)),0)+IFERROR(INDEX(Income!C$3:C$502,SMALL(IF((Income!D$3:D$502="GBP")*(Income!A$3:A$502=DATE(2026,5,13)),ROW(Income!A$3:A$502)-2),4)),0))</f>
        <v/>
      </c>
      <c r="H102" s="126">
        <f t="array" ref="H102">IF(IFERROR(INDEX(Expenses!B$3:B$999,SMALL(IF((Expenses!E$3:E$999="GBP")*(Expenses!A$3:A$999=DATE(2026,5,13)),ROW(Expenses!A$3:A$999)-2),4)),"")&lt;&gt;"",IFERROR(INDEX(Expenses!B$3:B$999,SMALL(IF((Expenses!E$3:E$999="GBP")*(Expenses!A$3:A$999=DATE(2026,5,13)),ROW(Expenses!A$3:A$999)-2),4)),""),IF(IFERROR(INDEX(Income!B$3:B$502,SMALL(IF((Income!D$3:D$502="GBP")*(Income!A$3:A$502=DATE(2026,5,13)),ROW(Income!A$3:A$502)-2),4)),"")&lt;&gt;"",IFERROR(INDEX(Income!B$3:B$502,SMALL(IF((Income!D$3:D$502="GBP")*(Income!A$3:A$502=DATE(2026,5,13)),ROW(Income!A$3:A$502)-2),4)),""),""))</f>
        <v/>
      </c>
      <c r="I102" s="152">
        <f t="array" ref="I102">IF(IFERROR(-INDEX(Expenses!D$3:D$999,SMALL(IF((Expenses!E$3:E$999="GBP")*(Expenses!A$3:A$999=DATE(2026,5,14)),ROW(Expenses!A$3:A$999)-2),4)),0)+IFERROR(INDEX(Income!C$3:C$502,SMALL(IF((Income!D$3:D$502="GBP")*(Income!A$3:A$502=DATE(2026,5,14)),ROW(Income!A$3:A$502)-2),4)),0)=0,"",IFERROR(-INDEX(Expenses!D$3:D$999,SMALL(IF((Expenses!E$3:E$999="GBP")*(Expenses!A$3:A$999=DATE(2026,5,14)),ROW(Expenses!A$3:A$999)-2),4)),0)+IFERROR(INDEX(Income!C$3:C$502,SMALL(IF((Income!D$3:D$502="GBP")*(Income!A$3:A$502=DATE(2026,5,14)),ROW(Income!A$3:A$502)-2),4)),0))</f>
        <v/>
      </c>
      <c r="J102" s="126">
        <f t="array" ref="J102">IF(IFERROR(INDEX(Expenses!B$3:B$999,SMALL(IF((Expenses!E$3:E$999="GBP")*(Expenses!A$3:A$999=DATE(2026,5,14)),ROW(Expenses!A$3:A$999)-2),4)),"")&lt;&gt;"",IFERROR(INDEX(Expenses!B$3:B$999,SMALL(IF((Expenses!E$3:E$999="GBP")*(Expenses!A$3:A$999=DATE(2026,5,14)),ROW(Expenses!A$3:A$999)-2),4)),""),IF(IFERROR(INDEX(Income!B$3:B$502,SMALL(IF((Income!D$3:D$502="GBP")*(Income!A$3:A$502=DATE(2026,5,14)),ROW(Income!A$3:A$502)-2),4)),"")&lt;&gt;"",IFERROR(INDEX(Income!B$3:B$502,SMALL(IF((Income!D$3:D$502="GBP")*(Income!A$3:A$502=DATE(2026,5,14)),ROW(Income!A$3:A$502)-2),4)),""),""))</f>
        <v/>
      </c>
      <c r="K102" s="152">
        <f t="array" ref="K102">IF(IFERROR(-INDEX(Expenses!D$3:D$999,SMALL(IF((Expenses!E$3:E$999="GBP")*(Expenses!A$3:A$999=DATE(2026,5,15)),ROW(Expenses!A$3:A$999)-2),4)),0)+IFERROR(INDEX(Income!C$3:C$502,SMALL(IF((Income!D$3:D$502="GBP")*(Income!A$3:A$502=DATE(2026,5,15)),ROW(Income!A$3:A$502)-2),4)),0)=0,"",IFERROR(-INDEX(Expenses!D$3:D$999,SMALL(IF((Expenses!E$3:E$999="GBP")*(Expenses!A$3:A$999=DATE(2026,5,15)),ROW(Expenses!A$3:A$999)-2),4)),0)+IFERROR(INDEX(Income!C$3:C$502,SMALL(IF((Income!D$3:D$502="GBP")*(Income!A$3:A$502=DATE(2026,5,15)),ROW(Income!A$3:A$502)-2),4)),0))</f>
        <v/>
      </c>
      <c r="L102" s="126">
        <f t="array" ref="L102">IF(IFERROR(INDEX(Expenses!B$3:B$999,SMALL(IF((Expenses!E$3:E$999="GBP")*(Expenses!A$3:A$999=DATE(2026,5,15)),ROW(Expenses!A$3:A$999)-2),4)),"")&lt;&gt;"",IFERROR(INDEX(Expenses!B$3:B$999,SMALL(IF((Expenses!E$3:E$999="GBP")*(Expenses!A$3:A$999=DATE(2026,5,15)),ROW(Expenses!A$3:A$999)-2),4)),""),IF(IFERROR(INDEX(Income!B$3:B$502,SMALL(IF((Income!D$3:D$502="GBP")*(Income!A$3:A$502=DATE(2026,5,15)),ROW(Income!A$3:A$502)-2),4)),"")&lt;&gt;"",IFERROR(INDEX(Income!B$3:B$502,SMALL(IF((Income!D$3:D$502="GBP")*(Income!A$3:A$502=DATE(2026,5,15)),ROW(Income!A$3:A$502)-2),4)),""),""))</f>
        <v/>
      </c>
      <c r="M102" s="152">
        <f t="array" ref="M102">IF(IFERROR(-INDEX(Expenses!D$3:D$999,SMALL(IF((Expenses!E$3:E$999="GBP")*(Expenses!A$3:A$999=DATE(2026,5,16)),ROW(Expenses!A$3:A$999)-2),4)),0)+IFERROR(INDEX(Income!C$3:C$502,SMALL(IF((Income!D$3:D$502="GBP")*(Income!A$3:A$502=DATE(2026,5,16)),ROW(Income!A$3:A$502)-2),4)),0)=0,"",IFERROR(-INDEX(Expenses!D$3:D$999,SMALL(IF((Expenses!E$3:E$999="GBP")*(Expenses!A$3:A$999=DATE(2026,5,16)),ROW(Expenses!A$3:A$999)-2),4)),0)+IFERROR(INDEX(Income!C$3:C$502,SMALL(IF((Income!D$3:D$502="GBP")*(Income!A$3:A$502=DATE(2026,5,16)),ROW(Income!A$3:A$502)-2),4)),0))</f>
        <v/>
      </c>
      <c r="N102" s="126">
        <f t="array" ref="N102">IF(IFERROR(INDEX(Expenses!B$3:B$999,SMALL(IF((Expenses!E$3:E$999="GBP")*(Expenses!A$3:A$999=DATE(2026,5,16)),ROW(Expenses!A$3:A$999)-2),4)),"")&lt;&gt;"",IFERROR(INDEX(Expenses!B$3:B$999,SMALL(IF((Expenses!E$3:E$999="GBP")*(Expenses!A$3:A$999=DATE(2026,5,16)),ROW(Expenses!A$3:A$999)-2),4)),""),IF(IFERROR(INDEX(Income!B$3:B$502,SMALL(IF((Income!D$3:D$502="GBP")*(Income!A$3:A$502=DATE(2026,5,16)),ROW(Income!A$3:A$502)-2),4)),"")&lt;&gt;"",IFERROR(INDEX(Income!B$3:B$502,SMALL(IF((Income!D$3:D$502="GBP")*(Income!A$3:A$502=DATE(2026,5,16)),ROW(Income!A$3:A$502)-2),4)),""),""))</f>
        <v/>
      </c>
      <c r="O102" s="152">
        <f t="array" ref="O102">IF(IFERROR(-INDEX(Expenses!D$3:D$999,SMALL(IF((Expenses!E$3:E$999="GBP")*(Expenses!A$3:A$999=DATE(2026,5,17)),ROW(Expenses!A$3:A$999)-2),4)),0)+IFERROR(INDEX(Income!C$3:C$502,SMALL(IF((Income!D$3:D$502="GBP")*(Income!A$3:A$502=DATE(2026,5,17)),ROW(Income!A$3:A$502)-2),4)),0)=0,"",IFERROR(-INDEX(Expenses!D$3:D$999,SMALL(IF((Expenses!E$3:E$999="GBP")*(Expenses!A$3:A$999=DATE(2026,5,17)),ROW(Expenses!A$3:A$999)-2),4)),0)+IFERROR(INDEX(Income!C$3:C$502,SMALL(IF((Income!D$3:D$502="GBP")*(Income!A$3:A$502=DATE(2026,5,17)),ROW(Income!A$3:A$502)-2),4)),0))</f>
        <v/>
      </c>
      <c r="P102" s="126">
        <f t="array" ref="P102">IF(IFERROR(INDEX(Expenses!B$3:B$999,SMALL(IF((Expenses!E$3:E$999="GBP")*(Expenses!A$3:A$999=DATE(2026,5,17)),ROW(Expenses!A$3:A$999)-2),4)),"")&lt;&gt;"",IFERROR(INDEX(Expenses!B$3:B$999,SMALL(IF((Expenses!E$3:E$999="GBP")*(Expenses!A$3:A$999=DATE(2026,5,17)),ROW(Expenses!A$3:A$999)-2),4)),""),IF(IFERROR(INDEX(Income!B$3:B$502,SMALL(IF((Income!D$3:D$502="GBP")*(Income!A$3:A$502=DATE(2026,5,17)),ROW(Income!A$3:A$502)-2),4)),"")&lt;&gt;"",IFERROR(INDEX(Income!B$3:B$502,SMALL(IF((Income!D$3:D$502="GBP")*(Income!A$3:A$502=DATE(2026,5,17)),ROW(Income!A$3:A$502)-2),4)),""),""))</f>
        <v/>
      </c>
      <c r="Q102" s="9" t="n"/>
      <c r="R102" s="9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68">
      <c r="A103" s="9" t="n"/>
      <c r="B103" s="9" t="n"/>
      <c r="C103" s="152">
        <f t="array" ref="C103">IF(IFERROR(-INDEX(Expenses!D$3:D$999,SMALL(IF((Expenses!E$3:E$999="GBP")*(Expenses!A$3:A$999=DATE(2026,5,11)),ROW(Expenses!A$3:A$999)-2),5)),0)+IFERROR(INDEX(Income!C$3:C$502,SMALL(IF((Income!D$3:D$502="GBP")*(Income!A$3:A$502=DATE(2026,5,11)),ROW(Income!A$3:A$502)-2),5)),0)=0,"",IFERROR(-INDEX(Expenses!D$3:D$999,SMALL(IF((Expenses!E$3:E$999="GBP")*(Expenses!A$3:A$999=DATE(2026,5,11)),ROW(Expenses!A$3:A$999)-2),5)),0)+IFERROR(INDEX(Income!C$3:C$502,SMALL(IF((Income!D$3:D$502="GBP")*(Income!A$3:A$502=DATE(2026,5,11)),ROW(Income!A$3:A$502)-2),5)),0))</f>
        <v/>
      </c>
      <c r="D103" s="126">
        <f t="array" ref="D103">IF(IFERROR(INDEX(Expenses!B$3:B$999,SMALL(IF((Expenses!E$3:E$999="GBP")*(Expenses!A$3:A$999=DATE(2026,5,11)),ROW(Expenses!A$3:A$999)-2),5)),"")&lt;&gt;"",IFERROR(INDEX(Expenses!B$3:B$999,SMALL(IF((Expenses!E$3:E$999="GBP")*(Expenses!A$3:A$999=DATE(2026,5,11)),ROW(Expenses!A$3:A$999)-2),5)),""),IF(IFERROR(INDEX(Income!B$3:B$502,SMALL(IF((Income!D$3:D$502="GBP")*(Income!A$3:A$502=DATE(2026,5,11)),ROW(Income!A$3:A$502)-2),5)),"")&lt;&gt;"",IFERROR(INDEX(Income!B$3:B$502,SMALL(IF((Income!D$3:D$502="GBP")*(Income!A$3:A$502=DATE(2026,5,11)),ROW(Income!A$3:A$502)-2),5)),""),""))</f>
        <v/>
      </c>
      <c r="E103" s="152">
        <f t="array" ref="E103">IF(IFERROR(-INDEX(Expenses!D$3:D$999,SMALL(IF((Expenses!E$3:E$999="GBP")*(Expenses!A$3:A$999=DATE(2026,5,12)),ROW(Expenses!A$3:A$999)-2),5)),0)+IFERROR(INDEX(Income!C$3:C$502,SMALL(IF((Income!D$3:D$502="GBP")*(Income!A$3:A$502=DATE(2026,5,12)),ROW(Income!A$3:A$502)-2),5)),0)=0,"",IFERROR(-INDEX(Expenses!D$3:D$999,SMALL(IF((Expenses!E$3:E$999="GBP")*(Expenses!A$3:A$999=DATE(2026,5,12)),ROW(Expenses!A$3:A$999)-2),5)),0)+IFERROR(INDEX(Income!C$3:C$502,SMALL(IF((Income!D$3:D$502="GBP")*(Income!A$3:A$502=DATE(2026,5,12)),ROW(Income!A$3:A$502)-2),5)),0))</f>
        <v/>
      </c>
      <c r="F103" s="126">
        <f t="array" ref="F103">IF(IFERROR(INDEX(Expenses!B$3:B$999,SMALL(IF((Expenses!E$3:E$999="GBP")*(Expenses!A$3:A$999=DATE(2026,5,12)),ROW(Expenses!A$3:A$999)-2),5)),"")&lt;&gt;"",IFERROR(INDEX(Expenses!B$3:B$999,SMALL(IF((Expenses!E$3:E$999="GBP")*(Expenses!A$3:A$999=DATE(2026,5,12)),ROW(Expenses!A$3:A$999)-2),5)),""),IF(IFERROR(INDEX(Income!B$3:B$502,SMALL(IF((Income!D$3:D$502="GBP")*(Income!A$3:A$502=DATE(2026,5,12)),ROW(Income!A$3:A$502)-2),5)),"")&lt;&gt;"",IFERROR(INDEX(Income!B$3:B$502,SMALL(IF((Income!D$3:D$502="GBP")*(Income!A$3:A$502=DATE(2026,5,12)),ROW(Income!A$3:A$502)-2),5)),""),""))</f>
        <v/>
      </c>
      <c r="G103" s="152">
        <f t="array" ref="G103">IF(IFERROR(-INDEX(Expenses!D$3:D$999,SMALL(IF((Expenses!E$3:E$999="GBP")*(Expenses!A$3:A$999=DATE(2026,5,13)),ROW(Expenses!A$3:A$999)-2),5)),0)+IFERROR(INDEX(Income!C$3:C$502,SMALL(IF((Income!D$3:D$502="GBP")*(Income!A$3:A$502=DATE(2026,5,13)),ROW(Income!A$3:A$502)-2),5)),0)=0,"",IFERROR(-INDEX(Expenses!D$3:D$999,SMALL(IF((Expenses!E$3:E$999="GBP")*(Expenses!A$3:A$999=DATE(2026,5,13)),ROW(Expenses!A$3:A$999)-2),5)),0)+IFERROR(INDEX(Income!C$3:C$502,SMALL(IF((Income!D$3:D$502="GBP")*(Income!A$3:A$502=DATE(2026,5,13)),ROW(Income!A$3:A$502)-2),5)),0))</f>
        <v/>
      </c>
      <c r="H103" s="126">
        <f t="array" ref="H103">IF(IFERROR(INDEX(Expenses!B$3:B$999,SMALL(IF((Expenses!E$3:E$999="GBP")*(Expenses!A$3:A$999=DATE(2026,5,13)),ROW(Expenses!A$3:A$999)-2),5)),"")&lt;&gt;"",IFERROR(INDEX(Expenses!B$3:B$999,SMALL(IF((Expenses!E$3:E$999="GBP")*(Expenses!A$3:A$999=DATE(2026,5,13)),ROW(Expenses!A$3:A$999)-2),5)),""),IF(IFERROR(INDEX(Income!B$3:B$502,SMALL(IF((Income!D$3:D$502="GBP")*(Income!A$3:A$502=DATE(2026,5,13)),ROW(Income!A$3:A$502)-2),5)),"")&lt;&gt;"",IFERROR(INDEX(Income!B$3:B$502,SMALL(IF((Income!D$3:D$502="GBP")*(Income!A$3:A$502=DATE(2026,5,13)),ROW(Income!A$3:A$502)-2),5)),""),""))</f>
        <v/>
      </c>
      <c r="I103" s="152">
        <f t="array" ref="I103">IF(IFERROR(-INDEX(Expenses!D$3:D$999,SMALL(IF((Expenses!E$3:E$999="GBP")*(Expenses!A$3:A$999=DATE(2026,5,14)),ROW(Expenses!A$3:A$999)-2),5)),0)+IFERROR(INDEX(Income!C$3:C$502,SMALL(IF((Income!D$3:D$502="GBP")*(Income!A$3:A$502=DATE(2026,5,14)),ROW(Income!A$3:A$502)-2),5)),0)=0,"",IFERROR(-INDEX(Expenses!D$3:D$999,SMALL(IF((Expenses!E$3:E$999="GBP")*(Expenses!A$3:A$999=DATE(2026,5,14)),ROW(Expenses!A$3:A$999)-2),5)),0)+IFERROR(INDEX(Income!C$3:C$502,SMALL(IF((Income!D$3:D$502="GBP")*(Income!A$3:A$502=DATE(2026,5,14)),ROW(Income!A$3:A$502)-2),5)),0))</f>
        <v/>
      </c>
      <c r="J103" s="126">
        <f t="array" ref="J103">IF(IFERROR(INDEX(Expenses!B$3:B$999,SMALL(IF((Expenses!E$3:E$999="GBP")*(Expenses!A$3:A$999=DATE(2026,5,14)),ROW(Expenses!A$3:A$999)-2),5)),"")&lt;&gt;"",IFERROR(INDEX(Expenses!B$3:B$999,SMALL(IF((Expenses!E$3:E$999="GBP")*(Expenses!A$3:A$999=DATE(2026,5,14)),ROW(Expenses!A$3:A$999)-2),5)),""),IF(IFERROR(INDEX(Income!B$3:B$502,SMALL(IF((Income!D$3:D$502="GBP")*(Income!A$3:A$502=DATE(2026,5,14)),ROW(Income!A$3:A$502)-2),5)),"")&lt;&gt;"",IFERROR(INDEX(Income!B$3:B$502,SMALL(IF((Income!D$3:D$502="GBP")*(Income!A$3:A$502=DATE(2026,5,14)),ROW(Income!A$3:A$502)-2),5)),""),""))</f>
        <v/>
      </c>
      <c r="K103" s="152">
        <f t="array" ref="K103">IF(IFERROR(-INDEX(Expenses!D$3:D$999,SMALL(IF((Expenses!E$3:E$999="GBP")*(Expenses!A$3:A$999=DATE(2026,5,15)),ROW(Expenses!A$3:A$999)-2),5)),0)+IFERROR(INDEX(Income!C$3:C$502,SMALL(IF((Income!D$3:D$502="GBP")*(Income!A$3:A$502=DATE(2026,5,15)),ROW(Income!A$3:A$502)-2),5)),0)=0,"",IFERROR(-INDEX(Expenses!D$3:D$999,SMALL(IF((Expenses!E$3:E$999="GBP")*(Expenses!A$3:A$999=DATE(2026,5,15)),ROW(Expenses!A$3:A$999)-2),5)),0)+IFERROR(INDEX(Income!C$3:C$502,SMALL(IF((Income!D$3:D$502="GBP")*(Income!A$3:A$502=DATE(2026,5,15)),ROW(Income!A$3:A$502)-2),5)),0))</f>
        <v/>
      </c>
      <c r="L103" s="126">
        <f t="array" ref="L103">IF(IFERROR(INDEX(Expenses!B$3:B$999,SMALL(IF((Expenses!E$3:E$999="GBP")*(Expenses!A$3:A$999=DATE(2026,5,15)),ROW(Expenses!A$3:A$999)-2),5)),"")&lt;&gt;"",IFERROR(INDEX(Expenses!B$3:B$999,SMALL(IF((Expenses!E$3:E$999="GBP")*(Expenses!A$3:A$999=DATE(2026,5,15)),ROW(Expenses!A$3:A$999)-2),5)),""),IF(IFERROR(INDEX(Income!B$3:B$502,SMALL(IF((Income!D$3:D$502="GBP")*(Income!A$3:A$502=DATE(2026,5,15)),ROW(Income!A$3:A$502)-2),5)),"")&lt;&gt;"",IFERROR(INDEX(Income!B$3:B$502,SMALL(IF((Income!D$3:D$502="GBP")*(Income!A$3:A$502=DATE(2026,5,15)),ROW(Income!A$3:A$502)-2),5)),""),""))</f>
        <v/>
      </c>
      <c r="M103" s="152">
        <f t="array" ref="M103">IF(IFERROR(-INDEX(Expenses!D$3:D$999,SMALL(IF((Expenses!E$3:E$999="GBP")*(Expenses!A$3:A$999=DATE(2026,5,16)),ROW(Expenses!A$3:A$999)-2),5)),0)+IFERROR(INDEX(Income!C$3:C$502,SMALL(IF((Income!D$3:D$502="GBP")*(Income!A$3:A$502=DATE(2026,5,16)),ROW(Income!A$3:A$502)-2),5)),0)=0,"",IFERROR(-INDEX(Expenses!D$3:D$999,SMALL(IF((Expenses!E$3:E$999="GBP")*(Expenses!A$3:A$999=DATE(2026,5,16)),ROW(Expenses!A$3:A$999)-2),5)),0)+IFERROR(INDEX(Income!C$3:C$502,SMALL(IF((Income!D$3:D$502="GBP")*(Income!A$3:A$502=DATE(2026,5,16)),ROW(Income!A$3:A$502)-2),5)),0))</f>
        <v/>
      </c>
      <c r="N103" s="126">
        <f t="array" ref="N103">IF(IFERROR(INDEX(Expenses!B$3:B$999,SMALL(IF((Expenses!E$3:E$999="GBP")*(Expenses!A$3:A$999=DATE(2026,5,16)),ROW(Expenses!A$3:A$999)-2),5)),"")&lt;&gt;"",IFERROR(INDEX(Expenses!B$3:B$999,SMALL(IF((Expenses!E$3:E$999="GBP")*(Expenses!A$3:A$999=DATE(2026,5,16)),ROW(Expenses!A$3:A$999)-2),5)),""),IF(IFERROR(INDEX(Income!B$3:B$502,SMALL(IF((Income!D$3:D$502="GBP")*(Income!A$3:A$502=DATE(2026,5,16)),ROW(Income!A$3:A$502)-2),5)),"")&lt;&gt;"",IFERROR(INDEX(Income!B$3:B$502,SMALL(IF((Income!D$3:D$502="GBP")*(Income!A$3:A$502=DATE(2026,5,16)),ROW(Income!A$3:A$502)-2),5)),""),""))</f>
        <v/>
      </c>
      <c r="O103" s="152">
        <f t="array" ref="O103">IF(IFERROR(-INDEX(Expenses!D$3:D$999,SMALL(IF((Expenses!E$3:E$999="GBP")*(Expenses!A$3:A$999=DATE(2026,5,17)),ROW(Expenses!A$3:A$999)-2),5)),0)+IFERROR(INDEX(Income!C$3:C$502,SMALL(IF((Income!D$3:D$502="GBP")*(Income!A$3:A$502=DATE(2026,5,17)),ROW(Income!A$3:A$502)-2),5)),0)=0,"",IFERROR(-INDEX(Expenses!D$3:D$999,SMALL(IF((Expenses!E$3:E$999="GBP")*(Expenses!A$3:A$999=DATE(2026,5,17)),ROW(Expenses!A$3:A$999)-2),5)),0)+IFERROR(INDEX(Income!C$3:C$502,SMALL(IF((Income!D$3:D$502="GBP")*(Income!A$3:A$502=DATE(2026,5,17)),ROW(Income!A$3:A$502)-2),5)),0))</f>
        <v/>
      </c>
      <c r="P103" s="126">
        <f t="array" ref="P103">IF(IFERROR(INDEX(Expenses!B$3:B$999,SMALL(IF((Expenses!E$3:E$999="GBP")*(Expenses!A$3:A$999=DATE(2026,5,17)),ROW(Expenses!A$3:A$999)-2),5)),"")&lt;&gt;"",IFERROR(INDEX(Expenses!B$3:B$999,SMALL(IF((Expenses!E$3:E$999="GBP")*(Expenses!A$3:A$999=DATE(2026,5,17)),ROW(Expenses!A$3:A$999)-2),5)),""),IF(IFERROR(INDEX(Income!B$3:B$502,SMALL(IF((Income!D$3:D$502="GBP")*(Income!A$3:A$502=DATE(2026,5,17)),ROW(Income!A$3:A$502)-2),5)),"")&lt;&gt;"",IFERROR(INDEX(Income!B$3:B$502,SMALL(IF((Income!D$3:D$502="GBP")*(Income!A$3:A$502=DATE(2026,5,17)),ROW(Income!A$3:A$502)-2),5)),""),""))</f>
        <v/>
      </c>
      <c r="Q103" s="9" t="n"/>
      <c r="R103" s="9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68">
      <c r="A104" s="151" t="n">
        <v>46160</v>
      </c>
      <c r="B104" s="103" t="n">
        <v>21</v>
      </c>
      <c r="C104" s="152">
        <f t="array" ref="C104">IF(IFERROR(-INDEX(Expenses!D$3:D$999,SMALL(IF((Expenses!E$3:E$999="GBP")*(Expenses!A$3:A$999=DATE(2026,5,18)),ROW(Expenses!A$3:A$999)-2),1)),0)+IFERROR(INDEX(Income!C$3:C$502,SMALL(IF((Income!D$3:D$502="GBP")*(Income!A$3:A$502=DATE(2026,5,18)),ROW(Income!A$3:A$502)-2),1)),0)=0,"",IFERROR(-INDEX(Expenses!D$3:D$999,SMALL(IF((Expenses!E$3:E$999="GBP")*(Expenses!A$3:A$999=DATE(2026,5,18)),ROW(Expenses!A$3:A$999)-2),1)),0)+IFERROR(INDEX(Income!C$3:C$502,SMALL(IF((Income!D$3:D$502="GBP")*(Income!A$3:A$502=DATE(2026,5,18)),ROW(Income!A$3:A$502)-2),1)),0))</f>
        <v/>
      </c>
      <c r="D104" s="126">
        <f t="array" ref="D104">IF(IFERROR(INDEX(Expenses!B$3:B$999,SMALL(IF((Expenses!E$3:E$999="GBP")*(Expenses!A$3:A$999=DATE(2026,5,18)),ROW(Expenses!A$3:A$999)-2),1)),"")&lt;&gt;"",IFERROR(INDEX(Expenses!B$3:B$999,SMALL(IF((Expenses!E$3:E$999="GBP")*(Expenses!A$3:A$999=DATE(2026,5,18)),ROW(Expenses!A$3:A$999)-2),1)),""),IF(IFERROR(INDEX(Income!B$3:B$502,SMALL(IF((Income!D$3:D$502="GBP")*(Income!A$3:A$502=DATE(2026,5,18)),ROW(Income!A$3:A$502)-2),1)),"")&lt;&gt;"",IFERROR(INDEX(Income!B$3:B$502,SMALL(IF((Income!D$3:D$502="GBP")*(Income!A$3:A$502=DATE(2026,5,18)),ROW(Income!A$3:A$502)-2),1)),""),""))</f>
        <v/>
      </c>
      <c r="E104" s="152">
        <f t="array" ref="E104">IF(IFERROR(-INDEX(Expenses!D$3:D$999,SMALL(IF((Expenses!E$3:E$999="GBP")*(Expenses!A$3:A$999=DATE(2026,5,19)),ROW(Expenses!A$3:A$999)-2),1)),0)+IFERROR(INDEX(Income!C$3:C$502,SMALL(IF((Income!D$3:D$502="GBP")*(Income!A$3:A$502=DATE(2026,5,19)),ROW(Income!A$3:A$502)-2),1)),0)=0,"",IFERROR(-INDEX(Expenses!D$3:D$999,SMALL(IF((Expenses!E$3:E$999="GBP")*(Expenses!A$3:A$999=DATE(2026,5,19)),ROW(Expenses!A$3:A$999)-2),1)),0)+IFERROR(INDEX(Income!C$3:C$502,SMALL(IF((Income!D$3:D$502="GBP")*(Income!A$3:A$502=DATE(2026,5,19)),ROW(Income!A$3:A$502)-2),1)),0))</f>
        <v/>
      </c>
      <c r="F104" s="126">
        <f t="array" ref="F104">IF(IFERROR(INDEX(Expenses!B$3:B$999,SMALL(IF((Expenses!E$3:E$999="GBP")*(Expenses!A$3:A$999=DATE(2026,5,19)),ROW(Expenses!A$3:A$999)-2),1)),"")&lt;&gt;"",IFERROR(INDEX(Expenses!B$3:B$999,SMALL(IF((Expenses!E$3:E$999="GBP")*(Expenses!A$3:A$999=DATE(2026,5,19)),ROW(Expenses!A$3:A$999)-2),1)),""),IF(IFERROR(INDEX(Income!B$3:B$502,SMALL(IF((Income!D$3:D$502="GBP")*(Income!A$3:A$502=DATE(2026,5,19)),ROW(Income!A$3:A$502)-2),1)),"")&lt;&gt;"",IFERROR(INDEX(Income!B$3:B$502,SMALL(IF((Income!D$3:D$502="GBP")*(Income!A$3:A$502=DATE(2026,5,19)),ROW(Income!A$3:A$502)-2),1)),""),""))</f>
        <v/>
      </c>
      <c r="G104" s="152">
        <f t="array" ref="G104">IF(IFERROR(-INDEX(Expenses!D$3:D$999,SMALL(IF((Expenses!E$3:E$999="GBP")*(Expenses!A$3:A$999=DATE(2026,5,20)),ROW(Expenses!A$3:A$999)-2),1)),0)+IFERROR(INDEX(Income!C$3:C$502,SMALL(IF((Income!D$3:D$502="GBP")*(Income!A$3:A$502=DATE(2026,5,20)),ROW(Income!A$3:A$502)-2),1)),0)=0,"",IFERROR(-INDEX(Expenses!D$3:D$999,SMALL(IF((Expenses!E$3:E$999="GBP")*(Expenses!A$3:A$999=DATE(2026,5,20)),ROW(Expenses!A$3:A$999)-2),1)),0)+IFERROR(INDEX(Income!C$3:C$502,SMALL(IF((Income!D$3:D$502="GBP")*(Income!A$3:A$502=DATE(2026,5,20)),ROW(Income!A$3:A$502)-2),1)),0))</f>
        <v/>
      </c>
      <c r="H104" s="126">
        <f t="array" ref="H104">IF(IFERROR(INDEX(Expenses!B$3:B$999,SMALL(IF((Expenses!E$3:E$999="GBP")*(Expenses!A$3:A$999=DATE(2026,5,20)),ROW(Expenses!A$3:A$999)-2),1)),"")&lt;&gt;"",IFERROR(INDEX(Expenses!B$3:B$999,SMALL(IF((Expenses!E$3:E$999="GBP")*(Expenses!A$3:A$999=DATE(2026,5,20)),ROW(Expenses!A$3:A$999)-2),1)),""),IF(IFERROR(INDEX(Income!B$3:B$502,SMALL(IF((Income!D$3:D$502="GBP")*(Income!A$3:A$502=DATE(2026,5,20)),ROW(Income!A$3:A$502)-2),1)),"")&lt;&gt;"",IFERROR(INDEX(Income!B$3:B$502,SMALL(IF((Income!D$3:D$502="GBP")*(Income!A$3:A$502=DATE(2026,5,20)),ROW(Income!A$3:A$502)-2),1)),""),""))</f>
        <v/>
      </c>
      <c r="I104" s="152">
        <f t="array" ref="I104">IF(IFERROR(-INDEX(Expenses!D$3:D$999,SMALL(IF((Expenses!E$3:E$999="GBP")*(Expenses!A$3:A$999=DATE(2026,5,21)),ROW(Expenses!A$3:A$999)-2),1)),0)+IFERROR(INDEX(Income!C$3:C$502,SMALL(IF((Income!D$3:D$502="GBP")*(Income!A$3:A$502=DATE(2026,5,21)),ROW(Income!A$3:A$502)-2),1)),0)=0,"",IFERROR(-INDEX(Expenses!D$3:D$999,SMALL(IF((Expenses!E$3:E$999="GBP")*(Expenses!A$3:A$999=DATE(2026,5,21)),ROW(Expenses!A$3:A$999)-2),1)),0)+IFERROR(INDEX(Income!C$3:C$502,SMALL(IF((Income!D$3:D$502="GBP")*(Income!A$3:A$502=DATE(2026,5,21)),ROW(Income!A$3:A$502)-2),1)),0))</f>
        <v/>
      </c>
      <c r="J104" s="126">
        <f t="array" ref="J104">IF(IFERROR(INDEX(Expenses!B$3:B$999,SMALL(IF((Expenses!E$3:E$999="GBP")*(Expenses!A$3:A$999=DATE(2026,5,21)),ROW(Expenses!A$3:A$999)-2),1)),"")&lt;&gt;"",IFERROR(INDEX(Expenses!B$3:B$999,SMALL(IF((Expenses!E$3:E$999="GBP")*(Expenses!A$3:A$999=DATE(2026,5,21)),ROW(Expenses!A$3:A$999)-2),1)),""),IF(IFERROR(INDEX(Income!B$3:B$502,SMALL(IF((Income!D$3:D$502="GBP")*(Income!A$3:A$502=DATE(2026,5,21)),ROW(Income!A$3:A$502)-2),1)),"")&lt;&gt;"",IFERROR(INDEX(Income!B$3:B$502,SMALL(IF((Income!D$3:D$502="GBP")*(Income!A$3:A$502=DATE(2026,5,21)),ROW(Income!A$3:A$502)-2),1)),""),""))</f>
        <v/>
      </c>
      <c r="K104" s="152">
        <f t="array" ref="K104">IF(IFERROR(-INDEX(Expenses!D$3:D$999,SMALL(IF((Expenses!E$3:E$999="GBP")*(Expenses!A$3:A$999=DATE(2026,5,22)),ROW(Expenses!A$3:A$999)-2),1)),0)+IFERROR(INDEX(Income!C$3:C$502,SMALL(IF((Income!D$3:D$502="GBP")*(Income!A$3:A$502=DATE(2026,5,22)),ROW(Income!A$3:A$502)-2),1)),0)=0,"",IFERROR(-INDEX(Expenses!D$3:D$999,SMALL(IF((Expenses!E$3:E$999="GBP")*(Expenses!A$3:A$999=DATE(2026,5,22)),ROW(Expenses!A$3:A$999)-2),1)),0)+IFERROR(INDEX(Income!C$3:C$502,SMALL(IF((Income!D$3:D$502="GBP")*(Income!A$3:A$502=DATE(2026,5,22)),ROW(Income!A$3:A$502)-2),1)),0))</f>
        <v/>
      </c>
      <c r="L104" s="126">
        <f t="array" ref="L104">IF(IFERROR(INDEX(Expenses!B$3:B$999,SMALL(IF((Expenses!E$3:E$999="GBP")*(Expenses!A$3:A$999=DATE(2026,5,22)),ROW(Expenses!A$3:A$999)-2),1)),"")&lt;&gt;"",IFERROR(INDEX(Expenses!B$3:B$999,SMALL(IF((Expenses!E$3:E$999="GBP")*(Expenses!A$3:A$999=DATE(2026,5,22)),ROW(Expenses!A$3:A$999)-2),1)),""),IF(IFERROR(INDEX(Income!B$3:B$502,SMALL(IF((Income!D$3:D$502="GBP")*(Income!A$3:A$502=DATE(2026,5,22)),ROW(Income!A$3:A$502)-2),1)),"")&lt;&gt;"",IFERROR(INDEX(Income!B$3:B$502,SMALL(IF((Income!D$3:D$502="GBP")*(Income!A$3:A$502=DATE(2026,5,22)),ROW(Income!A$3:A$502)-2),1)),""),""))</f>
        <v/>
      </c>
      <c r="M104" s="152">
        <f t="array" ref="M104">IF(IFERROR(-INDEX(Expenses!D$3:D$999,SMALL(IF((Expenses!E$3:E$999="GBP")*(Expenses!A$3:A$999=DATE(2026,5,23)),ROW(Expenses!A$3:A$999)-2),1)),0)+IFERROR(INDEX(Income!C$3:C$502,SMALL(IF((Income!D$3:D$502="GBP")*(Income!A$3:A$502=DATE(2026,5,23)),ROW(Income!A$3:A$502)-2),1)),0)=0,"",IFERROR(-INDEX(Expenses!D$3:D$999,SMALL(IF((Expenses!E$3:E$999="GBP")*(Expenses!A$3:A$999=DATE(2026,5,23)),ROW(Expenses!A$3:A$999)-2),1)),0)+IFERROR(INDEX(Income!C$3:C$502,SMALL(IF((Income!D$3:D$502="GBP")*(Income!A$3:A$502=DATE(2026,5,23)),ROW(Income!A$3:A$502)-2),1)),0))</f>
        <v/>
      </c>
      <c r="N104" s="126">
        <f t="array" ref="N104">IF(IFERROR(INDEX(Expenses!B$3:B$999,SMALL(IF((Expenses!E$3:E$999="GBP")*(Expenses!A$3:A$999=DATE(2026,5,23)),ROW(Expenses!A$3:A$999)-2),1)),"")&lt;&gt;"",IFERROR(INDEX(Expenses!B$3:B$999,SMALL(IF((Expenses!E$3:E$999="GBP")*(Expenses!A$3:A$999=DATE(2026,5,23)),ROW(Expenses!A$3:A$999)-2),1)),""),IF(IFERROR(INDEX(Income!B$3:B$502,SMALL(IF((Income!D$3:D$502="GBP")*(Income!A$3:A$502=DATE(2026,5,23)),ROW(Income!A$3:A$502)-2),1)),"")&lt;&gt;"",IFERROR(INDEX(Income!B$3:B$502,SMALL(IF((Income!D$3:D$502="GBP")*(Income!A$3:A$502=DATE(2026,5,23)),ROW(Income!A$3:A$502)-2),1)),""),""))</f>
        <v/>
      </c>
      <c r="O104" s="152">
        <f t="array" ref="O104">IF(IFERROR(-INDEX(Expenses!D$3:D$999,SMALL(IF((Expenses!E$3:E$999="GBP")*(Expenses!A$3:A$999=DATE(2026,5,24)),ROW(Expenses!A$3:A$999)-2),1)),0)+IFERROR(INDEX(Income!C$3:C$502,SMALL(IF((Income!D$3:D$502="GBP")*(Income!A$3:A$502=DATE(2026,5,24)),ROW(Income!A$3:A$502)-2),1)),0)=0,"",IFERROR(-INDEX(Expenses!D$3:D$999,SMALL(IF((Expenses!E$3:E$999="GBP")*(Expenses!A$3:A$999=DATE(2026,5,24)),ROW(Expenses!A$3:A$999)-2),1)),0)+IFERROR(INDEX(Income!C$3:C$502,SMALL(IF((Income!D$3:D$502="GBP")*(Income!A$3:A$502=DATE(2026,5,24)),ROW(Income!A$3:A$502)-2),1)),0))</f>
        <v/>
      </c>
      <c r="P104" s="126">
        <f t="array" ref="P104">IF(IFERROR(INDEX(Expenses!B$3:B$999,SMALL(IF((Expenses!E$3:E$999="GBP")*(Expenses!A$3:A$999=DATE(2026,5,24)),ROW(Expenses!A$3:A$999)-2),1)),"")&lt;&gt;"",IFERROR(INDEX(Expenses!B$3:B$999,SMALL(IF((Expenses!E$3:E$999="GBP")*(Expenses!A$3:A$999=DATE(2026,5,24)),ROW(Expenses!A$3:A$999)-2),1)),""),IF(IFERROR(INDEX(Income!B$3:B$502,SMALL(IF((Income!D$3:D$502="GBP")*(Income!A$3:A$502=DATE(2026,5,24)),ROW(Income!A$3:A$502)-2),1)),"")&lt;&gt;"",IFERROR(INDEX(Income!B$3:B$502,SMALL(IF((Income!D$3:D$502="GBP")*(Income!A$3:A$502=DATE(2026,5,24)),ROW(Income!A$3:A$502)-2),1)),""),""))</f>
        <v/>
      </c>
      <c r="Q104" s="103" t="n">
        <v>21</v>
      </c>
      <c r="R104" s="134">
        <f>SUM(C104:C108)+SUM(E104:E108)+SUM(G104:G108)+SUM(I104:I108)+SUM(K104:K108)+SUM(M104:M108)+SUM(O104:O108)</f>
        <v/>
      </c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68">
      <c r="A105" s="9" t="n"/>
      <c r="B105" s="9" t="n"/>
      <c r="C105" s="152">
        <f t="array" ref="C105">IF(IFERROR(-INDEX(Expenses!D$3:D$999,SMALL(IF((Expenses!E$3:E$999="GBP")*(Expenses!A$3:A$999=DATE(2026,5,18)),ROW(Expenses!A$3:A$999)-2),2)),0)+IFERROR(INDEX(Income!C$3:C$502,SMALL(IF((Income!D$3:D$502="GBP")*(Income!A$3:A$502=DATE(2026,5,18)),ROW(Income!A$3:A$502)-2),2)),0)=0,"",IFERROR(-INDEX(Expenses!D$3:D$999,SMALL(IF((Expenses!E$3:E$999="GBP")*(Expenses!A$3:A$999=DATE(2026,5,18)),ROW(Expenses!A$3:A$999)-2),2)),0)+IFERROR(INDEX(Income!C$3:C$502,SMALL(IF((Income!D$3:D$502="GBP")*(Income!A$3:A$502=DATE(2026,5,18)),ROW(Income!A$3:A$502)-2),2)),0))</f>
        <v/>
      </c>
      <c r="D105" s="126">
        <f t="array" ref="D105">IF(IFERROR(INDEX(Expenses!B$3:B$999,SMALL(IF((Expenses!E$3:E$999="GBP")*(Expenses!A$3:A$999=DATE(2026,5,18)),ROW(Expenses!A$3:A$999)-2),2)),"")&lt;&gt;"",IFERROR(INDEX(Expenses!B$3:B$999,SMALL(IF((Expenses!E$3:E$999="GBP")*(Expenses!A$3:A$999=DATE(2026,5,18)),ROW(Expenses!A$3:A$999)-2),2)),""),IF(IFERROR(INDEX(Income!B$3:B$502,SMALL(IF((Income!D$3:D$502="GBP")*(Income!A$3:A$502=DATE(2026,5,18)),ROW(Income!A$3:A$502)-2),2)),"")&lt;&gt;"",IFERROR(INDEX(Income!B$3:B$502,SMALL(IF((Income!D$3:D$502="GBP")*(Income!A$3:A$502=DATE(2026,5,18)),ROW(Income!A$3:A$502)-2),2)),""),""))</f>
        <v/>
      </c>
      <c r="E105" s="152">
        <f t="array" ref="E105">IF(IFERROR(-INDEX(Expenses!D$3:D$999,SMALL(IF((Expenses!E$3:E$999="GBP")*(Expenses!A$3:A$999=DATE(2026,5,19)),ROW(Expenses!A$3:A$999)-2),2)),0)+IFERROR(INDEX(Income!C$3:C$502,SMALL(IF((Income!D$3:D$502="GBP")*(Income!A$3:A$502=DATE(2026,5,19)),ROW(Income!A$3:A$502)-2),2)),0)=0,"",IFERROR(-INDEX(Expenses!D$3:D$999,SMALL(IF((Expenses!E$3:E$999="GBP")*(Expenses!A$3:A$999=DATE(2026,5,19)),ROW(Expenses!A$3:A$999)-2),2)),0)+IFERROR(INDEX(Income!C$3:C$502,SMALL(IF((Income!D$3:D$502="GBP")*(Income!A$3:A$502=DATE(2026,5,19)),ROW(Income!A$3:A$502)-2),2)),0))</f>
        <v/>
      </c>
      <c r="F105" s="126">
        <f t="array" ref="F105">IF(IFERROR(INDEX(Expenses!B$3:B$999,SMALL(IF((Expenses!E$3:E$999="GBP")*(Expenses!A$3:A$999=DATE(2026,5,19)),ROW(Expenses!A$3:A$999)-2),2)),"")&lt;&gt;"",IFERROR(INDEX(Expenses!B$3:B$999,SMALL(IF((Expenses!E$3:E$999="GBP")*(Expenses!A$3:A$999=DATE(2026,5,19)),ROW(Expenses!A$3:A$999)-2),2)),""),IF(IFERROR(INDEX(Income!B$3:B$502,SMALL(IF((Income!D$3:D$502="GBP")*(Income!A$3:A$502=DATE(2026,5,19)),ROW(Income!A$3:A$502)-2),2)),"")&lt;&gt;"",IFERROR(INDEX(Income!B$3:B$502,SMALL(IF((Income!D$3:D$502="GBP")*(Income!A$3:A$502=DATE(2026,5,19)),ROW(Income!A$3:A$502)-2),2)),""),""))</f>
        <v/>
      </c>
      <c r="G105" s="152">
        <f t="array" ref="G105">IF(IFERROR(-INDEX(Expenses!D$3:D$999,SMALL(IF((Expenses!E$3:E$999="GBP")*(Expenses!A$3:A$999=DATE(2026,5,20)),ROW(Expenses!A$3:A$999)-2),2)),0)+IFERROR(INDEX(Income!C$3:C$502,SMALL(IF((Income!D$3:D$502="GBP")*(Income!A$3:A$502=DATE(2026,5,20)),ROW(Income!A$3:A$502)-2),2)),0)=0,"",IFERROR(-INDEX(Expenses!D$3:D$999,SMALL(IF((Expenses!E$3:E$999="GBP")*(Expenses!A$3:A$999=DATE(2026,5,20)),ROW(Expenses!A$3:A$999)-2),2)),0)+IFERROR(INDEX(Income!C$3:C$502,SMALL(IF((Income!D$3:D$502="GBP")*(Income!A$3:A$502=DATE(2026,5,20)),ROW(Income!A$3:A$502)-2),2)),0))</f>
        <v/>
      </c>
      <c r="H105" s="126">
        <f t="array" ref="H105">IF(IFERROR(INDEX(Expenses!B$3:B$999,SMALL(IF((Expenses!E$3:E$999="GBP")*(Expenses!A$3:A$999=DATE(2026,5,20)),ROW(Expenses!A$3:A$999)-2),2)),"")&lt;&gt;"",IFERROR(INDEX(Expenses!B$3:B$999,SMALL(IF((Expenses!E$3:E$999="GBP")*(Expenses!A$3:A$999=DATE(2026,5,20)),ROW(Expenses!A$3:A$999)-2),2)),""),IF(IFERROR(INDEX(Income!B$3:B$502,SMALL(IF((Income!D$3:D$502="GBP")*(Income!A$3:A$502=DATE(2026,5,20)),ROW(Income!A$3:A$502)-2),2)),"")&lt;&gt;"",IFERROR(INDEX(Income!B$3:B$502,SMALL(IF((Income!D$3:D$502="GBP")*(Income!A$3:A$502=DATE(2026,5,20)),ROW(Income!A$3:A$502)-2),2)),""),""))</f>
        <v/>
      </c>
      <c r="I105" s="152">
        <f t="array" ref="I105">IF(IFERROR(-INDEX(Expenses!D$3:D$999,SMALL(IF((Expenses!E$3:E$999="GBP")*(Expenses!A$3:A$999=DATE(2026,5,21)),ROW(Expenses!A$3:A$999)-2),2)),0)+IFERROR(INDEX(Income!C$3:C$502,SMALL(IF((Income!D$3:D$502="GBP")*(Income!A$3:A$502=DATE(2026,5,21)),ROW(Income!A$3:A$502)-2),2)),0)=0,"",IFERROR(-INDEX(Expenses!D$3:D$999,SMALL(IF((Expenses!E$3:E$999="GBP")*(Expenses!A$3:A$999=DATE(2026,5,21)),ROW(Expenses!A$3:A$999)-2),2)),0)+IFERROR(INDEX(Income!C$3:C$502,SMALL(IF((Income!D$3:D$502="GBP")*(Income!A$3:A$502=DATE(2026,5,21)),ROW(Income!A$3:A$502)-2),2)),0))</f>
        <v/>
      </c>
      <c r="J105" s="126">
        <f t="array" ref="J105">IF(IFERROR(INDEX(Expenses!B$3:B$999,SMALL(IF((Expenses!E$3:E$999="GBP")*(Expenses!A$3:A$999=DATE(2026,5,21)),ROW(Expenses!A$3:A$999)-2),2)),"")&lt;&gt;"",IFERROR(INDEX(Expenses!B$3:B$999,SMALL(IF((Expenses!E$3:E$999="GBP")*(Expenses!A$3:A$999=DATE(2026,5,21)),ROW(Expenses!A$3:A$999)-2),2)),""),IF(IFERROR(INDEX(Income!B$3:B$502,SMALL(IF((Income!D$3:D$502="GBP")*(Income!A$3:A$502=DATE(2026,5,21)),ROW(Income!A$3:A$502)-2),2)),"")&lt;&gt;"",IFERROR(INDEX(Income!B$3:B$502,SMALL(IF((Income!D$3:D$502="GBP")*(Income!A$3:A$502=DATE(2026,5,21)),ROW(Income!A$3:A$502)-2),2)),""),""))</f>
        <v/>
      </c>
      <c r="K105" s="152">
        <f t="array" ref="K105">IF(IFERROR(-INDEX(Expenses!D$3:D$999,SMALL(IF((Expenses!E$3:E$999="GBP")*(Expenses!A$3:A$999=DATE(2026,5,22)),ROW(Expenses!A$3:A$999)-2),2)),0)+IFERROR(INDEX(Income!C$3:C$502,SMALL(IF((Income!D$3:D$502="GBP")*(Income!A$3:A$502=DATE(2026,5,22)),ROW(Income!A$3:A$502)-2),2)),0)=0,"",IFERROR(-INDEX(Expenses!D$3:D$999,SMALL(IF((Expenses!E$3:E$999="GBP")*(Expenses!A$3:A$999=DATE(2026,5,22)),ROW(Expenses!A$3:A$999)-2),2)),0)+IFERROR(INDEX(Income!C$3:C$502,SMALL(IF((Income!D$3:D$502="GBP")*(Income!A$3:A$502=DATE(2026,5,22)),ROW(Income!A$3:A$502)-2),2)),0))</f>
        <v/>
      </c>
      <c r="L105" s="126">
        <f t="array" ref="L105">IF(IFERROR(INDEX(Expenses!B$3:B$999,SMALL(IF((Expenses!E$3:E$999="GBP")*(Expenses!A$3:A$999=DATE(2026,5,22)),ROW(Expenses!A$3:A$999)-2),2)),"")&lt;&gt;"",IFERROR(INDEX(Expenses!B$3:B$999,SMALL(IF((Expenses!E$3:E$999="GBP")*(Expenses!A$3:A$999=DATE(2026,5,22)),ROW(Expenses!A$3:A$999)-2),2)),""),IF(IFERROR(INDEX(Income!B$3:B$502,SMALL(IF((Income!D$3:D$502="GBP")*(Income!A$3:A$502=DATE(2026,5,22)),ROW(Income!A$3:A$502)-2),2)),"")&lt;&gt;"",IFERROR(INDEX(Income!B$3:B$502,SMALL(IF((Income!D$3:D$502="GBP")*(Income!A$3:A$502=DATE(2026,5,22)),ROW(Income!A$3:A$502)-2),2)),""),""))</f>
        <v/>
      </c>
      <c r="M105" s="152">
        <f t="array" ref="M105">IF(IFERROR(-INDEX(Expenses!D$3:D$999,SMALL(IF((Expenses!E$3:E$999="GBP")*(Expenses!A$3:A$999=DATE(2026,5,23)),ROW(Expenses!A$3:A$999)-2),2)),0)+IFERROR(INDEX(Income!C$3:C$502,SMALL(IF((Income!D$3:D$502="GBP")*(Income!A$3:A$502=DATE(2026,5,23)),ROW(Income!A$3:A$502)-2),2)),0)=0,"",IFERROR(-INDEX(Expenses!D$3:D$999,SMALL(IF((Expenses!E$3:E$999="GBP")*(Expenses!A$3:A$999=DATE(2026,5,23)),ROW(Expenses!A$3:A$999)-2),2)),0)+IFERROR(INDEX(Income!C$3:C$502,SMALL(IF((Income!D$3:D$502="GBP")*(Income!A$3:A$502=DATE(2026,5,23)),ROW(Income!A$3:A$502)-2),2)),0))</f>
        <v/>
      </c>
      <c r="N105" s="126">
        <f t="array" ref="N105">IF(IFERROR(INDEX(Expenses!B$3:B$999,SMALL(IF((Expenses!E$3:E$999="GBP")*(Expenses!A$3:A$999=DATE(2026,5,23)),ROW(Expenses!A$3:A$999)-2),2)),"")&lt;&gt;"",IFERROR(INDEX(Expenses!B$3:B$999,SMALL(IF((Expenses!E$3:E$999="GBP")*(Expenses!A$3:A$999=DATE(2026,5,23)),ROW(Expenses!A$3:A$999)-2),2)),""),IF(IFERROR(INDEX(Income!B$3:B$502,SMALL(IF((Income!D$3:D$502="GBP")*(Income!A$3:A$502=DATE(2026,5,23)),ROW(Income!A$3:A$502)-2),2)),"")&lt;&gt;"",IFERROR(INDEX(Income!B$3:B$502,SMALL(IF((Income!D$3:D$502="GBP")*(Income!A$3:A$502=DATE(2026,5,23)),ROW(Income!A$3:A$502)-2),2)),""),""))</f>
        <v/>
      </c>
      <c r="O105" s="152">
        <f t="array" ref="O105">IF(IFERROR(-INDEX(Expenses!D$3:D$999,SMALL(IF((Expenses!E$3:E$999="GBP")*(Expenses!A$3:A$999=DATE(2026,5,24)),ROW(Expenses!A$3:A$999)-2),2)),0)+IFERROR(INDEX(Income!C$3:C$502,SMALL(IF((Income!D$3:D$502="GBP")*(Income!A$3:A$502=DATE(2026,5,24)),ROW(Income!A$3:A$502)-2),2)),0)=0,"",IFERROR(-INDEX(Expenses!D$3:D$999,SMALL(IF((Expenses!E$3:E$999="GBP")*(Expenses!A$3:A$999=DATE(2026,5,24)),ROW(Expenses!A$3:A$999)-2),2)),0)+IFERROR(INDEX(Income!C$3:C$502,SMALL(IF((Income!D$3:D$502="GBP")*(Income!A$3:A$502=DATE(2026,5,24)),ROW(Income!A$3:A$502)-2),2)),0))</f>
        <v/>
      </c>
      <c r="P105" s="126">
        <f t="array" ref="P105">IF(IFERROR(INDEX(Expenses!B$3:B$999,SMALL(IF((Expenses!E$3:E$999="GBP")*(Expenses!A$3:A$999=DATE(2026,5,24)),ROW(Expenses!A$3:A$999)-2),2)),"")&lt;&gt;"",IFERROR(INDEX(Expenses!B$3:B$999,SMALL(IF((Expenses!E$3:E$999="GBP")*(Expenses!A$3:A$999=DATE(2026,5,24)),ROW(Expenses!A$3:A$999)-2),2)),""),IF(IFERROR(INDEX(Income!B$3:B$502,SMALL(IF((Income!D$3:D$502="GBP")*(Income!A$3:A$502=DATE(2026,5,24)),ROW(Income!A$3:A$502)-2),2)),"")&lt;&gt;"",IFERROR(INDEX(Income!B$3:B$502,SMALL(IF((Income!D$3:D$502="GBP")*(Income!A$3:A$502=DATE(2026,5,24)),ROW(Income!A$3:A$502)-2),2)),""),""))</f>
        <v/>
      </c>
      <c r="Q105" s="9" t="n"/>
      <c r="R105" s="9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68">
      <c r="A106" s="9" t="n"/>
      <c r="B106" s="9" t="n"/>
      <c r="C106" s="152">
        <f t="array" ref="C106">IF(IFERROR(-INDEX(Expenses!D$3:D$999,SMALL(IF((Expenses!E$3:E$999="GBP")*(Expenses!A$3:A$999=DATE(2026,5,18)),ROW(Expenses!A$3:A$999)-2),3)),0)+IFERROR(INDEX(Income!C$3:C$502,SMALL(IF((Income!D$3:D$502="GBP")*(Income!A$3:A$502=DATE(2026,5,18)),ROW(Income!A$3:A$502)-2),3)),0)=0,"",IFERROR(-INDEX(Expenses!D$3:D$999,SMALL(IF((Expenses!E$3:E$999="GBP")*(Expenses!A$3:A$999=DATE(2026,5,18)),ROW(Expenses!A$3:A$999)-2),3)),0)+IFERROR(INDEX(Income!C$3:C$502,SMALL(IF((Income!D$3:D$502="GBP")*(Income!A$3:A$502=DATE(2026,5,18)),ROW(Income!A$3:A$502)-2),3)),0))</f>
        <v/>
      </c>
      <c r="D106" s="126">
        <f t="array" ref="D106">IF(IFERROR(INDEX(Expenses!B$3:B$999,SMALL(IF((Expenses!E$3:E$999="GBP")*(Expenses!A$3:A$999=DATE(2026,5,18)),ROW(Expenses!A$3:A$999)-2),3)),"")&lt;&gt;"",IFERROR(INDEX(Expenses!B$3:B$999,SMALL(IF((Expenses!E$3:E$999="GBP")*(Expenses!A$3:A$999=DATE(2026,5,18)),ROW(Expenses!A$3:A$999)-2),3)),""),IF(IFERROR(INDEX(Income!B$3:B$502,SMALL(IF((Income!D$3:D$502="GBP")*(Income!A$3:A$502=DATE(2026,5,18)),ROW(Income!A$3:A$502)-2),3)),"")&lt;&gt;"",IFERROR(INDEX(Income!B$3:B$502,SMALL(IF((Income!D$3:D$502="GBP")*(Income!A$3:A$502=DATE(2026,5,18)),ROW(Income!A$3:A$502)-2),3)),""),""))</f>
        <v/>
      </c>
      <c r="E106" s="152">
        <f t="array" ref="E106">IF(IFERROR(-INDEX(Expenses!D$3:D$999,SMALL(IF((Expenses!E$3:E$999="GBP")*(Expenses!A$3:A$999=DATE(2026,5,19)),ROW(Expenses!A$3:A$999)-2),3)),0)+IFERROR(INDEX(Income!C$3:C$502,SMALL(IF((Income!D$3:D$502="GBP")*(Income!A$3:A$502=DATE(2026,5,19)),ROW(Income!A$3:A$502)-2),3)),0)=0,"",IFERROR(-INDEX(Expenses!D$3:D$999,SMALL(IF((Expenses!E$3:E$999="GBP")*(Expenses!A$3:A$999=DATE(2026,5,19)),ROW(Expenses!A$3:A$999)-2),3)),0)+IFERROR(INDEX(Income!C$3:C$502,SMALL(IF((Income!D$3:D$502="GBP")*(Income!A$3:A$502=DATE(2026,5,19)),ROW(Income!A$3:A$502)-2),3)),0))</f>
        <v/>
      </c>
      <c r="F106" s="126">
        <f t="array" ref="F106">IF(IFERROR(INDEX(Expenses!B$3:B$999,SMALL(IF((Expenses!E$3:E$999="GBP")*(Expenses!A$3:A$999=DATE(2026,5,19)),ROW(Expenses!A$3:A$999)-2),3)),"")&lt;&gt;"",IFERROR(INDEX(Expenses!B$3:B$999,SMALL(IF((Expenses!E$3:E$999="GBP")*(Expenses!A$3:A$999=DATE(2026,5,19)),ROW(Expenses!A$3:A$999)-2),3)),""),IF(IFERROR(INDEX(Income!B$3:B$502,SMALL(IF((Income!D$3:D$502="GBP")*(Income!A$3:A$502=DATE(2026,5,19)),ROW(Income!A$3:A$502)-2),3)),"")&lt;&gt;"",IFERROR(INDEX(Income!B$3:B$502,SMALL(IF((Income!D$3:D$502="GBP")*(Income!A$3:A$502=DATE(2026,5,19)),ROW(Income!A$3:A$502)-2),3)),""),""))</f>
        <v/>
      </c>
      <c r="G106" s="152">
        <f t="array" ref="G106">IF(IFERROR(-INDEX(Expenses!D$3:D$999,SMALL(IF((Expenses!E$3:E$999="GBP")*(Expenses!A$3:A$999=DATE(2026,5,20)),ROW(Expenses!A$3:A$999)-2),3)),0)+IFERROR(INDEX(Income!C$3:C$502,SMALL(IF((Income!D$3:D$502="GBP")*(Income!A$3:A$502=DATE(2026,5,20)),ROW(Income!A$3:A$502)-2),3)),0)=0,"",IFERROR(-INDEX(Expenses!D$3:D$999,SMALL(IF((Expenses!E$3:E$999="GBP")*(Expenses!A$3:A$999=DATE(2026,5,20)),ROW(Expenses!A$3:A$999)-2),3)),0)+IFERROR(INDEX(Income!C$3:C$502,SMALL(IF((Income!D$3:D$502="GBP")*(Income!A$3:A$502=DATE(2026,5,20)),ROW(Income!A$3:A$502)-2),3)),0))</f>
        <v/>
      </c>
      <c r="H106" s="126">
        <f t="array" ref="H106">IF(IFERROR(INDEX(Expenses!B$3:B$999,SMALL(IF((Expenses!E$3:E$999="GBP")*(Expenses!A$3:A$999=DATE(2026,5,20)),ROW(Expenses!A$3:A$999)-2),3)),"")&lt;&gt;"",IFERROR(INDEX(Expenses!B$3:B$999,SMALL(IF((Expenses!E$3:E$999="GBP")*(Expenses!A$3:A$999=DATE(2026,5,20)),ROW(Expenses!A$3:A$999)-2),3)),""),IF(IFERROR(INDEX(Income!B$3:B$502,SMALL(IF((Income!D$3:D$502="GBP")*(Income!A$3:A$502=DATE(2026,5,20)),ROW(Income!A$3:A$502)-2),3)),"")&lt;&gt;"",IFERROR(INDEX(Income!B$3:B$502,SMALL(IF((Income!D$3:D$502="GBP")*(Income!A$3:A$502=DATE(2026,5,20)),ROW(Income!A$3:A$502)-2),3)),""),""))</f>
        <v/>
      </c>
      <c r="I106" s="152">
        <f t="array" ref="I106">IF(IFERROR(-INDEX(Expenses!D$3:D$999,SMALL(IF((Expenses!E$3:E$999="GBP")*(Expenses!A$3:A$999=DATE(2026,5,21)),ROW(Expenses!A$3:A$999)-2),3)),0)+IFERROR(INDEX(Income!C$3:C$502,SMALL(IF((Income!D$3:D$502="GBP")*(Income!A$3:A$502=DATE(2026,5,21)),ROW(Income!A$3:A$502)-2),3)),0)=0,"",IFERROR(-INDEX(Expenses!D$3:D$999,SMALL(IF((Expenses!E$3:E$999="GBP")*(Expenses!A$3:A$999=DATE(2026,5,21)),ROW(Expenses!A$3:A$999)-2),3)),0)+IFERROR(INDEX(Income!C$3:C$502,SMALL(IF((Income!D$3:D$502="GBP")*(Income!A$3:A$502=DATE(2026,5,21)),ROW(Income!A$3:A$502)-2),3)),0))</f>
        <v/>
      </c>
      <c r="J106" s="126">
        <f t="array" ref="J106">IF(IFERROR(INDEX(Expenses!B$3:B$999,SMALL(IF((Expenses!E$3:E$999="GBP")*(Expenses!A$3:A$999=DATE(2026,5,21)),ROW(Expenses!A$3:A$999)-2),3)),"")&lt;&gt;"",IFERROR(INDEX(Expenses!B$3:B$999,SMALL(IF((Expenses!E$3:E$999="GBP")*(Expenses!A$3:A$999=DATE(2026,5,21)),ROW(Expenses!A$3:A$999)-2),3)),""),IF(IFERROR(INDEX(Income!B$3:B$502,SMALL(IF((Income!D$3:D$502="GBP")*(Income!A$3:A$502=DATE(2026,5,21)),ROW(Income!A$3:A$502)-2),3)),"")&lt;&gt;"",IFERROR(INDEX(Income!B$3:B$502,SMALL(IF((Income!D$3:D$502="GBP")*(Income!A$3:A$502=DATE(2026,5,21)),ROW(Income!A$3:A$502)-2),3)),""),""))</f>
        <v/>
      </c>
      <c r="K106" s="152">
        <f t="array" ref="K106">IF(IFERROR(-INDEX(Expenses!D$3:D$999,SMALL(IF((Expenses!E$3:E$999="GBP")*(Expenses!A$3:A$999=DATE(2026,5,22)),ROW(Expenses!A$3:A$999)-2),3)),0)+IFERROR(INDEX(Income!C$3:C$502,SMALL(IF((Income!D$3:D$502="GBP")*(Income!A$3:A$502=DATE(2026,5,22)),ROW(Income!A$3:A$502)-2),3)),0)=0,"",IFERROR(-INDEX(Expenses!D$3:D$999,SMALL(IF((Expenses!E$3:E$999="GBP")*(Expenses!A$3:A$999=DATE(2026,5,22)),ROW(Expenses!A$3:A$999)-2),3)),0)+IFERROR(INDEX(Income!C$3:C$502,SMALL(IF((Income!D$3:D$502="GBP")*(Income!A$3:A$502=DATE(2026,5,22)),ROW(Income!A$3:A$502)-2),3)),0))</f>
        <v/>
      </c>
      <c r="L106" s="126">
        <f t="array" ref="L106">IF(IFERROR(INDEX(Expenses!B$3:B$999,SMALL(IF((Expenses!E$3:E$999="GBP")*(Expenses!A$3:A$999=DATE(2026,5,22)),ROW(Expenses!A$3:A$999)-2),3)),"")&lt;&gt;"",IFERROR(INDEX(Expenses!B$3:B$999,SMALL(IF((Expenses!E$3:E$999="GBP")*(Expenses!A$3:A$999=DATE(2026,5,22)),ROW(Expenses!A$3:A$999)-2),3)),""),IF(IFERROR(INDEX(Income!B$3:B$502,SMALL(IF((Income!D$3:D$502="GBP")*(Income!A$3:A$502=DATE(2026,5,22)),ROW(Income!A$3:A$502)-2),3)),"")&lt;&gt;"",IFERROR(INDEX(Income!B$3:B$502,SMALL(IF((Income!D$3:D$502="GBP")*(Income!A$3:A$502=DATE(2026,5,22)),ROW(Income!A$3:A$502)-2),3)),""),""))</f>
        <v/>
      </c>
      <c r="M106" s="152">
        <f t="array" ref="M106">IF(IFERROR(-INDEX(Expenses!D$3:D$999,SMALL(IF((Expenses!E$3:E$999="GBP")*(Expenses!A$3:A$999=DATE(2026,5,23)),ROW(Expenses!A$3:A$999)-2),3)),0)+IFERROR(INDEX(Income!C$3:C$502,SMALL(IF((Income!D$3:D$502="GBP")*(Income!A$3:A$502=DATE(2026,5,23)),ROW(Income!A$3:A$502)-2),3)),0)=0,"",IFERROR(-INDEX(Expenses!D$3:D$999,SMALL(IF((Expenses!E$3:E$999="GBP")*(Expenses!A$3:A$999=DATE(2026,5,23)),ROW(Expenses!A$3:A$999)-2),3)),0)+IFERROR(INDEX(Income!C$3:C$502,SMALL(IF((Income!D$3:D$502="GBP")*(Income!A$3:A$502=DATE(2026,5,23)),ROW(Income!A$3:A$502)-2),3)),0))</f>
        <v/>
      </c>
      <c r="N106" s="126">
        <f t="array" ref="N106">IF(IFERROR(INDEX(Expenses!B$3:B$999,SMALL(IF((Expenses!E$3:E$999="GBP")*(Expenses!A$3:A$999=DATE(2026,5,23)),ROW(Expenses!A$3:A$999)-2),3)),"")&lt;&gt;"",IFERROR(INDEX(Expenses!B$3:B$999,SMALL(IF((Expenses!E$3:E$999="GBP")*(Expenses!A$3:A$999=DATE(2026,5,23)),ROW(Expenses!A$3:A$999)-2),3)),""),IF(IFERROR(INDEX(Income!B$3:B$502,SMALL(IF((Income!D$3:D$502="GBP")*(Income!A$3:A$502=DATE(2026,5,23)),ROW(Income!A$3:A$502)-2),3)),"")&lt;&gt;"",IFERROR(INDEX(Income!B$3:B$502,SMALL(IF((Income!D$3:D$502="GBP")*(Income!A$3:A$502=DATE(2026,5,23)),ROW(Income!A$3:A$502)-2),3)),""),""))</f>
        <v/>
      </c>
      <c r="O106" s="152">
        <f t="array" ref="O106">IF(IFERROR(-INDEX(Expenses!D$3:D$999,SMALL(IF((Expenses!E$3:E$999="GBP")*(Expenses!A$3:A$999=DATE(2026,5,24)),ROW(Expenses!A$3:A$999)-2),3)),0)+IFERROR(INDEX(Income!C$3:C$502,SMALL(IF((Income!D$3:D$502="GBP")*(Income!A$3:A$502=DATE(2026,5,24)),ROW(Income!A$3:A$502)-2),3)),0)=0,"",IFERROR(-INDEX(Expenses!D$3:D$999,SMALL(IF((Expenses!E$3:E$999="GBP")*(Expenses!A$3:A$999=DATE(2026,5,24)),ROW(Expenses!A$3:A$999)-2),3)),0)+IFERROR(INDEX(Income!C$3:C$502,SMALL(IF((Income!D$3:D$502="GBP")*(Income!A$3:A$502=DATE(2026,5,24)),ROW(Income!A$3:A$502)-2),3)),0))</f>
        <v/>
      </c>
      <c r="P106" s="126">
        <f t="array" ref="P106">IF(IFERROR(INDEX(Expenses!B$3:B$999,SMALL(IF((Expenses!E$3:E$999="GBP")*(Expenses!A$3:A$999=DATE(2026,5,24)),ROW(Expenses!A$3:A$999)-2),3)),"")&lt;&gt;"",IFERROR(INDEX(Expenses!B$3:B$999,SMALL(IF((Expenses!E$3:E$999="GBP")*(Expenses!A$3:A$999=DATE(2026,5,24)),ROW(Expenses!A$3:A$999)-2),3)),""),IF(IFERROR(INDEX(Income!B$3:B$502,SMALL(IF((Income!D$3:D$502="GBP")*(Income!A$3:A$502=DATE(2026,5,24)),ROW(Income!A$3:A$502)-2),3)),"")&lt;&gt;"",IFERROR(INDEX(Income!B$3:B$502,SMALL(IF((Income!D$3:D$502="GBP")*(Income!A$3:A$502=DATE(2026,5,24)),ROW(Income!A$3:A$502)-2),3)),""),""))</f>
        <v/>
      </c>
      <c r="Q106" s="9" t="n"/>
      <c r="R106" s="9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68">
      <c r="A107" s="9" t="n"/>
      <c r="B107" s="9" t="n"/>
      <c r="C107" s="152">
        <f t="array" ref="C107">IF(IFERROR(-INDEX(Expenses!D$3:D$999,SMALL(IF((Expenses!E$3:E$999="GBP")*(Expenses!A$3:A$999=DATE(2026,5,18)),ROW(Expenses!A$3:A$999)-2),4)),0)+IFERROR(INDEX(Income!C$3:C$502,SMALL(IF((Income!D$3:D$502="GBP")*(Income!A$3:A$502=DATE(2026,5,18)),ROW(Income!A$3:A$502)-2),4)),0)=0,"",IFERROR(-INDEX(Expenses!D$3:D$999,SMALL(IF((Expenses!E$3:E$999="GBP")*(Expenses!A$3:A$999=DATE(2026,5,18)),ROW(Expenses!A$3:A$999)-2),4)),0)+IFERROR(INDEX(Income!C$3:C$502,SMALL(IF((Income!D$3:D$502="GBP")*(Income!A$3:A$502=DATE(2026,5,18)),ROW(Income!A$3:A$502)-2),4)),0))</f>
        <v/>
      </c>
      <c r="D107" s="126">
        <f t="array" ref="D107">IF(IFERROR(INDEX(Expenses!B$3:B$999,SMALL(IF((Expenses!E$3:E$999="GBP")*(Expenses!A$3:A$999=DATE(2026,5,18)),ROW(Expenses!A$3:A$999)-2),4)),"")&lt;&gt;"",IFERROR(INDEX(Expenses!B$3:B$999,SMALL(IF((Expenses!E$3:E$999="GBP")*(Expenses!A$3:A$999=DATE(2026,5,18)),ROW(Expenses!A$3:A$999)-2),4)),""),IF(IFERROR(INDEX(Income!B$3:B$502,SMALL(IF((Income!D$3:D$502="GBP")*(Income!A$3:A$502=DATE(2026,5,18)),ROW(Income!A$3:A$502)-2),4)),"")&lt;&gt;"",IFERROR(INDEX(Income!B$3:B$502,SMALL(IF((Income!D$3:D$502="GBP")*(Income!A$3:A$502=DATE(2026,5,18)),ROW(Income!A$3:A$502)-2),4)),""),""))</f>
        <v/>
      </c>
      <c r="E107" s="152">
        <f t="array" ref="E107">IF(IFERROR(-INDEX(Expenses!D$3:D$999,SMALL(IF((Expenses!E$3:E$999="GBP")*(Expenses!A$3:A$999=DATE(2026,5,19)),ROW(Expenses!A$3:A$999)-2),4)),0)+IFERROR(INDEX(Income!C$3:C$502,SMALL(IF((Income!D$3:D$502="GBP")*(Income!A$3:A$502=DATE(2026,5,19)),ROW(Income!A$3:A$502)-2),4)),0)=0,"",IFERROR(-INDEX(Expenses!D$3:D$999,SMALL(IF((Expenses!E$3:E$999="GBP")*(Expenses!A$3:A$999=DATE(2026,5,19)),ROW(Expenses!A$3:A$999)-2),4)),0)+IFERROR(INDEX(Income!C$3:C$502,SMALL(IF((Income!D$3:D$502="GBP")*(Income!A$3:A$502=DATE(2026,5,19)),ROW(Income!A$3:A$502)-2),4)),0))</f>
        <v/>
      </c>
      <c r="F107" s="126">
        <f t="array" ref="F107">IF(IFERROR(INDEX(Expenses!B$3:B$999,SMALL(IF((Expenses!E$3:E$999="GBP")*(Expenses!A$3:A$999=DATE(2026,5,19)),ROW(Expenses!A$3:A$999)-2),4)),"")&lt;&gt;"",IFERROR(INDEX(Expenses!B$3:B$999,SMALL(IF((Expenses!E$3:E$999="GBP")*(Expenses!A$3:A$999=DATE(2026,5,19)),ROW(Expenses!A$3:A$999)-2),4)),""),IF(IFERROR(INDEX(Income!B$3:B$502,SMALL(IF((Income!D$3:D$502="GBP")*(Income!A$3:A$502=DATE(2026,5,19)),ROW(Income!A$3:A$502)-2),4)),"")&lt;&gt;"",IFERROR(INDEX(Income!B$3:B$502,SMALL(IF((Income!D$3:D$502="GBP")*(Income!A$3:A$502=DATE(2026,5,19)),ROW(Income!A$3:A$502)-2),4)),""),""))</f>
        <v/>
      </c>
      <c r="G107" s="152">
        <f t="array" ref="G107">IF(IFERROR(-INDEX(Expenses!D$3:D$999,SMALL(IF((Expenses!E$3:E$999="GBP")*(Expenses!A$3:A$999=DATE(2026,5,20)),ROW(Expenses!A$3:A$999)-2),4)),0)+IFERROR(INDEX(Income!C$3:C$502,SMALL(IF((Income!D$3:D$502="GBP")*(Income!A$3:A$502=DATE(2026,5,20)),ROW(Income!A$3:A$502)-2),4)),0)=0,"",IFERROR(-INDEX(Expenses!D$3:D$999,SMALL(IF((Expenses!E$3:E$999="GBP")*(Expenses!A$3:A$999=DATE(2026,5,20)),ROW(Expenses!A$3:A$999)-2),4)),0)+IFERROR(INDEX(Income!C$3:C$502,SMALL(IF((Income!D$3:D$502="GBP")*(Income!A$3:A$502=DATE(2026,5,20)),ROW(Income!A$3:A$502)-2),4)),0))</f>
        <v/>
      </c>
      <c r="H107" s="126">
        <f t="array" ref="H107">IF(IFERROR(INDEX(Expenses!B$3:B$999,SMALL(IF((Expenses!E$3:E$999="GBP")*(Expenses!A$3:A$999=DATE(2026,5,20)),ROW(Expenses!A$3:A$999)-2),4)),"")&lt;&gt;"",IFERROR(INDEX(Expenses!B$3:B$999,SMALL(IF((Expenses!E$3:E$999="GBP")*(Expenses!A$3:A$999=DATE(2026,5,20)),ROW(Expenses!A$3:A$999)-2),4)),""),IF(IFERROR(INDEX(Income!B$3:B$502,SMALL(IF((Income!D$3:D$502="GBP")*(Income!A$3:A$502=DATE(2026,5,20)),ROW(Income!A$3:A$502)-2),4)),"")&lt;&gt;"",IFERROR(INDEX(Income!B$3:B$502,SMALL(IF((Income!D$3:D$502="GBP")*(Income!A$3:A$502=DATE(2026,5,20)),ROW(Income!A$3:A$502)-2),4)),""),""))</f>
        <v/>
      </c>
      <c r="I107" s="152">
        <f t="array" ref="I107">IF(IFERROR(-INDEX(Expenses!D$3:D$999,SMALL(IF((Expenses!E$3:E$999="GBP")*(Expenses!A$3:A$999=DATE(2026,5,21)),ROW(Expenses!A$3:A$999)-2),4)),0)+IFERROR(INDEX(Income!C$3:C$502,SMALL(IF((Income!D$3:D$502="GBP")*(Income!A$3:A$502=DATE(2026,5,21)),ROW(Income!A$3:A$502)-2),4)),0)=0,"",IFERROR(-INDEX(Expenses!D$3:D$999,SMALL(IF((Expenses!E$3:E$999="GBP")*(Expenses!A$3:A$999=DATE(2026,5,21)),ROW(Expenses!A$3:A$999)-2),4)),0)+IFERROR(INDEX(Income!C$3:C$502,SMALL(IF((Income!D$3:D$502="GBP")*(Income!A$3:A$502=DATE(2026,5,21)),ROW(Income!A$3:A$502)-2),4)),0))</f>
        <v/>
      </c>
      <c r="J107" s="126">
        <f t="array" ref="J107">IF(IFERROR(INDEX(Expenses!B$3:B$999,SMALL(IF((Expenses!E$3:E$999="GBP")*(Expenses!A$3:A$999=DATE(2026,5,21)),ROW(Expenses!A$3:A$999)-2),4)),"")&lt;&gt;"",IFERROR(INDEX(Expenses!B$3:B$999,SMALL(IF((Expenses!E$3:E$999="GBP")*(Expenses!A$3:A$999=DATE(2026,5,21)),ROW(Expenses!A$3:A$999)-2),4)),""),IF(IFERROR(INDEX(Income!B$3:B$502,SMALL(IF((Income!D$3:D$502="GBP")*(Income!A$3:A$502=DATE(2026,5,21)),ROW(Income!A$3:A$502)-2),4)),"")&lt;&gt;"",IFERROR(INDEX(Income!B$3:B$502,SMALL(IF((Income!D$3:D$502="GBP")*(Income!A$3:A$502=DATE(2026,5,21)),ROW(Income!A$3:A$502)-2),4)),""),""))</f>
        <v/>
      </c>
      <c r="K107" s="152">
        <f t="array" ref="K107">IF(IFERROR(-INDEX(Expenses!D$3:D$999,SMALL(IF((Expenses!E$3:E$999="GBP")*(Expenses!A$3:A$999=DATE(2026,5,22)),ROW(Expenses!A$3:A$999)-2),4)),0)+IFERROR(INDEX(Income!C$3:C$502,SMALL(IF((Income!D$3:D$502="GBP")*(Income!A$3:A$502=DATE(2026,5,22)),ROW(Income!A$3:A$502)-2),4)),0)=0,"",IFERROR(-INDEX(Expenses!D$3:D$999,SMALL(IF((Expenses!E$3:E$999="GBP")*(Expenses!A$3:A$999=DATE(2026,5,22)),ROW(Expenses!A$3:A$999)-2),4)),0)+IFERROR(INDEX(Income!C$3:C$502,SMALL(IF((Income!D$3:D$502="GBP")*(Income!A$3:A$502=DATE(2026,5,22)),ROW(Income!A$3:A$502)-2),4)),0))</f>
        <v/>
      </c>
      <c r="L107" s="126">
        <f t="array" ref="L107">IF(IFERROR(INDEX(Expenses!B$3:B$999,SMALL(IF((Expenses!E$3:E$999="GBP")*(Expenses!A$3:A$999=DATE(2026,5,22)),ROW(Expenses!A$3:A$999)-2),4)),"")&lt;&gt;"",IFERROR(INDEX(Expenses!B$3:B$999,SMALL(IF((Expenses!E$3:E$999="GBP")*(Expenses!A$3:A$999=DATE(2026,5,22)),ROW(Expenses!A$3:A$999)-2),4)),""),IF(IFERROR(INDEX(Income!B$3:B$502,SMALL(IF((Income!D$3:D$502="GBP")*(Income!A$3:A$502=DATE(2026,5,22)),ROW(Income!A$3:A$502)-2),4)),"")&lt;&gt;"",IFERROR(INDEX(Income!B$3:B$502,SMALL(IF((Income!D$3:D$502="GBP")*(Income!A$3:A$502=DATE(2026,5,22)),ROW(Income!A$3:A$502)-2),4)),""),""))</f>
        <v/>
      </c>
      <c r="M107" s="152">
        <f t="array" ref="M107">IF(IFERROR(-INDEX(Expenses!D$3:D$999,SMALL(IF((Expenses!E$3:E$999="GBP")*(Expenses!A$3:A$999=DATE(2026,5,23)),ROW(Expenses!A$3:A$999)-2),4)),0)+IFERROR(INDEX(Income!C$3:C$502,SMALL(IF((Income!D$3:D$502="GBP")*(Income!A$3:A$502=DATE(2026,5,23)),ROW(Income!A$3:A$502)-2),4)),0)=0,"",IFERROR(-INDEX(Expenses!D$3:D$999,SMALL(IF((Expenses!E$3:E$999="GBP")*(Expenses!A$3:A$999=DATE(2026,5,23)),ROW(Expenses!A$3:A$999)-2),4)),0)+IFERROR(INDEX(Income!C$3:C$502,SMALL(IF((Income!D$3:D$502="GBP")*(Income!A$3:A$502=DATE(2026,5,23)),ROW(Income!A$3:A$502)-2),4)),0))</f>
        <v/>
      </c>
      <c r="N107" s="126">
        <f t="array" ref="N107">IF(IFERROR(INDEX(Expenses!B$3:B$999,SMALL(IF((Expenses!E$3:E$999="GBP")*(Expenses!A$3:A$999=DATE(2026,5,23)),ROW(Expenses!A$3:A$999)-2),4)),"")&lt;&gt;"",IFERROR(INDEX(Expenses!B$3:B$999,SMALL(IF((Expenses!E$3:E$999="GBP")*(Expenses!A$3:A$999=DATE(2026,5,23)),ROW(Expenses!A$3:A$999)-2),4)),""),IF(IFERROR(INDEX(Income!B$3:B$502,SMALL(IF((Income!D$3:D$502="GBP")*(Income!A$3:A$502=DATE(2026,5,23)),ROW(Income!A$3:A$502)-2),4)),"")&lt;&gt;"",IFERROR(INDEX(Income!B$3:B$502,SMALL(IF((Income!D$3:D$502="GBP")*(Income!A$3:A$502=DATE(2026,5,23)),ROW(Income!A$3:A$502)-2),4)),""),""))</f>
        <v/>
      </c>
      <c r="O107" s="152">
        <f t="array" ref="O107">IF(IFERROR(-INDEX(Expenses!D$3:D$999,SMALL(IF((Expenses!E$3:E$999="GBP")*(Expenses!A$3:A$999=DATE(2026,5,24)),ROW(Expenses!A$3:A$999)-2),4)),0)+IFERROR(INDEX(Income!C$3:C$502,SMALL(IF((Income!D$3:D$502="GBP")*(Income!A$3:A$502=DATE(2026,5,24)),ROW(Income!A$3:A$502)-2),4)),0)=0,"",IFERROR(-INDEX(Expenses!D$3:D$999,SMALL(IF((Expenses!E$3:E$999="GBP")*(Expenses!A$3:A$999=DATE(2026,5,24)),ROW(Expenses!A$3:A$999)-2),4)),0)+IFERROR(INDEX(Income!C$3:C$502,SMALL(IF((Income!D$3:D$502="GBP")*(Income!A$3:A$502=DATE(2026,5,24)),ROW(Income!A$3:A$502)-2),4)),0))</f>
        <v/>
      </c>
      <c r="P107" s="126">
        <f t="array" ref="P107">IF(IFERROR(INDEX(Expenses!B$3:B$999,SMALL(IF((Expenses!E$3:E$999="GBP")*(Expenses!A$3:A$999=DATE(2026,5,24)),ROW(Expenses!A$3:A$999)-2),4)),"")&lt;&gt;"",IFERROR(INDEX(Expenses!B$3:B$999,SMALL(IF((Expenses!E$3:E$999="GBP")*(Expenses!A$3:A$999=DATE(2026,5,24)),ROW(Expenses!A$3:A$999)-2),4)),""),IF(IFERROR(INDEX(Income!B$3:B$502,SMALL(IF((Income!D$3:D$502="GBP")*(Income!A$3:A$502=DATE(2026,5,24)),ROW(Income!A$3:A$502)-2),4)),"")&lt;&gt;"",IFERROR(INDEX(Income!B$3:B$502,SMALL(IF((Income!D$3:D$502="GBP")*(Income!A$3:A$502=DATE(2026,5,24)),ROW(Income!A$3:A$502)-2),4)),""),""))</f>
        <v/>
      </c>
      <c r="Q107" s="9" t="n"/>
      <c r="R107" s="9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68">
      <c r="A108" s="9" t="n"/>
      <c r="B108" s="9" t="n"/>
      <c r="C108" s="152">
        <f t="array" ref="C108">IF(IFERROR(-INDEX(Expenses!D$3:D$999,SMALL(IF((Expenses!E$3:E$999="GBP")*(Expenses!A$3:A$999=DATE(2026,5,18)),ROW(Expenses!A$3:A$999)-2),5)),0)+IFERROR(INDEX(Income!C$3:C$502,SMALL(IF((Income!D$3:D$502="GBP")*(Income!A$3:A$502=DATE(2026,5,18)),ROW(Income!A$3:A$502)-2),5)),0)=0,"",IFERROR(-INDEX(Expenses!D$3:D$999,SMALL(IF((Expenses!E$3:E$999="GBP")*(Expenses!A$3:A$999=DATE(2026,5,18)),ROW(Expenses!A$3:A$999)-2),5)),0)+IFERROR(INDEX(Income!C$3:C$502,SMALL(IF((Income!D$3:D$502="GBP")*(Income!A$3:A$502=DATE(2026,5,18)),ROW(Income!A$3:A$502)-2),5)),0))</f>
        <v/>
      </c>
      <c r="D108" s="126">
        <f t="array" ref="D108">IF(IFERROR(INDEX(Expenses!B$3:B$999,SMALL(IF((Expenses!E$3:E$999="GBP")*(Expenses!A$3:A$999=DATE(2026,5,18)),ROW(Expenses!A$3:A$999)-2),5)),"")&lt;&gt;"",IFERROR(INDEX(Expenses!B$3:B$999,SMALL(IF((Expenses!E$3:E$999="GBP")*(Expenses!A$3:A$999=DATE(2026,5,18)),ROW(Expenses!A$3:A$999)-2),5)),""),IF(IFERROR(INDEX(Income!B$3:B$502,SMALL(IF((Income!D$3:D$502="GBP")*(Income!A$3:A$502=DATE(2026,5,18)),ROW(Income!A$3:A$502)-2),5)),"")&lt;&gt;"",IFERROR(INDEX(Income!B$3:B$502,SMALL(IF((Income!D$3:D$502="GBP")*(Income!A$3:A$502=DATE(2026,5,18)),ROW(Income!A$3:A$502)-2),5)),""),""))</f>
        <v/>
      </c>
      <c r="E108" s="152">
        <f t="array" ref="E108">IF(IFERROR(-INDEX(Expenses!D$3:D$999,SMALL(IF((Expenses!E$3:E$999="GBP")*(Expenses!A$3:A$999=DATE(2026,5,19)),ROW(Expenses!A$3:A$999)-2),5)),0)+IFERROR(INDEX(Income!C$3:C$502,SMALL(IF((Income!D$3:D$502="GBP")*(Income!A$3:A$502=DATE(2026,5,19)),ROW(Income!A$3:A$502)-2),5)),0)=0,"",IFERROR(-INDEX(Expenses!D$3:D$999,SMALL(IF((Expenses!E$3:E$999="GBP")*(Expenses!A$3:A$999=DATE(2026,5,19)),ROW(Expenses!A$3:A$999)-2),5)),0)+IFERROR(INDEX(Income!C$3:C$502,SMALL(IF((Income!D$3:D$502="GBP")*(Income!A$3:A$502=DATE(2026,5,19)),ROW(Income!A$3:A$502)-2),5)),0))</f>
        <v/>
      </c>
      <c r="F108" s="126">
        <f t="array" ref="F108">IF(IFERROR(INDEX(Expenses!B$3:B$999,SMALL(IF((Expenses!E$3:E$999="GBP")*(Expenses!A$3:A$999=DATE(2026,5,19)),ROW(Expenses!A$3:A$999)-2),5)),"")&lt;&gt;"",IFERROR(INDEX(Expenses!B$3:B$999,SMALL(IF((Expenses!E$3:E$999="GBP")*(Expenses!A$3:A$999=DATE(2026,5,19)),ROW(Expenses!A$3:A$999)-2),5)),""),IF(IFERROR(INDEX(Income!B$3:B$502,SMALL(IF((Income!D$3:D$502="GBP")*(Income!A$3:A$502=DATE(2026,5,19)),ROW(Income!A$3:A$502)-2),5)),"")&lt;&gt;"",IFERROR(INDEX(Income!B$3:B$502,SMALL(IF((Income!D$3:D$502="GBP")*(Income!A$3:A$502=DATE(2026,5,19)),ROW(Income!A$3:A$502)-2),5)),""),""))</f>
        <v/>
      </c>
      <c r="G108" s="152">
        <f t="array" ref="G108">IF(IFERROR(-INDEX(Expenses!D$3:D$999,SMALL(IF((Expenses!E$3:E$999="GBP")*(Expenses!A$3:A$999=DATE(2026,5,20)),ROW(Expenses!A$3:A$999)-2),5)),0)+IFERROR(INDEX(Income!C$3:C$502,SMALL(IF((Income!D$3:D$502="GBP")*(Income!A$3:A$502=DATE(2026,5,20)),ROW(Income!A$3:A$502)-2),5)),0)=0,"",IFERROR(-INDEX(Expenses!D$3:D$999,SMALL(IF((Expenses!E$3:E$999="GBP")*(Expenses!A$3:A$999=DATE(2026,5,20)),ROW(Expenses!A$3:A$999)-2),5)),0)+IFERROR(INDEX(Income!C$3:C$502,SMALL(IF((Income!D$3:D$502="GBP")*(Income!A$3:A$502=DATE(2026,5,20)),ROW(Income!A$3:A$502)-2),5)),0))</f>
        <v/>
      </c>
      <c r="H108" s="126">
        <f t="array" ref="H108">IF(IFERROR(INDEX(Expenses!B$3:B$999,SMALL(IF((Expenses!E$3:E$999="GBP")*(Expenses!A$3:A$999=DATE(2026,5,20)),ROW(Expenses!A$3:A$999)-2),5)),"")&lt;&gt;"",IFERROR(INDEX(Expenses!B$3:B$999,SMALL(IF((Expenses!E$3:E$999="GBP")*(Expenses!A$3:A$999=DATE(2026,5,20)),ROW(Expenses!A$3:A$999)-2),5)),""),IF(IFERROR(INDEX(Income!B$3:B$502,SMALL(IF((Income!D$3:D$502="GBP")*(Income!A$3:A$502=DATE(2026,5,20)),ROW(Income!A$3:A$502)-2),5)),"")&lt;&gt;"",IFERROR(INDEX(Income!B$3:B$502,SMALL(IF((Income!D$3:D$502="GBP")*(Income!A$3:A$502=DATE(2026,5,20)),ROW(Income!A$3:A$502)-2),5)),""),""))</f>
        <v/>
      </c>
      <c r="I108" s="152">
        <f t="array" ref="I108">IF(IFERROR(-INDEX(Expenses!D$3:D$999,SMALL(IF((Expenses!E$3:E$999="GBP")*(Expenses!A$3:A$999=DATE(2026,5,21)),ROW(Expenses!A$3:A$999)-2),5)),0)+IFERROR(INDEX(Income!C$3:C$502,SMALL(IF((Income!D$3:D$502="GBP")*(Income!A$3:A$502=DATE(2026,5,21)),ROW(Income!A$3:A$502)-2),5)),0)=0,"",IFERROR(-INDEX(Expenses!D$3:D$999,SMALL(IF((Expenses!E$3:E$999="GBP")*(Expenses!A$3:A$999=DATE(2026,5,21)),ROW(Expenses!A$3:A$999)-2),5)),0)+IFERROR(INDEX(Income!C$3:C$502,SMALL(IF((Income!D$3:D$502="GBP")*(Income!A$3:A$502=DATE(2026,5,21)),ROW(Income!A$3:A$502)-2),5)),0))</f>
        <v/>
      </c>
      <c r="J108" s="126">
        <f t="array" ref="J108">IF(IFERROR(INDEX(Expenses!B$3:B$999,SMALL(IF((Expenses!E$3:E$999="GBP")*(Expenses!A$3:A$999=DATE(2026,5,21)),ROW(Expenses!A$3:A$999)-2),5)),"")&lt;&gt;"",IFERROR(INDEX(Expenses!B$3:B$999,SMALL(IF((Expenses!E$3:E$999="GBP")*(Expenses!A$3:A$999=DATE(2026,5,21)),ROW(Expenses!A$3:A$999)-2),5)),""),IF(IFERROR(INDEX(Income!B$3:B$502,SMALL(IF((Income!D$3:D$502="GBP")*(Income!A$3:A$502=DATE(2026,5,21)),ROW(Income!A$3:A$502)-2),5)),"")&lt;&gt;"",IFERROR(INDEX(Income!B$3:B$502,SMALL(IF((Income!D$3:D$502="GBP")*(Income!A$3:A$502=DATE(2026,5,21)),ROW(Income!A$3:A$502)-2),5)),""),""))</f>
        <v/>
      </c>
      <c r="K108" s="152">
        <f t="array" ref="K108">IF(IFERROR(-INDEX(Expenses!D$3:D$999,SMALL(IF((Expenses!E$3:E$999="GBP")*(Expenses!A$3:A$999=DATE(2026,5,22)),ROW(Expenses!A$3:A$999)-2),5)),0)+IFERROR(INDEX(Income!C$3:C$502,SMALL(IF((Income!D$3:D$502="GBP")*(Income!A$3:A$502=DATE(2026,5,22)),ROW(Income!A$3:A$502)-2),5)),0)=0,"",IFERROR(-INDEX(Expenses!D$3:D$999,SMALL(IF((Expenses!E$3:E$999="GBP")*(Expenses!A$3:A$999=DATE(2026,5,22)),ROW(Expenses!A$3:A$999)-2),5)),0)+IFERROR(INDEX(Income!C$3:C$502,SMALL(IF((Income!D$3:D$502="GBP")*(Income!A$3:A$502=DATE(2026,5,22)),ROW(Income!A$3:A$502)-2),5)),0))</f>
        <v/>
      </c>
      <c r="L108" s="126">
        <f t="array" ref="L108">IF(IFERROR(INDEX(Expenses!B$3:B$999,SMALL(IF((Expenses!E$3:E$999="GBP")*(Expenses!A$3:A$999=DATE(2026,5,22)),ROW(Expenses!A$3:A$999)-2),5)),"")&lt;&gt;"",IFERROR(INDEX(Expenses!B$3:B$999,SMALL(IF((Expenses!E$3:E$999="GBP")*(Expenses!A$3:A$999=DATE(2026,5,22)),ROW(Expenses!A$3:A$999)-2),5)),""),IF(IFERROR(INDEX(Income!B$3:B$502,SMALL(IF((Income!D$3:D$502="GBP")*(Income!A$3:A$502=DATE(2026,5,22)),ROW(Income!A$3:A$502)-2),5)),"")&lt;&gt;"",IFERROR(INDEX(Income!B$3:B$502,SMALL(IF((Income!D$3:D$502="GBP")*(Income!A$3:A$502=DATE(2026,5,22)),ROW(Income!A$3:A$502)-2),5)),""),""))</f>
        <v/>
      </c>
      <c r="M108" s="152">
        <f t="array" ref="M108">IF(IFERROR(-INDEX(Expenses!D$3:D$999,SMALL(IF((Expenses!E$3:E$999="GBP")*(Expenses!A$3:A$999=DATE(2026,5,23)),ROW(Expenses!A$3:A$999)-2),5)),0)+IFERROR(INDEX(Income!C$3:C$502,SMALL(IF((Income!D$3:D$502="GBP")*(Income!A$3:A$502=DATE(2026,5,23)),ROW(Income!A$3:A$502)-2),5)),0)=0,"",IFERROR(-INDEX(Expenses!D$3:D$999,SMALL(IF((Expenses!E$3:E$999="GBP")*(Expenses!A$3:A$999=DATE(2026,5,23)),ROW(Expenses!A$3:A$999)-2),5)),0)+IFERROR(INDEX(Income!C$3:C$502,SMALL(IF((Income!D$3:D$502="GBP")*(Income!A$3:A$502=DATE(2026,5,23)),ROW(Income!A$3:A$502)-2),5)),0))</f>
        <v/>
      </c>
      <c r="N108" s="126">
        <f t="array" ref="N108">IF(IFERROR(INDEX(Expenses!B$3:B$999,SMALL(IF((Expenses!E$3:E$999="GBP")*(Expenses!A$3:A$999=DATE(2026,5,23)),ROW(Expenses!A$3:A$999)-2),5)),"")&lt;&gt;"",IFERROR(INDEX(Expenses!B$3:B$999,SMALL(IF((Expenses!E$3:E$999="GBP")*(Expenses!A$3:A$999=DATE(2026,5,23)),ROW(Expenses!A$3:A$999)-2),5)),""),IF(IFERROR(INDEX(Income!B$3:B$502,SMALL(IF((Income!D$3:D$502="GBP")*(Income!A$3:A$502=DATE(2026,5,23)),ROW(Income!A$3:A$502)-2),5)),"")&lt;&gt;"",IFERROR(INDEX(Income!B$3:B$502,SMALL(IF((Income!D$3:D$502="GBP")*(Income!A$3:A$502=DATE(2026,5,23)),ROW(Income!A$3:A$502)-2),5)),""),""))</f>
        <v/>
      </c>
      <c r="O108" s="152">
        <f t="array" ref="O108">IF(IFERROR(-INDEX(Expenses!D$3:D$999,SMALL(IF((Expenses!E$3:E$999="GBP")*(Expenses!A$3:A$999=DATE(2026,5,24)),ROW(Expenses!A$3:A$999)-2),5)),0)+IFERROR(INDEX(Income!C$3:C$502,SMALL(IF((Income!D$3:D$502="GBP")*(Income!A$3:A$502=DATE(2026,5,24)),ROW(Income!A$3:A$502)-2),5)),0)=0,"",IFERROR(-INDEX(Expenses!D$3:D$999,SMALL(IF((Expenses!E$3:E$999="GBP")*(Expenses!A$3:A$999=DATE(2026,5,24)),ROW(Expenses!A$3:A$999)-2),5)),0)+IFERROR(INDEX(Income!C$3:C$502,SMALL(IF((Income!D$3:D$502="GBP")*(Income!A$3:A$502=DATE(2026,5,24)),ROW(Income!A$3:A$502)-2),5)),0))</f>
        <v/>
      </c>
      <c r="P108" s="126">
        <f t="array" ref="P108">IF(IFERROR(INDEX(Expenses!B$3:B$999,SMALL(IF((Expenses!E$3:E$999="GBP")*(Expenses!A$3:A$999=DATE(2026,5,24)),ROW(Expenses!A$3:A$999)-2),5)),"")&lt;&gt;"",IFERROR(INDEX(Expenses!B$3:B$999,SMALL(IF((Expenses!E$3:E$999="GBP")*(Expenses!A$3:A$999=DATE(2026,5,24)),ROW(Expenses!A$3:A$999)-2),5)),""),IF(IFERROR(INDEX(Income!B$3:B$502,SMALL(IF((Income!D$3:D$502="GBP")*(Income!A$3:A$502=DATE(2026,5,24)),ROW(Income!A$3:A$502)-2),5)),"")&lt;&gt;"",IFERROR(INDEX(Income!B$3:B$502,SMALL(IF((Income!D$3:D$502="GBP")*(Income!A$3:A$502=DATE(2026,5,24)),ROW(Income!A$3:A$502)-2),5)),""),""))</f>
        <v/>
      </c>
      <c r="Q108" s="9" t="n"/>
      <c r="R108" s="9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68">
      <c r="A109" s="151" t="n">
        <v>46167</v>
      </c>
      <c r="B109" s="103" t="n">
        <v>22</v>
      </c>
      <c r="C109" s="152">
        <f t="array" ref="C109">IF(IFERROR(-INDEX(Expenses!D$3:D$999,SMALL(IF((Expenses!E$3:E$999="GBP")*(Expenses!A$3:A$999=DATE(2026,5,25)),ROW(Expenses!A$3:A$999)-2),1)),0)+IFERROR(INDEX(Income!C$3:C$502,SMALL(IF((Income!D$3:D$502="GBP")*(Income!A$3:A$502=DATE(2026,5,25)),ROW(Income!A$3:A$502)-2),1)),0)=0,"",IFERROR(-INDEX(Expenses!D$3:D$999,SMALL(IF((Expenses!E$3:E$999="GBP")*(Expenses!A$3:A$999=DATE(2026,5,25)),ROW(Expenses!A$3:A$999)-2),1)),0)+IFERROR(INDEX(Income!C$3:C$502,SMALL(IF((Income!D$3:D$502="GBP")*(Income!A$3:A$502=DATE(2026,5,25)),ROW(Income!A$3:A$502)-2),1)),0))</f>
        <v/>
      </c>
      <c r="D109" s="126">
        <f t="array" ref="D109">IF(IFERROR(INDEX(Expenses!B$3:B$999,SMALL(IF((Expenses!E$3:E$999="GBP")*(Expenses!A$3:A$999=DATE(2026,5,25)),ROW(Expenses!A$3:A$999)-2),1)),"")&lt;&gt;"",IFERROR(INDEX(Expenses!B$3:B$999,SMALL(IF((Expenses!E$3:E$999="GBP")*(Expenses!A$3:A$999=DATE(2026,5,25)),ROW(Expenses!A$3:A$999)-2),1)),""),IF(IFERROR(INDEX(Income!B$3:B$502,SMALL(IF((Income!D$3:D$502="GBP")*(Income!A$3:A$502=DATE(2026,5,25)),ROW(Income!A$3:A$502)-2),1)),"")&lt;&gt;"",IFERROR(INDEX(Income!B$3:B$502,SMALL(IF((Income!D$3:D$502="GBP")*(Income!A$3:A$502=DATE(2026,5,25)),ROW(Income!A$3:A$502)-2),1)),""),""))</f>
        <v/>
      </c>
      <c r="E109" s="152">
        <f t="array" ref="E109">IF(IFERROR(-INDEX(Expenses!D$3:D$999,SMALL(IF((Expenses!E$3:E$999="GBP")*(Expenses!A$3:A$999=DATE(2026,5,26)),ROW(Expenses!A$3:A$999)-2),1)),0)+IFERROR(INDEX(Income!C$3:C$502,SMALL(IF((Income!D$3:D$502="GBP")*(Income!A$3:A$502=DATE(2026,5,26)),ROW(Income!A$3:A$502)-2),1)),0)=0,"",IFERROR(-INDEX(Expenses!D$3:D$999,SMALL(IF((Expenses!E$3:E$999="GBP")*(Expenses!A$3:A$999=DATE(2026,5,26)),ROW(Expenses!A$3:A$999)-2),1)),0)+IFERROR(INDEX(Income!C$3:C$502,SMALL(IF((Income!D$3:D$502="GBP")*(Income!A$3:A$502=DATE(2026,5,26)),ROW(Income!A$3:A$502)-2),1)),0))</f>
        <v/>
      </c>
      <c r="F109" s="126">
        <f t="array" ref="F109">IF(IFERROR(INDEX(Expenses!B$3:B$999,SMALL(IF((Expenses!E$3:E$999="GBP")*(Expenses!A$3:A$999=DATE(2026,5,26)),ROW(Expenses!A$3:A$999)-2),1)),"")&lt;&gt;"",IFERROR(INDEX(Expenses!B$3:B$999,SMALL(IF((Expenses!E$3:E$999="GBP")*(Expenses!A$3:A$999=DATE(2026,5,26)),ROW(Expenses!A$3:A$999)-2),1)),""),IF(IFERROR(INDEX(Income!B$3:B$502,SMALL(IF((Income!D$3:D$502="GBP")*(Income!A$3:A$502=DATE(2026,5,26)),ROW(Income!A$3:A$502)-2),1)),"")&lt;&gt;"",IFERROR(INDEX(Income!B$3:B$502,SMALL(IF((Income!D$3:D$502="GBP")*(Income!A$3:A$502=DATE(2026,5,26)),ROW(Income!A$3:A$502)-2),1)),""),""))</f>
        <v/>
      </c>
      <c r="G109" s="152">
        <f t="array" ref="G109">IF(IFERROR(-INDEX(Expenses!D$3:D$999,SMALL(IF((Expenses!E$3:E$999="GBP")*(Expenses!A$3:A$999=DATE(2026,5,27)),ROW(Expenses!A$3:A$999)-2),1)),0)+IFERROR(INDEX(Income!C$3:C$502,SMALL(IF((Income!D$3:D$502="GBP")*(Income!A$3:A$502=DATE(2026,5,27)),ROW(Income!A$3:A$502)-2),1)),0)=0,"",IFERROR(-INDEX(Expenses!D$3:D$999,SMALL(IF((Expenses!E$3:E$999="GBP")*(Expenses!A$3:A$999=DATE(2026,5,27)),ROW(Expenses!A$3:A$999)-2),1)),0)+IFERROR(INDEX(Income!C$3:C$502,SMALL(IF((Income!D$3:D$502="GBP")*(Income!A$3:A$502=DATE(2026,5,27)),ROW(Income!A$3:A$502)-2),1)),0))</f>
        <v/>
      </c>
      <c r="H109" s="126">
        <f t="array" ref="H109">IF(IFERROR(INDEX(Expenses!B$3:B$999,SMALL(IF((Expenses!E$3:E$999="GBP")*(Expenses!A$3:A$999=DATE(2026,5,27)),ROW(Expenses!A$3:A$999)-2),1)),"")&lt;&gt;"",IFERROR(INDEX(Expenses!B$3:B$999,SMALL(IF((Expenses!E$3:E$999="GBP")*(Expenses!A$3:A$999=DATE(2026,5,27)),ROW(Expenses!A$3:A$999)-2),1)),""),IF(IFERROR(INDEX(Income!B$3:B$502,SMALL(IF((Income!D$3:D$502="GBP")*(Income!A$3:A$502=DATE(2026,5,27)),ROW(Income!A$3:A$502)-2),1)),"")&lt;&gt;"",IFERROR(INDEX(Income!B$3:B$502,SMALL(IF((Income!D$3:D$502="GBP")*(Income!A$3:A$502=DATE(2026,5,27)),ROW(Income!A$3:A$502)-2),1)),""),""))</f>
        <v/>
      </c>
      <c r="I109" s="152">
        <f t="array" ref="I109">IF(IFERROR(-INDEX(Expenses!D$3:D$999,SMALL(IF((Expenses!E$3:E$999="GBP")*(Expenses!A$3:A$999=DATE(2026,5,28)),ROW(Expenses!A$3:A$999)-2),1)),0)+IFERROR(INDEX(Income!C$3:C$502,SMALL(IF((Income!D$3:D$502="GBP")*(Income!A$3:A$502=DATE(2026,5,28)),ROW(Income!A$3:A$502)-2),1)),0)=0,"",IFERROR(-INDEX(Expenses!D$3:D$999,SMALL(IF((Expenses!E$3:E$999="GBP")*(Expenses!A$3:A$999=DATE(2026,5,28)),ROW(Expenses!A$3:A$999)-2),1)),0)+IFERROR(INDEX(Income!C$3:C$502,SMALL(IF((Income!D$3:D$502="GBP")*(Income!A$3:A$502=DATE(2026,5,28)),ROW(Income!A$3:A$502)-2),1)),0))</f>
        <v/>
      </c>
      <c r="J109" s="126">
        <f t="array" ref="J109">IF(IFERROR(INDEX(Expenses!B$3:B$999,SMALL(IF((Expenses!E$3:E$999="GBP")*(Expenses!A$3:A$999=DATE(2026,5,28)),ROW(Expenses!A$3:A$999)-2),1)),"")&lt;&gt;"",IFERROR(INDEX(Expenses!B$3:B$999,SMALL(IF((Expenses!E$3:E$999="GBP")*(Expenses!A$3:A$999=DATE(2026,5,28)),ROW(Expenses!A$3:A$999)-2),1)),""),IF(IFERROR(INDEX(Income!B$3:B$502,SMALL(IF((Income!D$3:D$502="GBP")*(Income!A$3:A$502=DATE(2026,5,28)),ROW(Income!A$3:A$502)-2),1)),"")&lt;&gt;"",IFERROR(INDEX(Income!B$3:B$502,SMALL(IF((Income!D$3:D$502="GBP")*(Income!A$3:A$502=DATE(2026,5,28)),ROW(Income!A$3:A$502)-2),1)),""),""))</f>
        <v/>
      </c>
      <c r="K109" s="152">
        <f t="array" ref="K109">IF(IFERROR(-INDEX(Expenses!D$3:D$999,SMALL(IF((Expenses!E$3:E$999="GBP")*(Expenses!A$3:A$999=DATE(2026,5,29)),ROW(Expenses!A$3:A$999)-2),1)),0)+IFERROR(INDEX(Income!C$3:C$502,SMALL(IF((Income!D$3:D$502="GBP")*(Income!A$3:A$502=DATE(2026,5,29)),ROW(Income!A$3:A$502)-2),1)),0)=0,"",IFERROR(-INDEX(Expenses!D$3:D$999,SMALL(IF((Expenses!E$3:E$999="GBP")*(Expenses!A$3:A$999=DATE(2026,5,29)),ROW(Expenses!A$3:A$999)-2),1)),0)+IFERROR(INDEX(Income!C$3:C$502,SMALL(IF((Income!D$3:D$502="GBP")*(Income!A$3:A$502=DATE(2026,5,29)),ROW(Income!A$3:A$502)-2),1)),0))</f>
        <v/>
      </c>
      <c r="L109" s="126">
        <f t="array" ref="L109">IF(IFERROR(INDEX(Expenses!B$3:B$999,SMALL(IF((Expenses!E$3:E$999="GBP")*(Expenses!A$3:A$999=DATE(2026,5,29)),ROW(Expenses!A$3:A$999)-2),1)),"")&lt;&gt;"",IFERROR(INDEX(Expenses!B$3:B$999,SMALL(IF((Expenses!E$3:E$999="GBP")*(Expenses!A$3:A$999=DATE(2026,5,29)),ROW(Expenses!A$3:A$999)-2),1)),""),IF(IFERROR(INDEX(Income!B$3:B$502,SMALL(IF((Income!D$3:D$502="GBP")*(Income!A$3:A$502=DATE(2026,5,29)),ROW(Income!A$3:A$502)-2),1)),"")&lt;&gt;"",IFERROR(INDEX(Income!B$3:B$502,SMALL(IF((Income!D$3:D$502="GBP")*(Income!A$3:A$502=DATE(2026,5,29)),ROW(Income!A$3:A$502)-2),1)),""),""))</f>
        <v/>
      </c>
      <c r="M109" s="152">
        <f t="array" ref="M109">IF(IFERROR(-INDEX(Expenses!D$3:D$999,SMALL(IF((Expenses!E$3:E$999="GBP")*(Expenses!A$3:A$999=DATE(2026,5,30)),ROW(Expenses!A$3:A$999)-2),1)),0)+IFERROR(INDEX(Income!C$3:C$502,SMALL(IF((Income!D$3:D$502="GBP")*(Income!A$3:A$502=DATE(2026,5,30)),ROW(Income!A$3:A$502)-2),1)),0)=0,"",IFERROR(-INDEX(Expenses!D$3:D$999,SMALL(IF((Expenses!E$3:E$999="GBP")*(Expenses!A$3:A$999=DATE(2026,5,30)),ROW(Expenses!A$3:A$999)-2),1)),0)+IFERROR(INDEX(Income!C$3:C$502,SMALL(IF((Income!D$3:D$502="GBP")*(Income!A$3:A$502=DATE(2026,5,30)),ROW(Income!A$3:A$502)-2),1)),0))</f>
        <v/>
      </c>
      <c r="N109" s="126">
        <f t="array" ref="N109">IF(IFERROR(INDEX(Expenses!B$3:B$999,SMALL(IF((Expenses!E$3:E$999="GBP")*(Expenses!A$3:A$999=DATE(2026,5,30)),ROW(Expenses!A$3:A$999)-2),1)),"")&lt;&gt;"",IFERROR(INDEX(Expenses!B$3:B$999,SMALL(IF((Expenses!E$3:E$999="GBP")*(Expenses!A$3:A$999=DATE(2026,5,30)),ROW(Expenses!A$3:A$999)-2),1)),""),IF(IFERROR(INDEX(Income!B$3:B$502,SMALL(IF((Income!D$3:D$502="GBP")*(Income!A$3:A$502=DATE(2026,5,30)),ROW(Income!A$3:A$502)-2),1)),"")&lt;&gt;"",IFERROR(INDEX(Income!B$3:B$502,SMALL(IF((Income!D$3:D$502="GBP")*(Income!A$3:A$502=DATE(2026,5,30)),ROW(Income!A$3:A$502)-2),1)),""),""))</f>
        <v/>
      </c>
      <c r="O109" s="152">
        <f t="array" ref="O109">IF(IFERROR(-INDEX(Expenses!D$3:D$999,SMALL(IF((Expenses!E$3:E$999="GBP")*(Expenses!A$3:A$999=DATE(2026,5,31)),ROW(Expenses!A$3:A$999)-2),1)),0)+IFERROR(INDEX(Income!C$3:C$502,SMALL(IF((Income!D$3:D$502="GBP")*(Income!A$3:A$502=DATE(2026,5,31)),ROW(Income!A$3:A$502)-2),1)),0)=0,"",IFERROR(-INDEX(Expenses!D$3:D$999,SMALL(IF((Expenses!E$3:E$999="GBP")*(Expenses!A$3:A$999=DATE(2026,5,31)),ROW(Expenses!A$3:A$999)-2),1)),0)+IFERROR(INDEX(Income!C$3:C$502,SMALL(IF((Income!D$3:D$502="GBP")*(Income!A$3:A$502=DATE(2026,5,31)),ROW(Income!A$3:A$502)-2),1)),0))</f>
        <v/>
      </c>
      <c r="P109" s="126">
        <f t="array" ref="P109">IF(IFERROR(INDEX(Expenses!B$3:B$999,SMALL(IF((Expenses!E$3:E$999="GBP")*(Expenses!A$3:A$999=DATE(2026,5,31)),ROW(Expenses!A$3:A$999)-2),1)),"")&lt;&gt;"",IFERROR(INDEX(Expenses!B$3:B$999,SMALL(IF((Expenses!E$3:E$999="GBP")*(Expenses!A$3:A$999=DATE(2026,5,31)),ROW(Expenses!A$3:A$999)-2),1)),""),IF(IFERROR(INDEX(Income!B$3:B$502,SMALL(IF((Income!D$3:D$502="GBP")*(Income!A$3:A$502=DATE(2026,5,31)),ROW(Income!A$3:A$502)-2),1)),"")&lt;&gt;"",IFERROR(INDEX(Income!B$3:B$502,SMALL(IF((Income!D$3:D$502="GBP")*(Income!A$3:A$502=DATE(2026,5,31)),ROW(Income!A$3:A$502)-2),1)),""),""))</f>
        <v/>
      </c>
      <c r="Q109" s="103" t="n">
        <v>22</v>
      </c>
      <c r="R109" s="134">
        <f>SUM(C109:C113)+SUM(E109:E113)+SUM(G109:G113)+SUM(I109:I113)+SUM(K109:K113)+SUM(M109:M113)+SUM(O109:O113)</f>
        <v/>
      </c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68">
      <c r="A110" s="9" t="n"/>
      <c r="B110" s="9" t="n"/>
      <c r="C110" s="152">
        <f t="array" ref="C110">IF(IFERROR(-INDEX(Expenses!D$3:D$999,SMALL(IF((Expenses!E$3:E$999="GBP")*(Expenses!A$3:A$999=DATE(2026,5,25)),ROW(Expenses!A$3:A$999)-2),2)),0)+IFERROR(INDEX(Income!C$3:C$502,SMALL(IF((Income!D$3:D$502="GBP")*(Income!A$3:A$502=DATE(2026,5,25)),ROW(Income!A$3:A$502)-2),2)),0)=0,"",IFERROR(-INDEX(Expenses!D$3:D$999,SMALL(IF((Expenses!E$3:E$999="GBP")*(Expenses!A$3:A$999=DATE(2026,5,25)),ROW(Expenses!A$3:A$999)-2),2)),0)+IFERROR(INDEX(Income!C$3:C$502,SMALL(IF((Income!D$3:D$502="GBP")*(Income!A$3:A$502=DATE(2026,5,25)),ROW(Income!A$3:A$502)-2),2)),0))</f>
        <v/>
      </c>
      <c r="D110" s="126">
        <f t="array" ref="D110">IF(IFERROR(INDEX(Expenses!B$3:B$999,SMALL(IF((Expenses!E$3:E$999="GBP")*(Expenses!A$3:A$999=DATE(2026,5,25)),ROW(Expenses!A$3:A$999)-2),2)),"")&lt;&gt;"",IFERROR(INDEX(Expenses!B$3:B$999,SMALL(IF((Expenses!E$3:E$999="GBP")*(Expenses!A$3:A$999=DATE(2026,5,25)),ROW(Expenses!A$3:A$999)-2),2)),""),IF(IFERROR(INDEX(Income!B$3:B$502,SMALL(IF((Income!D$3:D$502="GBP")*(Income!A$3:A$502=DATE(2026,5,25)),ROW(Income!A$3:A$502)-2),2)),"")&lt;&gt;"",IFERROR(INDEX(Income!B$3:B$502,SMALL(IF((Income!D$3:D$502="GBP")*(Income!A$3:A$502=DATE(2026,5,25)),ROW(Income!A$3:A$502)-2),2)),""),""))</f>
        <v/>
      </c>
      <c r="E110" s="152">
        <f t="array" ref="E110">IF(IFERROR(-INDEX(Expenses!D$3:D$999,SMALL(IF((Expenses!E$3:E$999="GBP")*(Expenses!A$3:A$999=DATE(2026,5,26)),ROW(Expenses!A$3:A$999)-2),2)),0)+IFERROR(INDEX(Income!C$3:C$502,SMALL(IF((Income!D$3:D$502="GBP")*(Income!A$3:A$502=DATE(2026,5,26)),ROW(Income!A$3:A$502)-2),2)),0)=0,"",IFERROR(-INDEX(Expenses!D$3:D$999,SMALL(IF((Expenses!E$3:E$999="GBP")*(Expenses!A$3:A$999=DATE(2026,5,26)),ROW(Expenses!A$3:A$999)-2),2)),0)+IFERROR(INDEX(Income!C$3:C$502,SMALL(IF((Income!D$3:D$502="GBP")*(Income!A$3:A$502=DATE(2026,5,26)),ROW(Income!A$3:A$502)-2),2)),0))</f>
        <v/>
      </c>
      <c r="F110" s="126">
        <f t="array" ref="F110">IF(IFERROR(INDEX(Expenses!B$3:B$999,SMALL(IF((Expenses!E$3:E$999="GBP")*(Expenses!A$3:A$999=DATE(2026,5,26)),ROW(Expenses!A$3:A$999)-2),2)),"")&lt;&gt;"",IFERROR(INDEX(Expenses!B$3:B$999,SMALL(IF((Expenses!E$3:E$999="GBP")*(Expenses!A$3:A$999=DATE(2026,5,26)),ROW(Expenses!A$3:A$999)-2),2)),""),IF(IFERROR(INDEX(Income!B$3:B$502,SMALL(IF((Income!D$3:D$502="GBP")*(Income!A$3:A$502=DATE(2026,5,26)),ROW(Income!A$3:A$502)-2),2)),"")&lt;&gt;"",IFERROR(INDEX(Income!B$3:B$502,SMALL(IF((Income!D$3:D$502="GBP")*(Income!A$3:A$502=DATE(2026,5,26)),ROW(Income!A$3:A$502)-2),2)),""),""))</f>
        <v/>
      </c>
      <c r="G110" s="152">
        <f t="array" ref="G110">IF(IFERROR(-INDEX(Expenses!D$3:D$999,SMALL(IF((Expenses!E$3:E$999="GBP")*(Expenses!A$3:A$999=DATE(2026,5,27)),ROW(Expenses!A$3:A$999)-2),2)),0)+IFERROR(INDEX(Income!C$3:C$502,SMALL(IF((Income!D$3:D$502="GBP")*(Income!A$3:A$502=DATE(2026,5,27)),ROW(Income!A$3:A$502)-2),2)),0)=0,"",IFERROR(-INDEX(Expenses!D$3:D$999,SMALL(IF((Expenses!E$3:E$999="GBP")*(Expenses!A$3:A$999=DATE(2026,5,27)),ROW(Expenses!A$3:A$999)-2),2)),0)+IFERROR(INDEX(Income!C$3:C$502,SMALL(IF((Income!D$3:D$502="GBP")*(Income!A$3:A$502=DATE(2026,5,27)),ROW(Income!A$3:A$502)-2),2)),0))</f>
        <v/>
      </c>
      <c r="H110" s="126">
        <f t="array" ref="H110">IF(IFERROR(INDEX(Expenses!B$3:B$999,SMALL(IF((Expenses!E$3:E$999="GBP")*(Expenses!A$3:A$999=DATE(2026,5,27)),ROW(Expenses!A$3:A$999)-2),2)),"")&lt;&gt;"",IFERROR(INDEX(Expenses!B$3:B$999,SMALL(IF((Expenses!E$3:E$999="GBP")*(Expenses!A$3:A$999=DATE(2026,5,27)),ROW(Expenses!A$3:A$999)-2),2)),""),IF(IFERROR(INDEX(Income!B$3:B$502,SMALL(IF((Income!D$3:D$502="GBP")*(Income!A$3:A$502=DATE(2026,5,27)),ROW(Income!A$3:A$502)-2),2)),"")&lt;&gt;"",IFERROR(INDEX(Income!B$3:B$502,SMALL(IF((Income!D$3:D$502="GBP")*(Income!A$3:A$502=DATE(2026,5,27)),ROW(Income!A$3:A$502)-2),2)),""),""))</f>
        <v/>
      </c>
      <c r="I110" s="152">
        <f t="array" ref="I110">IF(IFERROR(-INDEX(Expenses!D$3:D$999,SMALL(IF((Expenses!E$3:E$999="GBP")*(Expenses!A$3:A$999=DATE(2026,5,28)),ROW(Expenses!A$3:A$999)-2),2)),0)+IFERROR(INDEX(Income!C$3:C$502,SMALL(IF((Income!D$3:D$502="GBP")*(Income!A$3:A$502=DATE(2026,5,28)),ROW(Income!A$3:A$502)-2),2)),0)=0,"",IFERROR(-INDEX(Expenses!D$3:D$999,SMALL(IF((Expenses!E$3:E$999="GBP")*(Expenses!A$3:A$999=DATE(2026,5,28)),ROW(Expenses!A$3:A$999)-2),2)),0)+IFERROR(INDEX(Income!C$3:C$502,SMALL(IF((Income!D$3:D$502="GBP")*(Income!A$3:A$502=DATE(2026,5,28)),ROW(Income!A$3:A$502)-2),2)),0))</f>
        <v/>
      </c>
      <c r="J110" s="126">
        <f t="array" ref="J110">IF(IFERROR(INDEX(Expenses!B$3:B$999,SMALL(IF((Expenses!E$3:E$999="GBP")*(Expenses!A$3:A$999=DATE(2026,5,28)),ROW(Expenses!A$3:A$999)-2),2)),"")&lt;&gt;"",IFERROR(INDEX(Expenses!B$3:B$999,SMALL(IF((Expenses!E$3:E$999="GBP")*(Expenses!A$3:A$999=DATE(2026,5,28)),ROW(Expenses!A$3:A$999)-2),2)),""),IF(IFERROR(INDEX(Income!B$3:B$502,SMALL(IF((Income!D$3:D$502="GBP")*(Income!A$3:A$502=DATE(2026,5,28)),ROW(Income!A$3:A$502)-2),2)),"")&lt;&gt;"",IFERROR(INDEX(Income!B$3:B$502,SMALL(IF((Income!D$3:D$502="GBP")*(Income!A$3:A$502=DATE(2026,5,28)),ROW(Income!A$3:A$502)-2),2)),""),""))</f>
        <v/>
      </c>
      <c r="K110" s="152">
        <f t="array" ref="K110">IF(IFERROR(-INDEX(Expenses!D$3:D$999,SMALL(IF((Expenses!E$3:E$999="GBP")*(Expenses!A$3:A$999=DATE(2026,5,29)),ROW(Expenses!A$3:A$999)-2),2)),0)+IFERROR(INDEX(Income!C$3:C$502,SMALL(IF((Income!D$3:D$502="GBP")*(Income!A$3:A$502=DATE(2026,5,29)),ROW(Income!A$3:A$502)-2),2)),0)=0,"",IFERROR(-INDEX(Expenses!D$3:D$999,SMALL(IF((Expenses!E$3:E$999="GBP")*(Expenses!A$3:A$999=DATE(2026,5,29)),ROW(Expenses!A$3:A$999)-2),2)),0)+IFERROR(INDEX(Income!C$3:C$502,SMALL(IF((Income!D$3:D$502="GBP")*(Income!A$3:A$502=DATE(2026,5,29)),ROW(Income!A$3:A$502)-2),2)),0))</f>
        <v/>
      </c>
      <c r="L110" s="126">
        <f t="array" ref="L110">IF(IFERROR(INDEX(Expenses!B$3:B$999,SMALL(IF((Expenses!E$3:E$999="GBP")*(Expenses!A$3:A$999=DATE(2026,5,29)),ROW(Expenses!A$3:A$999)-2),2)),"")&lt;&gt;"",IFERROR(INDEX(Expenses!B$3:B$999,SMALL(IF((Expenses!E$3:E$999="GBP")*(Expenses!A$3:A$999=DATE(2026,5,29)),ROW(Expenses!A$3:A$999)-2),2)),""),IF(IFERROR(INDEX(Income!B$3:B$502,SMALL(IF((Income!D$3:D$502="GBP")*(Income!A$3:A$502=DATE(2026,5,29)),ROW(Income!A$3:A$502)-2),2)),"")&lt;&gt;"",IFERROR(INDEX(Income!B$3:B$502,SMALL(IF((Income!D$3:D$502="GBP")*(Income!A$3:A$502=DATE(2026,5,29)),ROW(Income!A$3:A$502)-2),2)),""),""))</f>
        <v/>
      </c>
      <c r="M110" s="152">
        <f t="array" ref="M110">IF(IFERROR(-INDEX(Expenses!D$3:D$999,SMALL(IF((Expenses!E$3:E$999="GBP")*(Expenses!A$3:A$999=DATE(2026,5,30)),ROW(Expenses!A$3:A$999)-2),2)),0)+IFERROR(INDEX(Income!C$3:C$502,SMALL(IF((Income!D$3:D$502="GBP")*(Income!A$3:A$502=DATE(2026,5,30)),ROW(Income!A$3:A$502)-2),2)),0)=0,"",IFERROR(-INDEX(Expenses!D$3:D$999,SMALL(IF((Expenses!E$3:E$999="GBP")*(Expenses!A$3:A$999=DATE(2026,5,30)),ROW(Expenses!A$3:A$999)-2),2)),0)+IFERROR(INDEX(Income!C$3:C$502,SMALL(IF((Income!D$3:D$502="GBP")*(Income!A$3:A$502=DATE(2026,5,30)),ROW(Income!A$3:A$502)-2),2)),0))</f>
        <v/>
      </c>
      <c r="N110" s="126">
        <f t="array" ref="N110">IF(IFERROR(INDEX(Expenses!B$3:B$999,SMALL(IF((Expenses!E$3:E$999="GBP")*(Expenses!A$3:A$999=DATE(2026,5,30)),ROW(Expenses!A$3:A$999)-2),2)),"")&lt;&gt;"",IFERROR(INDEX(Expenses!B$3:B$999,SMALL(IF((Expenses!E$3:E$999="GBP")*(Expenses!A$3:A$999=DATE(2026,5,30)),ROW(Expenses!A$3:A$999)-2),2)),""),IF(IFERROR(INDEX(Income!B$3:B$502,SMALL(IF((Income!D$3:D$502="GBP")*(Income!A$3:A$502=DATE(2026,5,30)),ROW(Income!A$3:A$502)-2),2)),"")&lt;&gt;"",IFERROR(INDEX(Income!B$3:B$502,SMALL(IF((Income!D$3:D$502="GBP")*(Income!A$3:A$502=DATE(2026,5,30)),ROW(Income!A$3:A$502)-2),2)),""),""))</f>
        <v/>
      </c>
      <c r="O110" s="152">
        <f t="array" ref="O110">IF(IFERROR(-INDEX(Expenses!D$3:D$999,SMALL(IF((Expenses!E$3:E$999="GBP")*(Expenses!A$3:A$999=DATE(2026,5,31)),ROW(Expenses!A$3:A$999)-2),2)),0)+IFERROR(INDEX(Income!C$3:C$502,SMALL(IF((Income!D$3:D$502="GBP")*(Income!A$3:A$502=DATE(2026,5,31)),ROW(Income!A$3:A$502)-2),2)),0)=0,"",IFERROR(-INDEX(Expenses!D$3:D$999,SMALL(IF((Expenses!E$3:E$999="GBP")*(Expenses!A$3:A$999=DATE(2026,5,31)),ROW(Expenses!A$3:A$999)-2),2)),0)+IFERROR(INDEX(Income!C$3:C$502,SMALL(IF((Income!D$3:D$502="GBP")*(Income!A$3:A$502=DATE(2026,5,31)),ROW(Income!A$3:A$502)-2),2)),0))</f>
        <v/>
      </c>
      <c r="P110" s="126">
        <f t="array" ref="P110">IF(IFERROR(INDEX(Expenses!B$3:B$999,SMALL(IF((Expenses!E$3:E$999="GBP")*(Expenses!A$3:A$999=DATE(2026,5,31)),ROW(Expenses!A$3:A$999)-2),2)),"")&lt;&gt;"",IFERROR(INDEX(Expenses!B$3:B$999,SMALL(IF((Expenses!E$3:E$999="GBP")*(Expenses!A$3:A$999=DATE(2026,5,31)),ROW(Expenses!A$3:A$999)-2),2)),""),IF(IFERROR(INDEX(Income!B$3:B$502,SMALL(IF((Income!D$3:D$502="GBP")*(Income!A$3:A$502=DATE(2026,5,31)),ROW(Income!A$3:A$502)-2),2)),"")&lt;&gt;"",IFERROR(INDEX(Income!B$3:B$502,SMALL(IF((Income!D$3:D$502="GBP")*(Income!A$3:A$502=DATE(2026,5,31)),ROW(Income!A$3:A$502)-2),2)),""),""))</f>
        <v/>
      </c>
      <c r="Q110" s="9" t="n"/>
      <c r="R110" s="9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68">
      <c r="A111" s="9" t="n"/>
      <c r="B111" s="9" t="n"/>
      <c r="C111" s="152">
        <f t="array" ref="C111">IF(IFERROR(-INDEX(Expenses!D$3:D$999,SMALL(IF((Expenses!E$3:E$999="GBP")*(Expenses!A$3:A$999=DATE(2026,5,25)),ROW(Expenses!A$3:A$999)-2),3)),0)+IFERROR(INDEX(Income!C$3:C$502,SMALL(IF((Income!D$3:D$502="GBP")*(Income!A$3:A$502=DATE(2026,5,25)),ROW(Income!A$3:A$502)-2),3)),0)=0,"",IFERROR(-INDEX(Expenses!D$3:D$999,SMALL(IF((Expenses!E$3:E$999="GBP")*(Expenses!A$3:A$999=DATE(2026,5,25)),ROW(Expenses!A$3:A$999)-2),3)),0)+IFERROR(INDEX(Income!C$3:C$502,SMALL(IF((Income!D$3:D$502="GBP")*(Income!A$3:A$502=DATE(2026,5,25)),ROW(Income!A$3:A$502)-2),3)),0))</f>
        <v/>
      </c>
      <c r="D111" s="126">
        <f t="array" ref="D111">IF(IFERROR(INDEX(Expenses!B$3:B$999,SMALL(IF((Expenses!E$3:E$999="GBP")*(Expenses!A$3:A$999=DATE(2026,5,25)),ROW(Expenses!A$3:A$999)-2),3)),"")&lt;&gt;"",IFERROR(INDEX(Expenses!B$3:B$999,SMALL(IF((Expenses!E$3:E$999="GBP")*(Expenses!A$3:A$999=DATE(2026,5,25)),ROW(Expenses!A$3:A$999)-2),3)),""),IF(IFERROR(INDEX(Income!B$3:B$502,SMALL(IF((Income!D$3:D$502="GBP")*(Income!A$3:A$502=DATE(2026,5,25)),ROW(Income!A$3:A$502)-2),3)),"")&lt;&gt;"",IFERROR(INDEX(Income!B$3:B$502,SMALL(IF((Income!D$3:D$502="GBP")*(Income!A$3:A$502=DATE(2026,5,25)),ROW(Income!A$3:A$502)-2),3)),""),""))</f>
        <v/>
      </c>
      <c r="E111" s="152">
        <f t="array" ref="E111">IF(IFERROR(-INDEX(Expenses!D$3:D$999,SMALL(IF((Expenses!E$3:E$999="GBP")*(Expenses!A$3:A$999=DATE(2026,5,26)),ROW(Expenses!A$3:A$999)-2),3)),0)+IFERROR(INDEX(Income!C$3:C$502,SMALL(IF((Income!D$3:D$502="GBP")*(Income!A$3:A$502=DATE(2026,5,26)),ROW(Income!A$3:A$502)-2),3)),0)=0,"",IFERROR(-INDEX(Expenses!D$3:D$999,SMALL(IF((Expenses!E$3:E$999="GBP")*(Expenses!A$3:A$999=DATE(2026,5,26)),ROW(Expenses!A$3:A$999)-2),3)),0)+IFERROR(INDEX(Income!C$3:C$502,SMALL(IF((Income!D$3:D$502="GBP")*(Income!A$3:A$502=DATE(2026,5,26)),ROW(Income!A$3:A$502)-2),3)),0))</f>
        <v/>
      </c>
      <c r="F111" s="126">
        <f t="array" ref="F111">IF(IFERROR(INDEX(Expenses!B$3:B$999,SMALL(IF((Expenses!E$3:E$999="GBP")*(Expenses!A$3:A$999=DATE(2026,5,26)),ROW(Expenses!A$3:A$999)-2),3)),"")&lt;&gt;"",IFERROR(INDEX(Expenses!B$3:B$999,SMALL(IF((Expenses!E$3:E$999="GBP")*(Expenses!A$3:A$999=DATE(2026,5,26)),ROW(Expenses!A$3:A$999)-2),3)),""),IF(IFERROR(INDEX(Income!B$3:B$502,SMALL(IF((Income!D$3:D$502="GBP")*(Income!A$3:A$502=DATE(2026,5,26)),ROW(Income!A$3:A$502)-2),3)),"")&lt;&gt;"",IFERROR(INDEX(Income!B$3:B$502,SMALL(IF((Income!D$3:D$502="GBP")*(Income!A$3:A$502=DATE(2026,5,26)),ROW(Income!A$3:A$502)-2),3)),""),""))</f>
        <v/>
      </c>
      <c r="G111" s="152">
        <f t="array" ref="G111">IF(IFERROR(-INDEX(Expenses!D$3:D$999,SMALL(IF((Expenses!E$3:E$999="GBP")*(Expenses!A$3:A$999=DATE(2026,5,27)),ROW(Expenses!A$3:A$999)-2),3)),0)+IFERROR(INDEX(Income!C$3:C$502,SMALL(IF((Income!D$3:D$502="GBP")*(Income!A$3:A$502=DATE(2026,5,27)),ROW(Income!A$3:A$502)-2),3)),0)=0,"",IFERROR(-INDEX(Expenses!D$3:D$999,SMALL(IF((Expenses!E$3:E$999="GBP")*(Expenses!A$3:A$999=DATE(2026,5,27)),ROW(Expenses!A$3:A$999)-2),3)),0)+IFERROR(INDEX(Income!C$3:C$502,SMALL(IF((Income!D$3:D$502="GBP")*(Income!A$3:A$502=DATE(2026,5,27)),ROW(Income!A$3:A$502)-2),3)),0))</f>
        <v/>
      </c>
      <c r="H111" s="126">
        <f t="array" ref="H111">IF(IFERROR(INDEX(Expenses!B$3:B$999,SMALL(IF((Expenses!E$3:E$999="GBP")*(Expenses!A$3:A$999=DATE(2026,5,27)),ROW(Expenses!A$3:A$999)-2),3)),"")&lt;&gt;"",IFERROR(INDEX(Expenses!B$3:B$999,SMALL(IF((Expenses!E$3:E$999="GBP")*(Expenses!A$3:A$999=DATE(2026,5,27)),ROW(Expenses!A$3:A$999)-2),3)),""),IF(IFERROR(INDEX(Income!B$3:B$502,SMALL(IF((Income!D$3:D$502="GBP")*(Income!A$3:A$502=DATE(2026,5,27)),ROW(Income!A$3:A$502)-2),3)),"")&lt;&gt;"",IFERROR(INDEX(Income!B$3:B$502,SMALL(IF((Income!D$3:D$502="GBP")*(Income!A$3:A$502=DATE(2026,5,27)),ROW(Income!A$3:A$502)-2),3)),""),""))</f>
        <v/>
      </c>
      <c r="I111" s="152">
        <f t="array" ref="I111">IF(IFERROR(-INDEX(Expenses!D$3:D$999,SMALL(IF((Expenses!E$3:E$999="GBP")*(Expenses!A$3:A$999=DATE(2026,5,28)),ROW(Expenses!A$3:A$999)-2),3)),0)+IFERROR(INDEX(Income!C$3:C$502,SMALL(IF((Income!D$3:D$502="GBP")*(Income!A$3:A$502=DATE(2026,5,28)),ROW(Income!A$3:A$502)-2),3)),0)=0,"",IFERROR(-INDEX(Expenses!D$3:D$999,SMALL(IF((Expenses!E$3:E$999="GBP")*(Expenses!A$3:A$999=DATE(2026,5,28)),ROW(Expenses!A$3:A$999)-2),3)),0)+IFERROR(INDEX(Income!C$3:C$502,SMALL(IF((Income!D$3:D$502="GBP")*(Income!A$3:A$502=DATE(2026,5,28)),ROW(Income!A$3:A$502)-2),3)),0))</f>
        <v/>
      </c>
      <c r="J111" s="126">
        <f t="array" ref="J111">IF(IFERROR(INDEX(Expenses!B$3:B$999,SMALL(IF((Expenses!E$3:E$999="GBP")*(Expenses!A$3:A$999=DATE(2026,5,28)),ROW(Expenses!A$3:A$999)-2),3)),"")&lt;&gt;"",IFERROR(INDEX(Expenses!B$3:B$999,SMALL(IF((Expenses!E$3:E$999="GBP")*(Expenses!A$3:A$999=DATE(2026,5,28)),ROW(Expenses!A$3:A$999)-2),3)),""),IF(IFERROR(INDEX(Income!B$3:B$502,SMALL(IF((Income!D$3:D$502="GBP")*(Income!A$3:A$502=DATE(2026,5,28)),ROW(Income!A$3:A$502)-2),3)),"")&lt;&gt;"",IFERROR(INDEX(Income!B$3:B$502,SMALL(IF((Income!D$3:D$502="GBP")*(Income!A$3:A$502=DATE(2026,5,28)),ROW(Income!A$3:A$502)-2),3)),""),""))</f>
        <v/>
      </c>
      <c r="K111" s="152">
        <f t="array" ref="K111">IF(IFERROR(-INDEX(Expenses!D$3:D$999,SMALL(IF((Expenses!E$3:E$999="GBP")*(Expenses!A$3:A$999=DATE(2026,5,29)),ROW(Expenses!A$3:A$999)-2),3)),0)+IFERROR(INDEX(Income!C$3:C$502,SMALL(IF((Income!D$3:D$502="GBP")*(Income!A$3:A$502=DATE(2026,5,29)),ROW(Income!A$3:A$502)-2),3)),0)=0,"",IFERROR(-INDEX(Expenses!D$3:D$999,SMALL(IF((Expenses!E$3:E$999="GBP")*(Expenses!A$3:A$999=DATE(2026,5,29)),ROW(Expenses!A$3:A$999)-2),3)),0)+IFERROR(INDEX(Income!C$3:C$502,SMALL(IF((Income!D$3:D$502="GBP")*(Income!A$3:A$502=DATE(2026,5,29)),ROW(Income!A$3:A$502)-2),3)),0))</f>
        <v/>
      </c>
      <c r="L111" s="126">
        <f t="array" ref="L111">IF(IFERROR(INDEX(Expenses!B$3:B$999,SMALL(IF((Expenses!E$3:E$999="GBP")*(Expenses!A$3:A$999=DATE(2026,5,29)),ROW(Expenses!A$3:A$999)-2),3)),"")&lt;&gt;"",IFERROR(INDEX(Expenses!B$3:B$999,SMALL(IF((Expenses!E$3:E$999="GBP")*(Expenses!A$3:A$999=DATE(2026,5,29)),ROW(Expenses!A$3:A$999)-2),3)),""),IF(IFERROR(INDEX(Income!B$3:B$502,SMALL(IF((Income!D$3:D$502="GBP")*(Income!A$3:A$502=DATE(2026,5,29)),ROW(Income!A$3:A$502)-2),3)),"")&lt;&gt;"",IFERROR(INDEX(Income!B$3:B$502,SMALL(IF((Income!D$3:D$502="GBP")*(Income!A$3:A$502=DATE(2026,5,29)),ROW(Income!A$3:A$502)-2),3)),""),""))</f>
        <v/>
      </c>
      <c r="M111" s="152">
        <f t="array" ref="M111">IF(IFERROR(-INDEX(Expenses!D$3:D$999,SMALL(IF((Expenses!E$3:E$999="GBP")*(Expenses!A$3:A$999=DATE(2026,5,30)),ROW(Expenses!A$3:A$999)-2),3)),0)+IFERROR(INDEX(Income!C$3:C$502,SMALL(IF((Income!D$3:D$502="GBP")*(Income!A$3:A$502=DATE(2026,5,30)),ROW(Income!A$3:A$502)-2),3)),0)=0,"",IFERROR(-INDEX(Expenses!D$3:D$999,SMALL(IF((Expenses!E$3:E$999="GBP")*(Expenses!A$3:A$999=DATE(2026,5,30)),ROW(Expenses!A$3:A$999)-2),3)),0)+IFERROR(INDEX(Income!C$3:C$502,SMALL(IF((Income!D$3:D$502="GBP")*(Income!A$3:A$502=DATE(2026,5,30)),ROW(Income!A$3:A$502)-2),3)),0))</f>
        <v/>
      </c>
      <c r="N111" s="126">
        <f t="array" ref="N111">IF(IFERROR(INDEX(Expenses!B$3:B$999,SMALL(IF((Expenses!E$3:E$999="GBP")*(Expenses!A$3:A$999=DATE(2026,5,30)),ROW(Expenses!A$3:A$999)-2),3)),"")&lt;&gt;"",IFERROR(INDEX(Expenses!B$3:B$999,SMALL(IF((Expenses!E$3:E$999="GBP")*(Expenses!A$3:A$999=DATE(2026,5,30)),ROW(Expenses!A$3:A$999)-2),3)),""),IF(IFERROR(INDEX(Income!B$3:B$502,SMALL(IF((Income!D$3:D$502="GBP")*(Income!A$3:A$502=DATE(2026,5,30)),ROW(Income!A$3:A$502)-2),3)),"")&lt;&gt;"",IFERROR(INDEX(Income!B$3:B$502,SMALL(IF((Income!D$3:D$502="GBP")*(Income!A$3:A$502=DATE(2026,5,30)),ROW(Income!A$3:A$502)-2),3)),""),""))</f>
        <v/>
      </c>
      <c r="O111" s="152">
        <f t="array" ref="O111">IF(IFERROR(-INDEX(Expenses!D$3:D$999,SMALL(IF((Expenses!E$3:E$999="GBP")*(Expenses!A$3:A$999=DATE(2026,5,31)),ROW(Expenses!A$3:A$999)-2),3)),0)+IFERROR(INDEX(Income!C$3:C$502,SMALL(IF((Income!D$3:D$502="GBP")*(Income!A$3:A$502=DATE(2026,5,31)),ROW(Income!A$3:A$502)-2),3)),0)=0,"",IFERROR(-INDEX(Expenses!D$3:D$999,SMALL(IF((Expenses!E$3:E$999="GBP")*(Expenses!A$3:A$999=DATE(2026,5,31)),ROW(Expenses!A$3:A$999)-2),3)),0)+IFERROR(INDEX(Income!C$3:C$502,SMALL(IF((Income!D$3:D$502="GBP")*(Income!A$3:A$502=DATE(2026,5,31)),ROW(Income!A$3:A$502)-2),3)),0))</f>
        <v/>
      </c>
      <c r="P111" s="126">
        <f t="array" ref="P111">IF(IFERROR(INDEX(Expenses!B$3:B$999,SMALL(IF((Expenses!E$3:E$999="GBP")*(Expenses!A$3:A$999=DATE(2026,5,31)),ROW(Expenses!A$3:A$999)-2),3)),"")&lt;&gt;"",IFERROR(INDEX(Expenses!B$3:B$999,SMALL(IF((Expenses!E$3:E$999="GBP")*(Expenses!A$3:A$999=DATE(2026,5,31)),ROW(Expenses!A$3:A$999)-2),3)),""),IF(IFERROR(INDEX(Income!B$3:B$502,SMALL(IF((Income!D$3:D$502="GBP")*(Income!A$3:A$502=DATE(2026,5,31)),ROW(Income!A$3:A$502)-2),3)),"")&lt;&gt;"",IFERROR(INDEX(Income!B$3:B$502,SMALL(IF((Income!D$3:D$502="GBP")*(Income!A$3:A$502=DATE(2026,5,31)),ROW(Income!A$3:A$502)-2),3)),""),""))</f>
        <v/>
      </c>
      <c r="Q111" s="9" t="n"/>
      <c r="R111" s="9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68">
      <c r="A112" s="9" t="n"/>
      <c r="B112" s="9" t="n"/>
      <c r="C112" s="152">
        <f t="array" ref="C112">IF(IFERROR(-INDEX(Expenses!D$3:D$999,SMALL(IF((Expenses!E$3:E$999="GBP")*(Expenses!A$3:A$999=DATE(2026,5,25)),ROW(Expenses!A$3:A$999)-2),4)),0)+IFERROR(INDEX(Income!C$3:C$502,SMALL(IF((Income!D$3:D$502="GBP")*(Income!A$3:A$502=DATE(2026,5,25)),ROW(Income!A$3:A$502)-2),4)),0)=0,"",IFERROR(-INDEX(Expenses!D$3:D$999,SMALL(IF((Expenses!E$3:E$999="GBP")*(Expenses!A$3:A$999=DATE(2026,5,25)),ROW(Expenses!A$3:A$999)-2),4)),0)+IFERROR(INDEX(Income!C$3:C$502,SMALL(IF((Income!D$3:D$502="GBP")*(Income!A$3:A$502=DATE(2026,5,25)),ROW(Income!A$3:A$502)-2),4)),0))</f>
        <v/>
      </c>
      <c r="D112" s="126">
        <f t="array" ref="D112">IF(IFERROR(INDEX(Expenses!B$3:B$999,SMALL(IF((Expenses!E$3:E$999="GBP")*(Expenses!A$3:A$999=DATE(2026,5,25)),ROW(Expenses!A$3:A$999)-2),4)),"")&lt;&gt;"",IFERROR(INDEX(Expenses!B$3:B$999,SMALL(IF((Expenses!E$3:E$999="GBP")*(Expenses!A$3:A$999=DATE(2026,5,25)),ROW(Expenses!A$3:A$999)-2),4)),""),IF(IFERROR(INDEX(Income!B$3:B$502,SMALL(IF((Income!D$3:D$502="GBP")*(Income!A$3:A$502=DATE(2026,5,25)),ROW(Income!A$3:A$502)-2),4)),"")&lt;&gt;"",IFERROR(INDEX(Income!B$3:B$502,SMALL(IF((Income!D$3:D$502="GBP")*(Income!A$3:A$502=DATE(2026,5,25)),ROW(Income!A$3:A$502)-2),4)),""),""))</f>
        <v/>
      </c>
      <c r="E112" s="152">
        <f t="array" ref="E112">IF(IFERROR(-INDEX(Expenses!D$3:D$999,SMALL(IF((Expenses!E$3:E$999="GBP")*(Expenses!A$3:A$999=DATE(2026,5,26)),ROW(Expenses!A$3:A$999)-2),4)),0)+IFERROR(INDEX(Income!C$3:C$502,SMALL(IF((Income!D$3:D$502="GBP")*(Income!A$3:A$502=DATE(2026,5,26)),ROW(Income!A$3:A$502)-2),4)),0)=0,"",IFERROR(-INDEX(Expenses!D$3:D$999,SMALL(IF((Expenses!E$3:E$999="GBP")*(Expenses!A$3:A$999=DATE(2026,5,26)),ROW(Expenses!A$3:A$999)-2),4)),0)+IFERROR(INDEX(Income!C$3:C$502,SMALL(IF((Income!D$3:D$502="GBP")*(Income!A$3:A$502=DATE(2026,5,26)),ROW(Income!A$3:A$502)-2),4)),0))</f>
        <v/>
      </c>
      <c r="F112" s="126">
        <f t="array" ref="F112">IF(IFERROR(INDEX(Expenses!B$3:B$999,SMALL(IF((Expenses!E$3:E$999="GBP")*(Expenses!A$3:A$999=DATE(2026,5,26)),ROW(Expenses!A$3:A$999)-2),4)),"")&lt;&gt;"",IFERROR(INDEX(Expenses!B$3:B$999,SMALL(IF((Expenses!E$3:E$999="GBP")*(Expenses!A$3:A$999=DATE(2026,5,26)),ROW(Expenses!A$3:A$999)-2),4)),""),IF(IFERROR(INDEX(Income!B$3:B$502,SMALL(IF((Income!D$3:D$502="GBP")*(Income!A$3:A$502=DATE(2026,5,26)),ROW(Income!A$3:A$502)-2),4)),"")&lt;&gt;"",IFERROR(INDEX(Income!B$3:B$502,SMALL(IF((Income!D$3:D$502="GBP")*(Income!A$3:A$502=DATE(2026,5,26)),ROW(Income!A$3:A$502)-2),4)),""),""))</f>
        <v/>
      </c>
      <c r="G112" s="152">
        <f t="array" ref="G112">IF(IFERROR(-INDEX(Expenses!D$3:D$999,SMALL(IF((Expenses!E$3:E$999="GBP")*(Expenses!A$3:A$999=DATE(2026,5,27)),ROW(Expenses!A$3:A$999)-2),4)),0)+IFERROR(INDEX(Income!C$3:C$502,SMALL(IF((Income!D$3:D$502="GBP")*(Income!A$3:A$502=DATE(2026,5,27)),ROW(Income!A$3:A$502)-2),4)),0)=0,"",IFERROR(-INDEX(Expenses!D$3:D$999,SMALL(IF((Expenses!E$3:E$999="GBP")*(Expenses!A$3:A$999=DATE(2026,5,27)),ROW(Expenses!A$3:A$999)-2),4)),0)+IFERROR(INDEX(Income!C$3:C$502,SMALL(IF((Income!D$3:D$502="GBP")*(Income!A$3:A$502=DATE(2026,5,27)),ROW(Income!A$3:A$502)-2),4)),0))</f>
        <v/>
      </c>
      <c r="H112" s="126">
        <f t="array" ref="H112">IF(IFERROR(INDEX(Expenses!B$3:B$999,SMALL(IF((Expenses!E$3:E$999="GBP")*(Expenses!A$3:A$999=DATE(2026,5,27)),ROW(Expenses!A$3:A$999)-2),4)),"")&lt;&gt;"",IFERROR(INDEX(Expenses!B$3:B$999,SMALL(IF((Expenses!E$3:E$999="GBP")*(Expenses!A$3:A$999=DATE(2026,5,27)),ROW(Expenses!A$3:A$999)-2),4)),""),IF(IFERROR(INDEX(Income!B$3:B$502,SMALL(IF((Income!D$3:D$502="GBP")*(Income!A$3:A$502=DATE(2026,5,27)),ROW(Income!A$3:A$502)-2),4)),"")&lt;&gt;"",IFERROR(INDEX(Income!B$3:B$502,SMALL(IF((Income!D$3:D$502="GBP")*(Income!A$3:A$502=DATE(2026,5,27)),ROW(Income!A$3:A$502)-2),4)),""),""))</f>
        <v/>
      </c>
      <c r="I112" s="152">
        <f t="array" ref="I112">IF(IFERROR(-INDEX(Expenses!D$3:D$999,SMALL(IF((Expenses!E$3:E$999="GBP")*(Expenses!A$3:A$999=DATE(2026,5,28)),ROW(Expenses!A$3:A$999)-2),4)),0)+IFERROR(INDEX(Income!C$3:C$502,SMALL(IF((Income!D$3:D$502="GBP")*(Income!A$3:A$502=DATE(2026,5,28)),ROW(Income!A$3:A$502)-2),4)),0)=0,"",IFERROR(-INDEX(Expenses!D$3:D$999,SMALL(IF((Expenses!E$3:E$999="GBP")*(Expenses!A$3:A$999=DATE(2026,5,28)),ROW(Expenses!A$3:A$999)-2),4)),0)+IFERROR(INDEX(Income!C$3:C$502,SMALL(IF((Income!D$3:D$502="GBP")*(Income!A$3:A$502=DATE(2026,5,28)),ROW(Income!A$3:A$502)-2),4)),0))</f>
        <v/>
      </c>
      <c r="J112" s="126">
        <f t="array" ref="J112">IF(IFERROR(INDEX(Expenses!B$3:B$999,SMALL(IF((Expenses!E$3:E$999="GBP")*(Expenses!A$3:A$999=DATE(2026,5,28)),ROW(Expenses!A$3:A$999)-2),4)),"")&lt;&gt;"",IFERROR(INDEX(Expenses!B$3:B$999,SMALL(IF((Expenses!E$3:E$999="GBP")*(Expenses!A$3:A$999=DATE(2026,5,28)),ROW(Expenses!A$3:A$999)-2),4)),""),IF(IFERROR(INDEX(Income!B$3:B$502,SMALL(IF((Income!D$3:D$502="GBP")*(Income!A$3:A$502=DATE(2026,5,28)),ROW(Income!A$3:A$502)-2),4)),"")&lt;&gt;"",IFERROR(INDEX(Income!B$3:B$502,SMALL(IF((Income!D$3:D$502="GBP")*(Income!A$3:A$502=DATE(2026,5,28)),ROW(Income!A$3:A$502)-2),4)),""),""))</f>
        <v/>
      </c>
      <c r="K112" s="152">
        <f t="array" ref="K112">IF(IFERROR(-INDEX(Expenses!D$3:D$999,SMALL(IF((Expenses!E$3:E$999="GBP")*(Expenses!A$3:A$999=DATE(2026,5,29)),ROW(Expenses!A$3:A$999)-2),4)),0)+IFERROR(INDEX(Income!C$3:C$502,SMALL(IF((Income!D$3:D$502="GBP")*(Income!A$3:A$502=DATE(2026,5,29)),ROW(Income!A$3:A$502)-2),4)),0)=0,"",IFERROR(-INDEX(Expenses!D$3:D$999,SMALL(IF((Expenses!E$3:E$999="GBP")*(Expenses!A$3:A$999=DATE(2026,5,29)),ROW(Expenses!A$3:A$999)-2),4)),0)+IFERROR(INDEX(Income!C$3:C$502,SMALL(IF((Income!D$3:D$502="GBP")*(Income!A$3:A$502=DATE(2026,5,29)),ROW(Income!A$3:A$502)-2),4)),0))</f>
        <v/>
      </c>
      <c r="L112" s="126">
        <f t="array" ref="L112">IF(IFERROR(INDEX(Expenses!B$3:B$999,SMALL(IF((Expenses!E$3:E$999="GBP")*(Expenses!A$3:A$999=DATE(2026,5,29)),ROW(Expenses!A$3:A$999)-2),4)),"")&lt;&gt;"",IFERROR(INDEX(Expenses!B$3:B$999,SMALL(IF((Expenses!E$3:E$999="GBP")*(Expenses!A$3:A$999=DATE(2026,5,29)),ROW(Expenses!A$3:A$999)-2),4)),""),IF(IFERROR(INDEX(Income!B$3:B$502,SMALL(IF((Income!D$3:D$502="GBP")*(Income!A$3:A$502=DATE(2026,5,29)),ROW(Income!A$3:A$502)-2),4)),"")&lt;&gt;"",IFERROR(INDEX(Income!B$3:B$502,SMALL(IF((Income!D$3:D$502="GBP")*(Income!A$3:A$502=DATE(2026,5,29)),ROW(Income!A$3:A$502)-2),4)),""),""))</f>
        <v/>
      </c>
      <c r="M112" s="152">
        <f t="array" ref="M112">IF(IFERROR(-INDEX(Expenses!D$3:D$999,SMALL(IF((Expenses!E$3:E$999="GBP")*(Expenses!A$3:A$999=DATE(2026,5,30)),ROW(Expenses!A$3:A$999)-2),4)),0)+IFERROR(INDEX(Income!C$3:C$502,SMALL(IF((Income!D$3:D$502="GBP")*(Income!A$3:A$502=DATE(2026,5,30)),ROW(Income!A$3:A$502)-2),4)),0)=0,"",IFERROR(-INDEX(Expenses!D$3:D$999,SMALL(IF((Expenses!E$3:E$999="GBP")*(Expenses!A$3:A$999=DATE(2026,5,30)),ROW(Expenses!A$3:A$999)-2),4)),0)+IFERROR(INDEX(Income!C$3:C$502,SMALL(IF((Income!D$3:D$502="GBP")*(Income!A$3:A$502=DATE(2026,5,30)),ROW(Income!A$3:A$502)-2),4)),0))</f>
        <v/>
      </c>
      <c r="N112" s="126">
        <f t="array" ref="N112">IF(IFERROR(INDEX(Expenses!B$3:B$999,SMALL(IF((Expenses!E$3:E$999="GBP")*(Expenses!A$3:A$999=DATE(2026,5,30)),ROW(Expenses!A$3:A$999)-2),4)),"")&lt;&gt;"",IFERROR(INDEX(Expenses!B$3:B$999,SMALL(IF((Expenses!E$3:E$999="GBP")*(Expenses!A$3:A$999=DATE(2026,5,30)),ROW(Expenses!A$3:A$999)-2),4)),""),IF(IFERROR(INDEX(Income!B$3:B$502,SMALL(IF((Income!D$3:D$502="GBP")*(Income!A$3:A$502=DATE(2026,5,30)),ROW(Income!A$3:A$502)-2),4)),"")&lt;&gt;"",IFERROR(INDEX(Income!B$3:B$502,SMALL(IF((Income!D$3:D$502="GBP")*(Income!A$3:A$502=DATE(2026,5,30)),ROW(Income!A$3:A$502)-2),4)),""),""))</f>
        <v/>
      </c>
      <c r="O112" s="152">
        <f t="array" ref="O112">IF(IFERROR(-INDEX(Expenses!D$3:D$999,SMALL(IF((Expenses!E$3:E$999="GBP")*(Expenses!A$3:A$999=DATE(2026,5,31)),ROW(Expenses!A$3:A$999)-2),4)),0)+IFERROR(INDEX(Income!C$3:C$502,SMALL(IF((Income!D$3:D$502="GBP")*(Income!A$3:A$502=DATE(2026,5,31)),ROW(Income!A$3:A$502)-2),4)),0)=0,"",IFERROR(-INDEX(Expenses!D$3:D$999,SMALL(IF((Expenses!E$3:E$999="GBP")*(Expenses!A$3:A$999=DATE(2026,5,31)),ROW(Expenses!A$3:A$999)-2),4)),0)+IFERROR(INDEX(Income!C$3:C$502,SMALL(IF((Income!D$3:D$502="GBP")*(Income!A$3:A$502=DATE(2026,5,31)),ROW(Income!A$3:A$502)-2),4)),0))</f>
        <v/>
      </c>
      <c r="P112" s="126">
        <f t="array" ref="P112">IF(IFERROR(INDEX(Expenses!B$3:B$999,SMALL(IF((Expenses!E$3:E$999="GBP")*(Expenses!A$3:A$999=DATE(2026,5,31)),ROW(Expenses!A$3:A$999)-2),4)),"")&lt;&gt;"",IFERROR(INDEX(Expenses!B$3:B$999,SMALL(IF((Expenses!E$3:E$999="GBP")*(Expenses!A$3:A$999=DATE(2026,5,31)),ROW(Expenses!A$3:A$999)-2),4)),""),IF(IFERROR(INDEX(Income!B$3:B$502,SMALL(IF((Income!D$3:D$502="GBP")*(Income!A$3:A$502=DATE(2026,5,31)),ROW(Income!A$3:A$502)-2),4)),"")&lt;&gt;"",IFERROR(INDEX(Income!B$3:B$502,SMALL(IF((Income!D$3:D$502="GBP")*(Income!A$3:A$502=DATE(2026,5,31)),ROW(Income!A$3:A$502)-2),4)),""),""))</f>
        <v/>
      </c>
      <c r="Q112" s="9" t="n"/>
      <c r="R112" s="9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68">
      <c r="A113" s="9" t="n"/>
      <c r="B113" s="9" t="n"/>
      <c r="C113" s="152">
        <f t="array" ref="C113">IF(IFERROR(-INDEX(Expenses!D$3:D$999,SMALL(IF((Expenses!E$3:E$999="GBP")*(Expenses!A$3:A$999=DATE(2026,5,25)),ROW(Expenses!A$3:A$999)-2),5)),0)+IFERROR(INDEX(Income!C$3:C$502,SMALL(IF((Income!D$3:D$502="GBP")*(Income!A$3:A$502=DATE(2026,5,25)),ROW(Income!A$3:A$502)-2),5)),0)=0,"",IFERROR(-INDEX(Expenses!D$3:D$999,SMALL(IF((Expenses!E$3:E$999="GBP")*(Expenses!A$3:A$999=DATE(2026,5,25)),ROW(Expenses!A$3:A$999)-2),5)),0)+IFERROR(INDEX(Income!C$3:C$502,SMALL(IF((Income!D$3:D$502="GBP")*(Income!A$3:A$502=DATE(2026,5,25)),ROW(Income!A$3:A$502)-2),5)),0))</f>
        <v/>
      </c>
      <c r="D113" s="126">
        <f t="array" ref="D113">IF(IFERROR(INDEX(Expenses!B$3:B$999,SMALL(IF((Expenses!E$3:E$999="GBP")*(Expenses!A$3:A$999=DATE(2026,5,25)),ROW(Expenses!A$3:A$999)-2),5)),"")&lt;&gt;"",IFERROR(INDEX(Expenses!B$3:B$999,SMALL(IF((Expenses!E$3:E$999="GBP")*(Expenses!A$3:A$999=DATE(2026,5,25)),ROW(Expenses!A$3:A$999)-2),5)),""),IF(IFERROR(INDEX(Income!B$3:B$502,SMALL(IF((Income!D$3:D$502="GBP")*(Income!A$3:A$502=DATE(2026,5,25)),ROW(Income!A$3:A$502)-2),5)),"")&lt;&gt;"",IFERROR(INDEX(Income!B$3:B$502,SMALL(IF((Income!D$3:D$502="GBP")*(Income!A$3:A$502=DATE(2026,5,25)),ROW(Income!A$3:A$502)-2),5)),""),""))</f>
        <v/>
      </c>
      <c r="E113" s="152">
        <f t="array" ref="E113">IF(IFERROR(-INDEX(Expenses!D$3:D$999,SMALL(IF((Expenses!E$3:E$999="GBP")*(Expenses!A$3:A$999=DATE(2026,5,26)),ROW(Expenses!A$3:A$999)-2),5)),0)+IFERROR(INDEX(Income!C$3:C$502,SMALL(IF((Income!D$3:D$502="GBP")*(Income!A$3:A$502=DATE(2026,5,26)),ROW(Income!A$3:A$502)-2),5)),0)=0,"",IFERROR(-INDEX(Expenses!D$3:D$999,SMALL(IF((Expenses!E$3:E$999="GBP")*(Expenses!A$3:A$999=DATE(2026,5,26)),ROW(Expenses!A$3:A$999)-2),5)),0)+IFERROR(INDEX(Income!C$3:C$502,SMALL(IF((Income!D$3:D$502="GBP")*(Income!A$3:A$502=DATE(2026,5,26)),ROW(Income!A$3:A$502)-2),5)),0))</f>
        <v/>
      </c>
      <c r="F113" s="126">
        <f t="array" ref="F113">IF(IFERROR(INDEX(Expenses!B$3:B$999,SMALL(IF((Expenses!E$3:E$999="GBP")*(Expenses!A$3:A$999=DATE(2026,5,26)),ROW(Expenses!A$3:A$999)-2),5)),"")&lt;&gt;"",IFERROR(INDEX(Expenses!B$3:B$999,SMALL(IF((Expenses!E$3:E$999="GBP")*(Expenses!A$3:A$999=DATE(2026,5,26)),ROW(Expenses!A$3:A$999)-2),5)),""),IF(IFERROR(INDEX(Income!B$3:B$502,SMALL(IF((Income!D$3:D$502="GBP")*(Income!A$3:A$502=DATE(2026,5,26)),ROW(Income!A$3:A$502)-2),5)),"")&lt;&gt;"",IFERROR(INDEX(Income!B$3:B$502,SMALL(IF((Income!D$3:D$502="GBP")*(Income!A$3:A$502=DATE(2026,5,26)),ROW(Income!A$3:A$502)-2),5)),""),""))</f>
        <v/>
      </c>
      <c r="G113" s="152">
        <f t="array" ref="G113">IF(IFERROR(-INDEX(Expenses!D$3:D$999,SMALL(IF((Expenses!E$3:E$999="GBP")*(Expenses!A$3:A$999=DATE(2026,5,27)),ROW(Expenses!A$3:A$999)-2),5)),0)+IFERROR(INDEX(Income!C$3:C$502,SMALL(IF((Income!D$3:D$502="GBP")*(Income!A$3:A$502=DATE(2026,5,27)),ROW(Income!A$3:A$502)-2),5)),0)=0,"",IFERROR(-INDEX(Expenses!D$3:D$999,SMALL(IF((Expenses!E$3:E$999="GBP")*(Expenses!A$3:A$999=DATE(2026,5,27)),ROW(Expenses!A$3:A$999)-2),5)),0)+IFERROR(INDEX(Income!C$3:C$502,SMALL(IF((Income!D$3:D$502="GBP")*(Income!A$3:A$502=DATE(2026,5,27)),ROW(Income!A$3:A$502)-2),5)),0))</f>
        <v/>
      </c>
      <c r="H113" s="126">
        <f t="array" ref="H113">IF(IFERROR(INDEX(Expenses!B$3:B$999,SMALL(IF((Expenses!E$3:E$999="GBP")*(Expenses!A$3:A$999=DATE(2026,5,27)),ROW(Expenses!A$3:A$999)-2),5)),"")&lt;&gt;"",IFERROR(INDEX(Expenses!B$3:B$999,SMALL(IF((Expenses!E$3:E$999="GBP")*(Expenses!A$3:A$999=DATE(2026,5,27)),ROW(Expenses!A$3:A$999)-2),5)),""),IF(IFERROR(INDEX(Income!B$3:B$502,SMALL(IF((Income!D$3:D$502="GBP")*(Income!A$3:A$502=DATE(2026,5,27)),ROW(Income!A$3:A$502)-2),5)),"")&lt;&gt;"",IFERROR(INDEX(Income!B$3:B$502,SMALL(IF((Income!D$3:D$502="GBP")*(Income!A$3:A$502=DATE(2026,5,27)),ROW(Income!A$3:A$502)-2),5)),""),""))</f>
        <v/>
      </c>
      <c r="I113" s="152">
        <f t="array" ref="I113">IF(IFERROR(-INDEX(Expenses!D$3:D$999,SMALL(IF((Expenses!E$3:E$999="GBP")*(Expenses!A$3:A$999=DATE(2026,5,28)),ROW(Expenses!A$3:A$999)-2),5)),0)+IFERROR(INDEX(Income!C$3:C$502,SMALL(IF((Income!D$3:D$502="GBP")*(Income!A$3:A$502=DATE(2026,5,28)),ROW(Income!A$3:A$502)-2),5)),0)=0,"",IFERROR(-INDEX(Expenses!D$3:D$999,SMALL(IF((Expenses!E$3:E$999="GBP")*(Expenses!A$3:A$999=DATE(2026,5,28)),ROW(Expenses!A$3:A$999)-2),5)),0)+IFERROR(INDEX(Income!C$3:C$502,SMALL(IF((Income!D$3:D$502="GBP")*(Income!A$3:A$502=DATE(2026,5,28)),ROW(Income!A$3:A$502)-2),5)),0))</f>
        <v/>
      </c>
      <c r="J113" s="126">
        <f t="array" ref="J113">IF(IFERROR(INDEX(Expenses!B$3:B$999,SMALL(IF((Expenses!E$3:E$999="GBP")*(Expenses!A$3:A$999=DATE(2026,5,28)),ROW(Expenses!A$3:A$999)-2),5)),"")&lt;&gt;"",IFERROR(INDEX(Expenses!B$3:B$999,SMALL(IF((Expenses!E$3:E$999="GBP")*(Expenses!A$3:A$999=DATE(2026,5,28)),ROW(Expenses!A$3:A$999)-2),5)),""),IF(IFERROR(INDEX(Income!B$3:B$502,SMALL(IF((Income!D$3:D$502="GBP")*(Income!A$3:A$502=DATE(2026,5,28)),ROW(Income!A$3:A$502)-2),5)),"")&lt;&gt;"",IFERROR(INDEX(Income!B$3:B$502,SMALL(IF((Income!D$3:D$502="GBP")*(Income!A$3:A$502=DATE(2026,5,28)),ROW(Income!A$3:A$502)-2),5)),""),""))</f>
        <v/>
      </c>
      <c r="K113" s="152">
        <f t="array" ref="K113">IF(IFERROR(-INDEX(Expenses!D$3:D$999,SMALL(IF((Expenses!E$3:E$999="GBP")*(Expenses!A$3:A$999=DATE(2026,5,29)),ROW(Expenses!A$3:A$999)-2),5)),0)+IFERROR(INDEX(Income!C$3:C$502,SMALL(IF((Income!D$3:D$502="GBP")*(Income!A$3:A$502=DATE(2026,5,29)),ROW(Income!A$3:A$502)-2),5)),0)=0,"",IFERROR(-INDEX(Expenses!D$3:D$999,SMALL(IF((Expenses!E$3:E$999="GBP")*(Expenses!A$3:A$999=DATE(2026,5,29)),ROW(Expenses!A$3:A$999)-2),5)),0)+IFERROR(INDEX(Income!C$3:C$502,SMALL(IF((Income!D$3:D$502="GBP")*(Income!A$3:A$502=DATE(2026,5,29)),ROW(Income!A$3:A$502)-2),5)),0))</f>
        <v/>
      </c>
      <c r="L113" s="126">
        <f t="array" ref="L113">IF(IFERROR(INDEX(Expenses!B$3:B$999,SMALL(IF((Expenses!E$3:E$999="GBP")*(Expenses!A$3:A$999=DATE(2026,5,29)),ROW(Expenses!A$3:A$999)-2),5)),"")&lt;&gt;"",IFERROR(INDEX(Expenses!B$3:B$999,SMALL(IF((Expenses!E$3:E$999="GBP")*(Expenses!A$3:A$999=DATE(2026,5,29)),ROW(Expenses!A$3:A$999)-2),5)),""),IF(IFERROR(INDEX(Income!B$3:B$502,SMALL(IF((Income!D$3:D$502="GBP")*(Income!A$3:A$502=DATE(2026,5,29)),ROW(Income!A$3:A$502)-2),5)),"")&lt;&gt;"",IFERROR(INDEX(Income!B$3:B$502,SMALL(IF((Income!D$3:D$502="GBP")*(Income!A$3:A$502=DATE(2026,5,29)),ROW(Income!A$3:A$502)-2),5)),""),""))</f>
        <v/>
      </c>
      <c r="M113" s="152">
        <f t="array" ref="M113">IF(IFERROR(-INDEX(Expenses!D$3:D$999,SMALL(IF((Expenses!E$3:E$999="GBP")*(Expenses!A$3:A$999=DATE(2026,5,30)),ROW(Expenses!A$3:A$999)-2),5)),0)+IFERROR(INDEX(Income!C$3:C$502,SMALL(IF((Income!D$3:D$502="GBP")*(Income!A$3:A$502=DATE(2026,5,30)),ROW(Income!A$3:A$502)-2),5)),0)=0,"",IFERROR(-INDEX(Expenses!D$3:D$999,SMALL(IF((Expenses!E$3:E$999="GBP")*(Expenses!A$3:A$999=DATE(2026,5,30)),ROW(Expenses!A$3:A$999)-2),5)),0)+IFERROR(INDEX(Income!C$3:C$502,SMALL(IF((Income!D$3:D$502="GBP")*(Income!A$3:A$502=DATE(2026,5,30)),ROW(Income!A$3:A$502)-2),5)),0))</f>
        <v/>
      </c>
      <c r="N113" s="126">
        <f t="array" ref="N113">IF(IFERROR(INDEX(Expenses!B$3:B$999,SMALL(IF((Expenses!E$3:E$999="GBP")*(Expenses!A$3:A$999=DATE(2026,5,30)),ROW(Expenses!A$3:A$999)-2),5)),"")&lt;&gt;"",IFERROR(INDEX(Expenses!B$3:B$999,SMALL(IF((Expenses!E$3:E$999="GBP")*(Expenses!A$3:A$999=DATE(2026,5,30)),ROW(Expenses!A$3:A$999)-2),5)),""),IF(IFERROR(INDEX(Income!B$3:B$502,SMALL(IF((Income!D$3:D$502="GBP")*(Income!A$3:A$502=DATE(2026,5,30)),ROW(Income!A$3:A$502)-2),5)),"")&lt;&gt;"",IFERROR(INDEX(Income!B$3:B$502,SMALL(IF((Income!D$3:D$502="GBP")*(Income!A$3:A$502=DATE(2026,5,30)),ROW(Income!A$3:A$502)-2),5)),""),""))</f>
        <v/>
      </c>
      <c r="O113" s="152">
        <f t="array" ref="O113">IF(IFERROR(-INDEX(Expenses!D$3:D$999,SMALL(IF((Expenses!E$3:E$999="GBP")*(Expenses!A$3:A$999=DATE(2026,5,31)),ROW(Expenses!A$3:A$999)-2),5)),0)+IFERROR(INDEX(Income!C$3:C$502,SMALL(IF((Income!D$3:D$502="GBP")*(Income!A$3:A$502=DATE(2026,5,31)),ROW(Income!A$3:A$502)-2),5)),0)=0,"",IFERROR(-INDEX(Expenses!D$3:D$999,SMALL(IF((Expenses!E$3:E$999="GBP")*(Expenses!A$3:A$999=DATE(2026,5,31)),ROW(Expenses!A$3:A$999)-2),5)),0)+IFERROR(INDEX(Income!C$3:C$502,SMALL(IF((Income!D$3:D$502="GBP")*(Income!A$3:A$502=DATE(2026,5,31)),ROW(Income!A$3:A$502)-2),5)),0))</f>
        <v/>
      </c>
      <c r="P113" s="126">
        <f t="array" ref="P113">IF(IFERROR(INDEX(Expenses!B$3:B$999,SMALL(IF((Expenses!E$3:E$999="GBP")*(Expenses!A$3:A$999=DATE(2026,5,31)),ROW(Expenses!A$3:A$999)-2),5)),"")&lt;&gt;"",IFERROR(INDEX(Expenses!B$3:B$999,SMALL(IF((Expenses!E$3:E$999="GBP")*(Expenses!A$3:A$999=DATE(2026,5,31)),ROW(Expenses!A$3:A$999)-2),5)),""),IF(IFERROR(INDEX(Income!B$3:B$502,SMALL(IF((Income!D$3:D$502="GBP")*(Income!A$3:A$502=DATE(2026,5,31)),ROW(Income!A$3:A$502)-2),5)),"")&lt;&gt;"",IFERROR(INDEX(Income!B$3:B$502,SMALL(IF((Income!D$3:D$502="GBP")*(Income!A$3:A$502=DATE(2026,5,31)),ROW(Income!A$3:A$502)-2),5)),""),""))</f>
        <v/>
      </c>
      <c r="Q113" s="9" t="n"/>
      <c r="R113" s="9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68">
      <c r="A114" s="151" t="n">
        <v>46174</v>
      </c>
      <c r="B114" s="103" t="n">
        <v>23</v>
      </c>
      <c r="C114" s="152">
        <f t="array" ref="C114">IF(IFERROR(-INDEX(Expenses!D$3:D$999,SMALL(IF((Expenses!E$3:E$999="GBP")*(Expenses!A$3:A$999=DATE(2026,6,1)),ROW(Expenses!A$3:A$999)-2),1)),0)+IFERROR(INDEX(Income!C$3:C$502,SMALL(IF((Income!D$3:D$502="GBP")*(Income!A$3:A$502=DATE(2026,6,1)),ROW(Income!A$3:A$502)-2),1)),0)=0,"",IFERROR(-INDEX(Expenses!D$3:D$999,SMALL(IF((Expenses!E$3:E$999="GBP")*(Expenses!A$3:A$999=DATE(2026,6,1)),ROW(Expenses!A$3:A$999)-2),1)),0)+IFERROR(INDEX(Income!C$3:C$502,SMALL(IF((Income!D$3:D$502="GBP")*(Income!A$3:A$502=DATE(2026,6,1)),ROW(Income!A$3:A$502)-2),1)),0))</f>
        <v/>
      </c>
      <c r="D114" s="126">
        <f t="array" ref="D114">IF(IFERROR(INDEX(Expenses!B$3:B$999,SMALL(IF((Expenses!E$3:E$999="GBP")*(Expenses!A$3:A$999=DATE(2026,6,1)),ROW(Expenses!A$3:A$999)-2),1)),"")&lt;&gt;"",IFERROR(INDEX(Expenses!B$3:B$999,SMALL(IF((Expenses!E$3:E$999="GBP")*(Expenses!A$3:A$999=DATE(2026,6,1)),ROW(Expenses!A$3:A$999)-2),1)),""),IF(IFERROR(INDEX(Income!B$3:B$502,SMALL(IF((Income!D$3:D$502="GBP")*(Income!A$3:A$502=DATE(2026,6,1)),ROW(Income!A$3:A$502)-2),1)),"")&lt;&gt;"",IFERROR(INDEX(Income!B$3:B$502,SMALL(IF((Income!D$3:D$502="GBP")*(Income!A$3:A$502=DATE(2026,6,1)),ROW(Income!A$3:A$502)-2),1)),""),""))</f>
        <v/>
      </c>
      <c r="E114" s="152">
        <f t="array" ref="E114">IF(IFERROR(-INDEX(Expenses!D$3:D$999,SMALL(IF((Expenses!E$3:E$999="GBP")*(Expenses!A$3:A$999=DATE(2026,6,2)),ROW(Expenses!A$3:A$999)-2),1)),0)+IFERROR(INDEX(Income!C$3:C$502,SMALL(IF((Income!D$3:D$502="GBP")*(Income!A$3:A$502=DATE(2026,6,2)),ROW(Income!A$3:A$502)-2),1)),0)=0,"",IFERROR(-INDEX(Expenses!D$3:D$999,SMALL(IF((Expenses!E$3:E$999="GBP")*(Expenses!A$3:A$999=DATE(2026,6,2)),ROW(Expenses!A$3:A$999)-2),1)),0)+IFERROR(INDEX(Income!C$3:C$502,SMALL(IF((Income!D$3:D$502="GBP")*(Income!A$3:A$502=DATE(2026,6,2)),ROW(Income!A$3:A$502)-2),1)),0))</f>
        <v/>
      </c>
      <c r="F114" s="126">
        <f t="array" ref="F114">IF(IFERROR(INDEX(Expenses!B$3:B$999,SMALL(IF((Expenses!E$3:E$999="GBP")*(Expenses!A$3:A$999=DATE(2026,6,2)),ROW(Expenses!A$3:A$999)-2),1)),"")&lt;&gt;"",IFERROR(INDEX(Expenses!B$3:B$999,SMALL(IF((Expenses!E$3:E$999="GBP")*(Expenses!A$3:A$999=DATE(2026,6,2)),ROW(Expenses!A$3:A$999)-2),1)),""),IF(IFERROR(INDEX(Income!B$3:B$502,SMALL(IF((Income!D$3:D$502="GBP")*(Income!A$3:A$502=DATE(2026,6,2)),ROW(Income!A$3:A$502)-2),1)),"")&lt;&gt;"",IFERROR(INDEX(Income!B$3:B$502,SMALL(IF((Income!D$3:D$502="GBP")*(Income!A$3:A$502=DATE(2026,6,2)),ROW(Income!A$3:A$502)-2),1)),""),""))</f>
        <v/>
      </c>
      <c r="G114" s="152">
        <f t="array" ref="G114">IF(IFERROR(-INDEX(Expenses!D$3:D$999,SMALL(IF((Expenses!E$3:E$999="GBP")*(Expenses!A$3:A$999=DATE(2026,6,3)),ROW(Expenses!A$3:A$999)-2),1)),0)+IFERROR(INDEX(Income!C$3:C$502,SMALL(IF((Income!D$3:D$502="GBP")*(Income!A$3:A$502=DATE(2026,6,3)),ROW(Income!A$3:A$502)-2),1)),0)=0,"",IFERROR(-INDEX(Expenses!D$3:D$999,SMALL(IF((Expenses!E$3:E$999="GBP")*(Expenses!A$3:A$999=DATE(2026,6,3)),ROW(Expenses!A$3:A$999)-2),1)),0)+IFERROR(INDEX(Income!C$3:C$502,SMALL(IF((Income!D$3:D$502="GBP")*(Income!A$3:A$502=DATE(2026,6,3)),ROW(Income!A$3:A$502)-2),1)),0))</f>
        <v/>
      </c>
      <c r="H114" s="126">
        <f t="array" ref="H114">IF(IFERROR(INDEX(Expenses!B$3:B$999,SMALL(IF((Expenses!E$3:E$999="GBP")*(Expenses!A$3:A$999=DATE(2026,6,3)),ROW(Expenses!A$3:A$999)-2),1)),"")&lt;&gt;"",IFERROR(INDEX(Expenses!B$3:B$999,SMALL(IF((Expenses!E$3:E$999="GBP")*(Expenses!A$3:A$999=DATE(2026,6,3)),ROW(Expenses!A$3:A$999)-2),1)),""),IF(IFERROR(INDEX(Income!B$3:B$502,SMALL(IF((Income!D$3:D$502="GBP")*(Income!A$3:A$502=DATE(2026,6,3)),ROW(Income!A$3:A$502)-2),1)),"")&lt;&gt;"",IFERROR(INDEX(Income!B$3:B$502,SMALL(IF((Income!D$3:D$502="GBP")*(Income!A$3:A$502=DATE(2026,6,3)),ROW(Income!A$3:A$502)-2),1)),""),""))</f>
        <v/>
      </c>
      <c r="I114" s="152">
        <f t="array" ref="I114">IF(IFERROR(-INDEX(Expenses!D$3:D$999,SMALL(IF((Expenses!E$3:E$999="GBP")*(Expenses!A$3:A$999=DATE(2026,6,4)),ROW(Expenses!A$3:A$999)-2),1)),0)+IFERROR(INDEX(Income!C$3:C$502,SMALL(IF((Income!D$3:D$502="GBP")*(Income!A$3:A$502=DATE(2026,6,4)),ROW(Income!A$3:A$502)-2),1)),0)=0,"",IFERROR(-INDEX(Expenses!D$3:D$999,SMALL(IF((Expenses!E$3:E$999="GBP")*(Expenses!A$3:A$999=DATE(2026,6,4)),ROW(Expenses!A$3:A$999)-2),1)),0)+IFERROR(INDEX(Income!C$3:C$502,SMALL(IF((Income!D$3:D$502="GBP")*(Income!A$3:A$502=DATE(2026,6,4)),ROW(Income!A$3:A$502)-2),1)),0))</f>
        <v/>
      </c>
      <c r="J114" s="126">
        <f t="array" ref="J114">IF(IFERROR(INDEX(Expenses!B$3:B$999,SMALL(IF((Expenses!E$3:E$999="GBP")*(Expenses!A$3:A$999=DATE(2026,6,4)),ROW(Expenses!A$3:A$999)-2),1)),"")&lt;&gt;"",IFERROR(INDEX(Expenses!B$3:B$999,SMALL(IF((Expenses!E$3:E$999="GBP")*(Expenses!A$3:A$999=DATE(2026,6,4)),ROW(Expenses!A$3:A$999)-2),1)),""),IF(IFERROR(INDEX(Income!B$3:B$502,SMALL(IF((Income!D$3:D$502="GBP")*(Income!A$3:A$502=DATE(2026,6,4)),ROW(Income!A$3:A$502)-2),1)),"")&lt;&gt;"",IFERROR(INDEX(Income!B$3:B$502,SMALL(IF((Income!D$3:D$502="GBP")*(Income!A$3:A$502=DATE(2026,6,4)),ROW(Income!A$3:A$502)-2),1)),""),""))</f>
        <v/>
      </c>
      <c r="K114" s="152">
        <f t="array" ref="K114">IF(IFERROR(-INDEX(Expenses!D$3:D$999,SMALL(IF((Expenses!E$3:E$999="GBP")*(Expenses!A$3:A$999=DATE(2026,6,5)),ROW(Expenses!A$3:A$999)-2),1)),0)+IFERROR(INDEX(Income!C$3:C$502,SMALL(IF((Income!D$3:D$502="GBP")*(Income!A$3:A$502=DATE(2026,6,5)),ROW(Income!A$3:A$502)-2),1)),0)=0,"",IFERROR(-INDEX(Expenses!D$3:D$999,SMALL(IF((Expenses!E$3:E$999="GBP")*(Expenses!A$3:A$999=DATE(2026,6,5)),ROW(Expenses!A$3:A$999)-2),1)),0)+IFERROR(INDEX(Income!C$3:C$502,SMALL(IF((Income!D$3:D$502="GBP")*(Income!A$3:A$502=DATE(2026,6,5)),ROW(Income!A$3:A$502)-2),1)),0))</f>
        <v/>
      </c>
      <c r="L114" s="126">
        <f t="array" ref="L114">IF(IFERROR(INDEX(Expenses!B$3:B$999,SMALL(IF((Expenses!E$3:E$999="GBP")*(Expenses!A$3:A$999=DATE(2026,6,5)),ROW(Expenses!A$3:A$999)-2),1)),"")&lt;&gt;"",IFERROR(INDEX(Expenses!B$3:B$999,SMALL(IF((Expenses!E$3:E$999="GBP")*(Expenses!A$3:A$999=DATE(2026,6,5)),ROW(Expenses!A$3:A$999)-2),1)),""),IF(IFERROR(INDEX(Income!B$3:B$502,SMALL(IF((Income!D$3:D$502="GBP")*(Income!A$3:A$502=DATE(2026,6,5)),ROW(Income!A$3:A$502)-2),1)),"")&lt;&gt;"",IFERROR(INDEX(Income!B$3:B$502,SMALL(IF((Income!D$3:D$502="GBP")*(Income!A$3:A$502=DATE(2026,6,5)),ROW(Income!A$3:A$502)-2),1)),""),""))</f>
        <v/>
      </c>
      <c r="M114" s="152">
        <f t="array" ref="M114">IF(IFERROR(-INDEX(Expenses!D$3:D$999,SMALL(IF((Expenses!E$3:E$999="GBP")*(Expenses!A$3:A$999=DATE(2026,6,6)),ROW(Expenses!A$3:A$999)-2),1)),0)+IFERROR(INDEX(Income!C$3:C$502,SMALL(IF((Income!D$3:D$502="GBP")*(Income!A$3:A$502=DATE(2026,6,6)),ROW(Income!A$3:A$502)-2),1)),0)=0,"",IFERROR(-INDEX(Expenses!D$3:D$999,SMALL(IF((Expenses!E$3:E$999="GBP")*(Expenses!A$3:A$999=DATE(2026,6,6)),ROW(Expenses!A$3:A$999)-2),1)),0)+IFERROR(INDEX(Income!C$3:C$502,SMALL(IF((Income!D$3:D$502="GBP")*(Income!A$3:A$502=DATE(2026,6,6)),ROW(Income!A$3:A$502)-2),1)),0))</f>
        <v/>
      </c>
      <c r="N114" s="126">
        <f t="array" ref="N114">IF(IFERROR(INDEX(Expenses!B$3:B$999,SMALL(IF((Expenses!E$3:E$999="GBP")*(Expenses!A$3:A$999=DATE(2026,6,6)),ROW(Expenses!A$3:A$999)-2),1)),"")&lt;&gt;"",IFERROR(INDEX(Expenses!B$3:B$999,SMALL(IF((Expenses!E$3:E$999="GBP")*(Expenses!A$3:A$999=DATE(2026,6,6)),ROW(Expenses!A$3:A$999)-2),1)),""),IF(IFERROR(INDEX(Income!B$3:B$502,SMALL(IF((Income!D$3:D$502="GBP")*(Income!A$3:A$502=DATE(2026,6,6)),ROW(Income!A$3:A$502)-2),1)),"")&lt;&gt;"",IFERROR(INDEX(Income!B$3:B$502,SMALL(IF((Income!D$3:D$502="GBP")*(Income!A$3:A$502=DATE(2026,6,6)),ROW(Income!A$3:A$502)-2),1)),""),""))</f>
        <v/>
      </c>
      <c r="O114" s="152">
        <f t="array" ref="O114">IF(IFERROR(-INDEX(Expenses!D$3:D$999,SMALL(IF((Expenses!E$3:E$999="GBP")*(Expenses!A$3:A$999=DATE(2026,6,7)),ROW(Expenses!A$3:A$999)-2),1)),0)+IFERROR(INDEX(Income!C$3:C$502,SMALL(IF((Income!D$3:D$502="GBP")*(Income!A$3:A$502=DATE(2026,6,7)),ROW(Income!A$3:A$502)-2),1)),0)=0,"",IFERROR(-INDEX(Expenses!D$3:D$999,SMALL(IF((Expenses!E$3:E$999="GBP")*(Expenses!A$3:A$999=DATE(2026,6,7)),ROW(Expenses!A$3:A$999)-2),1)),0)+IFERROR(INDEX(Income!C$3:C$502,SMALL(IF((Income!D$3:D$502="GBP")*(Income!A$3:A$502=DATE(2026,6,7)),ROW(Income!A$3:A$502)-2),1)),0))</f>
        <v/>
      </c>
      <c r="P114" s="126">
        <f t="array" ref="P114">IF(IFERROR(INDEX(Expenses!B$3:B$999,SMALL(IF((Expenses!E$3:E$999="GBP")*(Expenses!A$3:A$999=DATE(2026,6,7)),ROW(Expenses!A$3:A$999)-2),1)),"")&lt;&gt;"",IFERROR(INDEX(Expenses!B$3:B$999,SMALL(IF((Expenses!E$3:E$999="GBP")*(Expenses!A$3:A$999=DATE(2026,6,7)),ROW(Expenses!A$3:A$999)-2),1)),""),IF(IFERROR(INDEX(Income!B$3:B$502,SMALL(IF((Income!D$3:D$502="GBP")*(Income!A$3:A$502=DATE(2026,6,7)),ROW(Income!A$3:A$502)-2),1)),"")&lt;&gt;"",IFERROR(INDEX(Income!B$3:B$502,SMALL(IF((Income!D$3:D$502="GBP")*(Income!A$3:A$502=DATE(2026,6,7)),ROW(Income!A$3:A$502)-2),1)),""),""))</f>
        <v/>
      </c>
      <c r="Q114" s="103" t="n">
        <v>23</v>
      </c>
      <c r="R114" s="134">
        <f>SUM(C114:C118)+SUM(E114:E118)+SUM(G114:G118)+SUM(I114:I118)+SUM(K114:K118)+SUM(M114:M118)+SUM(O114:O118)</f>
        <v/>
      </c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68">
      <c r="A115" s="9" t="n"/>
      <c r="B115" s="9" t="n"/>
      <c r="C115" s="152">
        <f t="array" ref="C115">IF(IFERROR(-INDEX(Expenses!D$3:D$999,SMALL(IF((Expenses!E$3:E$999="GBP")*(Expenses!A$3:A$999=DATE(2026,6,1)),ROW(Expenses!A$3:A$999)-2),2)),0)+IFERROR(INDEX(Income!C$3:C$502,SMALL(IF((Income!D$3:D$502="GBP")*(Income!A$3:A$502=DATE(2026,6,1)),ROW(Income!A$3:A$502)-2),2)),0)=0,"",IFERROR(-INDEX(Expenses!D$3:D$999,SMALL(IF((Expenses!E$3:E$999="GBP")*(Expenses!A$3:A$999=DATE(2026,6,1)),ROW(Expenses!A$3:A$999)-2),2)),0)+IFERROR(INDEX(Income!C$3:C$502,SMALL(IF((Income!D$3:D$502="GBP")*(Income!A$3:A$502=DATE(2026,6,1)),ROW(Income!A$3:A$502)-2),2)),0))</f>
        <v/>
      </c>
      <c r="D115" s="126">
        <f t="array" ref="D115">IF(IFERROR(INDEX(Expenses!B$3:B$999,SMALL(IF((Expenses!E$3:E$999="GBP")*(Expenses!A$3:A$999=DATE(2026,6,1)),ROW(Expenses!A$3:A$999)-2),2)),"")&lt;&gt;"",IFERROR(INDEX(Expenses!B$3:B$999,SMALL(IF((Expenses!E$3:E$999="GBP")*(Expenses!A$3:A$999=DATE(2026,6,1)),ROW(Expenses!A$3:A$999)-2),2)),""),IF(IFERROR(INDEX(Income!B$3:B$502,SMALL(IF((Income!D$3:D$502="GBP")*(Income!A$3:A$502=DATE(2026,6,1)),ROW(Income!A$3:A$502)-2),2)),"")&lt;&gt;"",IFERROR(INDEX(Income!B$3:B$502,SMALL(IF((Income!D$3:D$502="GBP")*(Income!A$3:A$502=DATE(2026,6,1)),ROW(Income!A$3:A$502)-2),2)),""),""))</f>
        <v/>
      </c>
      <c r="E115" s="152">
        <f t="array" ref="E115">IF(IFERROR(-INDEX(Expenses!D$3:D$999,SMALL(IF((Expenses!E$3:E$999="GBP")*(Expenses!A$3:A$999=DATE(2026,6,2)),ROW(Expenses!A$3:A$999)-2),2)),0)+IFERROR(INDEX(Income!C$3:C$502,SMALL(IF((Income!D$3:D$502="GBP")*(Income!A$3:A$502=DATE(2026,6,2)),ROW(Income!A$3:A$502)-2),2)),0)=0,"",IFERROR(-INDEX(Expenses!D$3:D$999,SMALL(IF((Expenses!E$3:E$999="GBP")*(Expenses!A$3:A$999=DATE(2026,6,2)),ROW(Expenses!A$3:A$999)-2),2)),0)+IFERROR(INDEX(Income!C$3:C$502,SMALL(IF((Income!D$3:D$502="GBP")*(Income!A$3:A$502=DATE(2026,6,2)),ROW(Income!A$3:A$502)-2),2)),0))</f>
        <v/>
      </c>
      <c r="F115" s="126">
        <f t="array" ref="F115">IF(IFERROR(INDEX(Expenses!B$3:B$999,SMALL(IF((Expenses!E$3:E$999="GBP")*(Expenses!A$3:A$999=DATE(2026,6,2)),ROW(Expenses!A$3:A$999)-2),2)),"")&lt;&gt;"",IFERROR(INDEX(Expenses!B$3:B$999,SMALL(IF((Expenses!E$3:E$999="GBP")*(Expenses!A$3:A$999=DATE(2026,6,2)),ROW(Expenses!A$3:A$999)-2),2)),""),IF(IFERROR(INDEX(Income!B$3:B$502,SMALL(IF((Income!D$3:D$502="GBP")*(Income!A$3:A$502=DATE(2026,6,2)),ROW(Income!A$3:A$502)-2),2)),"")&lt;&gt;"",IFERROR(INDEX(Income!B$3:B$502,SMALL(IF((Income!D$3:D$502="GBP")*(Income!A$3:A$502=DATE(2026,6,2)),ROW(Income!A$3:A$502)-2),2)),""),""))</f>
        <v/>
      </c>
      <c r="G115" s="152">
        <f t="array" ref="G115">IF(IFERROR(-INDEX(Expenses!D$3:D$999,SMALL(IF((Expenses!E$3:E$999="GBP")*(Expenses!A$3:A$999=DATE(2026,6,3)),ROW(Expenses!A$3:A$999)-2),2)),0)+IFERROR(INDEX(Income!C$3:C$502,SMALL(IF((Income!D$3:D$502="GBP")*(Income!A$3:A$502=DATE(2026,6,3)),ROW(Income!A$3:A$502)-2),2)),0)=0,"",IFERROR(-INDEX(Expenses!D$3:D$999,SMALL(IF((Expenses!E$3:E$999="GBP")*(Expenses!A$3:A$999=DATE(2026,6,3)),ROW(Expenses!A$3:A$999)-2),2)),0)+IFERROR(INDEX(Income!C$3:C$502,SMALL(IF((Income!D$3:D$502="GBP")*(Income!A$3:A$502=DATE(2026,6,3)),ROW(Income!A$3:A$502)-2),2)),0))</f>
        <v/>
      </c>
      <c r="H115" s="126">
        <f t="array" ref="H115">IF(IFERROR(INDEX(Expenses!B$3:B$999,SMALL(IF((Expenses!E$3:E$999="GBP")*(Expenses!A$3:A$999=DATE(2026,6,3)),ROW(Expenses!A$3:A$999)-2),2)),"")&lt;&gt;"",IFERROR(INDEX(Expenses!B$3:B$999,SMALL(IF((Expenses!E$3:E$999="GBP")*(Expenses!A$3:A$999=DATE(2026,6,3)),ROW(Expenses!A$3:A$999)-2),2)),""),IF(IFERROR(INDEX(Income!B$3:B$502,SMALL(IF((Income!D$3:D$502="GBP")*(Income!A$3:A$502=DATE(2026,6,3)),ROW(Income!A$3:A$502)-2),2)),"")&lt;&gt;"",IFERROR(INDEX(Income!B$3:B$502,SMALL(IF((Income!D$3:D$502="GBP")*(Income!A$3:A$502=DATE(2026,6,3)),ROW(Income!A$3:A$502)-2),2)),""),""))</f>
        <v/>
      </c>
      <c r="I115" s="152">
        <f t="array" ref="I115">IF(IFERROR(-INDEX(Expenses!D$3:D$999,SMALL(IF((Expenses!E$3:E$999="GBP")*(Expenses!A$3:A$999=DATE(2026,6,4)),ROW(Expenses!A$3:A$999)-2),2)),0)+IFERROR(INDEX(Income!C$3:C$502,SMALL(IF((Income!D$3:D$502="GBP")*(Income!A$3:A$502=DATE(2026,6,4)),ROW(Income!A$3:A$502)-2),2)),0)=0,"",IFERROR(-INDEX(Expenses!D$3:D$999,SMALL(IF((Expenses!E$3:E$999="GBP")*(Expenses!A$3:A$999=DATE(2026,6,4)),ROW(Expenses!A$3:A$999)-2),2)),0)+IFERROR(INDEX(Income!C$3:C$502,SMALL(IF((Income!D$3:D$502="GBP")*(Income!A$3:A$502=DATE(2026,6,4)),ROW(Income!A$3:A$502)-2),2)),0))</f>
        <v/>
      </c>
      <c r="J115" s="126">
        <f t="array" ref="J115">IF(IFERROR(INDEX(Expenses!B$3:B$999,SMALL(IF((Expenses!E$3:E$999="GBP")*(Expenses!A$3:A$999=DATE(2026,6,4)),ROW(Expenses!A$3:A$999)-2),2)),"")&lt;&gt;"",IFERROR(INDEX(Expenses!B$3:B$999,SMALL(IF((Expenses!E$3:E$999="GBP")*(Expenses!A$3:A$999=DATE(2026,6,4)),ROW(Expenses!A$3:A$999)-2),2)),""),IF(IFERROR(INDEX(Income!B$3:B$502,SMALL(IF((Income!D$3:D$502="GBP")*(Income!A$3:A$502=DATE(2026,6,4)),ROW(Income!A$3:A$502)-2),2)),"")&lt;&gt;"",IFERROR(INDEX(Income!B$3:B$502,SMALL(IF((Income!D$3:D$502="GBP")*(Income!A$3:A$502=DATE(2026,6,4)),ROW(Income!A$3:A$502)-2),2)),""),""))</f>
        <v/>
      </c>
      <c r="K115" s="152">
        <f t="array" ref="K115">IF(IFERROR(-INDEX(Expenses!D$3:D$999,SMALL(IF((Expenses!E$3:E$999="GBP")*(Expenses!A$3:A$999=DATE(2026,6,5)),ROW(Expenses!A$3:A$999)-2),2)),0)+IFERROR(INDEX(Income!C$3:C$502,SMALL(IF((Income!D$3:D$502="GBP")*(Income!A$3:A$502=DATE(2026,6,5)),ROW(Income!A$3:A$502)-2),2)),0)=0,"",IFERROR(-INDEX(Expenses!D$3:D$999,SMALL(IF((Expenses!E$3:E$999="GBP")*(Expenses!A$3:A$999=DATE(2026,6,5)),ROW(Expenses!A$3:A$999)-2),2)),0)+IFERROR(INDEX(Income!C$3:C$502,SMALL(IF((Income!D$3:D$502="GBP")*(Income!A$3:A$502=DATE(2026,6,5)),ROW(Income!A$3:A$502)-2),2)),0))</f>
        <v/>
      </c>
      <c r="L115" s="126">
        <f t="array" ref="L115">IF(IFERROR(INDEX(Expenses!B$3:B$999,SMALL(IF((Expenses!E$3:E$999="GBP")*(Expenses!A$3:A$999=DATE(2026,6,5)),ROW(Expenses!A$3:A$999)-2),2)),"")&lt;&gt;"",IFERROR(INDEX(Expenses!B$3:B$999,SMALL(IF((Expenses!E$3:E$999="GBP")*(Expenses!A$3:A$999=DATE(2026,6,5)),ROW(Expenses!A$3:A$999)-2),2)),""),IF(IFERROR(INDEX(Income!B$3:B$502,SMALL(IF((Income!D$3:D$502="GBP")*(Income!A$3:A$502=DATE(2026,6,5)),ROW(Income!A$3:A$502)-2),2)),"")&lt;&gt;"",IFERROR(INDEX(Income!B$3:B$502,SMALL(IF((Income!D$3:D$502="GBP")*(Income!A$3:A$502=DATE(2026,6,5)),ROW(Income!A$3:A$502)-2),2)),""),""))</f>
        <v/>
      </c>
      <c r="M115" s="152">
        <f t="array" ref="M115">IF(IFERROR(-INDEX(Expenses!D$3:D$999,SMALL(IF((Expenses!E$3:E$999="GBP")*(Expenses!A$3:A$999=DATE(2026,6,6)),ROW(Expenses!A$3:A$999)-2),2)),0)+IFERROR(INDEX(Income!C$3:C$502,SMALL(IF((Income!D$3:D$502="GBP")*(Income!A$3:A$502=DATE(2026,6,6)),ROW(Income!A$3:A$502)-2),2)),0)=0,"",IFERROR(-INDEX(Expenses!D$3:D$999,SMALL(IF((Expenses!E$3:E$999="GBP")*(Expenses!A$3:A$999=DATE(2026,6,6)),ROW(Expenses!A$3:A$999)-2),2)),0)+IFERROR(INDEX(Income!C$3:C$502,SMALL(IF((Income!D$3:D$502="GBP")*(Income!A$3:A$502=DATE(2026,6,6)),ROW(Income!A$3:A$502)-2),2)),0))</f>
        <v/>
      </c>
      <c r="N115" s="126">
        <f t="array" ref="N115">IF(IFERROR(INDEX(Expenses!B$3:B$999,SMALL(IF((Expenses!E$3:E$999="GBP")*(Expenses!A$3:A$999=DATE(2026,6,6)),ROW(Expenses!A$3:A$999)-2),2)),"")&lt;&gt;"",IFERROR(INDEX(Expenses!B$3:B$999,SMALL(IF((Expenses!E$3:E$999="GBP")*(Expenses!A$3:A$999=DATE(2026,6,6)),ROW(Expenses!A$3:A$999)-2),2)),""),IF(IFERROR(INDEX(Income!B$3:B$502,SMALL(IF((Income!D$3:D$502="GBP")*(Income!A$3:A$502=DATE(2026,6,6)),ROW(Income!A$3:A$502)-2),2)),"")&lt;&gt;"",IFERROR(INDEX(Income!B$3:B$502,SMALL(IF((Income!D$3:D$502="GBP")*(Income!A$3:A$502=DATE(2026,6,6)),ROW(Income!A$3:A$502)-2),2)),""),""))</f>
        <v/>
      </c>
      <c r="O115" s="152">
        <f t="array" ref="O115">IF(IFERROR(-INDEX(Expenses!D$3:D$999,SMALL(IF((Expenses!E$3:E$999="GBP")*(Expenses!A$3:A$999=DATE(2026,6,7)),ROW(Expenses!A$3:A$999)-2),2)),0)+IFERROR(INDEX(Income!C$3:C$502,SMALL(IF((Income!D$3:D$502="GBP")*(Income!A$3:A$502=DATE(2026,6,7)),ROW(Income!A$3:A$502)-2),2)),0)=0,"",IFERROR(-INDEX(Expenses!D$3:D$999,SMALL(IF((Expenses!E$3:E$999="GBP")*(Expenses!A$3:A$999=DATE(2026,6,7)),ROW(Expenses!A$3:A$999)-2),2)),0)+IFERROR(INDEX(Income!C$3:C$502,SMALL(IF((Income!D$3:D$502="GBP")*(Income!A$3:A$502=DATE(2026,6,7)),ROW(Income!A$3:A$502)-2),2)),0))</f>
        <v/>
      </c>
      <c r="P115" s="126">
        <f t="array" ref="P115">IF(IFERROR(INDEX(Expenses!B$3:B$999,SMALL(IF((Expenses!E$3:E$999="GBP")*(Expenses!A$3:A$999=DATE(2026,6,7)),ROW(Expenses!A$3:A$999)-2),2)),"")&lt;&gt;"",IFERROR(INDEX(Expenses!B$3:B$999,SMALL(IF((Expenses!E$3:E$999="GBP")*(Expenses!A$3:A$999=DATE(2026,6,7)),ROW(Expenses!A$3:A$999)-2),2)),""),IF(IFERROR(INDEX(Income!B$3:B$502,SMALL(IF((Income!D$3:D$502="GBP")*(Income!A$3:A$502=DATE(2026,6,7)),ROW(Income!A$3:A$502)-2),2)),"")&lt;&gt;"",IFERROR(INDEX(Income!B$3:B$502,SMALL(IF((Income!D$3:D$502="GBP")*(Income!A$3:A$502=DATE(2026,6,7)),ROW(Income!A$3:A$502)-2),2)),""),""))</f>
        <v/>
      </c>
      <c r="Q115" s="9" t="n"/>
      <c r="R115" s="9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68">
      <c r="A116" s="9" t="n"/>
      <c r="B116" s="9" t="n"/>
      <c r="C116" s="152">
        <f t="array" ref="C116">IF(IFERROR(-INDEX(Expenses!D$3:D$999,SMALL(IF((Expenses!E$3:E$999="GBP")*(Expenses!A$3:A$999=DATE(2026,6,1)),ROW(Expenses!A$3:A$999)-2),3)),0)+IFERROR(INDEX(Income!C$3:C$502,SMALL(IF((Income!D$3:D$502="GBP")*(Income!A$3:A$502=DATE(2026,6,1)),ROW(Income!A$3:A$502)-2),3)),0)=0,"",IFERROR(-INDEX(Expenses!D$3:D$999,SMALL(IF((Expenses!E$3:E$999="GBP")*(Expenses!A$3:A$999=DATE(2026,6,1)),ROW(Expenses!A$3:A$999)-2),3)),0)+IFERROR(INDEX(Income!C$3:C$502,SMALL(IF((Income!D$3:D$502="GBP")*(Income!A$3:A$502=DATE(2026,6,1)),ROW(Income!A$3:A$502)-2),3)),0))</f>
        <v/>
      </c>
      <c r="D116" s="126">
        <f t="array" ref="D116">IF(IFERROR(INDEX(Expenses!B$3:B$999,SMALL(IF((Expenses!E$3:E$999="GBP")*(Expenses!A$3:A$999=DATE(2026,6,1)),ROW(Expenses!A$3:A$999)-2),3)),"")&lt;&gt;"",IFERROR(INDEX(Expenses!B$3:B$999,SMALL(IF((Expenses!E$3:E$999="GBP")*(Expenses!A$3:A$999=DATE(2026,6,1)),ROW(Expenses!A$3:A$999)-2),3)),""),IF(IFERROR(INDEX(Income!B$3:B$502,SMALL(IF((Income!D$3:D$502="GBP")*(Income!A$3:A$502=DATE(2026,6,1)),ROW(Income!A$3:A$502)-2),3)),"")&lt;&gt;"",IFERROR(INDEX(Income!B$3:B$502,SMALL(IF((Income!D$3:D$502="GBP")*(Income!A$3:A$502=DATE(2026,6,1)),ROW(Income!A$3:A$502)-2),3)),""),""))</f>
        <v/>
      </c>
      <c r="E116" s="152">
        <f t="array" ref="E116">IF(IFERROR(-INDEX(Expenses!D$3:D$999,SMALL(IF((Expenses!E$3:E$999="GBP")*(Expenses!A$3:A$999=DATE(2026,6,2)),ROW(Expenses!A$3:A$999)-2),3)),0)+IFERROR(INDEX(Income!C$3:C$502,SMALL(IF((Income!D$3:D$502="GBP")*(Income!A$3:A$502=DATE(2026,6,2)),ROW(Income!A$3:A$502)-2),3)),0)=0,"",IFERROR(-INDEX(Expenses!D$3:D$999,SMALL(IF((Expenses!E$3:E$999="GBP")*(Expenses!A$3:A$999=DATE(2026,6,2)),ROW(Expenses!A$3:A$999)-2),3)),0)+IFERROR(INDEX(Income!C$3:C$502,SMALL(IF((Income!D$3:D$502="GBP")*(Income!A$3:A$502=DATE(2026,6,2)),ROW(Income!A$3:A$502)-2),3)),0))</f>
        <v/>
      </c>
      <c r="F116" s="126">
        <f t="array" ref="F116">IF(IFERROR(INDEX(Expenses!B$3:B$999,SMALL(IF((Expenses!E$3:E$999="GBP")*(Expenses!A$3:A$999=DATE(2026,6,2)),ROW(Expenses!A$3:A$999)-2),3)),"")&lt;&gt;"",IFERROR(INDEX(Expenses!B$3:B$999,SMALL(IF((Expenses!E$3:E$999="GBP")*(Expenses!A$3:A$999=DATE(2026,6,2)),ROW(Expenses!A$3:A$999)-2),3)),""),IF(IFERROR(INDEX(Income!B$3:B$502,SMALL(IF((Income!D$3:D$502="GBP")*(Income!A$3:A$502=DATE(2026,6,2)),ROW(Income!A$3:A$502)-2),3)),"")&lt;&gt;"",IFERROR(INDEX(Income!B$3:B$502,SMALL(IF((Income!D$3:D$502="GBP")*(Income!A$3:A$502=DATE(2026,6,2)),ROW(Income!A$3:A$502)-2),3)),""),""))</f>
        <v/>
      </c>
      <c r="G116" s="152">
        <f t="array" ref="G116">IF(IFERROR(-INDEX(Expenses!D$3:D$999,SMALL(IF((Expenses!E$3:E$999="GBP")*(Expenses!A$3:A$999=DATE(2026,6,3)),ROW(Expenses!A$3:A$999)-2),3)),0)+IFERROR(INDEX(Income!C$3:C$502,SMALL(IF((Income!D$3:D$502="GBP")*(Income!A$3:A$502=DATE(2026,6,3)),ROW(Income!A$3:A$502)-2),3)),0)=0,"",IFERROR(-INDEX(Expenses!D$3:D$999,SMALL(IF((Expenses!E$3:E$999="GBP")*(Expenses!A$3:A$999=DATE(2026,6,3)),ROW(Expenses!A$3:A$999)-2),3)),0)+IFERROR(INDEX(Income!C$3:C$502,SMALL(IF((Income!D$3:D$502="GBP")*(Income!A$3:A$502=DATE(2026,6,3)),ROW(Income!A$3:A$502)-2),3)),0))</f>
        <v/>
      </c>
      <c r="H116" s="126">
        <f t="array" ref="H116">IF(IFERROR(INDEX(Expenses!B$3:B$999,SMALL(IF((Expenses!E$3:E$999="GBP")*(Expenses!A$3:A$999=DATE(2026,6,3)),ROW(Expenses!A$3:A$999)-2),3)),"")&lt;&gt;"",IFERROR(INDEX(Expenses!B$3:B$999,SMALL(IF((Expenses!E$3:E$999="GBP")*(Expenses!A$3:A$999=DATE(2026,6,3)),ROW(Expenses!A$3:A$999)-2),3)),""),IF(IFERROR(INDEX(Income!B$3:B$502,SMALL(IF((Income!D$3:D$502="GBP")*(Income!A$3:A$502=DATE(2026,6,3)),ROW(Income!A$3:A$502)-2),3)),"")&lt;&gt;"",IFERROR(INDEX(Income!B$3:B$502,SMALL(IF((Income!D$3:D$502="GBP")*(Income!A$3:A$502=DATE(2026,6,3)),ROW(Income!A$3:A$502)-2),3)),""),""))</f>
        <v/>
      </c>
      <c r="I116" s="152">
        <f t="array" ref="I116">IF(IFERROR(-INDEX(Expenses!D$3:D$999,SMALL(IF((Expenses!E$3:E$999="GBP")*(Expenses!A$3:A$999=DATE(2026,6,4)),ROW(Expenses!A$3:A$999)-2),3)),0)+IFERROR(INDEX(Income!C$3:C$502,SMALL(IF((Income!D$3:D$502="GBP")*(Income!A$3:A$502=DATE(2026,6,4)),ROW(Income!A$3:A$502)-2),3)),0)=0,"",IFERROR(-INDEX(Expenses!D$3:D$999,SMALL(IF((Expenses!E$3:E$999="GBP")*(Expenses!A$3:A$999=DATE(2026,6,4)),ROW(Expenses!A$3:A$999)-2),3)),0)+IFERROR(INDEX(Income!C$3:C$502,SMALL(IF((Income!D$3:D$502="GBP")*(Income!A$3:A$502=DATE(2026,6,4)),ROW(Income!A$3:A$502)-2),3)),0))</f>
        <v/>
      </c>
      <c r="J116" s="126">
        <f t="array" ref="J116">IF(IFERROR(INDEX(Expenses!B$3:B$999,SMALL(IF((Expenses!E$3:E$999="GBP")*(Expenses!A$3:A$999=DATE(2026,6,4)),ROW(Expenses!A$3:A$999)-2),3)),"")&lt;&gt;"",IFERROR(INDEX(Expenses!B$3:B$999,SMALL(IF((Expenses!E$3:E$999="GBP")*(Expenses!A$3:A$999=DATE(2026,6,4)),ROW(Expenses!A$3:A$999)-2),3)),""),IF(IFERROR(INDEX(Income!B$3:B$502,SMALL(IF((Income!D$3:D$502="GBP")*(Income!A$3:A$502=DATE(2026,6,4)),ROW(Income!A$3:A$502)-2),3)),"")&lt;&gt;"",IFERROR(INDEX(Income!B$3:B$502,SMALL(IF((Income!D$3:D$502="GBP")*(Income!A$3:A$502=DATE(2026,6,4)),ROW(Income!A$3:A$502)-2),3)),""),""))</f>
        <v/>
      </c>
      <c r="K116" s="152">
        <f t="array" ref="K116">IF(IFERROR(-INDEX(Expenses!D$3:D$999,SMALL(IF((Expenses!E$3:E$999="GBP")*(Expenses!A$3:A$999=DATE(2026,6,5)),ROW(Expenses!A$3:A$999)-2),3)),0)+IFERROR(INDEX(Income!C$3:C$502,SMALL(IF((Income!D$3:D$502="GBP")*(Income!A$3:A$502=DATE(2026,6,5)),ROW(Income!A$3:A$502)-2),3)),0)=0,"",IFERROR(-INDEX(Expenses!D$3:D$999,SMALL(IF((Expenses!E$3:E$999="GBP")*(Expenses!A$3:A$999=DATE(2026,6,5)),ROW(Expenses!A$3:A$999)-2),3)),0)+IFERROR(INDEX(Income!C$3:C$502,SMALL(IF((Income!D$3:D$502="GBP")*(Income!A$3:A$502=DATE(2026,6,5)),ROW(Income!A$3:A$502)-2),3)),0))</f>
        <v/>
      </c>
      <c r="L116" s="126">
        <f t="array" ref="L116">IF(IFERROR(INDEX(Expenses!B$3:B$999,SMALL(IF((Expenses!E$3:E$999="GBP")*(Expenses!A$3:A$999=DATE(2026,6,5)),ROW(Expenses!A$3:A$999)-2),3)),"")&lt;&gt;"",IFERROR(INDEX(Expenses!B$3:B$999,SMALL(IF((Expenses!E$3:E$999="GBP")*(Expenses!A$3:A$999=DATE(2026,6,5)),ROW(Expenses!A$3:A$999)-2),3)),""),IF(IFERROR(INDEX(Income!B$3:B$502,SMALL(IF((Income!D$3:D$502="GBP")*(Income!A$3:A$502=DATE(2026,6,5)),ROW(Income!A$3:A$502)-2),3)),"")&lt;&gt;"",IFERROR(INDEX(Income!B$3:B$502,SMALL(IF((Income!D$3:D$502="GBP")*(Income!A$3:A$502=DATE(2026,6,5)),ROW(Income!A$3:A$502)-2),3)),""),""))</f>
        <v/>
      </c>
      <c r="M116" s="152">
        <f t="array" ref="M116">IF(IFERROR(-INDEX(Expenses!D$3:D$999,SMALL(IF((Expenses!E$3:E$999="GBP")*(Expenses!A$3:A$999=DATE(2026,6,6)),ROW(Expenses!A$3:A$999)-2),3)),0)+IFERROR(INDEX(Income!C$3:C$502,SMALL(IF((Income!D$3:D$502="GBP")*(Income!A$3:A$502=DATE(2026,6,6)),ROW(Income!A$3:A$502)-2),3)),0)=0,"",IFERROR(-INDEX(Expenses!D$3:D$999,SMALL(IF((Expenses!E$3:E$999="GBP")*(Expenses!A$3:A$999=DATE(2026,6,6)),ROW(Expenses!A$3:A$999)-2),3)),0)+IFERROR(INDEX(Income!C$3:C$502,SMALL(IF((Income!D$3:D$502="GBP")*(Income!A$3:A$502=DATE(2026,6,6)),ROW(Income!A$3:A$502)-2),3)),0))</f>
        <v/>
      </c>
      <c r="N116" s="126">
        <f t="array" ref="N116">IF(IFERROR(INDEX(Expenses!B$3:B$999,SMALL(IF((Expenses!E$3:E$999="GBP")*(Expenses!A$3:A$999=DATE(2026,6,6)),ROW(Expenses!A$3:A$999)-2),3)),"")&lt;&gt;"",IFERROR(INDEX(Expenses!B$3:B$999,SMALL(IF((Expenses!E$3:E$999="GBP")*(Expenses!A$3:A$999=DATE(2026,6,6)),ROW(Expenses!A$3:A$999)-2),3)),""),IF(IFERROR(INDEX(Income!B$3:B$502,SMALL(IF((Income!D$3:D$502="GBP")*(Income!A$3:A$502=DATE(2026,6,6)),ROW(Income!A$3:A$502)-2),3)),"")&lt;&gt;"",IFERROR(INDEX(Income!B$3:B$502,SMALL(IF((Income!D$3:D$502="GBP")*(Income!A$3:A$502=DATE(2026,6,6)),ROW(Income!A$3:A$502)-2),3)),""),""))</f>
        <v/>
      </c>
      <c r="O116" s="152">
        <f t="array" ref="O116">IF(IFERROR(-INDEX(Expenses!D$3:D$999,SMALL(IF((Expenses!E$3:E$999="GBP")*(Expenses!A$3:A$999=DATE(2026,6,7)),ROW(Expenses!A$3:A$999)-2),3)),0)+IFERROR(INDEX(Income!C$3:C$502,SMALL(IF((Income!D$3:D$502="GBP")*(Income!A$3:A$502=DATE(2026,6,7)),ROW(Income!A$3:A$502)-2),3)),0)=0,"",IFERROR(-INDEX(Expenses!D$3:D$999,SMALL(IF((Expenses!E$3:E$999="GBP")*(Expenses!A$3:A$999=DATE(2026,6,7)),ROW(Expenses!A$3:A$999)-2),3)),0)+IFERROR(INDEX(Income!C$3:C$502,SMALL(IF((Income!D$3:D$502="GBP")*(Income!A$3:A$502=DATE(2026,6,7)),ROW(Income!A$3:A$502)-2),3)),0))</f>
        <v/>
      </c>
      <c r="P116" s="126">
        <f t="array" ref="P116">IF(IFERROR(INDEX(Expenses!B$3:B$999,SMALL(IF((Expenses!E$3:E$999="GBP")*(Expenses!A$3:A$999=DATE(2026,6,7)),ROW(Expenses!A$3:A$999)-2),3)),"")&lt;&gt;"",IFERROR(INDEX(Expenses!B$3:B$999,SMALL(IF((Expenses!E$3:E$999="GBP")*(Expenses!A$3:A$999=DATE(2026,6,7)),ROW(Expenses!A$3:A$999)-2),3)),""),IF(IFERROR(INDEX(Income!B$3:B$502,SMALL(IF((Income!D$3:D$502="GBP")*(Income!A$3:A$502=DATE(2026,6,7)),ROW(Income!A$3:A$502)-2),3)),"")&lt;&gt;"",IFERROR(INDEX(Income!B$3:B$502,SMALL(IF((Income!D$3:D$502="GBP")*(Income!A$3:A$502=DATE(2026,6,7)),ROW(Income!A$3:A$502)-2),3)),""),""))</f>
        <v/>
      </c>
      <c r="Q116" s="9" t="n"/>
      <c r="R116" s="9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68">
      <c r="A117" s="9" t="n"/>
      <c r="B117" s="9" t="n"/>
      <c r="C117" s="152">
        <f t="array" ref="C117">IF(IFERROR(-INDEX(Expenses!D$3:D$999,SMALL(IF((Expenses!E$3:E$999="GBP")*(Expenses!A$3:A$999=DATE(2026,6,1)),ROW(Expenses!A$3:A$999)-2),4)),0)+IFERROR(INDEX(Income!C$3:C$502,SMALL(IF((Income!D$3:D$502="GBP")*(Income!A$3:A$502=DATE(2026,6,1)),ROW(Income!A$3:A$502)-2),4)),0)=0,"",IFERROR(-INDEX(Expenses!D$3:D$999,SMALL(IF((Expenses!E$3:E$999="GBP")*(Expenses!A$3:A$999=DATE(2026,6,1)),ROW(Expenses!A$3:A$999)-2),4)),0)+IFERROR(INDEX(Income!C$3:C$502,SMALL(IF((Income!D$3:D$502="GBP")*(Income!A$3:A$502=DATE(2026,6,1)),ROW(Income!A$3:A$502)-2),4)),0))</f>
        <v/>
      </c>
      <c r="D117" s="126">
        <f t="array" ref="D117">IF(IFERROR(INDEX(Expenses!B$3:B$999,SMALL(IF((Expenses!E$3:E$999="GBP")*(Expenses!A$3:A$999=DATE(2026,6,1)),ROW(Expenses!A$3:A$999)-2),4)),"")&lt;&gt;"",IFERROR(INDEX(Expenses!B$3:B$999,SMALL(IF((Expenses!E$3:E$999="GBP")*(Expenses!A$3:A$999=DATE(2026,6,1)),ROW(Expenses!A$3:A$999)-2),4)),""),IF(IFERROR(INDEX(Income!B$3:B$502,SMALL(IF((Income!D$3:D$502="GBP")*(Income!A$3:A$502=DATE(2026,6,1)),ROW(Income!A$3:A$502)-2),4)),"")&lt;&gt;"",IFERROR(INDEX(Income!B$3:B$502,SMALL(IF((Income!D$3:D$502="GBP")*(Income!A$3:A$502=DATE(2026,6,1)),ROW(Income!A$3:A$502)-2),4)),""),""))</f>
        <v/>
      </c>
      <c r="E117" s="152">
        <f t="array" ref="E117">IF(IFERROR(-INDEX(Expenses!D$3:D$999,SMALL(IF((Expenses!E$3:E$999="GBP")*(Expenses!A$3:A$999=DATE(2026,6,2)),ROW(Expenses!A$3:A$999)-2),4)),0)+IFERROR(INDEX(Income!C$3:C$502,SMALL(IF((Income!D$3:D$502="GBP")*(Income!A$3:A$502=DATE(2026,6,2)),ROW(Income!A$3:A$502)-2),4)),0)=0,"",IFERROR(-INDEX(Expenses!D$3:D$999,SMALL(IF((Expenses!E$3:E$999="GBP")*(Expenses!A$3:A$999=DATE(2026,6,2)),ROW(Expenses!A$3:A$999)-2),4)),0)+IFERROR(INDEX(Income!C$3:C$502,SMALL(IF((Income!D$3:D$502="GBP")*(Income!A$3:A$502=DATE(2026,6,2)),ROW(Income!A$3:A$502)-2),4)),0))</f>
        <v/>
      </c>
      <c r="F117" s="126">
        <f t="array" ref="F117">IF(IFERROR(INDEX(Expenses!B$3:B$999,SMALL(IF((Expenses!E$3:E$999="GBP")*(Expenses!A$3:A$999=DATE(2026,6,2)),ROW(Expenses!A$3:A$999)-2),4)),"")&lt;&gt;"",IFERROR(INDEX(Expenses!B$3:B$999,SMALL(IF((Expenses!E$3:E$999="GBP")*(Expenses!A$3:A$999=DATE(2026,6,2)),ROW(Expenses!A$3:A$999)-2),4)),""),IF(IFERROR(INDEX(Income!B$3:B$502,SMALL(IF((Income!D$3:D$502="GBP")*(Income!A$3:A$502=DATE(2026,6,2)),ROW(Income!A$3:A$502)-2),4)),"")&lt;&gt;"",IFERROR(INDEX(Income!B$3:B$502,SMALL(IF((Income!D$3:D$502="GBP")*(Income!A$3:A$502=DATE(2026,6,2)),ROW(Income!A$3:A$502)-2),4)),""),""))</f>
        <v/>
      </c>
      <c r="G117" s="152">
        <f t="array" ref="G117">IF(IFERROR(-INDEX(Expenses!D$3:D$999,SMALL(IF((Expenses!E$3:E$999="GBP")*(Expenses!A$3:A$999=DATE(2026,6,3)),ROW(Expenses!A$3:A$999)-2),4)),0)+IFERROR(INDEX(Income!C$3:C$502,SMALL(IF((Income!D$3:D$502="GBP")*(Income!A$3:A$502=DATE(2026,6,3)),ROW(Income!A$3:A$502)-2),4)),0)=0,"",IFERROR(-INDEX(Expenses!D$3:D$999,SMALL(IF((Expenses!E$3:E$999="GBP")*(Expenses!A$3:A$999=DATE(2026,6,3)),ROW(Expenses!A$3:A$999)-2),4)),0)+IFERROR(INDEX(Income!C$3:C$502,SMALL(IF((Income!D$3:D$502="GBP")*(Income!A$3:A$502=DATE(2026,6,3)),ROW(Income!A$3:A$502)-2),4)),0))</f>
        <v/>
      </c>
      <c r="H117" s="126">
        <f t="array" ref="H117">IF(IFERROR(INDEX(Expenses!B$3:B$999,SMALL(IF((Expenses!E$3:E$999="GBP")*(Expenses!A$3:A$999=DATE(2026,6,3)),ROW(Expenses!A$3:A$999)-2),4)),"")&lt;&gt;"",IFERROR(INDEX(Expenses!B$3:B$999,SMALL(IF((Expenses!E$3:E$999="GBP")*(Expenses!A$3:A$999=DATE(2026,6,3)),ROW(Expenses!A$3:A$999)-2),4)),""),IF(IFERROR(INDEX(Income!B$3:B$502,SMALL(IF((Income!D$3:D$502="GBP")*(Income!A$3:A$502=DATE(2026,6,3)),ROW(Income!A$3:A$502)-2),4)),"")&lt;&gt;"",IFERROR(INDEX(Income!B$3:B$502,SMALL(IF((Income!D$3:D$502="GBP")*(Income!A$3:A$502=DATE(2026,6,3)),ROW(Income!A$3:A$502)-2),4)),""),""))</f>
        <v/>
      </c>
      <c r="I117" s="152">
        <f t="array" ref="I117">IF(IFERROR(-INDEX(Expenses!D$3:D$999,SMALL(IF((Expenses!E$3:E$999="GBP")*(Expenses!A$3:A$999=DATE(2026,6,4)),ROW(Expenses!A$3:A$999)-2),4)),0)+IFERROR(INDEX(Income!C$3:C$502,SMALL(IF((Income!D$3:D$502="GBP")*(Income!A$3:A$502=DATE(2026,6,4)),ROW(Income!A$3:A$502)-2),4)),0)=0,"",IFERROR(-INDEX(Expenses!D$3:D$999,SMALL(IF((Expenses!E$3:E$999="GBP")*(Expenses!A$3:A$999=DATE(2026,6,4)),ROW(Expenses!A$3:A$999)-2),4)),0)+IFERROR(INDEX(Income!C$3:C$502,SMALL(IF((Income!D$3:D$502="GBP")*(Income!A$3:A$502=DATE(2026,6,4)),ROW(Income!A$3:A$502)-2),4)),0))</f>
        <v/>
      </c>
      <c r="J117" s="126">
        <f t="array" ref="J117">IF(IFERROR(INDEX(Expenses!B$3:B$999,SMALL(IF((Expenses!E$3:E$999="GBP")*(Expenses!A$3:A$999=DATE(2026,6,4)),ROW(Expenses!A$3:A$999)-2),4)),"")&lt;&gt;"",IFERROR(INDEX(Expenses!B$3:B$999,SMALL(IF((Expenses!E$3:E$999="GBP")*(Expenses!A$3:A$999=DATE(2026,6,4)),ROW(Expenses!A$3:A$999)-2),4)),""),IF(IFERROR(INDEX(Income!B$3:B$502,SMALL(IF((Income!D$3:D$502="GBP")*(Income!A$3:A$502=DATE(2026,6,4)),ROW(Income!A$3:A$502)-2),4)),"")&lt;&gt;"",IFERROR(INDEX(Income!B$3:B$502,SMALL(IF((Income!D$3:D$502="GBP")*(Income!A$3:A$502=DATE(2026,6,4)),ROW(Income!A$3:A$502)-2),4)),""),""))</f>
        <v/>
      </c>
      <c r="K117" s="152">
        <f t="array" ref="K117">IF(IFERROR(-INDEX(Expenses!D$3:D$999,SMALL(IF((Expenses!E$3:E$999="GBP")*(Expenses!A$3:A$999=DATE(2026,6,5)),ROW(Expenses!A$3:A$999)-2),4)),0)+IFERROR(INDEX(Income!C$3:C$502,SMALL(IF((Income!D$3:D$502="GBP")*(Income!A$3:A$502=DATE(2026,6,5)),ROW(Income!A$3:A$502)-2),4)),0)=0,"",IFERROR(-INDEX(Expenses!D$3:D$999,SMALL(IF((Expenses!E$3:E$999="GBP")*(Expenses!A$3:A$999=DATE(2026,6,5)),ROW(Expenses!A$3:A$999)-2),4)),0)+IFERROR(INDEX(Income!C$3:C$502,SMALL(IF((Income!D$3:D$502="GBP")*(Income!A$3:A$502=DATE(2026,6,5)),ROW(Income!A$3:A$502)-2),4)),0))</f>
        <v/>
      </c>
      <c r="L117" s="126">
        <f t="array" ref="L117">IF(IFERROR(INDEX(Expenses!B$3:B$999,SMALL(IF((Expenses!E$3:E$999="GBP")*(Expenses!A$3:A$999=DATE(2026,6,5)),ROW(Expenses!A$3:A$999)-2),4)),"")&lt;&gt;"",IFERROR(INDEX(Expenses!B$3:B$999,SMALL(IF((Expenses!E$3:E$999="GBP")*(Expenses!A$3:A$999=DATE(2026,6,5)),ROW(Expenses!A$3:A$999)-2),4)),""),IF(IFERROR(INDEX(Income!B$3:B$502,SMALL(IF((Income!D$3:D$502="GBP")*(Income!A$3:A$502=DATE(2026,6,5)),ROW(Income!A$3:A$502)-2),4)),"")&lt;&gt;"",IFERROR(INDEX(Income!B$3:B$502,SMALL(IF((Income!D$3:D$502="GBP")*(Income!A$3:A$502=DATE(2026,6,5)),ROW(Income!A$3:A$502)-2),4)),""),""))</f>
        <v/>
      </c>
      <c r="M117" s="152">
        <f t="array" ref="M117">IF(IFERROR(-INDEX(Expenses!D$3:D$999,SMALL(IF((Expenses!E$3:E$999="GBP")*(Expenses!A$3:A$999=DATE(2026,6,6)),ROW(Expenses!A$3:A$999)-2),4)),0)+IFERROR(INDEX(Income!C$3:C$502,SMALL(IF((Income!D$3:D$502="GBP")*(Income!A$3:A$502=DATE(2026,6,6)),ROW(Income!A$3:A$502)-2),4)),0)=0,"",IFERROR(-INDEX(Expenses!D$3:D$999,SMALL(IF((Expenses!E$3:E$999="GBP")*(Expenses!A$3:A$999=DATE(2026,6,6)),ROW(Expenses!A$3:A$999)-2),4)),0)+IFERROR(INDEX(Income!C$3:C$502,SMALL(IF((Income!D$3:D$502="GBP")*(Income!A$3:A$502=DATE(2026,6,6)),ROW(Income!A$3:A$502)-2),4)),0))</f>
        <v/>
      </c>
      <c r="N117" s="126">
        <f t="array" ref="N117">IF(IFERROR(INDEX(Expenses!B$3:B$999,SMALL(IF((Expenses!E$3:E$999="GBP")*(Expenses!A$3:A$999=DATE(2026,6,6)),ROW(Expenses!A$3:A$999)-2),4)),"")&lt;&gt;"",IFERROR(INDEX(Expenses!B$3:B$999,SMALL(IF((Expenses!E$3:E$999="GBP")*(Expenses!A$3:A$999=DATE(2026,6,6)),ROW(Expenses!A$3:A$999)-2),4)),""),IF(IFERROR(INDEX(Income!B$3:B$502,SMALL(IF((Income!D$3:D$502="GBP")*(Income!A$3:A$502=DATE(2026,6,6)),ROW(Income!A$3:A$502)-2),4)),"")&lt;&gt;"",IFERROR(INDEX(Income!B$3:B$502,SMALL(IF((Income!D$3:D$502="GBP")*(Income!A$3:A$502=DATE(2026,6,6)),ROW(Income!A$3:A$502)-2),4)),""),""))</f>
        <v/>
      </c>
      <c r="O117" s="152">
        <f t="array" ref="O117">IF(IFERROR(-INDEX(Expenses!D$3:D$999,SMALL(IF((Expenses!E$3:E$999="GBP")*(Expenses!A$3:A$999=DATE(2026,6,7)),ROW(Expenses!A$3:A$999)-2),4)),0)+IFERROR(INDEX(Income!C$3:C$502,SMALL(IF((Income!D$3:D$502="GBP")*(Income!A$3:A$502=DATE(2026,6,7)),ROW(Income!A$3:A$502)-2),4)),0)=0,"",IFERROR(-INDEX(Expenses!D$3:D$999,SMALL(IF((Expenses!E$3:E$999="GBP")*(Expenses!A$3:A$999=DATE(2026,6,7)),ROW(Expenses!A$3:A$999)-2),4)),0)+IFERROR(INDEX(Income!C$3:C$502,SMALL(IF((Income!D$3:D$502="GBP")*(Income!A$3:A$502=DATE(2026,6,7)),ROW(Income!A$3:A$502)-2),4)),0))</f>
        <v/>
      </c>
      <c r="P117" s="126">
        <f t="array" ref="P117">IF(IFERROR(INDEX(Expenses!B$3:B$999,SMALL(IF((Expenses!E$3:E$999="GBP")*(Expenses!A$3:A$999=DATE(2026,6,7)),ROW(Expenses!A$3:A$999)-2),4)),"")&lt;&gt;"",IFERROR(INDEX(Expenses!B$3:B$999,SMALL(IF((Expenses!E$3:E$999="GBP")*(Expenses!A$3:A$999=DATE(2026,6,7)),ROW(Expenses!A$3:A$999)-2),4)),""),IF(IFERROR(INDEX(Income!B$3:B$502,SMALL(IF((Income!D$3:D$502="GBP")*(Income!A$3:A$502=DATE(2026,6,7)),ROW(Income!A$3:A$502)-2),4)),"")&lt;&gt;"",IFERROR(INDEX(Income!B$3:B$502,SMALL(IF((Income!D$3:D$502="GBP")*(Income!A$3:A$502=DATE(2026,6,7)),ROW(Income!A$3:A$502)-2),4)),""),""))</f>
        <v/>
      </c>
      <c r="Q117" s="9" t="n"/>
      <c r="R117" s="9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68">
      <c r="A118" s="9" t="n"/>
      <c r="B118" s="9" t="n"/>
      <c r="C118" s="152">
        <f t="array" ref="C118">IF(IFERROR(-INDEX(Expenses!D$3:D$999,SMALL(IF((Expenses!E$3:E$999="GBP")*(Expenses!A$3:A$999=DATE(2026,6,1)),ROW(Expenses!A$3:A$999)-2),5)),0)+IFERROR(INDEX(Income!C$3:C$502,SMALL(IF((Income!D$3:D$502="GBP")*(Income!A$3:A$502=DATE(2026,6,1)),ROW(Income!A$3:A$502)-2),5)),0)=0,"",IFERROR(-INDEX(Expenses!D$3:D$999,SMALL(IF((Expenses!E$3:E$999="GBP")*(Expenses!A$3:A$999=DATE(2026,6,1)),ROW(Expenses!A$3:A$999)-2),5)),0)+IFERROR(INDEX(Income!C$3:C$502,SMALL(IF((Income!D$3:D$502="GBP")*(Income!A$3:A$502=DATE(2026,6,1)),ROW(Income!A$3:A$502)-2),5)),0))</f>
        <v/>
      </c>
      <c r="D118" s="126">
        <f t="array" ref="D118">IF(IFERROR(INDEX(Expenses!B$3:B$999,SMALL(IF((Expenses!E$3:E$999="GBP")*(Expenses!A$3:A$999=DATE(2026,6,1)),ROW(Expenses!A$3:A$999)-2),5)),"")&lt;&gt;"",IFERROR(INDEX(Expenses!B$3:B$999,SMALL(IF((Expenses!E$3:E$999="GBP")*(Expenses!A$3:A$999=DATE(2026,6,1)),ROW(Expenses!A$3:A$999)-2),5)),""),IF(IFERROR(INDEX(Income!B$3:B$502,SMALL(IF((Income!D$3:D$502="GBP")*(Income!A$3:A$502=DATE(2026,6,1)),ROW(Income!A$3:A$502)-2),5)),"")&lt;&gt;"",IFERROR(INDEX(Income!B$3:B$502,SMALL(IF((Income!D$3:D$502="GBP")*(Income!A$3:A$502=DATE(2026,6,1)),ROW(Income!A$3:A$502)-2),5)),""),""))</f>
        <v/>
      </c>
      <c r="E118" s="152">
        <f t="array" ref="E118">IF(IFERROR(-INDEX(Expenses!D$3:D$999,SMALL(IF((Expenses!E$3:E$999="GBP")*(Expenses!A$3:A$999=DATE(2026,6,2)),ROW(Expenses!A$3:A$999)-2),5)),0)+IFERROR(INDEX(Income!C$3:C$502,SMALL(IF((Income!D$3:D$502="GBP")*(Income!A$3:A$502=DATE(2026,6,2)),ROW(Income!A$3:A$502)-2),5)),0)=0,"",IFERROR(-INDEX(Expenses!D$3:D$999,SMALL(IF((Expenses!E$3:E$999="GBP")*(Expenses!A$3:A$999=DATE(2026,6,2)),ROW(Expenses!A$3:A$999)-2),5)),0)+IFERROR(INDEX(Income!C$3:C$502,SMALL(IF((Income!D$3:D$502="GBP")*(Income!A$3:A$502=DATE(2026,6,2)),ROW(Income!A$3:A$502)-2),5)),0))</f>
        <v/>
      </c>
      <c r="F118" s="126">
        <f t="array" ref="F118">IF(IFERROR(INDEX(Expenses!B$3:B$999,SMALL(IF((Expenses!E$3:E$999="GBP")*(Expenses!A$3:A$999=DATE(2026,6,2)),ROW(Expenses!A$3:A$999)-2),5)),"")&lt;&gt;"",IFERROR(INDEX(Expenses!B$3:B$999,SMALL(IF((Expenses!E$3:E$999="GBP")*(Expenses!A$3:A$999=DATE(2026,6,2)),ROW(Expenses!A$3:A$999)-2),5)),""),IF(IFERROR(INDEX(Income!B$3:B$502,SMALL(IF((Income!D$3:D$502="GBP")*(Income!A$3:A$502=DATE(2026,6,2)),ROW(Income!A$3:A$502)-2),5)),"")&lt;&gt;"",IFERROR(INDEX(Income!B$3:B$502,SMALL(IF((Income!D$3:D$502="GBP")*(Income!A$3:A$502=DATE(2026,6,2)),ROW(Income!A$3:A$502)-2),5)),""),""))</f>
        <v/>
      </c>
      <c r="G118" s="152">
        <f t="array" ref="G118">IF(IFERROR(-INDEX(Expenses!D$3:D$999,SMALL(IF((Expenses!E$3:E$999="GBP")*(Expenses!A$3:A$999=DATE(2026,6,3)),ROW(Expenses!A$3:A$999)-2),5)),0)+IFERROR(INDEX(Income!C$3:C$502,SMALL(IF((Income!D$3:D$502="GBP")*(Income!A$3:A$502=DATE(2026,6,3)),ROW(Income!A$3:A$502)-2),5)),0)=0,"",IFERROR(-INDEX(Expenses!D$3:D$999,SMALL(IF((Expenses!E$3:E$999="GBP")*(Expenses!A$3:A$999=DATE(2026,6,3)),ROW(Expenses!A$3:A$999)-2),5)),0)+IFERROR(INDEX(Income!C$3:C$502,SMALL(IF((Income!D$3:D$502="GBP")*(Income!A$3:A$502=DATE(2026,6,3)),ROW(Income!A$3:A$502)-2),5)),0))</f>
        <v/>
      </c>
      <c r="H118" s="126">
        <f t="array" ref="H118">IF(IFERROR(INDEX(Expenses!B$3:B$999,SMALL(IF((Expenses!E$3:E$999="GBP")*(Expenses!A$3:A$999=DATE(2026,6,3)),ROW(Expenses!A$3:A$999)-2),5)),"")&lt;&gt;"",IFERROR(INDEX(Expenses!B$3:B$999,SMALL(IF((Expenses!E$3:E$999="GBP")*(Expenses!A$3:A$999=DATE(2026,6,3)),ROW(Expenses!A$3:A$999)-2),5)),""),IF(IFERROR(INDEX(Income!B$3:B$502,SMALL(IF((Income!D$3:D$502="GBP")*(Income!A$3:A$502=DATE(2026,6,3)),ROW(Income!A$3:A$502)-2),5)),"")&lt;&gt;"",IFERROR(INDEX(Income!B$3:B$502,SMALL(IF((Income!D$3:D$502="GBP")*(Income!A$3:A$502=DATE(2026,6,3)),ROW(Income!A$3:A$502)-2),5)),""),""))</f>
        <v/>
      </c>
      <c r="I118" s="152">
        <f t="array" ref="I118">IF(IFERROR(-INDEX(Expenses!D$3:D$999,SMALL(IF((Expenses!E$3:E$999="GBP")*(Expenses!A$3:A$999=DATE(2026,6,4)),ROW(Expenses!A$3:A$999)-2),5)),0)+IFERROR(INDEX(Income!C$3:C$502,SMALL(IF((Income!D$3:D$502="GBP")*(Income!A$3:A$502=DATE(2026,6,4)),ROW(Income!A$3:A$502)-2),5)),0)=0,"",IFERROR(-INDEX(Expenses!D$3:D$999,SMALL(IF((Expenses!E$3:E$999="GBP")*(Expenses!A$3:A$999=DATE(2026,6,4)),ROW(Expenses!A$3:A$999)-2),5)),0)+IFERROR(INDEX(Income!C$3:C$502,SMALL(IF((Income!D$3:D$502="GBP")*(Income!A$3:A$502=DATE(2026,6,4)),ROW(Income!A$3:A$502)-2),5)),0))</f>
        <v/>
      </c>
      <c r="J118" s="126">
        <f t="array" ref="J118">IF(IFERROR(INDEX(Expenses!B$3:B$999,SMALL(IF((Expenses!E$3:E$999="GBP")*(Expenses!A$3:A$999=DATE(2026,6,4)),ROW(Expenses!A$3:A$999)-2),5)),"")&lt;&gt;"",IFERROR(INDEX(Expenses!B$3:B$999,SMALL(IF((Expenses!E$3:E$999="GBP")*(Expenses!A$3:A$999=DATE(2026,6,4)),ROW(Expenses!A$3:A$999)-2),5)),""),IF(IFERROR(INDEX(Income!B$3:B$502,SMALL(IF((Income!D$3:D$502="GBP")*(Income!A$3:A$502=DATE(2026,6,4)),ROW(Income!A$3:A$502)-2),5)),"")&lt;&gt;"",IFERROR(INDEX(Income!B$3:B$502,SMALL(IF((Income!D$3:D$502="GBP")*(Income!A$3:A$502=DATE(2026,6,4)),ROW(Income!A$3:A$502)-2),5)),""),""))</f>
        <v/>
      </c>
      <c r="K118" s="152">
        <f t="array" ref="K118">IF(IFERROR(-INDEX(Expenses!D$3:D$999,SMALL(IF((Expenses!E$3:E$999="GBP")*(Expenses!A$3:A$999=DATE(2026,6,5)),ROW(Expenses!A$3:A$999)-2),5)),0)+IFERROR(INDEX(Income!C$3:C$502,SMALL(IF((Income!D$3:D$502="GBP")*(Income!A$3:A$502=DATE(2026,6,5)),ROW(Income!A$3:A$502)-2),5)),0)=0,"",IFERROR(-INDEX(Expenses!D$3:D$999,SMALL(IF((Expenses!E$3:E$999="GBP")*(Expenses!A$3:A$999=DATE(2026,6,5)),ROW(Expenses!A$3:A$999)-2),5)),0)+IFERROR(INDEX(Income!C$3:C$502,SMALL(IF((Income!D$3:D$502="GBP")*(Income!A$3:A$502=DATE(2026,6,5)),ROW(Income!A$3:A$502)-2),5)),0))</f>
        <v/>
      </c>
      <c r="L118" s="126">
        <f t="array" ref="L118">IF(IFERROR(INDEX(Expenses!B$3:B$999,SMALL(IF((Expenses!E$3:E$999="GBP")*(Expenses!A$3:A$999=DATE(2026,6,5)),ROW(Expenses!A$3:A$999)-2),5)),"")&lt;&gt;"",IFERROR(INDEX(Expenses!B$3:B$999,SMALL(IF((Expenses!E$3:E$999="GBP")*(Expenses!A$3:A$999=DATE(2026,6,5)),ROW(Expenses!A$3:A$999)-2),5)),""),IF(IFERROR(INDEX(Income!B$3:B$502,SMALL(IF((Income!D$3:D$502="GBP")*(Income!A$3:A$502=DATE(2026,6,5)),ROW(Income!A$3:A$502)-2),5)),"")&lt;&gt;"",IFERROR(INDEX(Income!B$3:B$502,SMALL(IF((Income!D$3:D$502="GBP")*(Income!A$3:A$502=DATE(2026,6,5)),ROW(Income!A$3:A$502)-2),5)),""),""))</f>
        <v/>
      </c>
      <c r="M118" s="152">
        <f t="array" ref="M118">IF(IFERROR(-INDEX(Expenses!D$3:D$999,SMALL(IF((Expenses!E$3:E$999="GBP")*(Expenses!A$3:A$999=DATE(2026,6,6)),ROW(Expenses!A$3:A$999)-2),5)),0)+IFERROR(INDEX(Income!C$3:C$502,SMALL(IF((Income!D$3:D$502="GBP")*(Income!A$3:A$502=DATE(2026,6,6)),ROW(Income!A$3:A$502)-2),5)),0)=0,"",IFERROR(-INDEX(Expenses!D$3:D$999,SMALL(IF((Expenses!E$3:E$999="GBP")*(Expenses!A$3:A$999=DATE(2026,6,6)),ROW(Expenses!A$3:A$999)-2),5)),0)+IFERROR(INDEX(Income!C$3:C$502,SMALL(IF((Income!D$3:D$502="GBP")*(Income!A$3:A$502=DATE(2026,6,6)),ROW(Income!A$3:A$502)-2),5)),0))</f>
        <v/>
      </c>
      <c r="N118" s="126">
        <f t="array" ref="N118">IF(IFERROR(INDEX(Expenses!B$3:B$999,SMALL(IF((Expenses!E$3:E$999="GBP")*(Expenses!A$3:A$999=DATE(2026,6,6)),ROW(Expenses!A$3:A$999)-2),5)),"")&lt;&gt;"",IFERROR(INDEX(Expenses!B$3:B$999,SMALL(IF((Expenses!E$3:E$999="GBP")*(Expenses!A$3:A$999=DATE(2026,6,6)),ROW(Expenses!A$3:A$999)-2),5)),""),IF(IFERROR(INDEX(Income!B$3:B$502,SMALL(IF((Income!D$3:D$502="GBP")*(Income!A$3:A$502=DATE(2026,6,6)),ROW(Income!A$3:A$502)-2),5)),"")&lt;&gt;"",IFERROR(INDEX(Income!B$3:B$502,SMALL(IF((Income!D$3:D$502="GBP")*(Income!A$3:A$502=DATE(2026,6,6)),ROW(Income!A$3:A$502)-2),5)),""),""))</f>
        <v/>
      </c>
      <c r="O118" s="152">
        <f t="array" ref="O118">IF(IFERROR(-INDEX(Expenses!D$3:D$999,SMALL(IF((Expenses!E$3:E$999="GBP")*(Expenses!A$3:A$999=DATE(2026,6,7)),ROW(Expenses!A$3:A$999)-2),5)),0)+IFERROR(INDEX(Income!C$3:C$502,SMALL(IF((Income!D$3:D$502="GBP")*(Income!A$3:A$502=DATE(2026,6,7)),ROW(Income!A$3:A$502)-2),5)),0)=0,"",IFERROR(-INDEX(Expenses!D$3:D$999,SMALL(IF((Expenses!E$3:E$999="GBP")*(Expenses!A$3:A$999=DATE(2026,6,7)),ROW(Expenses!A$3:A$999)-2),5)),0)+IFERROR(INDEX(Income!C$3:C$502,SMALL(IF((Income!D$3:D$502="GBP")*(Income!A$3:A$502=DATE(2026,6,7)),ROW(Income!A$3:A$502)-2),5)),0))</f>
        <v/>
      </c>
      <c r="P118" s="126">
        <f t="array" ref="P118">IF(IFERROR(INDEX(Expenses!B$3:B$999,SMALL(IF((Expenses!E$3:E$999="GBP")*(Expenses!A$3:A$999=DATE(2026,6,7)),ROW(Expenses!A$3:A$999)-2),5)),"")&lt;&gt;"",IFERROR(INDEX(Expenses!B$3:B$999,SMALL(IF((Expenses!E$3:E$999="GBP")*(Expenses!A$3:A$999=DATE(2026,6,7)),ROW(Expenses!A$3:A$999)-2),5)),""),IF(IFERROR(INDEX(Income!B$3:B$502,SMALL(IF((Income!D$3:D$502="GBP")*(Income!A$3:A$502=DATE(2026,6,7)),ROW(Income!A$3:A$502)-2),5)),"")&lt;&gt;"",IFERROR(INDEX(Income!B$3:B$502,SMALL(IF((Income!D$3:D$502="GBP")*(Income!A$3:A$502=DATE(2026,6,7)),ROW(Income!A$3:A$502)-2),5)),""),""))</f>
        <v/>
      </c>
      <c r="Q118" s="9" t="n"/>
      <c r="R118" s="9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68">
      <c r="A119" s="151" t="n">
        <v>46181</v>
      </c>
      <c r="B119" s="103" t="n">
        <v>24</v>
      </c>
      <c r="C119" s="152">
        <f t="array" ref="C119">IF(IFERROR(-INDEX(Expenses!D$3:D$999,SMALL(IF((Expenses!E$3:E$999="GBP")*(Expenses!A$3:A$999=DATE(2026,6,8)),ROW(Expenses!A$3:A$999)-2),1)),0)+IFERROR(INDEX(Income!C$3:C$502,SMALL(IF((Income!D$3:D$502="GBP")*(Income!A$3:A$502=DATE(2026,6,8)),ROW(Income!A$3:A$502)-2),1)),0)=0,"",IFERROR(-INDEX(Expenses!D$3:D$999,SMALL(IF((Expenses!E$3:E$999="GBP")*(Expenses!A$3:A$999=DATE(2026,6,8)),ROW(Expenses!A$3:A$999)-2),1)),0)+IFERROR(INDEX(Income!C$3:C$502,SMALL(IF((Income!D$3:D$502="GBP")*(Income!A$3:A$502=DATE(2026,6,8)),ROW(Income!A$3:A$502)-2),1)),0))</f>
        <v/>
      </c>
      <c r="D119" s="126">
        <f t="array" ref="D119">IF(IFERROR(INDEX(Expenses!B$3:B$999,SMALL(IF((Expenses!E$3:E$999="GBP")*(Expenses!A$3:A$999=DATE(2026,6,8)),ROW(Expenses!A$3:A$999)-2),1)),"")&lt;&gt;"",IFERROR(INDEX(Expenses!B$3:B$999,SMALL(IF((Expenses!E$3:E$999="GBP")*(Expenses!A$3:A$999=DATE(2026,6,8)),ROW(Expenses!A$3:A$999)-2),1)),""),IF(IFERROR(INDEX(Income!B$3:B$502,SMALL(IF((Income!D$3:D$502="GBP")*(Income!A$3:A$502=DATE(2026,6,8)),ROW(Income!A$3:A$502)-2),1)),"")&lt;&gt;"",IFERROR(INDEX(Income!B$3:B$502,SMALL(IF((Income!D$3:D$502="GBP")*(Income!A$3:A$502=DATE(2026,6,8)),ROW(Income!A$3:A$502)-2),1)),""),""))</f>
        <v/>
      </c>
      <c r="E119" s="152">
        <f t="array" ref="E119">IF(IFERROR(-INDEX(Expenses!D$3:D$999,SMALL(IF((Expenses!E$3:E$999="GBP")*(Expenses!A$3:A$999=DATE(2026,6,9)),ROW(Expenses!A$3:A$999)-2),1)),0)+IFERROR(INDEX(Income!C$3:C$502,SMALL(IF((Income!D$3:D$502="GBP")*(Income!A$3:A$502=DATE(2026,6,9)),ROW(Income!A$3:A$502)-2),1)),0)=0,"",IFERROR(-INDEX(Expenses!D$3:D$999,SMALL(IF((Expenses!E$3:E$999="GBP")*(Expenses!A$3:A$999=DATE(2026,6,9)),ROW(Expenses!A$3:A$999)-2),1)),0)+IFERROR(INDEX(Income!C$3:C$502,SMALL(IF((Income!D$3:D$502="GBP")*(Income!A$3:A$502=DATE(2026,6,9)),ROW(Income!A$3:A$502)-2),1)),0))</f>
        <v/>
      </c>
      <c r="F119" s="126">
        <f t="array" ref="F119">IF(IFERROR(INDEX(Expenses!B$3:B$999,SMALL(IF((Expenses!E$3:E$999="GBP")*(Expenses!A$3:A$999=DATE(2026,6,9)),ROW(Expenses!A$3:A$999)-2),1)),"")&lt;&gt;"",IFERROR(INDEX(Expenses!B$3:B$999,SMALL(IF((Expenses!E$3:E$999="GBP")*(Expenses!A$3:A$999=DATE(2026,6,9)),ROW(Expenses!A$3:A$999)-2),1)),""),IF(IFERROR(INDEX(Income!B$3:B$502,SMALL(IF((Income!D$3:D$502="GBP")*(Income!A$3:A$502=DATE(2026,6,9)),ROW(Income!A$3:A$502)-2),1)),"")&lt;&gt;"",IFERROR(INDEX(Income!B$3:B$502,SMALL(IF((Income!D$3:D$502="GBP")*(Income!A$3:A$502=DATE(2026,6,9)),ROW(Income!A$3:A$502)-2),1)),""),""))</f>
        <v/>
      </c>
      <c r="G119" s="152">
        <f t="array" ref="G119">IF(IFERROR(-INDEX(Expenses!D$3:D$999,SMALL(IF((Expenses!E$3:E$999="GBP")*(Expenses!A$3:A$999=DATE(2026,6,10)),ROW(Expenses!A$3:A$999)-2),1)),0)+IFERROR(INDEX(Income!C$3:C$502,SMALL(IF((Income!D$3:D$502="GBP")*(Income!A$3:A$502=DATE(2026,6,10)),ROW(Income!A$3:A$502)-2),1)),0)=0,"",IFERROR(-INDEX(Expenses!D$3:D$999,SMALL(IF((Expenses!E$3:E$999="GBP")*(Expenses!A$3:A$999=DATE(2026,6,10)),ROW(Expenses!A$3:A$999)-2),1)),0)+IFERROR(INDEX(Income!C$3:C$502,SMALL(IF((Income!D$3:D$502="GBP")*(Income!A$3:A$502=DATE(2026,6,10)),ROW(Income!A$3:A$502)-2),1)),0))</f>
        <v/>
      </c>
      <c r="H119" s="126">
        <f t="array" ref="H119">IF(IFERROR(INDEX(Expenses!B$3:B$999,SMALL(IF((Expenses!E$3:E$999="GBP")*(Expenses!A$3:A$999=DATE(2026,6,10)),ROW(Expenses!A$3:A$999)-2),1)),"")&lt;&gt;"",IFERROR(INDEX(Expenses!B$3:B$999,SMALL(IF((Expenses!E$3:E$999="GBP")*(Expenses!A$3:A$999=DATE(2026,6,10)),ROW(Expenses!A$3:A$999)-2),1)),""),IF(IFERROR(INDEX(Income!B$3:B$502,SMALL(IF((Income!D$3:D$502="GBP")*(Income!A$3:A$502=DATE(2026,6,10)),ROW(Income!A$3:A$502)-2),1)),"")&lt;&gt;"",IFERROR(INDEX(Income!B$3:B$502,SMALL(IF((Income!D$3:D$502="GBP")*(Income!A$3:A$502=DATE(2026,6,10)),ROW(Income!A$3:A$502)-2),1)),""),""))</f>
        <v/>
      </c>
      <c r="I119" s="152">
        <f t="array" ref="I119">IF(IFERROR(-INDEX(Expenses!D$3:D$999,SMALL(IF((Expenses!E$3:E$999="GBP")*(Expenses!A$3:A$999=DATE(2026,6,11)),ROW(Expenses!A$3:A$999)-2),1)),0)+IFERROR(INDEX(Income!C$3:C$502,SMALL(IF((Income!D$3:D$502="GBP")*(Income!A$3:A$502=DATE(2026,6,11)),ROW(Income!A$3:A$502)-2),1)),0)=0,"",IFERROR(-INDEX(Expenses!D$3:D$999,SMALL(IF((Expenses!E$3:E$999="GBP")*(Expenses!A$3:A$999=DATE(2026,6,11)),ROW(Expenses!A$3:A$999)-2),1)),0)+IFERROR(INDEX(Income!C$3:C$502,SMALL(IF((Income!D$3:D$502="GBP")*(Income!A$3:A$502=DATE(2026,6,11)),ROW(Income!A$3:A$502)-2),1)),0))</f>
        <v/>
      </c>
      <c r="J119" s="126">
        <f t="array" ref="J119">IF(IFERROR(INDEX(Expenses!B$3:B$999,SMALL(IF((Expenses!E$3:E$999="GBP")*(Expenses!A$3:A$999=DATE(2026,6,11)),ROW(Expenses!A$3:A$999)-2),1)),"")&lt;&gt;"",IFERROR(INDEX(Expenses!B$3:B$999,SMALL(IF((Expenses!E$3:E$999="GBP")*(Expenses!A$3:A$999=DATE(2026,6,11)),ROW(Expenses!A$3:A$999)-2),1)),""),IF(IFERROR(INDEX(Income!B$3:B$502,SMALL(IF((Income!D$3:D$502="GBP")*(Income!A$3:A$502=DATE(2026,6,11)),ROW(Income!A$3:A$502)-2),1)),"")&lt;&gt;"",IFERROR(INDEX(Income!B$3:B$502,SMALL(IF((Income!D$3:D$502="GBP")*(Income!A$3:A$502=DATE(2026,6,11)),ROW(Income!A$3:A$502)-2),1)),""),""))</f>
        <v/>
      </c>
      <c r="K119" s="152">
        <f t="array" ref="K119">IF(IFERROR(-INDEX(Expenses!D$3:D$999,SMALL(IF((Expenses!E$3:E$999="GBP")*(Expenses!A$3:A$999=DATE(2026,6,12)),ROW(Expenses!A$3:A$999)-2),1)),0)+IFERROR(INDEX(Income!C$3:C$502,SMALL(IF((Income!D$3:D$502="GBP")*(Income!A$3:A$502=DATE(2026,6,12)),ROW(Income!A$3:A$502)-2),1)),0)=0,"",IFERROR(-INDEX(Expenses!D$3:D$999,SMALL(IF((Expenses!E$3:E$999="GBP")*(Expenses!A$3:A$999=DATE(2026,6,12)),ROW(Expenses!A$3:A$999)-2),1)),0)+IFERROR(INDEX(Income!C$3:C$502,SMALL(IF((Income!D$3:D$502="GBP")*(Income!A$3:A$502=DATE(2026,6,12)),ROW(Income!A$3:A$502)-2),1)),0))</f>
        <v/>
      </c>
      <c r="L119" s="126">
        <f t="array" ref="L119">IF(IFERROR(INDEX(Expenses!B$3:B$999,SMALL(IF((Expenses!E$3:E$999="GBP")*(Expenses!A$3:A$999=DATE(2026,6,12)),ROW(Expenses!A$3:A$999)-2),1)),"")&lt;&gt;"",IFERROR(INDEX(Expenses!B$3:B$999,SMALL(IF((Expenses!E$3:E$999="GBP")*(Expenses!A$3:A$999=DATE(2026,6,12)),ROW(Expenses!A$3:A$999)-2),1)),""),IF(IFERROR(INDEX(Income!B$3:B$502,SMALL(IF((Income!D$3:D$502="GBP")*(Income!A$3:A$502=DATE(2026,6,12)),ROW(Income!A$3:A$502)-2),1)),"")&lt;&gt;"",IFERROR(INDEX(Income!B$3:B$502,SMALL(IF((Income!D$3:D$502="GBP")*(Income!A$3:A$502=DATE(2026,6,12)),ROW(Income!A$3:A$502)-2),1)),""),""))</f>
        <v/>
      </c>
      <c r="M119" s="152">
        <f t="array" ref="M119">IF(IFERROR(-INDEX(Expenses!D$3:D$999,SMALL(IF((Expenses!E$3:E$999="GBP")*(Expenses!A$3:A$999=DATE(2026,6,13)),ROW(Expenses!A$3:A$999)-2),1)),0)+IFERROR(INDEX(Income!C$3:C$502,SMALL(IF((Income!D$3:D$502="GBP")*(Income!A$3:A$502=DATE(2026,6,13)),ROW(Income!A$3:A$502)-2),1)),0)=0,"",IFERROR(-INDEX(Expenses!D$3:D$999,SMALL(IF((Expenses!E$3:E$999="GBP")*(Expenses!A$3:A$999=DATE(2026,6,13)),ROW(Expenses!A$3:A$999)-2),1)),0)+IFERROR(INDEX(Income!C$3:C$502,SMALL(IF((Income!D$3:D$502="GBP")*(Income!A$3:A$502=DATE(2026,6,13)),ROW(Income!A$3:A$502)-2),1)),0))</f>
        <v/>
      </c>
      <c r="N119" s="126">
        <f t="array" ref="N119">IF(IFERROR(INDEX(Expenses!B$3:B$999,SMALL(IF((Expenses!E$3:E$999="GBP")*(Expenses!A$3:A$999=DATE(2026,6,13)),ROW(Expenses!A$3:A$999)-2),1)),"")&lt;&gt;"",IFERROR(INDEX(Expenses!B$3:B$999,SMALL(IF((Expenses!E$3:E$999="GBP")*(Expenses!A$3:A$999=DATE(2026,6,13)),ROW(Expenses!A$3:A$999)-2),1)),""),IF(IFERROR(INDEX(Income!B$3:B$502,SMALL(IF((Income!D$3:D$502="GBP")*(Income!A$3:A$502=DATE(2026,6,13)),ROW(Income!A$3:A$502)-2),1)),"")&lt;&gt;"",IFERROR(INDEX(Income!B$3:B$502,SMALL(IF((Income!D$3:D$502="GBP")*(Income!A$3:A$502=DATE(2026,6,13)),ROW(Income!A$3:A$502)-2),1)),""),""))</f>
        <v/>
      </c>
      <c r="O119" s="152">
        <f t="array" ref="O119">IF(IFERROR(-INDEX(Expenses!D$3:D$999,SMALL(IF((Expenses!E$3:E$999="GBP")*(Expenses!A$3:A$999=DATE(2026,6,14)),ROW(Expenses!A$3:A$999)-2),1)),0)+IFERROR(INDEX(Income!C$3:C$502,SMALL(IF((Income!D$3:D$502="GBP")*(Income!A$3:A$502=DATE(2026,6,14)),ROW(Income!A$3:A$502)-2),1)),0)=0,"",IFERROR(-INDEX(Expenses!D$3:D$999,SMALL(IF((Expenses!E$3:E$999="GBP")*(Expenses!A$3:A$999=DATE(2026,6,14)),ROW(Expenses!A$3:A$999)-2),1)),0)+IFERROR(INDEX(Income!C$3:C$502,SMALL(IF((Income!D$3:D$502="GBP")*(Income!A$3:A$502=DATE(2026,6,14)),ROW(Income!A$3:A$502)-2),1)),0))</f>
        <v/>
      </c>
      <c r="P119" s="126">
        <f t="array" ref="P119">IF(IFERROR(INDEX(Expenses!B$3:B$999,SMALL(IF((Expenses!E$3:E$999="GBP")*(Expenses!A$3:A$999=DATE(2026,6,14)),ROW(Expenses!A$3:A$999)-2),1)),"")&lt;&gt;"",IFERROR(INDEX(Expenses!B$3:B$999,SMALL(IF((Expenses!E$3:E$999="GBP")*(Expenses!A$3:A$999=DATE(2026,6,14)),ROW(Expenses!A$3:A$999)-2),1)),""),IF(IFERROR(INDEX(Income!B$3:B$502,SMALL(IF((Income!D$3:D$502="GBP")*(Income!A$3:A$502=DATE(2026,6,14)),ROW(Income!A$3:A$502)-2),1)),"")&lt;&gt;"",IFERROR(INDEX(Income!B$3:B$502,SMALL(IF((Income!D$3:D$502="GBP")*(Income!A$3:A$502=DATE(2026,6,14)),ROW(Income!A$3:A$502)-2),1)),""),""))</f>
        <v/>
      </c>
      <c r="Q119" s="103" t="n">
        <v>24</v>
      </c>
      <c r="R119" s="134">
        <f>SUM(C119:C123)+SUM(E119:E123)+SUM(G119:G123)+SUM(I119:I123)+SUM(K119:K123)+SUM(M119:M123)+SUM(O119:O123)</f>
        <v/>
      </c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68">
      <c r="A120" s="9" t="n"/>
      <c r="B120" s="9" t="n"/>
      <c r="C120" s="152">
        <f t="array" ref="C120">IF(IFERROR(-INDEX(Expenses!D$3:D$999,SMALL(IF((Expenses!E$3:E$999="GBP")*(Expenses!A$3:A$999=DATE(2026,6,8)),ROW(Expenses!A$3:A$999)-2),2)),0)+IFERROR(INDEX(Income!C$3:C$502,SMALL(IF((Income!D$3:D$502="GBP")*(Income!A$3:A$502=DATE(2026,6,8)),ROW(Income!A$3:A$502)-2),2)),0)=0,"",IFERROR(-INDEX(Expenses!D$3:D$999,SMALL(IF((Expenses!E$3:E$999="GBP")*(Expenses!A$3:A$999=DATE(2026,6,8)),ROW(Expenses!A$3:A$999)-2),2)),0)+IFERROR(INDEX(Income!C$3:C$502,SMALL(IF((Income!D$3:D$502="GBP")*(Income!A$3:A$502=DATE(2026,6,8)),ROW(Income!A$3:A$502)-2),2)),0))</f>
        <v/>
      </c>
      <c r="D120" s="126">
        <f t="array" ref="D120">IF(IFERROR(INDEX(Expenses!B$3:B$999,SMALL(IF((Expenses!E$3:E$999="GBP")*(Expenses!A$3:A$999=DATE(2026,6,8)),ROW(Expenses!A$3:A$999)-2),2)),"")&lt;&gt;"",IFERROR(INDEX(Expenses!B$3:B$999,SMALL(IF((Expenses!E$3:E$999="GBP")*(Expenses!A$3:A$999=DATE(2026,6,8)),ROW(Expenses!A$3:A$999)-2),2)),""),IF(IFERROR(INDEX(Income!B$3:B$502,SMALL(IF((Income!D$3:D$502="GBP")*(Income!A$3:A$502=DATE(2026,6,8)),ROW(Income!A$3:A$502)-2),2)),"")&lt;&gt;"",IFERROR(INDEX(Income!B$3:B$502,SMALL(IF((Income!D$3:D$502="GBP")*(Income!A$3:A$502=DATE(2026,6,8)),ROW(Income!A$3:A$502)-2),2)),""),""))</f>
        <v/>
      </c>
      <c r="E120" s="152">
        <f t="array" ref="E120">IF(IFERROR(-INDEX(Expenses!D$3:D$999,SMALL(IF((Expenses!E$3:E$999="GBP")*(Expenses!A$3:A$999=DATE(2026,6,9)),ROW(Expenses!A$3:A$999)-2),2)),0)+IFERROR(INDEX(Income!C$3:C$502,SMALL(IF((Income!D$3:D$502="GBP")*(Income!A$3:A$502=DATE(2026,6,9)),ROW(Income!A$3:A$502)-2),2)),0)=0,"",IFERROR(-INDEX(Expenses!D$3:D$999,SMALL(IF((Expenses!E$3:E$999="GBP")*(Expenses!A$3:A$999=DATE(2026,6,9)),ROW(Expenses!A$3:A$999)-2),2)),0)+IFERROR(INDEX(Income!C$3:C$502,SMALL(IF((Income!D$3:D$502="GBP")*(Income!A$3:A$502=DATE(2026,6,9)),ROW(Income!A$3:A$502)-2),2)),0))</f>
        <v/>
      </c>
      <c r="F120" s="126">
        <f t="array" ref="F120">IF(IFERROR(INDEX(Expenses!B$3:B$999,SMALL(IF((Expenses!E$3:E$999="GBP")*(Expenses!A$3:A$999=DATE(2026,6,9)),ROW(Expenses!A$3:A$999)-2),2)),"")&lt;&gt;"",IFERROR(INDEX(Expenses!B$3:B$999,SMALL(IF((Expenses!E$3:E$999="GBP")*(Expenses!A$3:A$999=DATE(2026,6,9)),ROW(Expenses!A$3:A$999)-2),2)),""),IF(IFERROR(INDEX(Income!B$3:B$502,SMALL(IF((Income!D$3:D$502="GBP")*(Income!A$3:A$502=DATE(2026,6,9)),ROW(Income!A$3:A$502)-2),2)),"")&lt;&gt;"",IFERROR(INDEX(Income!B$3:B$502,SMALL(IF((Income!D$3:D$502="GBP")*(Income!A$3:A$502=DATE(2026,6,9)),ROW(Income!A$3:A$502)-2),2)),""),""))</f>
        <v/>
      </c>
      <c r="G120" s="152">
        <f t="array" ref="G120">IF(IFERROR(-INDEX(Expenses!D$3:D$999,SMALL(IF((Expenses!E$3:E$999="GBP")*(Expenses!A$3:A$999=DATE(2026,6,10)),ROW(Expenses!A$3:A$999)-2),2)),0)+IFERROR(INDEX(Income!C$3:C$502,SMALL(IF((Income!D$3:D$502="GBP")*(Income!A$3:A$502=DATE(2026,6,10)),ROW(Income!A$3:A$502)-2),2)),0)=0,"",IFERROR(-INDEX(Expenses!D$3:D$999,SMALL(IF((Expenses!E$3:E$999="GBP")*(Expenses!A$3:A$999=DATE(2026,6,10)),ROW(Expenses!A$3:A$999)-2),2)),0)+IFERROR(INDEX(Income!C$3:C$502,SMALL(IF((Income!D$3:D$502="GBP")*(Income!A$3:A$502=DATE(2026,6,10)),ROW(Income!A$3:A$502)-2),2)),0))</f>
        <v/>
      </c>
      <c r="H120" s="126">
        <f t="array" ref="H120">IF(IFERROR(INDEX(Expenses!B$3:B$999,SMALL(IF((Expenses!E$3:E$999="GBP")*(Expenses!A$3:A$999=DATE(2026,6,10)),ROW(Expenses!A$3:A$999)-2),2)),"")&lt;&gt;"",IFERROR(INDEX(Expenses!B$3:B$999,SMALL(IF((Expenses!E$3:E$999="GBP")*(Expenses!A$3:A$999=DATE(2026,6,10)),ROW(Expenses!A$3:A$999)-2),2)),""),IF(IFERROR(INDEX(Income!B$3:B$502,SMALL(IF((Income!D$3:D$502="GBP")*(Income!A$3:A$502=DATE(2026,6,10)),ROW(Income!A$3:A$502)-2),2)),"")&lt;&gt;"",IFERROR(INDEX(Income!B$3:B$502,SMALL(IF((Income!D$3:D$502="GBP")*(Income!A$3:A$502=DATE(2026,6,10)),ROW(Income!A$3:A$502)-2),2)),""),""))</f>
        <v/>
      </c>
      <c r="I120" s="152">
        <f t="array" ref="I120">IF(IFERROR(-INDEX(Expenses!D$3:D$999,SMALL(IF((Expenses!E$3:E$999="GBP")*(Expenses!A$3:A$999=DATE(2026,6,11)),ROW(Expenses!A$3:A$999)-2),2)),0)+IFERROR(INDEX(Income!C$3:C$502,SMALL(IF((Income!D$3:D$502="GBP")*(Income!A$3:A$502=DATE(2026,6,11)),ROW(Income!A$3:A$502)-2),2)),0)=0,"",IFERROR(-INDEX(Expenses!D$3:D$999,SMALL(IF((Expenses!E$3:E$999="GBP")*(Expenses!A$3:A$999=DATE(2026,6,11)),ROW(Expenses!A$3:A$999)-2),2)),0)+IFERROR(INDEX(Income!C$3:C$502,SMALL(IF((Income!D$3:D$502="GBP")*(Income!A$3:A$502=DATE(2026,6,11)),ROW(Income!A$3:A$502)-2),2)),0))</f>
        <v/>
      </c>
      <c r="J120" s="126">
        <f t="array" ref="J120">IF(IFERROR(INDEX(Expenses!B$3:B$999,SMALL(IF((Expenses!E$3:E$999="GBP")*(Expenses!A$3:A$999=DATE(2026,6,11)),ROW(Expenses!A$3:A$999)-2),2)),"")&lt;&gt;"",IFERROR(INDEX(Expenses!B$3:B$999,SMALL(IF((Expenses!E$3:E$999="GBP")*(Expenses!A$3:A$999=DATE(2026,6,11)),ROW(Expenses!A$3:A$999)-2),2)),""),IF(IFERROR(INDEX(Income!B$3:B$502,SMALL(IF((Income!D$3:D$502="GBP")*(Income!A$3:A$502=DATE(2026,6,11)),ROW(Income!A$3:A$502)-2),2)),"")&lt;&gt;"",IFERROR(INDEX(Income!B$3:B$502,SMALL(IF((Income!D$3:D$502="GBP")*(Income!A$3:A$502=DATE(2026,6,11)),ROW(Income!A$3:A$502)-2),2)),""),""))</f>
        <v/>
      </c>
      <c r="K120" s="152">
        <f t="array" ref="K120">IF(IFERROR(-INDEX(Expenses!D$3:D$999,SMALL(IF((Expenses!E$3:E$999="GBP")*(Expenses!A$3:A$999=DATE(2026,6,12)),ROW(Expenses!A$3:A$999)-2),2)),0)+IFERROR(INDEX(Income!C$3:C$502,SMALL(IF((Income!D$3:D$502="GBP")*(Income!A$3:A$502=DATE(2026,6,12)),ROW(Income!A$3:A$502)-2),2)),0)=0,"",IFERROR(-INDEX(Expenses!D$3:D$999,SMALL(IF((Expenses!E$3:E$999="GBP")*(Expenses!A$3:A$999=DATE(2026,6,12)),ROW(Expenses!A$3:A$999)-2),2)),0)+IFERROR(INDEX(Income!C$3:C$502,SMALL(IF((Income!D$3:D$502="GBP")*(Income!A$3:A$502=DATE(2026,6,12)),ROW(Income!A$3:A$502)-2),2)),0))</f>
        <v/>
      </c>
      <c r="L120" s="126">
        <f t="array" ref="L120">IF(IFERROR(INDEX(Expenses!B$3:B$999,SMALL(IF((Expenses!E$3:E$999="GBP")*(Expenses!A$3:A$999=DATE(2026,6,12)),ROW(Expenses!A$3:A$999)-2),2)),"")&lt;&gt;"",IFERROR(INDEX(Expenses!B$3:B$999,SMALL(IF((Expenses!E$3:E$999="GBP")*(Expenses!A$3:A$999=DATE(2026,6,12)),ROW(Expenses!A$3:A$999)-2),2)),""),IF(IFERROR(INDEX(Income!B$3:B$502,SMALL(IF((Income!D$3:D$502="GBP")*(Income!A$3:A$502=DATE(2026,6,12)),ROW(Income!A$3:A$502)-2),2)),"")&lt;&gt;"",IFERROR(INDEX(Income!B$3:B$502,SMALL(IF((Income!D$3:D$502="GBP")*(Income!A$3:A$502=DATE(2026,6,12)),ROW(Income!A$3:A$502)-2),2)),""),""))</f>
        <v/>
      </c>
      <c r="M120" s="152">
        <f t="array" ref="M120">IF(IFERROR(-INDEX(Expenses!D$3:D$999,SMALL(IF((Expenses!E$3:E$999="GBP")*(Expenses!A$3:A$999=DATE(2026,6,13)),ROW(Expenses!A$3:A$999)-2),2)),0)+IFERROR(INDEX(Income!C$3:C$502,SMALL(IF((Income!D$3:D$502="GBP")*(Income!A$3:A$502=DATE(2026,6,13)),ROW(Income!A$3:A$502)-2),2)),0)=0,"",IFERROR(-INDEX(Expenses!D$3:D$999,SMALL(IF((Expenses!E$3:E$999="GBP")*(Expenses!A$3:A$999=DATE(2026,6,13)),ROW(Expenses!A$3:A$999)-2),2)),0)+IFERROR(INDEX(Income!C$3:C$502,SMALL(IF((Income!D$3:D$502="GBP")*(Income!A$3:A$502=DATE(2026,6,13)),ROW(Income!A$3:A$502)-2),2)),0))</f>
        <v/>
      </c>
      <c r="N120" s="126">
        <f t="array" ref="N120">IF(IFERROR(INDEX(Expenses!B$3:B$999,SMALL(IF((Expenses!E$3:E$999="GBP")*(Expenses!A$3:A$999=DATE(2026,6,13)),ROW(Expenses!A$3:A$999)-2),2)),"")&lt;&gt;"",IFERROR(INDEX(Expenses!B$3:B$999,SMALL(IF((Expenses!E$3:E$999="GBP")*(Expenses!A$3:A$999=DATE(2026,6,13)),ROW(Expenses!A$3:A$999)-2),2)),""),IF(IFERROR(INDEX(Income!B$3:B$502,SMALL(IF((Income!D$3:D$502="GBP")*(Income!A$3:A$502=DATE(2026,6,13)),ROW(Income!A$3:A$502)-2),2)),"")&lt;&gt;"",IFERROR(INDEX(Income!B$3:B$502,SMALL(IF((Income!D$3:D$502="GBP")*(Income!A$3:A$502=DATE(2026,6,13)),ROW(Income!A$3:A$502)-2),2)),""),""))</f>
        <v/>
      </c>
      <c r="O120" s="152">
        <f t="array" ref="O120">IF(IFERROR(-INDEX(Expenses!D$3:D$999,SMALL(IF((Expenses!E$3:E$999="GBP")*(Expenses!A$3:A$999=DATE(2026,6,14)),ROW(Expenses!A$3:A$999)-2),2)),0)+IFERROR(INDEX(Income!C$3:C$502,SMALL(IF((Income!D$3:D$502="GBP")*(Income!A$3:A$502=DATE(2026,6,14)),ROW(Income!A$3:A$502)-2),2)),0)=0,"",IFERROR(-INDEX(Expenses!D$3:D$999,SMALL(IF((Expenses!E$3:E$999="GBP")*(Expenses!A$3:A$999=DATE(2026,6,14)),ROW(Expenses!A$3:A$999)-2),2)),0)+IFERROR(INDEX(Income!C$3:C$502,SMALL(IF((Income!D$3:D$502="GBP")*(Income!A$3:A$502=DATE(2026,6,14)),ROW(Income!A$3:A$502)-2),2)),0))</f>
        <v/>
      </c>
      <c r="P120" s="126">
        <f t="array" ref="P120">IF(IFERROR(INDEX(Expenses!B$3:B$999,SMALL(IF((Expenses!E$3:E$999="GBP")*(Expenses!A$3:A$999=DATE(2026,6,14)),ROW(Expenses!A$3:A$999)-2),2)),"")&lt;&gt;"",IFERROR(INDEX(Expenses!B$3:B$999,SMALL(IF((Expenses!E$3:E$999="GBP")*(Expenses!A$3:A$999=DATE(2026,6,14)),ROW(Expenses!A$3:A$999)-2),2)),""),IF(IFERROR(INDEX(Income!B$3:B$502,SMALL(IF((Income!D$3:D$502="GBP")*(Income!A$3:A$502=DATE(2026,6,14)),ROW(Income!A$3:A$502)-2),2)),"")&lt;&gt;"",IFERROR(INDEX(Income!B$3:B$502,SMALL(IF((Income!D$3:D$502="GBP")*(Income!A$3:A$502=DATE(2026,6,14)),ROW(Income!A$3:A$502)-2),2)),""),""))</f>
        <v/>
      </c>
      <c r="Q120" s="9" t="n"/>
      <c r="R120" s="9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68">
      <c r="A121" s="9" t="n"/>
      <c r="B121" s="9" t="n"/>
      <c r="C121" s="152">
        <f t="array" ref="C121">IF(IFERROR(-INDEX(Expenses!D$3:D$999,SMALL(IF((Expenses!E$3:E$999="GBP")*(Expenses!A$3:A$999=DATE(2026,6,8)),ROW(Expenses!A$3:A$999)-2),3)),0)+IFERROR(INDEX(Income!C$3:C$502,SMALL(IF((Income!D$3:D$502="GBP")*(Income!A$3:A$502=DATE(2026,6,8)),ROW(Income!A$3:A$502)-2),3)),0)=0,"",IFERROR(-INDEX(Expenses!D$3:D$999,SMALL(IF((Expenses!E$3:E$999="GBP")*(Expenses!A$3:A$999=DATE(2026,6,8)),ROW(Expenses!A$3:A$999)-2),3)),0)+IFERROR(INDEX(Income!C$3:C$502,SMALL(IF((Income!D$3:D$502="GBP")*(Income!A$3:A$502=DATE(2026,6,8)),ROW(Income!A$3:A$502)-2),3)),0))</f>
        <v/>
      </c>
      <c r="D121" s="126">
        <f t="array" ref="D121">IF(IFERROR(INDEX(Expenses!B$3:B$999,SMALL(IF((Expenses!E$3:E$999="GBP")*(Expenses!A$3:A$999=DATE(2026,6,8)),ROW(Expenses!A$3:A$999)-2),3)),"")&lt;&gt;"",IFERROR(INDEX(Expenses!B$3:B$999,SMALL(IF((Expenses!E$3:E$999="GBP")*(Expenses!A$3:A$999=DATE(2026,6,8)),ROW(Expenses!A$3:A$999)-2),3)),""),IF(IFERROR(INDEX(Income!B$3:B$502,SMALL(IF((Income!D$3:D$502="GBP")*(Income!A$3:A$502=DATE(2026,6,8)),ROW(Income!A$3:A$502)-2),3)),"")&lt;&gt;"",IFERROR(INDEX(Income!B$3:B$502,SMALL(IF((Income!D$3:D$502="GBP")*(Income!A$3:A$502=DATE(2026,6,8)),ROW(Income!A$3:A$502)-2),3)),""),""))</f>
        <v/>
      </c>
      <c r="E121" s="152">
        <f t="array" ref="E121">IF(IFERROR(-INDEX(Expenses!D$3:D$999,SMALL(IF((Expenses!E$3:E$999="GBP")*(Expenses!A$3:A$999=DATE(2026,6,9)),ROW(Expenses!A$3:A$999)-2),3)),0)+IFERROR(INDEX(Income!C$3:C$502,SMALL(IF((Income!D$3:D$502="GBP")*(Income!A$3:A$502=DATE(2026,6,9)),ROW(Income!A$3:A$502)-2),3)),0)=0,"",IFERROR(-INDEX(Expenses!D$3:D$999,SMALL(IF((Expenses!E$3:E$999="GBP")*(Expenses!A$3:A$999=DATE(2026,6,9)),ROW(Expenses!A$3:A$999)-2),3)),0)+IFERROR(INDEX(Income!C$3:C$502,SMALL(IF((Income!D$3:D$502="GBP")*(Income!A$3:A$502=DATE(2026,6,9)),ROW(Income!A$3:A$502)-2),3)),0))</f>
        <v/>
      </c>
      <c r="F121" s="126">
        <f t="array" ref="F121">IF(IFERROR(INDEX(Expenses!B$3:B$999,SMALL(IF((Expenses!E$3:E$999="GBP")*(Expenses!A$3:A$999=DATE(2026,6,9)),ROW(Expenses!A$3:A$999)-2),3)),"")&lt;&gt;"",IFERROR(INDEX(Expenses!B$3:B$999,SMALL(IF((Expenses!E$3:E$999="GBP")*(Expenses!A$3:A$999=DATE(2026,6,9)),ROW(Expenses!A$3:A$999)-2),3)),""),IF(IFERROR(INDEX(Income!B$3:B$502,SMALL(IF((Income!D$3:D$502="GBP")*(Income!A$3:A$502=DATE(2026,6,9)),ROW(Income!A$3:A$502)-2),3)),"")&lt;&gt;"",IFERROR(INDEX(Income!B$3:B$502,SMALL(IF((Income!D$3:D$502="GBP")*(Income!A$3:A$502=DATE(2026,6,9)),ROW(Income!A$3:A$502)-2),3)),""),""))</f>
        <v/>
      </c>
      <c r="G121" s="152">
        <f t="array" ref="G121">IF(IFERROR(-INDEX(Expenses!D$3:D$999,SMALL(IF((Expenses!E$3:E$999="GBP")*(Expenses!A$3:A$999=DATE(2026,6,10)),ROW(Expenses!A$3:A$999)-2),3)),0)+IFERROR(INDEX(Income!C$3:C$502,SMALL(IF((Income!D$3:D$502="GBP")*(Income!A$3:A$502=DATE(2026,6,10)),ROW(Income!A$3:A$502)-2),3)),0)=0,"",IFERROR(-INDEX(Expenses!D$3:D$999,SMALL(IF((Expenses!E$3:E$999="GBP")*(Expenses!A$3:A$999=DATE(2026,6,10)),ROW(Expenses!A$3:A$999)-2),3)),0)+IFERROR(INDEX(Income!C$3:C$502,SMALL(IF((Income!D$3:D$502="GBP")*(Income!A$3:A$502=DATE(2026,6,10)),ROW(Income!A$3:A$502)-2),3)),0))</f>
        <v/>
      </c>
      <c r="H121" s="126">
        <f t="array" ref="H121">IF(IFERROR(INDEX(Expenses!B$3:B$999,SMALL(IF((Expenses!E$3:E$999="GBP")*(Expenses!A$3:A$999=DATE(2026,6,10)),ROW(Expenses!A$3:A$999)-2),3)),"")&lt;&gt;"",IFERROR(INDEX(Expenses!B$3:B$999,SMALL(IF((Expenses!E$3:E$999="GBP")*(Expenses!A$3:A$999=DATE(2026,6,10)),ROW(Expenses!A$3:A$999)-2),3)),""),IF(IFERROR(INDEX(Income!B$3:B$502,SMALL(IF((Income!D$3:D$502="GBP")*(Income!A$3:A$502=DATE(2026,6,10)),ROW(Income!A$3:A$502)-2),3)),"")&lt;&gt;"",IFERROR(INDEX(Income!B$3:B$502,SMALL(IF((Income!D$3:D$502="GBP")*(Income!A$3:A$502=DATE(2026,6,10)),ROW(Income!A$3:A$502)-2),3)),""),""))</f>
        <v/>
      </c>
      <c r="I121" s="152">
        <f t="array" ref="I121">IF(IFERROR(-INDEX(Expenses!D$3:D$999,SMALL(IF((Expenses!E$3:E$999="GBP")*(Expenses!A$3:A$999=DATE(2026,6,11)),ROW(Expenses!A$3:A$999)-2),3)),0)+IFERROR(INDEX(Income!C$3:C$502,SMALL(IF((Income!D$3:D$502="GBP")*(Income!A$3:A$502=DATE(2026,6,11)),ROW(Income!A$3:A$502)-2),3)),0)=0,"",IFERROR(-INDEX(Expenses!D$3:D$999,SMALL(IF((Expenses!E$3:E$999="GBP")*(Expenses!A$3:A$999=DATE(2026,6,11)),ROW(Expenses!A$3:A$999)-2),3)),0)+IFERROR(INDEX(Income!C$3:C$502,SMALL(IF((Income!D$3:D$502="GBP")*(Income!A$3:A$502=DATE(2026,6,11)),ROW(Income!A$3:A$502)-2),3)),0))</f>
        <v/>
      </c>
      <c r="J121" s="126">
        <f t="array" ref="J121">IF(IFERROR(INDEX(Expenses!B$3:B$999,SMALL(IF((Expenses!E$3:E$999="GBP")*(Expenses!A$3:A$999=DATE(2026,6,11)),ROW(Expenses!A$3:A$999)-2),3)),"")&lt;&gt;"",IFERROR(INDEX(Expenses!B$3:B$999,SMALL(IF((Expenses!E$3:E$999="GBP")*(Expenses!A$3:A$999=DATE(2026,6,11)),ROW(Expenses!A$3:A$999)-2),3)),""),IF(IFERROR(INDEX(Income!B$3:B$502,SMALL(IF((Income!D$3:D$502="GBP")*(Income!A$3:A$502=DATE(2026,6,11)),ROW(Income!A$3:A$502)-2),3)),"")&lt;&gt;"",IFERROR(INDEX(Income!B$3:B$502,SMALL(IF((Income!D$3:D$502="GBP")*(Income!A$3:A$502=DATE(2026,6,11)),ROW(Income!A$3:A$502)-2),3)),""),""))</f>
        <v/>
      </c>
      <c r="K121" s="152">
        <f t="array" ref="K121">IF(IFERROR(-INDEX(Expenses!D$3:D$999,SMALL(IF((Expenses!E$3:E$999="GBP")*(Expenses!A$3:A$999=DATE(2026,6,12)),ROW(Expenses!A$3:A$999)-2),3)),0)+IFERROR(INDEX(Income!C$3:C$502,SMALL(IF((Income!D$3:D$502="GBP")*(Income!A$3:A$502=DATE(2026,6,12)),ROW(Income!A$3:A$502)-2),3)),0)=0,"",IFERROR(-INDEX(Expenses!D$3:D$999,SMALL(IF((Expenses!E$3:E$999="GBP")*(Expenses!A$3:A$999=DATE(2026,6,12)),ROW(Expenses!A$3:A$999)-2),3)),0)+IFERROR(INDEX(Income!C$3:C$502,SMALL(IF((Income!D$3:D$502="GBP")*(Income!A$3:A$502=DATE(2026,6,12)),ROW(Income!A$3:A$502)-2),3)),0))</f>
        <v/>
      </c>
      <c r="L121" s="126">
        <f t="array" ref="L121">IF(IFERROR(INDEX(Expenses!B$3:B$999,SMALL(IF((Expenses!E$3:E$999="GBP")*(Expenses!A$3:A$999=DATE(2026,6,12)),ROW(Expenses!A$3:A$999)-2),3)),"")&lt;&gt;"",IFERROR(INDEX(Expenses!B$3:B$999,SMALL(IF((Expenses!E$3:E$999="GBP")*(Expenses!A$3:A$999=DATE(2026,6,12)),ROW(Expenses!A$3:A$999)-2),3)),""),IF(IFERROR(INDEX(Income!B$3:B$502,SMALL(IF((Income!D$3:D$502="GBP")*(Income!A$3:A$502=DATE(2026,6,12)),ROW(Income!A$3:A$502)-2),3)),"")&lt;&gt;"",IFERROR(INDEX(Income!B$3:B$502,SMALL(IF((Income!D$3:D$502="GBP")*(Income!A$3:A$502=DATE(2026,6,12)),ROW(Income!A$3:A$502)-2),3)),""),""))</f>
        <v/>
      </c>
      <c r="M121" s="152">
        <f t="array" ref="M121">IF(IFERROR(-INDEX(Expenses!D$3:D$999,SMALL(IF((Expenses!E$3:E$999="GBP")*(Expenses!A$3:A$999=DATE(2026,6,13)),ROW(Expenses!A$3:A$999)-2),3)),0)+IFERROR(INDEX(Income!C$3:C$502,SMALL(IF((Income!D$3:D$502="GBP")*(Income!A$3:A$502=DATE(2026,6,13)),ROW(Income!A$3:A$502)-2),3)),0)=0,"",IFERROR(-INDEX(Expenses!D$3:D$999,SMALL(IF((Expenses!E$3:E$999="GBP")*(Expenses!A$3:A$999=DATE(2026,6,13)),ROW(Expenses!A$3:A$999)-2),3)),0)+IFERROR(INDEX(Income!C$3:C$502,SMALL(IF((Income!D$3:D$502="GBP")*(Income!A$3:A$502=DATE(2026,6,13)),ROW(Income!A$3:A$502)-2),3)),0))</f>
        <v/>
      </c>
      <c r="N121" s="126">
        <f t="array" ref="N121">IF(IFERROR(INDEX(Expenses!B$3:B$999,SMALL(IF((Expenses!E$3:E$999="GBP")*(Expenses!A$3:A$999=DATE(2026,6,13)),ROW(Expenses!A$3:A$999)-2),3)),"")&lt;&gt;"",IFERROR(INDEX(Expenses!B$3:B$999,SMALL(IF((Expenses!E$3:E$999="GBP")*(Expenses!A$3:A$999=DATE(2026,6,13)),ROW(Expenses!A$3:A$999)-2),3)),""),IF(IFERROR(INDEX(Income!B$3:B$502,SMALL(IF((Income!D$3:D$502="GBP")*(Income!A$3:A$502=DATE(2026,6,13)),ROW(Income!A$3:A$502)-2),3)),"")&lt;&gt;"",IFERROR(INDEX(Income!B$3:B$502,SMALL(IF((Income!D$3:D$502="GBP")*(Income!A$3:A$502=DATE(2026,6,13)),ROW(Income!A$3:A$502)-2),3)),""),""))</f>
        <v/>
      </c>
      <c r="O121" s="152">
        <f t="array" ref="O121">IF(IFERROR(-INDEX(Expenses!D$3:D$999,SMALL(IF((Expenses!E$3:E$999="GBP")*(Expenses!A$3:A$999=DATE(2026,6,14)),ROW(Expenses!A$3:A$999)-2),3)),0)+IFERROR(INDEX(Income!C$3:C$502,SMALL(IF((Income!D$3:D$502="GBP")*(Income!A$3:A$502=DATE(2026,6,14)),ROW(Income!A$3:A$502)-2),3)),0)=0,"",IFERROR(-INDEX(Expenses!D$3:D$999,SMALL(IF((Expenses!E$3:E$999="GBP")*(Expenses!A$3:A$999=DATE(2026,6,14)),ROW(Expenses!A$3:A$999)-2),3)),0)+IFERROR(INDEX(Income!C$3:C$502,SMALL(IF((Income!D$3:D$502="GBP")*(Income!A$3:A$502=DATE(2026,6,14)),ROW(Income!A$3:A$502)-2),3)),0))</f>
        <v/>
      </c>
      <c r="P121" s="126">
        <f t="array" ref="P121">IF(IFERROR(INDEX(Expenses!B$3:B$999,SMALL(IF((Expenses!E$3:E$999="GBP")*(Expenses!A$3:A$999=DATE(2026,6,14)),ROW(Expenses!A$3:A$999)-2),3)),"")&lt;&gt;"",IFERROR(INDEX(Expenses!B$3:B$999,SMALL(IF((Expenses!E$3:E$999="GBP")*(Expenses!A$3:A$999=DATE(2026,6,14)),ROW(Expenses!A$3:A$999)-2),3)),""),IF(IFERROR(INDEX(Income!B$3:B$502,SMALL(IF((Income!D$3:D$502="GBP")*(Income!A$3:A$502=DATE(2026,6,14)),ROW(Income!A$3:A$502)-2),3)),"")&lt;&gt;"",IFERROR(INDEX(Income!B$3:B$502,SMALL(IF((Income!D$3:D$502="GBP")*(Income!A$3:A$502=DATE(2026,6,14)),ROW(Income!A$3:A$502)-2),3)),""),""))</f>
        <v/>
      </c>
      <c r="Q121" s="9" t="n"/>
      <c r="R121" s="9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68">
      <c r="A122" s="9" t="n"/>
      <c r="B122" s="9" t="n"/>
      <c r="C122" s="152">
        <f t="array" ref="C122">IF(IFERROR(-INDEX(Expenses!D$3:D$999,SMALL(IF((Expenses!E$3:E$999="GBP")*(Expenses!A$3:A$999=DATE(2026,6,8)),ROW(Expenses!A$3:A$999)-2),4)),0)+IFERROR(INDEX(Income!C$3:C$502,SMALL(IF((Income!D$3:D$502="GBP")*(Income!A$3:A$502=DATE(2026,6,8)),ROW(Income!A$3:A$502)-2),4)),0)=0,"",IFERROR(-INDEX(Expenses!D$3:D$999,SMALL(IF((Expenses!E$3:E$999="GBP")*(Expenses!A$3:A$999=DATE(2026,6,8)),ROW(Expenses!A$3:A$999)-2),4)),0)+IFERROR(INDEX(Income!C$3:C$502,SMALL(IF((Income!D$3:D$502="GBP")*(Income!A$3:A$502=DATE(2026,6,8)),ROW(Income!A$3:A$502)-2),4)),0))</f>
        <v/>
      </c>
      <c r="D122" s="126">
        <f t="array" ref="D122">IF(IFERROR(INDEX(Expenses!B$3:B$999,SMALL(IF((Expenses!E$3:E$999="GBP")*(Expenses!A$3:A$999=DATE(2026,6,8)),ROW(Expenses!A$3:A$999)-2),4)),"")&lt;&gt;"",IFERROR(INDEX(Expenses!B$3:B$999,SMALL(IF((Expenses!E$3:E$999="GBP")*(Expenses!A$3:A$999=DATE(2026,6,8)),ROW(Expenses!A$3:A$999)-2),4)),""),IF(IFERROR(INDEX(Income!B$3:B$502,SMALL(IF((Income!D$3:D$502="GBP")*(Income!A$3:A$502=DATE(2026,6,8)),ROW(Income!A$3:A$502)-2),4)),"")&lt;&gt;"",IFERROR(INDEX(Income!B$3:B$502,SMALL(IF((Income!D$3:D$502="GBP")*(Income!A$3:A$502=DATE(2026,6,8)),ROW(Income!A$3:A$502)-2),4)),""),""))</f>
        <v/>
      </c>
      <c r="E122" s="152">
        <f t="array" ref="E122">IF(IFERROR(-INDEX(Expenses!D$3:D$999,SMALL(IF((Expenses!E$3:E$999="GBP")*(Expenses!A$3:A$999=DATE(2026,6,9)),ROW(Expenses!A$3:A$999)-2),4)),0)+IFERROR(INDEX(Income!C$3:C$502,SMALL(IF((Income!D$3:D$502="GBP")*(Income!A$3:A$502=DATE(2026,6,9)),ROW(Income!A$3:A$502)-2),4)),0)=0,"",IFERROR(-INDEX(Expenses!D$3:D$999,SMALL(IF((Expenses!E$3:E$999="GBP")*(Expenses!A$3:A$999=DATE(2026,6,9)),ROW(Expenses!A$3:A$999)-2),4)),0)+IFERROR(INDEX(Income!C$3:C$502,SMALL(IF((Income!D$3:D$502="GBP")*(Income!A$3:A$502=DATE(2026,6,9)),ROW(Income!A$3:A$502)-2),4)),0))</f>
        <v/>
      </c>
      <c r="F122" s="126">
        <f t="array" ref="F122">IF(IFERROR(INDEX(Expenses!B$3:B$999,SMALL(IF((Expenses!E$3:E$999="GBP")*(Expenses!A$3:A$999=DATE(2026,6,9)),ROW(Expenses!A$3:A$999)-2),4)),"")&lt;&gt;"",IFERROR(INDEX(Expenses!B$3:B$999,SMALL(IF((Expenses!E$3:E$999="GBP")*(Expenses!A$3:A$999=DATE(2026,6,9)),ROW(Expenses!A$3:A$999)-2),4)),""),IF(IFERROR(INDEX(Income!B$3:B$502,SMALL(IF((Income!D$3:D$502="GBP")*(Income!A$3:A$502=DATE(2026,6,9)),ROW(Income!A$3:A$502)-2),4)),"")&lt;&gt;"",IFERROR(INDEX(Income!B$3:B$502,SMALL(IF((Income!D$3:D$502="GBP")*(Income!A$3:A$502=DATE(2026,6,9)),ROW(Income!A$3:A$502)-2),4)),""),""))</f>
        <v/>
      </c>
      <c r="G122" s="152">
        <f t="array" ref="G122">IF(IFERROR(-INDEX(Expenses!D$3:D$999,SMALL(IF((Expenses!E$3:E$999="GBP")*(Expenses!A$3:A$999=DATE(2026,6,10)),ROW(Expenses!A$3:A$999)-2),4)),0)+IFERROR(INDEX(Income!C$3:C$502,SMALL(IF((Income!D$3:D$502="GBP")*(Income!A$3:A$502=DATE(2026,6,10)),ROW(Income!A$3:A$502)-2),4)),0)=0,"",IFERROR(-INDEX(Expenses!D$3:D$999,SMALL(IF((Expenses!E$3:E$999="GBP")*(Expenses!A$3:A$999=DATE(2026,6,10)),ROW(Expenses!A$3:A$999)-2),4)),0)+IFERROR(INDEX(Income!C$3:C$502,SMALL(IF((Income!D$3:D$502="GBP")*(Income!A$3:A$502=DATE(2026,6,10)),ROW(Income!A$3:A$502)-2),4)),0))</f>
        <v/>
      </c>
      <c r="H122" s="126">
        <f t="array" ref="H122">IF(IFERROR(INDEX(Expenses!B$3:B$999,SMALL(IF((Expenses!E$3:E$999="GBP")*(Expenses!A$3:A$999=DATE(2026,6,10)),ROW(Expenses!A$3:A$999)-2),4)),"")&lt;&gt;"",IFERROR(INDEX(Expenses!B$3:B$999,SMALL(IF((Expenses!E$3:E$999="GBP")*(Expenses!A$3:A$999=DATE(2026,6,10)),ROW(Expenses!A$3:A$999)-2),4)),""),IF(IFERROR(INDEX(Income!B$3:B$502,SMALL(IF((Income!D$3:D$502="GBP")*(Income!A$3:A$502=DATE(2026,6,10)),ROW(Income!A$3:A$502)-2),4)),"")&lt;&gt;"",IFERROR(INDEX(Income!B$3:B$502,SMALL(IF((Income!D$3:D$502="GBP")*(Income!A$3:A$502=DATE(2026,6,10)),ROW(Income!A$3:A$502)-2),4)),""),""))</f>
        <v/>
      </c>
      <c r="I122" s="152">
        <f t="array" ref="I122">IF(IFERROR(-INDEX(Expenses!D$3:D$999,SMALL(IF((Expenses!E$3:E$999="GBP")*(Expenses!A$3:A$999=DATE(2026,6,11)),ROW(Expenses!A$3:A$999)-2),4)),0)+IFERROR(INDEX(Income!C$3:C$502,SMALL(IF((Income!D$3:D$502="GBP")*(Income!A$3:A$502=DATE(2026,6,11)),ROW(Income!A$3:A$502)-2),4)),0)=0,"",IFERROR(-INDEX(Expenses!D$3:D$999,SMALL(IF((Expenses!E$3:E$999="GBP")*(Expenses!A$3:A$999=DATE(2026,6,11)),ROW(Expenses!A$3:A$999)-2),4)),0)+IFERROR(INDEX(Income!C$3:C$502,SMALL(IF((Income!D$3:D$502="GBP")*(Income!A$3:A$502=DATE(2026,6,11)),ROW(Income!A$3:A$502)-2),4)),0))</f>
        <v/>
      </c>
      <c r="J122" s="126">
        <f t="array" ref="J122">IF(IFERROR(INDEX(Expenses!B$3:B$999,SMALL(IF((Expenses!E$3:E$999="GBP")*(Expenses!A$3:A$999=DATE(2026,6,11)),ROW(Expenses!A$3:A$999)-2),4)),"")&lt;&gt;"",IFERROR(INDEX(Expenses!B$3:B$999,SMALL(IF((Expenses!E$3:E$999="GBP")*(Expenses!A$3:A$999=DATE(2026,6,11)),ROW(Expenses!A$3:A$999)-2),4)),""),IF(IFERROR(INDEX(Income!B$3:B$502,SMALL(IF((Income!D$3:D$502="GBP")*(Income!A$3:A$502=DATE(2026,6,11)),ROW(Income!A$3:A$502)-2),4)),"")&lt;&gt;"",IFERROR(INDEX(Income!B$3:B$502,SMALL(IF((Income!D$3:D$502="GBP")*(Income!A$3:A$502=DATE(2026,6,11)),ROW(Income!A$3:A$502)-2),4)),""),""))</f>
        <v/>
      </c>
      <c r="K122" s="152">
        <f t="array" ref="K122">IF(IFERROR(-INDEX(Expenses!D$3:D$999,SMALL(IF((Expenses!E$3:E$999="GBP")*(Expenses!A$3:A$999=DATE(2026,6,12)),ROW(Expenses!A$3:A$999)-2),4)),0)+IFERROR(INDEX(Income!C$3:C$502,SMALL(IF((Income!D$3:D$502="GBP")*(Income!A$3:A$502=DATE(2026,6,12)),ROW(Income!A$3:A$502)-2),4)),0)=0,"",IFERROR(-INDEX(Expenses!D$3:D$999,SMALL(IF((Expenses!E$3:E$999="GBP")*(Expenses!A$3:A$999=DATE(2026,6,12)),ROW(Expenses!A$3:A$999)-2),4)),0)+IFERROR(INDEX(Income!C$3:C$502,SMALL(IF((Income!D$3:D$502="GBP")*(Income!A$3:A$502=DATE(2026,6,12)),ROW(Income!A$3:A$502)-2),4)),0))</f>
        <v/>
      </c>
      <c r="L122" s="126">
        <f t="array" ref="L122">IF(IFERROR(INDEX(Expenses!B$3:B$999,SMALL(IF((Expenses!E$3:E$999="GBP")*(Expenses!A$3:A$999=DATE(2026,6,12)),ROW(Expenses!A$3:A$999)-2),4)),"")&lt;&gt;"",IFERROR(INDEX(Expenses!B$3:B$999,SMALL(IF((Expenses!E$3:E$999="GBP")*(Expenses!A$3:A$999=DATE(2026,6,12)),ROW(Expenses!A$3:A$999)-2),4)),""),IF(IFERROR(INDEX(Income!B$3:B$502,SMALL(IF((Income!D$3:D$502="GBP")*(Income!A$3:A$502=DATE(2026,6,12)),ROW(Income!A$3:A$502)-2),4)),"")&lt;&gt;"",IFERROR(INDEX(Income!B$3:B$502,SMALL(IF((Income!D$3:D$502="GBP")*(Income!A$3:A$502=DATE(2026,6,12)),ROW(Income!A$3:A$502)-2),4)),""),""))</f>
        <v/>
      </c>
      <c r="M122" s="152">
        <f t="array" ref="M122">IF(IFERROR(-INDEX(Expenses!D$3:D$999,SMALL(IF((Expenses!E$3:E$999="GBP")*(Expenses!A$3:A$999=DATE(2026,6,13)),ROW(Expenses!A$3:A$999)-2),4)),0)+IFERROR(INDEX(Income!C$3:C$502,SMALL(IF((Income!D$3:D$502="GBP")*(Income!A$3:A$502=DATE(2026,6,13)),ROW(Income!A$3:A$502)-2),4)),0)=0,"",IFERROR(-INDEX(Expenses!D$3:D$999,SMALL(IF((Expenses!E$3:E$999="GBP")*(Expenses!A$3:A$999=DATE(2026,6,13)),ROW(Expenses!A$3:A$999)-2),4)),0)+IFERROR(INDEX(Income!C$3:C$502,SMALL(IF((Income!D$3:D$502="GBP")*(Income!A$3:A$502=DATE(2026,6,13)),ROW(Income!A$3:A$502)-2),4)),0))</f>
        <v/>
      </c>
      <c r="N122" s="126">
        <f t="array" ref="N122">IF(IFERROR(INDEX(Expenses!B$3:B$999,SMALL(IF((Expenses!E$3:E$999="GBP")*(Expenses!A$3:A$999=DATE(2026,6,13)),ROW(Expenses!A$3:A$999)-2),4)),"")&lt;&gt;"",IFERROR(INDEX(Expenses!B$3:B$999,SMALL(IF((Expenses!E$3:E$999="GBP")*(Expenses!A$3:A$999=DATE(2026,6,13)),ROW(Expenses!A$3:A$999)-2),4)),""),IF(IFERROR(INDEX(Income!B$3:B$502,SMALL(IF((Income!D$3:D$502="GBP")*(Income!A$3:A$502=DATE(2026,6,13)),ROW(Income!A$3:A$502)-2),4)),"")&lt;&gt;"",IFERROR(INDEX(Income!B$3:B$502,SMALL(IF((Income!D$3:D$502="GBP")*(Income!A$3:A$502=DATE(2026,6,13)),ROW(Income!A$3:A$502)-2),4)),""),""))</f>
        <v/>
      </c>
      <c r="O122" s="152">
        <f t="array" ref="O122">IF(IFERROR(-INDEX(Expenses!D$3:D$999,SMALL(IF((Expenses!E$3:E$999="GBP")*(Expenses!A$3:A$999=DATE(2026,6,14)),ROW(Expenses!A$3:A$999)-2),4)),0)+IFERROR(INDEX(Income!C$3:C$502,SMALL(IF((Income!D$3:D$502="GBP")*(Income!A$3:A$502=DATE(2026,6,14)),ROW(Income!A$3:A$502)-2),4)),0)=0,"",IFERROR(-INDEX(Expenses!D$3:D$999,SMALL(IF((Expenses!E$3:E$999="GBP")*(Expenses!A$3:A$999=DATE(2026,6,14)),ROW(Expenses!A$3:A$999)-2),4)),0)+IFERROR(INDEX(Income!C$3:C$502,SMALL(IF((Income!D$3:D$502="GBP")*(Income!A$3:A$502=DATE(2026,6,14)),ROW(Income!A$3:A$502)-2),4)),0))</f>
        <v/>
      </c>
      <c r="P122" s="126">
        <f t="array" ref="P122">IF(IFERROR(INDEX(Expenses!B$3:B$999,SMALL(IF((Expenses!E$3:E$999="GBP")*(Expenses!A$3:A$999=DATE(2026,6,14)),ROW(Expenses!A$3:A$999)-2),4)),"")&lt;&gt;"",IFERROR(INDEX(Expenses!B$3:B$999,SMALL(IF((Expenses!E$3:E$999="GBP")*(Expenses!A$3:A$999=DATE(2026,6,14)),ROW(Expenses!A$3:A$999)-2),4)),""),IF(IFERROR(INDEX(Income!B$3:B$502,SMALL(IF((Income!D$3:D$502="GBP")*(Income!A$3:A$502=DATE(2026,6,14)),ROW(Income!A$3:A$502)-2),4)),"")&lt;&gt;"",IFERROR(INDEX(Income!B$3:B$502,SMALL(IF((Income!D$3:D$502="GBP")*(Income!A$3:A$502=DATE(2026,6,14)),ROW(Income!A$3:A$502)-2),4)),""),""))</f>
        <v/>
      </c>
      <c r="Q122" s="9" t="n"/>
      <c r="R122" s="9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68">
      <c r="A123" s="9" t="n"/>
      <c r="B123" s="9" t="n"/>
      <c r="C123" s="152">
        <f t="array" ref="C123">IF(IFERROR(-INDEX(Expenses!D$3:D$999,SMALL(IF((Expenses!E$3:E$999="GBP")*(Expenses!A$3:A$999=DATE(2026,6,8)),ROW(Expenses!A$3:A$999)-2),5)),0)+IFERROR(INDEX(Income!C$3:C$502,SMALL(IF((Income!D$3:D$502="GBP")*(Income!A$3:A$502=DATE(2026,6,8)),ROW(Income!A$3:A$502)-2),5)),0)=0,"",IFERROR(-INDEX(Expenses!D$3:D$999,SMALL(IF((Expenses!E$3:E$999="GBP")*(Expenses!A$3:A$999=DATE(2026,6,8)),ROW(Expenses!A$3:A$999)-2),5)),0)+IFERROR(INDEX(Income!C$3:C$502,SMALL(IF((Income!D$3:D$502="GBP")*(Income!A$3:A$502=DATE(2026,6,8)),ROW(Income!A$3:A$502)-2),5)),0))</f>
        <v/>
      </c>
      <c r="D123" s="126">
        <f t="array" ref="D123">IF(IFERROR(INDEX(Expenses!B$3:B$999,SMALL(IF((Expenses!E$3:E$999="GBP")*(Expenses!A$3:A$999=DATE(2026,6,8)),ROW(Expenses!A$3:A$999)-2),5)),"")&lt;&gt;"",IFERROR(INDEX(Expenses!B$3:B$999,SMALL(IF((Expenses!E$3:E$999="GBP")*(Expenses!A$3:A$999=DATE(2026,6,8)),ROW(Expenses!A$3:A$999)-2),5)),""),IF(IFERROR(INDEX(Income!B$3:B$502,SMALL(IF((Income!D$3:D$502="GBP")*(Income!A$3:A$502=DATE(2026,6,8)),ROW(Income!A$3:A$502)-2),5)),"")&lt;&gt;"",IFERROR(INDEX(Income!B$3:B$502,SMALL(IF((Income!D$3:D$502="GBP")*(Income!A$3:A$502=DATE(2026,6,8)),ROW(Income!A$3:A$502)-2),5)),""),""))</f>
        <v/>
      </c>
      <c r="E123" s="152">
        <f t="array" ref="E123">IF(IFERROR(-INDEX(Expenses!D$3:D$999,SMALL(IF((Expenses!E$3:E$999="GBP")*(Expenses!A$3:A$999=DATE(2026,6,9)),ROW(Expenses!A$3:A$999)-2),5)),0)+IFERROR(INDEX(Income!C$3:C$502,SMALL(IF((Income!D$3:D$502="GBP")*(Income!A$3:A$502=DATE(2026,6,9)),ROW(Income!A$3:A$502)-2),5)),0)=0,"",IFERROR(-INDEX(Expenses!D$3:D$999,SMALL(IF((Expenses!E$3:E$999="GBP")*(Expenses!A$3:A$999=DATE(2026,6,9)),ROW(Expenses!A$3:A$999)-2),5)),0)+IFERROR(INDEX(Income!C$3:C$502,SMALL(IF((Income!D$3:D$502="GBP")*(Income!A$3:A$502=DATE(2026,6,9)),ROW(Income!A$3:A$502)-2),5)),0))</f>
        <v/>
      </c>
      <c r="F123" s="126">
        <f t="array" ref="F123">IF(IFERROR(INDEX(Expenses!B$3:B$999,SMALL(IF((Expenses!E$3:E$999="GBP")*(Expenses!A$3:A$999=DATE(2026,6,9)),ROW(Expenses!A$3:A$999)-2),5)),"")&lt;&gt;"",IFERROR(INDEX(Expenses!B$3:B$999,SMALL(IF((Expenses!E$3:E$999="GBP")*(Expenses!A$3:A$999=DATE(2026,6,9)),ROW(Expenses!A$3:A$999)-2),5)),""),IF(IFERROR(INDEX(Income!B$3:B$502,SMALL(IF((Income!D$3:D$502="GBP")*(Income!A$3:A$502=DATE(2026,6,9)),ROW(Income!A$3:A$502)-2),5)),"")&lt;&gt;"",IFERROR(INDEX(Income!B$3:B$502,SMALL(IF((Income!D$3:D$502="GBP")*(Income!A$3:A$502=DATE(2026,6,9)),ROW(Income!A$3:A$502)-2),5)),""),""))</f>
        <v/>
      </c>
      <c r="G123" s="152">
        <f t="array" ref="G123">IF(IFERROR(-INDEX(Expenses!D$3:D$999,SMALL(IF((Expenses!E$3:E$999="GBP")*(Expenses!A$3:A$999=DATE(2026,6,10)),ROW(Expenses!A$3:A$999)-2),5)),0)+IFERROR(INDEX(Income!C$3:C$502,SMALL(IF((Income!D$3:D$502="GBP")*(Income!A$3:A$502=DATE(2026,6,10)),ROW(Income!A$3:A$502)-2),5)),0)=0,"",IFERROR(-INDEX(Expenses!D$3:D$999,SMALL(IF((Expenses!E$3:E$999="GBP")*(Expenses!A$3:A$999=DATE(2026,6,10)),ROW(Expenses!A$3:A$999)-2),5)),0)+IFERROR(INDEX(Income!C$3:C$502,SMALL(IF((Income!D$3:D$502="GBP")*(Income!A$3:A$502=DATE(2026,6,10)),ROW(Income!A$3:A$502)-2),5)),0))</f>
        <v/>
      </c>
      <c r="H123" s="126">
        <f t="array" ref="H123">IF(IFERROR(INDEX(Expenses!B$3:B$999,SMALL(IF((Expenses!E$3:E$999="GBP")*(Expenses!A$3:A$999=DATE(2026,6,10)),ROW(Expenses!A$3:A$999)-2),5)),"")&lt;&gt;"",IFERROR(INDEX(Expenses!B$3:B$999,SMALL(IF((Expenses!E$3:E$999="GBP")*(Expenses!A$3:A$999=DATE(2026,6,10)),ROW(Expenses!A$3:A$999)-2),5)),""),IF(IFERROR(INDEX(Income!B$3:B$502,SMALL(IF((Income!D$3:D$502="GBP")*(Income!A$3:A$502=DATE(2026,6,10)),ROW(Income!A$3:A$502)-2),5)),"")&lt;&gt;"",IFERROR(INDEX(Income!B$3:B$502,SMALL(IF((Income!D$3:D$502="GBP")*(Income!A$3:A$502=DATE(2026,6,10)),ROW(Income!A$3:A$502)-2),5)),""),""))</f>
        <v/>
      </c>
      <c r="I123" s="152">
        <f t="array" ref="I123">IF(IFERROR(-INDEX(Expenses!D$3:D$999,SMALL(IF((Expenses!E$3:E$999="GBP")*(Expenses!A$3:A$999=DATE(2026,6,11)),ROW(Expenses!A$3:A$999)-2),5)),0)+IFERROR(INDEX(Income!C$3:C$502,SMALL(IF((Income!D$3:D$502="GBP")*(Income!A$3:A$502=DATE(2026,6,11)),ROW(Income!A$3:A$502)-2),5)),0)=0,"",IFERROR(-INDEX(Expenses!D$3:D$999,SMALL(IF((Expenses!E$3:E$999="GBP")*(Expenses!A$3:A$999=DATE(2026,6,11)),ROW(Expenses!A$3:A$999)-2),5)),0)+IFERROR(INDEX(Income!C$3:C$502,SMALL(IF((Income!D$3:D$502="GBP")*(Income!A$3:A$502=DATE(2026,6,11)),ROW(Income!A$3:A$502)-2),5)),0))</f>
        <v/>
      </c>
      <c r="J123" s="126">
        <f t="array" ref="J123">IF(IFERROR(INDEX(Expenses!B$3:B$999,SMALL(IF((Expenses!E$3:E$999="GBP")*(Expenses!A$3:A$999=DATE(2026,6,11)),ROW(Expenses!A$3:A$999)-2),5)),"")&lt;&gt;"",IFERROR(INDEX(Expenses!B$3:B$999,SMALL(IF((Expenses!E$3:E$999="GBP")*(Expenses!A$3:A$999=DATE(2026,6,11)),ROW(Expenses!A$3:A$999)-2),5)),""),IF(IFERROR(INDEX(Income!B$3:B$502,SMALL(IF((Income!D$3:D$502="GBP")*(Income!A$3:A$502=DATE(2026,6,11)),ROW(Income!A$3:A$502)-2),5)),"")&lt;&gt;"",IFERROR(INDEX(Income!B$3:B$502,SMALL(IF((Income!D$3:D$502="GBP")*(Income!A$3:A$502=DATE(2026,6,11)),ROW(Income!A$3:A$502)-2),5)),""),""))</f>
        <v/>
      </c>
      <c r="K123" s="152">
        <f t="array" ref="K123">IF(IFERROR(-INDEX(Expenses!D$3:D$999,SMALL(IF((Expenses!E$3:E$999="GBP")*(Expenses!A$3:A$999=DATE(2026,6,12)),ROW(Expenses!A$3:A$999)-2),5)),0)+IFERROR(INDEX(Income!C$3:C$502,SMALL(IF((Income!D$3:D$502="GBP")*(Income!A$3:A$502=DATE(2026,6,12)),ROW(Income!A$3:A$502)-2),5)),0)=0,"",IFERROR(-INDEX(Expenses!D$3:D$999,SMALL(IF((Expenses!E$3:E$999="GBP")*(Expenses!A$3:A$999=DATE(2026,6,12)),ROW(Expenses!A$3:A$999)-2),5)),0)+IFERROR(INDEX(Income!C$3:C$502,SMALL(IF((Income!D$3:D$502="GBP")*(Income!A$3:A$502=DATE(2026,6,12)),ROW(Income!A$3:A$502)-2),5)),0))</f>
        <v/>
      </c>
      <c r="L123" s="126">
        <f t="array" ref="L123">IF(IFERROR(INDEX(Expenses!B$3:B$999,SMALL(IF((Expenses!E$3:E$999="GBP")*(Expenses!A$3:A$999=DATE(2026,6,12)),ROW(Expenses!A$3:A$999)-2),5)),"")&lt;&gt;"",IFERROR(INDEX(Expenses!B$3:B$999,SMALL(IF((Expenses!E$3:E$999="GBP")*(Expenses!A$3:A$999=DATE(2026,6,12)),ROW(Expenses!A$3:A$999)-2),5)),""),IF(IFERROR(INDEX(Income!B$3:B$502,SMALL(IF((Income!D$3:D$502="GBP")*(Income!A$3:A$502=DATE(2026,6,12)),ROW(Income!A$3:A$502)-2),5)),"")&lt;&gt;"",IFERROR(INDEX(Income!B$3:B$502,SMALL(IF((Income!D$3:D$502="GBP")*(Income!A$3:A$502=DATE(2026,6,12)),ROW(Income!A$3:A$502)-2),5)),""),""))</f>
        <v/>
      </c>
      <c r="M123" s="152">
        <f t="array" ref="M123">IF(IFERROR(-INDEX(Expenses!D$3:D$999,SMALL(IF((Expenses!E$3:E$999="GBP")*(Expenses!A$3:A$999=DATE(2026,6,13)),ROW(Expenses!A$3:A$999)-2),5)),0)+IFERROR(INDEX(Income!C$3:C$502,SMALL(IF((Income!D$3:D$502="GBP")*(Income!A$3:A$502=DATE(2026,6,13)),ROW(Income!A$3:A$502)-2),5)),0)=0,"",IFERROR(-INDEX(Expenses!D$3:D$999,SMALL(IF((Expenses!E$3:E$999="GBP")*(Expenses!A$3:A$999=DATE(2026,6,13)),ROW(Expenses!A$3:A$999)-2),5)),0)+IFERROR(INDEX(Income!C$3:C$502,SMALL(IF((Income!D$3:D$502="GBP")*(Income!A$3:A$502=DATE(2026,6,13)),ROW(Income!A$3:A$502)-2),5)),0))</f>
        <v/>
      </c>
      <c r="N123" s="126">
        <f t="array" ref="N123">IF(IFERROR(INDEX(Expenses!B$3:B$999,SMALL(IF((Expenses!E$3:E$999="GBP")*(Expenses!A$3:A$999=DATE(2026,6,13)),ROW(Expenses!A$3:A$999)-2),5)),"")&lt;&gt;"",IFERROR(INDEX(Expenses!B$3:B$999,SMALL(IF((Expenses!E$3:E$999="GBP")*(Expenses!A$3:A$999=DATE(2026,6,13)),ROW(Expenses!A$3:A$999)-2),5)),""),IF(IFERROR(INDEX(Income!B$3:B$502,SMALL(IF((Income!D$3:D$502="GBP")*(Income!A$3:A$502=DATE(2026,6,13)),ROW(Income!A$3:A$502)-2),5)),"")&lt;&gt;"",IFERROR(INDEX(Income!B$3:B$502,SMALL(IF((Income!D$3:D$502="GBP")*(Income!A$3:A$502=DATE(2026,6,13)),ROW(Income!A$3:A$502)-2),5)),""),""))</f>
        <v/>
      </c>
      <c r="O123" s="152">
        <f t="array" ref="O123">IF(IFERROR(-INDEX(Expenses!D$3:D$999,SMALL(IF((Expenses!E$3:E$999="GBP")*(Expenses!A$3:A$999=DATE(2026,6,14)),ROW(Expenses!A$3:A$999)-2),5)),0)+IFERROR(INDEX(Income!C$3:C$502,SMALL(IF((Income!D$3:D$502="GBP")*(Income!A$3:A$502=DATE(2026,6,14)),ROW(Income!A$3:A$502)-2),5)),0)=0,"",IFERROR(-INDEX(Expenses!D$3:D$999,SMALL(IF((Expenses!E$3:E$999="GBP")*(Expenses!A$3:A$999=DATE(2026,6,14)),ROW(Expenses!A$3:A$999)-2),5)),0)+IFERROR(INDEX(Income!C$3:C$502,SMALL(IF((Income!D$3:D$502="GBP")*(Income!A$3:A$502=DATE(2026,6,14)),ROW(Income!A$3:A$502)-2),5)),0))</f>
        <v/>
      </c>
      <c r="P123" s="126">
        <f t="array" ref="P123">IF(IFERROR(INDEX(Expenses!B$3:B$999,SMALL(IF((Expenses!E$3:E$999="GBP")*(Expenses!A$3:A$999=DATE(2026,6,14)),ROW(Expenses!A$3:A$999)-2),5)),"")&lt;&gt;"",IFERROR(INDEX(Expenses!B$3:B$999,SMALL(IF((Expenses!E$3:E$999="GBP")*(Expenses!A$3:A$999=DATE(2026,6,14)),ROW(Expenses!A$3:A$999)-2),5)),""),IF(IFERROR(INDEX(Income!B$3:B$502,SMALL(IF((Income!D$3:D$502="GBP")*(Income!A$3:A$502=DATE(2026,6,14)),ROW(Income!A$3:A$502)-2),5)),"")&lt;&gt;"",IFERROR(INDEX(Income!B$3:B$502,SMALL(IF((Income!D$3:D$502="GBP")*(Income!A$3:A$502=DATE(2026,6,14)),ROW(Income!A$3:A$502)-2),5)),""),""))</f>
        <v/>
      </c>
      <c r="Q123" s="9" t="n"/>
      <c r="R123" s="9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68">
      <c r="A124" s="151" t="n">
        <v>46188</v>
      </c>
      <c r="B124" s="103" t="n">
        <v>25</v>
      </c>
      <c r="C124" s="152">
        <f t="array" ref="C124">IF(IFERROR(-INDEX(Expenses!D$3:D$999,SMALL(IF((Expenses!E$3:E$999="GBP")*(Expenses!A$3:A$999=DATE(2026,6,15)),ROW(Expenses!A$3:A$999)-2),1)),0)+IFERROR(INDEX(Income!C$3:C$502,SMALL(IF((Income!D$3:D$502="GBP")*(Income!A$3:A$502=DATE(2026,6,15)),ROW(Income!A$3:A$502)-2),1)),0)=0,"",IFERROR(-INDEX(Expenses!D$3:D$999,SMALL(IF((Expenses!E$3:E$999="GBP")*(Expenses!A$3:A$999=DATE(2026,6,15)),ROW(Expenses!A$3:A$999)-2),1)),0)+IFERROR(INDEX(Income!C$3:C$502,SMALL(IF((Income!D$3:D$502="GBP")*(Income!A$3:A$502=DATE(2026,6,15)),ROW(Income!A$3:A$502)-2),1)),0))</f>
        <v/>
      </c>
      <c r="D124" s="126">
        <f t="array" ref="D124">IF(IFERROR(INDEX(Expenses!B$3:B$999,SMALL(IF((Expenses!E$3:E$999="GBP")*(Expenses!A$3:A$999=DATE(2026,6,15)),ROW(Expenses!A$3:A$999)-2),1)),"")&lt;&gt;"",IFERROR(INDEX(Expenses!B$3:B$999,SMALL(IF((Expenses!E$3:E$999="GBP")*(Expenses!A$3:A$999=DATE(2026,6,15)),ROW(Expenses!A$3:A$999)-2),1)),""),IF(IFERROR(INDEX(Income!B$3:B$502,SMALL(IF((Income!D$3:D$502="GBP")*(Income!A$3:A$502=DATE(2026,6,15)),ROW(Income!A$3:A$502)-2),1)),"")&lt;&gt;"",IFERROR(INDEX(Income!B$3:B$502,SMALL(IF((Income!D$3:D$502="GBP")*(Income!A$3:A$502=DATE(2026,6,15)),ROW(Income!A$3:A$502)-2),1)),""),""))</f>
        <v/>
      </c>
      <c r="E124" s="152">
        <f t="array" ref="E124">IF(IFERROR(-INDEX(Expenses!D$3:D$999,SMALL(IF((Expenses!E$3:E$999="GBP")*(Expenses!A$3:A$999=DATE(2026,6,16)),ROW(Expenses!A$3:A$999)-2),1)),0)+IFERROR(INDEX(Income!C$3:C$502,SMALL(IF((Income!D$3:D$502="GBP")*(Income!A$3:A$502=DATE(2026,6,16)),ROW(Income!A$3:A$502)-2),1)),0)=0,"",IFERROR(-INDEX(Expenses!D$3:D$999,SMALL(IF((Expenses!E$3:E$999="GBP")*(Expenses!A$3:A$999=DATE(2026,6,16)),ROW(Expenses!A$3:A$999)-2),1)),0)+IFERROR(INDEX(Income!C$3:C$502,SMALL(IF((Income!D$3:D$502="GBP")*(Income!A$3:A$502=DATE(2026,6,16)),ROW(Income!A$3:A$502)-2),1)),0))</f>
        <v/>
      </c>
      <c r="F124" s="126">
        <f t="array" ref="F124">IF(IFERROR(INDEX(Expenses!B$3:B$999,SMALL(IF((Expenses!E$3:E$999="GBP")*(Expenses!A$3:A$999=DATE(2026,6,16)),ROW(Expenses!A$3:A$999)-2),1)),"")&lt;&gt;"",IFERROR(INDEX(Expenses!B$3:B$999,SMALL(IF((Expenses!E$3:E$999="GBP")*(Expenses!A$3:A$999=DATE(2026,6,16)),ROW(Expenses!A$3:A$999)-2),1)),""),IF(IFERROR(INDEX(Income!B$3:B$502,SMALL(IF((Income!D$3:D$502="GBP")*(Income!A$3:A$502=DATE(2026,6,16)),ROW(Income!A$3:A$502)-2),1)),"")&lt;&gt;"",IFERROR(INDEX(Income!B$3:B$502,SMALL(IF((Income!D$3:D$502="GBP")*(Income!A$3:A$502=DATE(2026,6,16)),ROW(Income!A$3:A$502)-2),1)),""),""))</f>
        <v/>
      </c>
      <c r="G124" s="152">
        <f t="array" ref="G124">IF(IFERROR(-INDEX(Expenses!D$3:D$999,SMALL(IF((Expenses!E$3:E$999="GBP")*(Expenses!A$3:A$999=DATE(2026,6,17)),ROW(Expenses!A$3:A$999)-2),1)),0)+IFERROR(INDEX(Income!C$3:C$502,SMALL(IF((Income!D$3:D$502="GBP")*(Income!A$3:A$502=DATE(2026,6,17)),ROW(Income!A$3:A$502)-2),1)),0)=0,"",IFERROR(-INDEX(Expenses!D$3:D$999,SMALL(IF((Expenses!E$3:E$999="GBP")*(Expenses!A$3:A$999=DATE(2026,6,17)),ROW(Expenses!A$3:A$999)-2),1)),0)+IFERROR(INDEX(Income!C$3:C$502,SMALL(IF((Income!D$3:D$502="GBP")*(Income!A$3:A$502=DATE(2026,6,17)),ROW(Income!A$3:A$502)-2),1)),0))</f>
        <v/>
      </c>
      <c r="H124" s="126">
        <f t="array" ref="H124">IF(IFERROR(INDEX(Expenses!B$3:B$999,SMALL(IF((Expenses!E$3:E$999="GBP")*(Expenses!A$3:A$999=DATE(2026,6,17)),ROW(Expenses!A$3:A$999)-2),1)),"")&lt;&gt;"",IFERROR(INDEX(Expenses!B$3:B$999,SMALL(IF((Expenses!E$3:E$999="GBP")*(Expenses!A$3:A$999=DATE(2026,6,17)),ROW(Expenses!A$3:A$999)-2),1)),""),IF(IFERROR(INDEX(Income!B$3:B$502,SMALL(IF((Income!D$3:D$502="GBP")*(Income!A$3:A$502=DATE(2026,6,17)),ROW(Income!A$3:A$502)-2),1)),"")&lt;&gt;"",IFERROR(INDEX(Income!B$3:B$502,SMALL(IF((Income!D$3:D$502="GBP")*(Income!A$3:A$502=DATE(2026,6,17)),ROW(Income!A$3:A$502)-2),1)),""),""))</f>
        <v/>
      </c>
      <c r="I124" s="152">
        <f t="array" ref="I124">IF(IFERROR(-INDEX(Expenses!D$3:D$999,SMALL(IF((Expenses!E$3:E$999="GBP")*(Expenses!A$3:A$999=DATE(2026,6,18)),ROW(Expenses!A$3:A$999)-2),1)),0)+IFERROR(INDEX(Income!C$3:C$502,SMALL(IF((Income!D$3:D$502="GBP")*(Income!A$3:A$502=DATE(2026,6,18)),ROW(Income!A$3:A$502)-2),1)),0)=0,"",IFERROR(-INDEX(Expenses!D$3:D$999,SMALL(IF((Expenses!E$3:E$999="GBP")*(Expenses!A$3:A$999=DATE(2026,6,18)),ROW(Expenses!A$3:A$999)-2),1)),0)+IFERROR(INDEX(Income!C$3:C$502,SMALL(IF((Income!D$3:D$502="GBP")*(Income!A$3:A$502=DATE(2026,6,18)),ROW(Income!A$3:A$502)-2),1)),0))</f>
        <v/>
      </c>
      <c r="J124" s="126">
        <f t="array" ref="J124">IF(IFERROR(INDEX(Expenses!B$3:B$999,SMALL(IF((Expenses!E$3:E$999="GBP")*(Expenses!A$3:A$999=DATE(2026,6,18)),ROW(Expenses!A$3:A$999)-2),1)),"")&lt;&gt;"",IFERROR(INDEX(Expenses!B$3:B$999,SMALL(IF((Expenses!E$3:E$999="GBP")*(Expenses!A$3:A$999=DATE(2026,6,18)),ROW(Expenses!A$3:A$999)-2),1)),""),IF(IFERROR(INDEX(Income!B$3:B$502,SMALL(IF((Income!D$3:D$502="GBP")*(Income!A$3:A$502=DATE(2026,6,18)),ROW(Income!A$3:A$502)-2),1)),"")&lt;&gt;"",IFERROR(INDEX(Income!B$3:B$502,SMALL(IF((Income!D$3:D$502="GBP")*(Income!A$3:A$502=DATE(2026,6,18)),ROW(Income!A$3:A$502)-2),1)),""),""))</f>
        <v/>
      </c>
      <c r="K124" s="152">
        <f t="array" ref="K124">IF(IFERROR(-INDEX(Expenses!D$3:D$999,SMALL(IF((Expenses!E$3:E$999="GBP")*(Expenses!A$3:A$999=DATE(2026,6,19)),ROW(Expenses!A$3:A$999)-2),1)),0)+IFERROR(INDEX(Income!C$3:C$502,SMALL(IF((Income!D$3:D$502="GBP")*(Income!A$3:A$502=DATE(2026,6,19)),ROW(Income!A$3:A$502)-2),1)),0)=0,"",IFERROR(-INDEX(Expenses!D$3:D$999,SMALL(IF((Expenses!E$3:E$999="GBP")*(Expenses!A$3:A$999=DATE(2026,6,19)),ROW(Expenses!A$3:A$999)-2),1)),0)+IFERROR(INDEX(Income!C$3:C$502,SMALL(IF((Income!D$3:D$502="GBP")*(Income!A$3:A$502=DATE(2026,6,19)),ROW(Income!A$3:A$502)-2),1)),0))</f>
        <v/>
      </c>
      <c r="L124" s="126">
        <f t="array" ref="L124">IF(IFERROR(INDEX(Expenses!B$3:B$999,SMALL(IF((Expenses!E$3:E$999="GBP")*(Expenses!A$3:A$999=DATE(2026,6,19)),ROW(Expenses!A$3:A$999)-2),1)),"")&lt;&gt;"",IFERROR(INDEX(Expenses!B$3:B$999,SMALL(IF((Expenses!E$3:E$999="GBP")*(Expenses!A$3:A$999=DATE(2026,6,19)),ROW(Expenses!A$3:A$999)-2),1)),""),IF(IFERROR(INDEX(Income!B$3:B$502,SMALL(IF((Income!D$3:D$502="GBP")*(Income!A$3:A$502=DATE(2026,6,19)),ROW(Income!A$3:A$502)-2),1)),"")&lt;&gt;"",IFERROR(INDEX(Income!B$3:B$502,SMALL(IF((Income!D$3:D$502="GBP")*(Income!A$3:A$502=DATE(2026,6,19)),ROW(Income!A$3:A$502)-2),1)),""),""))</f>
        <v/>
      </c>
      <c r="M124" s="152">
        <f t="array" ref="M124">IF(IFERROR(-INDEX(Expenses!D$3:D$999,SMALL(IF((Expenses!E$3:E$999="GBP")*(Expenses!A$3:A$999=DATE(2026,6,20)),ROW(Expenses!A$3:A$999)-2),1)),0)+IFERROR(INDEX(Income!C$3:C$502,SMALL(IF((Income!D$3:D$502="GBP")*(Income!A$3:A$502=DATE(2026,6,20)),ROW(Income!A$3:A$502)-2),1)),0)=0,"",IFERROR(-INDEX(Expenses!D$3:D$999,SMALL(IF((Expenses!E$3:E$999="GBP")*(Expenses!A$3:A$999=DATE(2026,6,20)),ROW(Expenses!A$3:A$999)-2),1)),0)+IFERROR(INDEX(Income!C$3:C$502,SMALL(IF((Income!D$3:D$502="GBP")*(Income!A$3:A$502=DATE(2026,6,20)),ROW(Income!A$3:A$502)-2),1)),0))</f>
        <v/>
      </c>
      <c r="N124" s="126">
        <f t="array" ref="N124">IF(IFERROR(INDEX(Expenses!B$3:B$999,SMALL(IF((Expenses!E$3:E$999="GBP")*(Expenses!A$3:A$999=DATE(2026,6,20)),ROW(Expenses!A$3:A$999)-2),1)),"")&lt;&gt;"",IFERROR(INDEX(Expenses!B$3:B$999,SMALL(IF((Expenses!E$3:E$999="GBP")*(Expenses!A$3:A$999=DATE(2026,6,20)),ROW(Expenses!A$3:A$999)-2),1)),""),IF(IFERROR(INDEX(Income!B$3:B$502,SMALL(IF((Income!D$3:D$502="GBP")*(Income!A$3:A$502=DATE(2026,6,20)),ROW(Income!A$3:A$502)-2),1)),"")&lt;&gt;"",IFERROR(INDEX(Income!B$3:B$502,SMALL(IF((Income!D$3:D$502="GBP")*(Income!A$3:A$502=DATE(2026,6,20)),ROW(Income!A$3:A$502)-2),1)),""),""))</f>
        <v/>
      </c>
      <c r="O124" s="152">
        <f t="array" ref="O124">IF(IFERROR(-INDEX(Expenses!D$3:D$999,SMALL(IF((Expenses!E$3:E$999="GBP")*(Expenses!A$3:A$999=DATE(2026,6,21)),ROW(Expenses!A$3:A$999)-2),1)),0)+IFERROR(INDEX(Income!C$3:C$502,SMALL(IF((Income!D$3:D$502="GBP")*(Income!A$3:A$502=DATE(2026,6,21)),ROW(Income!A$3:A$502)-2),1)),0)=0,"",IFERROR(-INDEX(Expenses!D$3:D$999,SMALL(IF((Expenses!E$3:E$999="GBP")*(Expenses!A$3:A$999=DATE(2026,6,21)),ROW(Expenses!A$3:A$999)-2),1)),0)+IFERROR(INDEX(Income!C$3:C$502,SMALL(IF((Income!D$3:D$502="GBP")*(Income!A$3:A$502=DATE(2026,6,21)),ROW(Income!A$3:A$502)-2),1)),0))</f>
        <v/>
      </c>
      <c r="P124" s="126">
        <f t="array" ref="P124">IF(IFERROR(INDEX(Expenses!B$3:B$999,SMALL(IF((Expenses!E$3:E$999="GBP")*(Expenses!A$3:A$999=DATE(2026,6,21)),ROW(Expenses!A$3:A$999)-2),1)),"")&lt;&gt;"",IFERROR(INDEX(Expenses!B$3:B$999,SMALL(IF((Expenses!E$3:E$999="GBP")*(Expenses!A$3:A$999=DATE(2026,6,21)),ROW(Expenses!A$3:A$999)-2),1)),""),IF(IFERROR(INDEX(Income!B$3:B$502,SMALL(IF((Income!D$3:D$502="GBP")*(Income!A$3:A$502=DATE(2026,6,21)),ROW(Income!A$3:A$502)-2),1)),"")&lt;&gt;"",IFERROR(INDEX(Income!B$3:B$502,SMALL(IF((Income!D$3:D$502="GBP")*(Income!A$3:A$502=DATE(2026,6,21)),ROW(Income!A$3:A$502)-2),1)),""),""))</f>
        <v/>
      </c>
      <c r="Q124" s="103" t="n">
        <v>25</v>
      </c>
      <c r="R124" s="134">
        <f>SUM(C124:C128)+SUM(E124:E128)+SUM(G124:G128)+SUM(I124:I128)+SUM(K124:K128)+SUM(M124:M128)+SUM(O124:O128)</f>
        <v/>
      </c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68">
      <c r="A125" s="9" t="n"/>
      <c r="B125" s="9" t="n"/>
      <c r="C125" s="152">
        <f t="array" ref="C125">IF(IFERROR(-INDEX(Expenses!D$3:D$999,SMALL(IF((Expenses!E$3:E$999="GBP")*(Expenses!A$3:A$999=DATE(2026,6,15)),ROW(Expenses!A$3:A$999)-2),2)),0)+IFERROR(INDEX(Income!C$3:C$502,SMALL(IF((Income!D$3:D$502="GBP")*(Income!A$3:A$502=DATE(2026,6,15)),ROW(Income!A$3:A$502)-2),2)),0)=0,"",IFERROR(-INDEX(Expenses!D$3:D$999,SMALL(IF((Expenses!E$3:E$999="GBP")*(Expenses!A$3:A$999=DATE(2026,6,15)),ROW(Expenses!A$3:A$999)-2),2)),0)+IFERROR(INDEX(Income!C$3:C$502,SMALL(IF((Income!D$3:D$502="GBP")*(Income!A$3:A$502=DATE(2026,6,15)),ROW(Income!A$3:A$502)-2),2)),0))</f>
        <v/>
      </c>
      <c r="D125" s="126">
        <f t="array" ref="D125">IF(IFERROR(INDEX(Expenses!B$3:B$999,SMALL(IF((Expenses!E$3:E$999="GBP")*(Expenses!A$3:A$999=DATE(2026,6,15)),ROW(Expenses!A$3:A$999)-2),2)),"")&lt;&gt;"",IFERROR(INDEX(Expenses!B$3:B$999,SMALL(IF((Expenses!E$3:E$999="GBP")*(Expenses!A$3:A$999=DATE(2026,6,15)),ROW(Expenses!A$3:A$999)-2),2)),""),IF(IFERROR(INDEX(Income!B$3:B$502,SMALL(IF((Income!D$3:D$502="GBP")*(Income!A$3:A$502=DATE(2026,6,15)),ROW(Income!A$3:A$502)-2),2)),"")&lt;&gt;"",IFERROR(INDEX(Income!B$3:B$502,SMALL(IF((Income!D$3:D$502="GBP")*(Income!A$3:A$502=DATE(2026,6,15)),ROW(Income!A$3:A$502)-2),2)),""),""))</f>
        <v/>
      </c>
      <c r="E125" s="152">
        <f t="array" ref="E125">IF(IFERROR(-INDEX(Expenses!D$3:D$999,SMALL(IF((Expenses!E$3:E$999="GBP")*(Expenses!A$3:A$999=DATE(2026,6,16)),ROW(Expenses!A$3:A$999)-2),2)),0)+IFERROR(INDEX(Income!C$3:C$502,SMALL(IF((Income!D$3:D$502="GBP")*(Income!A$3:A$502=DATE(2026,6,16)),ROW(Income!A$3:A$502)-2),2)),0)=0,"",IFERROR(-INDEX(Expenses!D$3:D$999,SMALL(IF((Expenses!E$3:E$999="GBP")*(Expenses!A$3:A$999=DATE(2026,6,16)),ROW(Expenses!A$3:A$999)-2),2)),0)+IFERROR(INDEX(Income!C$3:C$502,SMALL(IF((Income!D$3:D$502="GBP")*(Income!A$3:A$502=DATE(2026,6,16)),ROW(Income!A$3:A$502)-2),2)),0))</f>
        <v/>
      </c>
      <c r="F125" s="126">
        <f t="array" ref="F125">IF(IFERROR(INDEX(Expenses!B$3:B$999,SMALL(IF((Expenses!E$3:E$999="GBP")*(Expenses!A$3:A$999=DATE(2026,6,16)),ROW(Expenses!A$3:A$999)-2),2)),"")&lt;&gt;"",IFERROR(INDEX(Expenses!B$3:B$999,SMALL(IF((Expenses!E$3:E$999="GBP")*(Expenses!A$3:A$999=DATE(2026,6,16)),ROW(Expenses!A$3:A$999)-2),2)),""),IF(IFERROR(INDEX(Income!B$3:B$502,SMALL(IF((Income!D$3:D$502="GBP")*(Income!A$3:A$502=DATE(2026,6,16)),ROW(Income!A$3:A$502)-2),2)),"")&lt;&gt;"",IFERROR(INDEX(Income!B$3:B$502,SMALL(IF((Income!D$3:D$502="GBP")*(Income!A$3:A$502=DATE(2026,6,16)),ROW(Income!A$3:A$502)-2),2)),""),""))</f>
        <v/>
      </c>
      <c r="G125" s="152">
        <f t="array" ref="G125">IF(IFERROR(-INDEX(Expenses!D$3:D$999,SMALL(IF((Expenses!E$3:E$999="GBP")*(Expenses!A$3:A$999=DATE(2026,6,17)),ROW(Expenses!A$3:A$999)-2),2)),0)+IFERROR(INDEX(Income!C$3:C$502,SMALL(IF((Income!D$3:D$502="GBP")*(Income!A$3:A$502=DATE(2026,6,17)),ROW(Income!A$3:A$502)-2),2)),0)=0,"",IFERROR(-INDEX(Expenses!D$3:D$999,SMALL(IF((Expenses!E$3:E$999="GBP")*(Expenses!A$3:A$999=DATE(2026,6,17)),ROW(Expenses!A$3:A$999)-2),2)),0)+IFERROR(INDEX(Income!C$3:C$502,SMALL(IF((Income!D$3:D$502="GBP")*(Income!A$3:A$502=DATE(2026,6,17)),ROW(Income!A$3:A$502)-2),2)),0))</f>
        <v/>
      </c>
      <c r="H125" s="126">
        <f t="array" ref="H125">IF(IFERROR(INDEX(Expenses!B$3:B$999,SMALL(IF((Expenses!E$3:E$999="GBP")*(Expenses!A$3:A$999=DATE(2026,6,17)),ROW(Expenses!A$3:A$999)-2),2)),"")&lt;&gt;"",IFERROR(INDEX(Expenses!B$3:B$999,SMALL(IF((Expenses!E$3:E$999="GBP")*(Expenses!A$3:A$999=DATE(2026,6,17)),ROW(Expenses!A$3:A$999)-2),2)),""),IF(IFERROR(INDEX(Income!B$3:B$502,SMALL(IF((Income!D$3:D$502="GBP")*(Income!A$3:A$502=DATE(2026,6,17)),ROW(Income!A$3:A$502)-2),2)),"")&lt;&gt;"",IFERROR(INDEX(Income!B$3:B$502,SMALL(IF((Income!D$3:D$502="GBP")*(Income!A$3:A$502=DATE(2026,6,17)),ROW(Income!A$3:A$502)-2),2)),""),""))</f>
        <v/>
      </c>
      <c r="I125" s="152">
        <f t="array" ref="I125">IF(IFERROR(-INDEX(Expenses!D$3:D$999,SMALL(IF((Expenses!E$3:E$999="GBP")*(Expenses!A$3:A$999=DATE(2026,6,18)),ROW(Expenses!A$3:A$999)-2),2)),0)+IFERROR(INDEX(Income!C$3:C$502,SMALL(IF((Income!D$3:D$502="GBP")*(Income!A$3:A$502=DATE(2026,6,18)),ROW(Income!A$3:A$502)-2),2)),0)=0,"",IFERROR(-INDEX(Expenses!D$3:D$999,SMALL(IF((Expenses!E$3:E$999="GBP")*(Expenses!A$3:A$999=DATE(2026,6,18)),ROW(Expenses!A$3:A$999)-2),2)),0)+IFERROR(INDEX(Income!C$3:C$502,SMALL(IF((Income!D$3:D$502="GBP")*(Income!A$3:A$502=DATE(2026,6,18)),ROW(Income!A$3:A$502)-2),2)),0))</f>
        <v/>
      </c>
      <c r="J125" s="126">
        <f t="array" ref="J125">IF(IFERROR(INDEX(Expenses!B$3:B$999,SMALL(IF((Expenses!E$3:E$999="GBP")*(Expenses!A$3:A$999=DATE(2026,6,18)),ROW(Expenses!A$3:A$999)-2),2)),"")&lt;&gt;"",IFERROR(INDEX(Expenses!B$3:B$999,SMALL(IF((Expenses!E$3:E$999="GBP")*(Expenses!A$3:A$999=DATE(2026,6,18)),ROW(Expenses!A$3:A$999)-2),2)),""),IF(IFERROR(INDEX(Income!B$3:B$502,SMALL(IF((Income!D$3:D$502="GBP")*(Income!A$3:A$502=DATE(2026,6,18)),ROW(Income!A$3:A$502)-2),2)),"")&lt;&gt;"",IFERROR(INDEX(Income!B$3:B$502,SMALL(IF((Income!D$3:D$502="GBP")*(Income!A$3:A$502=DATE(2026,6,18)),ROW(Income!A$3:A$502)-2),2)),""),""))</f>
        <v/>
      </c>
      <c r="K125" s="152">
        <f t="array" ref="K125">IF(IFERROR(-INDEX(Expenses!D$3:D$999,SMALL(IF((Expenses!E$3:E$999="GBP")*(Expenses!A$3:A$999=DATE(2026,6,19)),ROW(Expenses!A$3:A$999)-2),2)),0)+IFERROR(INDEX(Income!C$3:C$502,SMALL(IF((Income!D$3:D$502="GBP")*(Income!A$3:A$502=DATE(2026,6,19)),ROW(Income!A$3:A$502)-2),2)),0)=0,"",IFERROR(-INDEX(Expenses!D$3:D$999,SMALL(IF((Expenses!E$3:E$999="GBP")*(Expenses!A$3:A$999=DATE(2026,6,19)),ROW(Expenses!A$3:A$999)-2),2)),0)+IFERROR(INDEX(Income!C$3:C$502,SMALL(IF((Income!D$3:D$502="GBP")*(Income!A$3:A$502=DATE(2026,6,19)),ROW(Income!A$3:A$502)-2),2)),0))</f>
        <v/>
      </c>
      <c r="L125" s="126">
        <f t="array" ref="L125">IF(IFERROR(INDEX(Expenses!B$3:B$999,SMALL(IF((Expenses!E$3:E$999="GBP")*(Expenses!A$3:A$999=DATE(2026,6,19)),ROW(Expenses!A$3:A$999)-2),2)),"")&lt;&gt;"",IFERROR(INDEX(Expenses!B$3:B$999,SMALL(IF((Expenses!E$3:E$999="GBP")*(Expenses!A$3:A$999=DATE(2026,6,19)),ROW(Expenses!A$3:A$999)-2),2)),""),IF(IFERROR(INDEX(Income!B$3:B$502,SMALL(IF((Income!D$3:D$502="GBP")*(Income!A$3:A$502=DATE(2026,6,19)),ROW(Income!A$3:A$502)-2),2)),"")&lt;&gt;"",IFERROR(INDEX(Income!B$3:B$502,SMALL(IF((Income!D$3:D$502="GBP")*(Income!A$3:A$502=DATE(2026,6,19)),ROW(Income!A$3:A$502)-2),2)),""),""))</f>
        <v/>
      </c>
      <c r="M125" s="152">
        <f t="array" ref="M125">IF(IFERROR(-INDEX(Expenses!D$3:D$999,SMALL(IF((Expenses!E$3:E$999="GBP")*(Expenses!A$3:A$999=DATE(2026,6,20)),ROW(Expenses!A$3:A$999)-2),2)),0)+IFERROR(INDEX(Income!C$3:C$502,SMALL(IF((Income!D$3:D$502="GBP")*(Income!A$3:A$502=DATE(2026,6,20)),ROW(Income!A$3:A$502)-2),2)),0)=0,"",IFERROR(-INDEX(Expenses!D$3:D$999,SMALL(IF((Expenses!E$3:E$999="GBP")*(Expenses!A$3:A$999=DATE(2026,6,20)),ROW(Expenses!A$3:A$999)-2),2)),0)+IFERROR(INDEX(Income!C$3:C$502,SMALL(IF((Income!D$3:D$502="GBP")*(Income!A$3:A$502=DATE(2026,6,20)),ROW(Income!A$3:A$502)-2),2)),0))</f>
        <v/>
      </c>
      <c r="N125" s="126">
        <f t="array" ref="N125">IF(IFERROR(INDEX(Expenses!B$3:B$999,SMALL(IF((Expenses!E$3:E$999="GBP")*(Expenses!A$3:A$999=DATE(2026,6,20)),ROW(Expenses!A$3:A$999)-2),2)),"")&lt;&gt;"",IFERROR(INDEX(Expenses!B$3:B$999,SMALL(IF((Expenses!E$3:E$999="GBP")*(Expenses!A$3:A$999=DATE(2026,6,20)),ROW(Expenses!A$3:A$999)-2),2)),""),IF(IFERROR(INDEX(Income!B$3:B$502,SMALL(IF((Income!D$3:D$502="GBP")*(Income!A$3:A$502=DATE(2026,6,20)),ROW(Income!A$3:A$502)-2),2)),"")&lt;&gt;"",IFERROR(INDEX(Income!B$3:B$502,SMALL(IF((Income!D$3:D$502="GBP")*(Income!A$3:A$502=DATE(2026,6,20)),ROW(Income!A$3:A$502)-2),2)),""),""))</f>
        <v/>
      </c>
      <c r="O125" s="152">
        <f t="array" ref="O125">IF(IFERROR(-INDEX(Expenses!D$3:D$999,SMALL(IF((Expenses!E$3:E$999="GBP")*(Expenses!A$3:A$999=DATE(2026,6,21)),ROW(Expenses!A$3:A$999)-2),2)),0)+IFERROR(INDEX(Income!C$3:C$502,SMALL(IF((Income!D$3:D$502="GBP")*(Income!A$3:A$502=DATE(2026,6,21)),ROW(Income!A$3:A$502)-2),2)),0)=0,"",IFERROR(-INDEX(Expenses!D$3:D$999,SMALL(IF((Expenses!E$3:E$999="GBP")*(Expenses!A$3:A$999=DATE(2026,6,21)),ROW(Expenses!A$3:A$999)-2),2)),0)+IFERROR(INDEX(Income!C$3:C$502,SMALL(IF((Income!D$3:D$502="GBP")*(Income!A$3:A$502=DATE(2026,6,21)),ROW(Income!A$3:A$502)-2),2)),0))</f>
        <v/>
      </c>
      <c r="P125" s="126">
        <f t="array" ref="P125">IF(IFERROR(INDEX(Expenses!B$3:B$999,SMALL(IF((Expenses!E$3:E$999="GBP")*(Expenses!A$3:A$999=DATE(2026,6,21)),ROW(Expenses!A$3:A$999)-2),2)),"")&lt;&gt;"",IFERROR(INDEX(Expenses!B$3:B$999,SMALL(IF((Expenses!E$3:E$999="GBP")*(Expenses!A$3:A$999=DATE(2026,6,21)),ROW(Expenses!A$3:A$999)-2),2)),""),IF(IFERROR(INDEX(Income!B$3:B$502,SMALL(IF((Income!D$3:D$502="GBP")*(Income!A$3:A$502=DATE(2026,6,21)),ROW(Income!A$3:A$502)-2),2)),"")&lt;&gt;"",IFERROR(INDEX(Income!B$3:B$502,SMALL(IF((Income!D$3:D$502="GBP")*(Income!A$3:A$502=DATE(2026,6,21)),ROW(Income!A$3:A$502)-2),2)),""),""))</f>
        <v/>
      </c>
      <c r="Q125" s="9" t="n"/>
      <c r="R125" s="9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68">
      <c r="A126" s="9" t="n"/>
      <c r="B126" s="9" t="n"/>
      <c r="C126" s="152">
        <f t="array" ref="C126">IF(IFERROR(-INDEX(Expenses!D$3:D$999,SMALL(IF((Expenses!E$3:E$999="GBP")*(Expenses!A$3:A$999=DATE(2026,6,15)),ROW(Expenses!A$3:A$999)-2),3)),0)+IFERROR(INDEX(Income!C$3:C$502,SMALL(IF((Income!D$3:D$502="GBP")*(Income!A$3:A$502=DATE(2026,6,15)),ROW(Income!A$3:A$502)-2),3)),0)=0,"",IFERROR(-INDEX(Expenses!D$3:D$999,SMALL(IF((Expenses!E$3:E$999="GBP")*(Expenses!A$3:A$999=DATE(2026,6,15)),ROW(Expenses!A$3:A$999)-2),3)),0)+IFERROR(INDEX(Income!C$3:C$502,SMALL(IF((Income!D$3:D$502="GBP")*(Income!A$3:A$502=DATE(2026,6,15)),ROW(Income!A$3:A$502)-2),3)),0))</f>
        <v/>
      </c>
      <c r="D126" s="126">
        <f t="array" ref="D126">IF(IFERROR(INDEX(Expenses!B$3:B$999,SMALL(IF((Expenses!E$3:E$999="GBP")*(Expenses!A$3:A$999=DATE(2026,6,15)),ROW(Expenses!A$3:A$999)-2),3)),"")&lt;&gt;"",IFERROR(INDEX(Expenses!B$3:B$999,SMALL(IF((Expenses!E$3:E$999="GBP")*(Expenses!A$3:A$999=DATE(2026,6,15)),ROW(Expenses!A$3:A$999)-2),3)),""),IF(IFERROR(INDEX(Income!B$3:B$502,SMALL(IF((Income!D$3:D$502="GBP")*(Income!A$3:A$502=DATE(2026,6,15)),ROW(Income!A$3:A$502)-2),3)),"")&lt;&gt;"",IFERROR(INDEX(Income!B$3:B$502,SMALL(IF((Income!D$3:D$502="GBP")*(Income!A$3:A$502=DATE(2026,6,15)),ROW(Income!A$3:A$502)-2),3)),""),""))</f>
        <v/>
      </c>
      <c r="E126" s="152">
        <f t="array" ref="E126">IF(IFERROR(-INDEX(Expenses!D$3:D$999,SMALL(IF((Expenses!E$3:E$999="GBP")*(Expenses!A$3:A$999=DATE(2026,6,16)),ROW(Expenses!A$3:A$999)-2),3)),0)+IFERROR(INDEX(Income!C$3:C$502,SMALL(IF((Income!D$3:D$502="GBP")*(Income!A$3:A$502=DATE(2026,6,16)),ROW(Income!A$3:A$502)-2),3)),0)=0,"",IFERROR(-INDEX(Expenses!D$3:D$999,SMALL(IF((Expenses!E$3:E$999="GBP")*(Expenses!A$3:A$999=DATE(2026,6,16)),ROW(Expenses!A$3:A$999)-2),3)),0)+IFERROR(INDEX(Income!C$3:C$502,SMALL(IF((Income!D$3:D$502="GBP")*(Income!A$3:A$502=DATE(2026,6,16)),ROW(Income!A$3:A$502)-2),3)),0))</f>
        <v/>
      </c>
      <c r="F126" s="126">
        <f t="array" ref="F126">IF(IFERROR(INDEX(Expenses!B$3:B$999,SMALL(IF((Expenses!E$3:E$999="GBP")*(Expenses!A$3:A$999=DATE(2026,6,16)),ROW(Expenses!A$3:A$999)-2),3)),"")&lt;&gt;"",IFERROR(INDEX(Expenses!B$3:B$999,SMALL(IF((Expenses!E$3:E$999="GBP")*(Expenses!A$3:A$999=DATE(2026,6,16)),ROW(Expenses!A$3:A$999)-2),3)),""),IF(IFERROR(INDEX(Income!B$3:B$502,SMALL(IF((Income!D$3:D$502="GBP")*(Income!A$3:A$502=DATE(2026,6,16)),ROW(Income!A$3:A$502)-2),3)),"")&lt;&gt;"",IFERROR(INDEX(Income!B$3:B$502,SMALL(IF((Income!D$3:D$502="GBP")*(Income!A$3:A$502=DATE(2026,6,16)),ROW(Income!A$3:A$502)-2),3)),""),""))</f>
        <v/>
      </c>
      <c r="G126" s="152">
        <f t="array" ref="G126">IF(IFERROR(-INDEX(Expenses!D$3:D$999,SMALL(IF((Expenses!E$3:E$999="GBP")*(Expenses!A$3:A$999=DATE(2026,6,17)),ROW(Expenses!A$3:A$999)-2),3)),0)+IFERROR(INDEX(Income!C$3:C$502,SMALL(IF((Income!D$3:D$502="GBP")*(Income!A$3:A$502=DATE(2026,6,17)),ROW(Income!A$3:A$502)-2),3)),0)=0,"",IFERROR(-INDEX(Expenses!D$3:D$999,SMALL(IF((Expenses!E$3:E$999="GBP")*(Expenses!A$3:A$999=DATE(2026,6,17)),ROW(Expenses!A$3:A$999)-2),3)),0)+IFERROR(INDEX(Income!C$3:C$502,SMALL(IF((Income!D$3:D$502="GBP")*(Income!A$3:A$502=DATE(2026,6,17)),ROW(Income!A$3:A$502)-2),3)),0))</f>
        <v/>
      </c>
      <c r="H126" s="126">
        <f t="array" ref="H126">IF(IFERROR(INDEX(Expenses!B$3:B$999,SMALL(IF((Expenses!E$3:E$999="GBP")*(Expenses!A$3:A$999=DATE(2026,6,17)),ROW(Expenses!A$3:A$999)-2),3)),"")&lt;&gt;"",IFERROR(INDEX(Expenses!B$3:B$999,SMALL(IF((Expenses!E$3:E$999="GBP")*(Expenses!A$3:A$999=DATE(2026,6,17)),ROW(Expenses!A$3:A$999)-2),3)),""),IF(IFERROR(INDEX(Income!B$3:B$502,SMALL(IF((Income!D$3:D$502="GBP")*(Income!A$3:A$502=DATE(2026,6,17)),ROW(Income!A$3:A$502)-2),3)),"")&lt;&gt;"",IFERROR(INDEX(Income!B$3:B$502,SMALL(IF((Income!D$3:D$502="GBP")*(Income!A$3:A$502=DATE(2026,6,17)),ROW(Income!A$3:A$502)-2),3)),""),""))</f>
        <v/>
      </c>
      <c r="I126" s="152">
        <f t="array" ref="I126">IF(IFERROR(-INDEX(Expenses!D$3:D$999,SMALL(IF((Expenses!E$3:E$999="GBP")*(Expenses!A$3:A$999=DATE(2026,6,18)),ROW(Expenses!A$3:A$999)-2),3)),0)+IFERROR(INDEX(Income!C$3:C$502,SMALL(IF((Income!D$3:D$502="GBP")*(Income!A$3:A$502=DATE(2026,6,18)),ROW(Income!A$3:A$502)-2),3)),0)=0,"",IFERROR(-INDEX(Expenses!D$3:D$999,SMALL(IF((Expenses!E$3:E$999="GBP")*(Expenses!A$3:A$999=DATE(2026,6,18)),ROW(Expenses!A$3:A$999)-2),3)),0)+IFERROR(INDEX(Income!C$3:C$502,SMALL(IF((Income!D$3:D$502="GBP")*(Income!A$3:A$502=DATE(2026,6,18)),ROW(Income!A$3:A$502)-2),3)),0))</f>
        <v/>
      </c>
      <c r="J126" s="126">
        <f t="array" ref="J126">IF(IFERROR(INDEX(Expenses!B$3:B$999,SMALL(IF((Expenses!E$3:E$999="GBP")*(Expenses!A$3:A$999=DATE(2026,6,18)),ROW(Expenses!A$3:A$999)-2),3)),"")&lt;&gt;"",IFERROR(INDEX(Expenses!B$3:B$999,SMALL(IF((Expenses!E$3:E$999="GBP")*(Expenses!A$3:A$999=DATE(2026,6,18)),ROW(Expenses!A$3:A$999)-2),3)),""),IF(IFERROR(INDEX(Income!B$3:B$502,SMALL(IF((Income!D$3:D$502="GBP")*(Income!A$3:A$502=DATE(2026,6,18)),ROW(Income!A$3:A$502)-2),3)),"")&lt;&gt;"",IFERROR(INDEX(Income!B$3:B$502,SMALL(IF((Income!D$3:D$502="GBP")*(Income!A$3:A$502=DATE(2026,6,18)),ROW(Income!A$3:A$502)-2),3)),""),""))</f>
        <v/>
      </c>
      <c r="K126" s="152">
        <f t="array" ref="K126">IF(IFERROR(-INDEX(Expenses!D$3:D$999,SMALL(IF((Expenses!E$3:E$999="GBP")*(Expenses!A$3:A$999=DATE(2026,6,19)),ROW(Expenses!A$3:A$999)-2),3)),0)+IFERROR(INDEX(Income!C$3:C$502,SMALL(IF((Income!D$3:D$502="GBP")*(Income!A$3:A$502=DATE(2026,6,19)),ROW(Income!A$3:A$502)-2),3)),0)=0,"",IFERROR(-INDEX(Expenses!D$3:D$999,SMALL(IF((Expenses!E$3:E$999="GBP")*(Expenses!A$3:A$999=DATE(2026,6,19)),ROW(Expenses!A$3:A$999)-2),3)),0)+IFERROR(INDEX(Income!C$3:C$502,SMALL(IF((Income!D$3:D$502="GBP")*(Income!A$3:A$502=DATE(2026,6,19)),ROW(Income!A$3:A$502)-2),3)),0))</f>
        <v/>
      </c>
      <c r="L126" s="126">
        <f t="array" ref="L126">IF(IFERROR(INDEX(Expenses!B$3:B$999,SMALL(IF((Expenses!E$3:E$999="GBP")*(Expenses!A$3:A$999=DATE(2026,6,19)),ROW(Expenses!A$3:A$999)-2),3)),"")&lt;&gt;"",IFERROR(INDEX(Expenses!B$3:B$999,SMALL(IF((Expenses!E$3:E$999="GBP")*(Expenses!A$3:A$999=DATE(2026,6,19)),ROW(Expenses!A$3:A$999)-2),3)),""),IF(IFERROR(INDEX(Income!B$3:B$502,SMALL(IF((Income!D$3:D$502="GBP")*(Income!A$3:A$502=DATE(2026,6,19)),ROW(Income!A$3:A$502)-2),3)),"")&lt;&gt;"",IFERROR(INDEX(Income!B$3:B$502,SMALL(IF((Income!D$3:D$502="GBP")*(Income!A$3:A$502=DATE(2026,6,19)),ROW(Income!A$3:A$502)-2),3)),""),""))</f>
        <v/>
      </c>
      <c r="M126" s="152">
        <f t="array" ref="M126">IF(IFERROR(-INDEX(Expenses!D$3:D$999,SMALL(IF((Expenses!E$3:E$999="GBP")*(Expenses!A$3:A$999=DATE(2026,6,20)),ROW(Expenses!A$3:A$999)-2),3)),0)+IFERROR(INDEX(Income!C$3:C$502,SMALL(IF((Income!D$3:D$502="GBP")*(Income!A$3:A$502=DATE(2026,6,20)),ROW(Income!A$3:A$502)-2),3)),0)=0,"",IFERROR(-INDEX(Expenses!D$3:D$999,SMALL(IF((Expenses!E$3:E$999="GBP")*(Expenses!A$3:A$999=DATE(2026,6,20)),ROW(Expenses!A$3:A$999)-2),3)),0)+IFERROR(INDEX(Income!C$3:C$502,SMALL(IF((Income!D$3:D$502="GBP")*(Income!A$3:A$502=DATE(2026,6,20)),ROW(Income!A$3:A$502)-2),3)),0))</f>
        <v/>
      </c>
      <c r="N126" s="126">
        <f t="array" ref="N126">IF(IFERROR(INDEX(Expenses!B$3:B$999,SMALL(IF((Expenses!E$3:E$999="GBP")*(Expenses!A$3:A$999=DATE(2026,6,20)),ROW(Expenses!A$3:A$999)-2),3)),"")&lt;&gt;"",IFERROR(INDEX(Expenses!B$3:B$999,SMALL(IF((Expenses!E$3:E$999="GBP")*(Expenses!A$3:A$999=DATE(2026,6,20)),ROW(Expenses!A$3:A$999)-2),3)),""),IF(IFERROR(INDEX(Income!B$3:B$502,SMALL(IF((Income!D$3:D$502="GBP")*(Income!A$3:A$502=DATE(2026,6,20)),ROW(Income!A$3:A$502)-2),3)),"")&lt;&gt;"",IFERROR(INDEX(Income!B$3:B$502,SMALL(IF((Income!D$3:D$502="GBP")*(Income!A$3:A$502=DATE(2026,6,20)),ROW(Income!A$3:A$502)-2),3)),""),""))</f>
        <v/>
      </c>
      <c r="O126" s="152">
        <f t="array" ref="O126">IF(IFERROR(-INDEX(Expenses!D$3:D$999,SMALL(IF((Expenses!E$3:E$999="GBP")*(Expenses!A$3:A$999=DATE(2026,6,21)),ROW(Expenses!A$3:A$999)-2),3)),0)+IFERROR(INDEX(Income!C$3:C$502,SMALL(IF((Income!D$3:D$502="GBP")*(Income!A$3:A$502=DATE(2026,6,21)),ROW(Income!A$3:A$502)-2),3)),0)=0,"",IFERROR(-INDEX(Expenses!D$3:D$999,SMALL(IF((Expenses!E$3:E$999="GBP")*(Expenses!A$3:A$999=DATE(2026,6,21)),ROW(Expenses!A$3:A$999)-2),3)),0)+IFERROR(INDEX(Income!C$3:C$502,SMALL(IF((Income!D$3:D$502="GBP")*(Income!A$3:A$502=DATE(2026,6,21)),ROW(Income!A$3:A$502)-2),3)),0))</f>
        <v/>
      </c>
      <c r="P126" s="126">
        <f t="array" ref="P126">IF(IFERROR(INDEX(Expenses!B$3:B$999,SMALL(IF((Expenses!E$3:E$999="GBP")*(Expenses!A$3:A$999=DATE(2026,6,21)),ROW(Expenses!A$3:A$999)-2),3)),"")&lt;&gt;"",IFERROR(INDEX(Expenses!B$3:B$999,SMALL(IF((Expenses!E$3:E$999="GBP")*(Expenses!A$3:A$999=DATE(2026,6,21)),ROW(Expenses!A$3:A$999)-2),3)),""),IF(IFERROR(INDEX(Income!B$3:B$502,SMALL(IF((Income!D$3:D$502="GBP")*(Income!A$3:A$502=DATE(2026,6,21)),ROW(Income!A$3:A$502)-2),3)),"")&lt;&gt;"",IFERROR(INDEX(Income!B$3:B$502,SMALL(IF((Income!D$3:D$502="GBP")*(Income!A$3:A$502=DATE(2026,6,21)),ROW(Income!A$3:A$502)-2),3)),""),""))</f>
        <v/>
      </c>
      <c r="Q126" s="9" t="n"/>
      <c r="R126" s="9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68">
      <c r="A127" s="9" t="n"/>
      <c r="B127" s="9" t="n"/>
      <c r="C127" s="152">
        <f t="array" ref="C127">IF(IFERROR(-INDEX(Expenses!D$3:D$999,SMALL(IF((Expenses!E$3:E$999="GBP")*(Expenses!A$3:A$999=DATE(2026,6,15)),ROW(Expenses!A$3:A$999)-2),4)),0)+IFERROR(INDEX(Income!C$3:C$502,SMALL(IF((Income!D$3:D$502="GBP")*(Income!A$3:A$502=DATE(2026,6,15)),ROW(Income!A$3:A$502)-2),4)),0)=0,"",IFERROR(-INDEX(Expenses!D$3:D$999,SMALL(IF((Expenses!E$3:E$999="GBP")*(Expenses!A$3:A$999=DATE(2026,6,15)),ROW(Expenses!A$3:A$999)-2),4)),0)+IFERROR(INDEX(Income!C$3:C$502,SMALL(IF((Income!D$3:D$502="GBP")*(Income!A$3:A$502=DATE(2026,6,15)),ROW(Income!A$3:A$502)-2),4)),0))</f>
        <v/>
      </c>
      <c r="D127" s="126">
        <f t="array" ref="D127">IF(IFERROR(INDEX(Expenses!B$3:B$999,SMALL(IF((Expenses!E$3:E$999="GBP")*(Expenses!A$3:A$999=DATE(2026,6,15)),ROW(Expenses!A$3:A$999)-2),4)),"")&lt;&gt;"",IFERROR(INDEX(Expenses!B$3:B$999,SMALL(IF((Expenses!E$3:E$999="GBP")*(Expenses!A$3:A$999=DATE(2026,6,15)),ROW(Expenses!A$3:A$999)-2),4)),""),IF(IFERROR(INDEX(Income!B$3:B$502,SMALL(IF((Income!D$3:D$502="GBP")*(Income!A$3:A$502=DATE(2026,6,15)),ROW(Income!A$3:A$502)-2),4)),"")&lt;&gt;"",IFERROR(INDEX(Income!B$3:B$502,SMALL(IF((Income!D$3:D$502="GBP")*(Income!A$3:A$502=DATE(2026,6,15)),ROW(Income!A$3:A$502)-2),4)),""),""))</f>
        <v/>
      </c>
      <c r="E127" s="152">
        <f t="array" ref="E127">IF(IFERROR(-INDEX(Expenses!D$3:D$999,SMALL(IF((Expenses!E$3:E$999="GBP")*(Expenses!A$3:A$999=DATE(2026,6,16)),ROW(Expenses!A$3:A$999)-2),4)),0)+IFERROR(INDEX(Income!C$3:C$502,SMALL(IF((Income!D$3:D$502="GBP")*(Income!A$3:A$502=DATE(2026,6,16)),ROW(Income!A$3:A$502)-2),4)),0)=0,"",IFERROR(-INDEX(Expenses!D$3:D$999,SMALL(IF((Expenses!E$3:E$999="GBP")*(Expenses!A$3:A$999=DATE(2026,6,16)),ROW(Expenses!A$3:A$999)-2),4)),0)+IFERROR(INDEX(Income!C$3:C$502,SMALL(IF((Income!D$3:D$502="GBP")*(Income!A$3:A$502=DATE(2026,6,16)),ROW(Income!A$3:A$502)-2),4)),0))</f>
        <v/>
      </c>
      <c r="F127" s="126">
        <f t="array" ref="F127">IF(IFERROR(INDEX(Expenses!B$3:B$999,SMALL(IF((Expenses!E$3:E$999="GBP")*(Expenses!A$3:A$999=DATE(2026,6,16)),ROW(Expenses!A$3:A$999)-2),4)),"")&lt;&gt;"",IFERROR(INDEX(Expenses!B$3:B$999,SMALL(IF((Expenses!E$3:E$999="GBP")*(Expenses!A$3:A$999=DATE(2026,6,16)),ROW(Expenses!A$3:A$999)-2),4)),""),IF(IFERROR(INDEX(Income!B$3:B$502,SMALL(IF((Income!D$3:D$502="GBP")*(Income!A$3:A$502=DATE(2026,6,16)),ROW(Income!A$3:A$502)-2),4)),"")&lt;&gt;"",IFERROR(INDEX(Income!B$3:B$502,SMALL(IF((Income!D$3:D$502="GBP")*(Income!A$3:A$502=DATE(2026,6,16)),ROW(Income!A$3:A$502)-2),4)),""),""))</f>
        <v/>
      </c>
      <c r="G127" s="152">
        <f t="array" ref="G127">IF(IFERROR(-INDEX(Expenses!D$3:D$999,SMALL(IF((Expenses!E$3:E$999="GBP")*(Expenses!A$3:A$999=DATE(2026,6,17)),ROW(Expenses!A$3:A$999)-2),4)),0)+IFERROR(INDEX(Income!C$3:C$502,SMALL(IF((Income!D$3:D$502="GBP")*(Income!A$3:A$502=DATE(2026,6,17)),ROW(Income!A$3:A$502)-2),4)),0)=0,"",IFERROR(-INDEX(Expenses!D$3:D$999,SMALL(IF((Expenses!E$3:E$999="GBP")*(Expenses!A$3:A$999=DATE(2026,6,17)),ROW(Expenses!A$3:A$999)-2),4)),0)+IFERROR(INDEX(Income!C$3:C$502,SMALL(IF((Income!D$3:D$502="GBP")*(Income!A$3:A$502=DATE(2026,6,17)),ROW(Income!A$3:A$502)-2),4)),0))</f>
        <v/>
      </c>
      <c r="H127" s="126">
        <f t="array" ref="H127">IF(IFERROR(INDEX(Expenses!B$3:B$999,SMALL(IF((Expenses!E$3:E$999="GBP")*(Expenses!A$3:A$999=DATE(2026,6,17)),ROW(Expenses!A$3:A$999)-2),4)),"")&lt;&gt;"",IFERROR(INDEX(Expenses!B$3:B$999,SMALL(IF((Expenses!E$3:E$999="GBP")*(Expenses!A$3:A$999=DATE(2026,6,17)),ROW(Expenses!A$3:A$999)-2),4)),""),IF(IFERROR(INDEX(Income!B$3:B$502,SMALL(IF((Income!D$3:D$502="GBP")*(Income!A$3:A$502=DATE(2026,6,17)),ROW(Income!A$3:A$502)-2),4)),"")&lt;&gt;"",IFERROR(INDEX(Income!B$3:B$502,SMALL(IF((Income!D$3:D$502="GBP")*(Income!A$3:A$502=DATE(2026,6,17)),ROW(Income!A$3:A$502)-2),4)),""),""))</f>
        <v/>
      </c>
      <c r="I127" s="152">
        <f t="array" ref="I127">IF(IFERROR(-INDEX(Expenses!D$3:D$999,SMALL(IF((Expenses!E$3:E$999="GBP")*(Expenses!A$3:A$999=DATE(2026,6,18)),ROW(Expenses!A$3:A$999)-2),4)),0)+IFERROR(INDEX(Income!C$3:C$502,SMALL(IF((Income!D$3:D$502="GBP")*(Income!A$3:A$502=DATE(2026,6,18)),ROW(Income!A$3:A$502)-2),4)),0)=0,"",IFERROR(-INDEX(Expenses!D$3:D$999,SMALL(IF((Expenses!E$3:E$999="GBP")*(Expenses!A$3:A$999=DATE(2026,6,18)),ROW(Expenses!A$3:A$999)-2),4)),0)+IFERROR(INDEX(Income!C$3:C$502,SMALL(IF((Income!D$3:D$502="GBP")*(Income!A$3:A$502=DATE(2026,6,18)),ROW(Income!A$3:A$502)-2),4)),0))</f>
        <v/>
      </c>
      <c r="J127" s="126">
        <f t="array" ref="J127">IF(IFERROR(INDEX(Expenses!B$3:B$999,SMALL(IF((Expenses!E$3:E$999="GBP")*(Expenses!A$3:A$999=DATE(2026,6,18)),ROW(Expenses!A$3:A$999)-2),4)),"")&lt;&gt;"",IFERROR(INDEX(Expenses!B$3:B$999,SMALL(IF((Expenses!E$3:E$999="GBP")*(Expenses!A$3:A$999=DATE(2026,6,18)),ROW(Expenses!A$3:A$999)-2),4)),""),IF(IFERROR(INDEX(Income!B$3:B$502,SMALL(IF((Income!D$3:D$502="GBP")*(Income!A$3:A$502=DATE(2026,6,18)),ROW(Income!A$3:A$502)-2),4)),"")&lt;&gt;"",IFERROR(INDEX(Income!B$3:B$502,SMALL(IF((Income!D$3:D$502="GBP")*(Income!A$3:A$502=DATE(2026,6,18)),ROW(Income!A$3:A$502)-2),4)),""),""))</f>
        <v/>
      </c>
      <c r="K127" s="152">
        <f t="array" ref="K127">IF(IFERROR(-INDEX(Expenses!D$3:D$999,SMALL(IF((Expenses!E$3:E$999="GBP")*(Expenses!A$3:A$999=DATE(2026,6,19)),ROW(Expenses!A$3:A$999)-2),4)),0)+IFERROR(INDEX(Income!C$3:C$502,SMALL(IF((Income!D$3:D$502="GBP")*(Income!A$3:A$502=DATE(2026,6,19)),ROW(Income!A$3:A$502)-2),4)),0)=0,"",IFERROR(-INDEX(Expenses!D$3:D$999,SMALL(IF((Expenses!E$3:E$999="GBP")*(Expenses!A$3:A$999=DATE(2026,6,19)),ROW(Expenses!A$3:A$999)-2),4)),0)+IFERROR(INDEX(Income!C$3:C$502,SMALL(IF((Income!D$3:D$502="GBP")*(Income!A$3:A$502=DATE(2026,6,19)),ROW(Income!A$3:A$502)-2),4)),0))</f>
        <v/>
      </c>
      <c r="L127" s="126">
        <f t="array" ref="L127">IF(IFERROR(INDEX(Expenses!B$3:B$999,SMALL(IF((Expenses!E$3:E$999="GBP")*(Expenses!A$3:A$999=DATE(2026,6,19)),ROW(Expenses!A$3:A$999)-2),4)),"")&lt;&gt;"",IFERROR(INDEX(Expenses!B$3:B$999,SMALL(IF((Expenses!E$3:E$999="GBP")*(Expenses!A$3:A$999=DATE(2026,6,19)),ROW(Expenses!A$3:A$999)-2),4)),""),IF(IFERROR(INDEX(Income!B$3:B$502,SMALL(IF((Income!D$3:D$502="GBP")*(Income!A$3:A$502=DATE(2026,6,19)),ROW(Income!A$3:A$502)-2),4)),"")&lt;&gt;"",IFERROR(INDEX(Income!B$3:B$502,SMALL(IF((Income!D$3:D$502="GBP")*(Income!A$3:A$502=DATE(2026,6,19)),ROW(Income!A$3:A$502)-2),4)),""),""))</f>
        <v/>
      </c>
      <c r="M127" s="152">
        <f t="array" ref="M127">IF(IFERROR(-INDEX(Expenses!D$3:D$999,SMALL(IF((Expenses!E$3:E$999="GBP")*(Expenses!A$3:A$999=DATE(2026,6,20)),ROW(Expenses!A$3:A$999)-2),4)),0)+IFERROR(INDEX(Income!C$3:C$502,SMALL(IF((Income!D$3:D$502="GBP")*(Income!A$3:A$502=DATE(2026,6,20)),ROW(Income!A$3:A$502)-2),4)),0)=0,"",IFERROR(-INDEX(Expenses!D$3:D$999,SMALL(IF((Expenses!E$3:E$999="GBP")*(Expenses!A$3:A$999=DATE(2026,6,20)),ROW(Expenses!A$3:A$999)-2),4)),0)+IFERROR(INDEX(Income!C$3:C$502,SMALL(IF((Income!D$3:D$502="GBP")*(Income!A$3:A$502=DATE(2026,6,20)),ROW(Income!A$3:A$502)-2),4)),0))</f>
        <v/>
      </c>
      <c r="N127" s="126">
        <f t="array" ref="N127">IF(IFERROR(INDEX(Expenses!B$3:B$999,SMALL(IF((Expenses!E$3:E$999="GBP")*(Expenses!A$3:A$999=DATE(2026,6,20)),ROW(Expenses!A$3:A$999)-2),4)),"")&lt;&gt;"",IFERROR(INDEX(Expenses!B$3:B$999,SMALL(IF((Expenses!E$3:E$999="GBP")*(Expenses!A$3:A$999=DATE(2026,6,20)),ROW(Expenses!A$3:A$999)-2),4)),""),IF(IFERROR(INDEX(Income!B$3:B$502,SMALL(IF((Income!D$3:D$502="GBP")*(Income!A$3:A$502=DATE(2026,6,20)),ROW(Income!A$3:A$502)-2),4)),"")&lt;&gt;"",IFERROR(INDEX(Income!B$3:B$502,SMALL(IF((Income!D$3:D$502="GBP")*(Income!A$3:A$502=DATE(2026,6,20)),ROW(Income!A$3:A$502)-2),4)),""),""))</f>
        <v/>
      </c>
      <c r="O127" s="152">
        <f t="array" ref="O127">IF(IFERROR(-INDEX(Expenses!D$3:D$999,SMALL(IF((Expenses!E$3:E$999="GBP")*(Expenses!A$3:A$999=DATE(2026,6,21)),ROW(Expenses!A$3:A$999)-2),4)),0)+IFERROR(INDEX(Income!C$3:C$502,SMALL(IF((Income!D$3:D$502="GBP")*(Income!A$3:A$502=DATE(2026,6,21)),ROW(Income!A$3:A$502)-2),4)),0)=0,"",IFERROR(-INDEX(Expenses!D$3:D$999,SMALL(IF((Expenses!E$3:E$999="GBP")*(Expenses!A$3:A$999=DATE(2026,6,21)),ROW(Expenses!A$3:A$999)-2),4)),0)+IFERROR(INDEX(Income!C$3:C$502,SMALL(IF((Income!D$3:D$502="GBP")*(Income!A$3:A$502=DATE(2026,6,21)),ROW(Income!A$3:A$502)-2),4)),0))</f>
        <v/>
      </c>
      <c r="P127" s="126">
        <f t="array" ref="P127">IF(IFERROR(INDEX(Expenses!B$3:B$999,SMALL(IF((Expenses!E$3:E$999="GBP")*(Expenses!A$3:A$999=DATE(2026,6,21)),ROW(Expenses!A$3:A$999)-2),4)),"")&lt;&gt;"",IFERROR(INDEX(Expenses!B$3:B$999,SMALL(IF((Expenses!E$3:E$999="GBP")*(Expenses!A$3:A$999=DATE(2026,6,21)),ROW(Expenses!A$3:A$999)-2),4)),""),IF(IFERROR(INDEX(Income!B$3:B$502,SMALL(IF((Income!D$3:D$502="GBP")*(Income!A$3:A$502=DATE(2026,6,21)),ROW(Income!A$3:A$502)-2),4)),"")&lt;&gt;"",IFERROR(INDEX(Income!B$3:B$502,SMALL(IF((Income!D$3:D$502="GBP")*(Income!A$3:A$502=DATE(2026,6,21)),ROW(Income!A$3:A$502)-2),4)),""),""))</f>
        <v/>
      </c>
      <c r="Q127" s="9" t="n"/>
      <c r="R127" s="9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68">
      <c r="A128" s="9" t="n"/>
      <c r="B128" s="9" t="n"/>
      <c r="C128" s="152">
        <f t="array" ref="C128">IF(IFERROR(-INDEX(Expenses!D$3:D$999,SMALL(IF((Expenses!E$3:E$999="GBP")*(Expenses!A$3:A$999=DATE(2026,6,15)),ROW(Expenses!A$3:A$999)-2),5)),0)+IFERROR(INDEX(Income!C$3:C$502,SMALL(IF((Income!D$3:D$502="GBP")*(Income!A$3:A$502=DATE(2026,6,15)),ROW(Income!A$3:A$502)-2),5)),0)=0,"",IFERROR(-INDEX(Expenses!D$3:D$999,SMALL(IF((Expenses!E$3:E$999="GBP")*(Expenses!A$3:A$999=DATE(2026,6,15)),ROW(Expenses!A$3:A$999)-2),5)),0)+IFERROR(INDEX(Income!C$3:C$502,SMALL(IF((Income!D$3:D$502="GBP")*(Income!A$3:A$502=DATE(2026,6,15)),ROW(Income!A$3:A$502)-2),5)),0))</f>
        <v/>
      </c>
      <c r="D128" s="126">
        <f t="array" ref="D128">IF(IFERROR(INDEX(Expenses!B$3:B$999,SMALL(IF((Expenses!E$3:E$999="GBP")*(Expenses!A$3:A$999=DATE(2026,6,15)),ROW(Expenses!A$3:A$999)-2),5)),"")&lt;&gt;"",IFERROR(INDEX(Expenses!B$3:B$999,SMALL(IF((Expenses!E$3:E$999="GBP")*(Expenses!A$3:A$999=DATE(2026,6,15)),ROW(Expenses!A$3:A$999)-2),5)),""),IF(IFERROR(INDEX(Income!B$3:B$502,SMALL(IF((Income!D$3:D$502="GBP")*(Income!A$3:A$502=DATE(2026,6,15)),ROW(Income!A$3:A$502)-2),5)),"")&lt;&gt;"",IFERROR(INDEX(Income!B$3:B$502,SMALL(IF((Income!D$3:D$502="GBP")*(Income!A$3:A$502=DATE(2026,6,15)),ROW(Income!A$3:A$502)-2),5)),""),""))</f>
        <v/>
      </c>
      <c r="E128" s="152">
        <f t="array" ref="E128">IF(IFERROR(-INDEX(Expenses!D$3:D$999,SMALL(IF((Expenses!E$3:E$999="GBP")*(Expenses!A$3:A$999=DATE(2026,6,16)),ROW(Expenses!A$3:A$999)-2),5)),0)+IFERROR(INDEX(Income!C$3:C$502,SMALL(IF((Income!D$3:D$502="GBP")*(Income!A$3:A$502=DATE(2026,6,16)),ROW(Income!A$3:A$502)-2),5)),0)=0,"",IFERROR(-INDEX(Expenses!D$3:D$999,SMALL(IF((Expenses!E$3:E$999="GBP")*(Expenses!A$3:A$999=DATE(2026,6,16)),ROW(Expenses!A$3:A$999)-2),5)),0)+IFERROR(INDEX(Income!C$3:C$502,SMALL(IF((Income!D$3:D$502="GBP")*(Income!A$3:A$502=DATE(2026,6,16)),ROW(Income!A$3:A$502)-2),5)),0))</f>
        <v/>
      </c>
      <c r="F128" s="126">
        <f t="array" ref="F128">IF(IFERROR(INDEX(Expenses!B$3:B$999,SMALL(IF((Expenses!E$3:E$999="GBP")*(Expenses!A$3:A$999=DATE(2026,6,16)),ROW(Expenses!A$3:A$999)-2),5)),"")&lt;&gt;"",IFERROR(INDEX(Expenses!B$3:B$999,SMALL(IF((Expenses!E$3:E$999="GBP")*(Expenses!A$3:A$999=DATE(2026,6,16)),ROW(Expenses!A$3:A$999)-2),5)),""),IF(IFERROR(INDEX(Income!B$3:B$502,SMALL(IF((Income!D$3:D$502="GBP")*(Income!A$3:A$502=DATE(2026,6,16)),ROW(Income!A$3:A$502)-2),5)),"")&lt;&gt;"",IFERROR(INDEX(Income!B$3:B$502,SMALL(IF((Income!D$3:D$502="GBP")*(Income!A$3:A$502=DATE(2026,6,16)),ROW(Income!A$3:A$502)-2),5)),""),""))</f>
        <v/>
      </c>
      <c r="G128" s="152">
        <f t="array" ref="G128">IF(IFERROR(-INDEX(Expenses!D$3:D$999,SMALL(IF((Expenses!E$3:E$999="GBP")*(Expenses!A$3:A$999=DATE(2026,6,17)),ROW(Expenses!A$3:A$999)-2),5)),0)+IFERROR(INDEX(Income!C$3:C$502,SMALL(IF((Income!D$3:D$502="GBP")*(Income!A$3:A$502=DATE(2026,6,17)),ROW(Income!A$3:A$502)-2),5)),0)=0,"",IFERROR(-INDEX(Expenses!D$3:D$999,SMALL(IF((Expenses!E$3:E$999="GBP")*(Expenses!A$3:A$999=DATE(2026,6,17)),ROW(Expenses!A$3:A$999)-2),5)),0)+IFERROR(INDEX(Income!C$3:C$502,SMALL(IF((Income!D$3:D$502="GBP")*(Income!A$3:A$502=DATE(2026,6,17)),ROW(Income!A$3:A$502)-2),5)),0))</f>
        <v/>
      </c>
      <c r="H128" s="126">
        <f t="array" ref="H128">IF(IFERROR(INDEX(Expenses!B$3:B$999,SMALL(IF((Expenses!E$3:E$999="GBP")*(Expenses!A$3:A$999=DATE(2026,6,17)),ROW(Expenses!A$3:A$999)-2),5)),"")&lt;&gt;"",IFERROR(INDEX(Expenses!B$3:B$999,SMALL(IF((Expenses!E$3:E$999="GBP")*(Expenses!A$3:A$999=DATE(2026,6,17)),ROW(Expenses!A$3:A$999)-2),5)),""),IF(IFERROR(INDEX(Income!B$3:B$502,SMALL(IF((Income!D$3:D$502="GBP")*(Income!A$3:A$502=DATE(2026,6,17)),ROW(Income!A$3:A$502)-2),5)),"")&lt;&gt;"",IFERROR(INDEX(Income!B$3:B$502,SMALL(IF((Income!D$3:D$502="GBP")*(Income!A$3:A$502=DATE(2026,6,17)),ROW(Income!A$3:A$502)-2),5)),""),""))</f>
        <v/>
      </c>
      <c r="I128" s="152">
        <f t="array" ref="I128">IF(IFERROR(-INDEX(Expenses!D$3:D$999,SMALL(IF((Expenses!E$3:E$999="GBP")*(Expenses!A$3:A$999=DATE(2026,6,18)),ROW(Expenses!A$3:A$999)-2),5)),0)+IFERROR(INDEX(Income!C$3:C$502,SMALL(IF((Income!D$3:D$502="GBP")*(Income!A$3:A$502=DATE(2026,6,18)),ROW(Income!A$3:A$502)-2),5)),0)=0,"",IFERROR(-INDEX(Expenses!D$3:D$999,SMALL(IF((Expenses!E$3:E$999="GBP")*(Expenses!A$3:A$999=DATE(2026,6,18)),ROW(Expenses!A$3:A$999)-2),5)),0)+IFERROR(INDEX(Income!C$3:C$502,SMALL(IF((Income!D$3:D$502="GBP")*(Income!A$3:A$502=DATE(2026,6,18)),ROW(Income!A$3:A$502)-2),5)),0))</f>
        <v/>
      </c>
      <c r="J128" s="126">
        <f t="array" ref="J128">IF(IFERROR(INDEX(Expenses!B$3:B$999,SMALL(IF((Expenses!E$3:E$999="GBP")*(Expenses!A$3:A$999=DATE(2026,6,18)),ROW(Expenses!A$3:A$999)-2),5)),"")&lt;&gt;"",IFERROR(INDEX(Expenses!B$3:B$999,SMALL(IF((Expenses!E$3:E$999="GBP")*(Expenses!A$3:A$999=DATE(2026,6,18)),ROW(Expenses!A$3:A$999)-2),5)),""),IF(IFERROR(INDEX(Income!B$3:B$502,SMALL(IF((Income!D$3:D$502="GBP")*(Income!A$3:A$502=DATE(2026,6,18)),ROW(Income!A$3:A$502)-2),5)),"")&lt;&gt;"",IFERROR(INDEX(Income!B$3:B$502,SMALL(IF((Income!D$3:D$502="GBP")*(Income!A$3:A$502=DATE(2026,6,18)),ROW(Income!A$3:A$502)-2),5)),""),""))</f>
        <v/>
      </c>
      <c r="K128" s="152">
        <f t="array" ref="K128">IF(IFERROR(-INDEX(Expenses!D$3:D$999,SMALL(IF((Expenses!E$3:E$999="GBP")*(Expenses!A$3:A$999=DATE(2026,6,19)),ROW(Expenses!A$3:A$999)-2),5)),0)+IFERROR(INDEX(Income!C$3:C$502,SMALL(IF((Income!D$3:D$502="GBP")*(Income!A$3:A$502=DATE(2026,6,19)),ROW(Income!A$3:A$502)-2),5)),0)=0,"",IFERROR(-INDEX(Expenses!D$3:D$999,SMALL(IF((Expenses!E$3:E$999="GBP")*(Expenses!A$3:A$999=DATE(2026,6,19)),ROW(Expenses!A$3:A$999)-2),5)),0)+IFERROR(INDEX(Income!C$3:C$502,SMALL(IF((Income!D$3:D$502="GBP")*(Income!A$3:A$502=DATE(2026,6,19)),ROW(Income!A$3:A$502)-2),5)),0))</f>
        <v/>
      </c>
      <c r="L128" s="126">
        <f t="array" ref="L128">IF(IFERROR(INDEX(Expenses!B$3:B$999,SMALL(IF((Expenses!E$3:E$999="GBP")*(Expenses!A$3:A$999=DATE(2026,6,19)),ROW(Expenses!A$3:A$999)-2),5)),"")&lt;&gt;"",IFERROR(INDEX(Expenses!B$3:B$999,SMALL(IF((Expenses!E$3:E$999="GBP")*(Expenses!A$3:A$999=DATE(2026,6,19)),ROW(Expenses!A$3:A$999)-2),5)),""),IF(IFERROR(INDEX(Income!B$3:B$502,SMALL(IF((Income!D$3:D$502="GBP")*(Income!A$3:A$502=DATE(2026,6,19)),ROW(Income!A$3:A$502)-2),5)),"")&lt;&gt;"",IFERROR(INDEX(Income!B$3:B$502,SMALL(IF((Income!D$3:D$502="GBP")*(Income!A$3:A$502=DATE(2026,6,19)),ROW(Income!A$3:A$502)-2),5)),""),""))</f>
        <v/>
      </c>
      <c r="M128" s="152">
        <f t="array" ref="M128">IF(IFERROR(-INDEX(Expenses!D$3:D$999,SMALL(IF((Expenses!E$3:E$999="GBP")*(Expenses!A$3:A$999=DATE(2026,6,20)),ROW(Expenses!A$3:A$999)-2),5)),0)+IFERROR(INDEX(Income!C$3:C$502,SMALL(IF((Income!D$3:D$502="GBP")*(Income!A$3:A$502=DATE(2026,6,20)),ROW(Income!A$3:A$502)-2),5)),0)=0,"",IFERROR(-INDEX(Expenses!D$3:D$999,SMALL(IF((Expenses!E$3:E$999="GBP")*(Expenses!A$3:A$999=DATE(2026,6,20)),ROW(Expenses!A$3:A$999)-2),5)),0)+IFERROR(INDEX(Income!C$3:C$502,SMALL(IF((Income!D$3:D$502="GBP")*(Income!A$3:A$502=DATE(2026,6,20)),ROW(Income!A$3:A$502)-2),5)),0))</f>
        <v/>
      </c>
      <c r="N128" s="126">
        <f t="array" ref="N128">IF(IFERROR(INDEX(Expenses!B$3:B$999,SMALL(IF((Expenses!E$3:E$999="GBP")*(Expenses!A$3:A$999=DATE(2026,6,20)),ROW(Expenses!A$3:A$999)-2),5)),"")&lt;&gt;"",IFERROR(INDEX(Expenses!B$3:B$999,SMALL(IF((Expenses!E$3:E$999="GBP")*(Expenses!A$3:A$999=DATE(2026,6,20)),ROW(Expenses!A$3:A$999)-2),5)),""),IF(IFERROR(INDEX(Income!B$3:B$502,SMALL(IF((Income!D$3:D$502="GBP")*(Income!A$3:A$502=DATE(2026,6,20)),ROW(Income!A$3:A$502)-2),5)),"")&lt;&gt;"",IFERROR(INDEX(Income!B$3:B$502,SMALL(IF((Income!D$3:D$502="GBP")*(Income!A$3:A$502=DATE(2026,6,20)),ROW(Income!A$3:A$502)-2),5)),""),""))</f>
        <v/>
      </c>
      <c r="O128" s="152">
        <f t="array" ref="O128">IF(IFERROR(-INDEX(Expenses!D$3:D$999,SMALL(IF((Expenses!E$3:E$999="GBP")*(Expenses!A$3:A$999=DATE(2026,6,21)),ROW(Expenses!A$3:A$999)-2),5)),0)+IFERROR(INDEX(Income!C$3:C$502,SMALL(IF((Income!D$3:D$502="GBP")*(Income!A$3:A$502=DATE(2026,6,21)),ROW(Income!A$3:A$502)-2),5)),0)=0,"",IFERROR(-INDEX(Expenses!D$3:D$999,SMALL(IF((Expenses!E$3:E$999="GBP")*(Expenses!A$3:A$999=DATE(2026,6,21)),ROW(Expenses!A$3:A$999)-2),5)),0)+IFERROR(INDEX(Income!C$3:C$502,SMALL(IF((Income!D$3:D$502="GBP")*(Income!A$3:A$502=DATE(2026,6,21)),ROW(Income!A$3:A$502)-2),5)),0))</f>
        <v/>
      </c>
      <c r="P128" s="126">
        <f t="array" ref="P128">IF(IFERROR(INDEX(Expenses!B$3:B$999,SMALL(IF((Expenses!E$3:E$999="GBP")*(Expenses!A$3:A$999=DATE(2026,6,21)),ROW(Expenses!A$3:A$999)-2),5)),"")&lt;&gt;"",IFERROR(INDEX(Expenses!B$3:B$999,SMALL(IF((Expenses!E$3:E$999="GBP")*(Expenses!A$3:A$999=DATE(2026,6,21)),ROW(Expenses!A$3:A$999)-2),5)),""),IF(IFERROR(INDEX(Income!B$3:B$502,SMALL(IF((Income!D$3:D$502="GBP")*(Income!A$3:A$502=DATE(2026,6,21)),ROW(Income!A$3:A$502)-2),5)),"")&lt;&gt;"",IFERROR(INDEX(Income!B$3:B$502,SMALL(IF((Income!D$3:D$502="GBP")*(Income!A$3:A$502=DATE(2026,6,21)),ROW(Income!A$3:A$502)-2),5)),""),""))</f>
        <v/>
      </c>
      <c r="Q128" s="9" t="n"/>
      <c r="R128" s="9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68">
      <c r="A129" s="151" t="n">
        <v>46195</v>
      </c>
      <c r="B129" s="103" t="n">
        <v>26</v>
      </c>
      <c r="C129" s="152">
        <f t="array" ref="C129">IF(IFERROR(-INDEX(Expenses!D$3:D$999,SMALL(IF((Expenses!E$3:E$999="GBP")*(Expenses!A$3:A$999=DATE(2026,6,22)),ROW(Expenses!A$3:A$999)-2),1)),0)+IFERROR(INDEX(Income!C$3:C$502,SMALL(IF((Income!D$3:D$502="GBP")*(Income!A$3:A$502=DATE(2026,6,22)),ROW(Income!A$3:A$502)-2),1)),0)=0,"",IFERROR(-INDEX(Expenses!D$3:D$999,SMALL(IF((Expenses!E$3:E$999="GBP")*(Expenses!A$3:A$999=DATE(2026,6,22)),ROW(Expenses!A$3:A$999)-2),1)),0)+IFERROR(INDEX(Income!C$3:C$502,SMALL(IF((Income!D$3:D$502="GBP")*(Income!A$3:A$502=DATE(2026,6,22)),ROW(Income!A$3:A$502)-2),1)),0))</f>
        <v/>
      </c>
      <c r="D129" s="126">
        <f t="array" ref="D129">IF(IFERROR(INDEX(Expenses!B$3:B$999,SMALL(IF((Expenses!E$3:E$999="GBP")*(Expenses!A$3:A$999=DATE(2026,6,22)),ROW(Expenses!A$3:A$999)-2),1)),"")&lt;&gt;"",IFERROR(INDEX(Expenses!B$3:B$999,SMALL(IF((Expenses!E$3:E$999="GBP")*(Expenses!A$3:A$999=DATE(2026,6,22)),ROW(Expenses!A$3:A$999)-2),1)),""),IF(IFERROR(INDEX(Income!B$3:B$502,SMALL(IF((Income!D$3:D$502="GBP")*(Income!A$3:A$502=DATE(2026,6,22)),ROW(Income!A$3:A$502)-2),1)),"")&lt;&gt;"",IFERROR(INDEX(Income!B$3:B$502,SMALL(IF((Income!D$3:D$502="GBP")*(Income!A$3:A$502=DATE(2026,6,22)),ROW(Income!A$3:A$502)-2),1)),""),""))</f>
        <v/>
      </c>
      <c r="E129" s="152">
        <f t="array" ref="E129">IF(IFERROR(-INDEX(Expenses!D$3:D$999,SMALL(IF((Expenses!E$3:E$999="GBP")*(Expenses!A$3:A$999=DATE(2026,6,23)),ROW(Expenses!A$3:A$999)-2),1)),0)+IFERROR(INDEX(Income!C$3:C$502,SMALL(IF((Income!D$3:D$502="GBP")*(Income!A$3:A$502=DATE(2026,6,23)),ROW(Income!A$3:A$502)-2),1)),0)=0,"",IFERROR(-INDEX(Expenses!D$3:D$999,SMALL(IF((Expenses!E$3:E$999="GBP")*(Expenses!A$3:A$999=DATE(2026,6,23)),ROW(Expenses!A$3:A$999)-2),1)),0)+IFERROR(INDEX(Income!C$3:C$502,SMALL(IF((Income!D$3:D$502="GBP")*(Income!A$3:A$502=DATE(2026,6,23)),ROW(Income!A$3:A$502)-2),1)),0))</f>
        <v/>
      </c>
      <c r="F129" s="126">
        <f t="array" ref="F129">IF(IFERROR(INDEX(Expenses!B$3:B$999,SMALL(IF((Expenses!E$3:E$999="GBP")*(Expenses!A$3:A$999=DATE(2026,6,23)),ROW(Expenses!A$3:A$999)-2),1)),"")&lt;&gt;"",IFERROR(INDEX(Expenses!B$3:B$999,SMALL(IF((Expenses!E$3:E$999="GBP")*(Expenses!A$3:A$999=DATE(2026,6,23)),ROW(Expenses!A$3:A$999)-2),1)),""),IF(IFERROR(INDEX(Income!B$3:B$502,SMALL(IF((Income!D$3:D$502="GBP")*(Income!A$3:A$502=DATE(2026,6,23)),ROW(Income!A$3:A$502)-2),1)),"")&lt;&gt;"",IFERROR(INDEX(Income!B$3:B$502,SMALL(IF((Income!D$3:D$502="GBP")*(Income!A$3:A$502=DATE(2026,6,23)),ROW(Income!A$3:A$502)-2),1)),""),""))</f>
        <v/>
      </c>
      <c r="G129" s="152">
        <f t="array" ref="G129">IF(IFERROR(-INDEX(Expenses!D$3:D$999,SMALL(IF((Expenses!E$3:E$999="GBP")*(Expenses!A$3:A$999=DATE(2026,6,24)),ROW(Expenses!A$3:A$999)-2),1)),0)+IFERROR(INDEX(Income!C$3:C$502,SMALL(IF((Income!D$3:D$502="GBP")*(Income!A$3:A$502=DATE(2026,6,24)),ROW(Income!A$3:A$502)-2),1)),0)=0,"",IFERROR(-INDEX(Expenses!D$3:D$999,SMALL(IF((Expenses!E$3:E$999="GBP")*(Expenses!A$3:A$999=DATE(2026,6,24)),ROW(Expenses!A$3:A$999)-2),1)),0)+IFERROR(INDEX(Income!C$3:C$502,SMALL(IF((Income!D$3:D$502="GBP")*(Income!A$3:A$502=DATE(2026,6,24)),ROW(Income!A$3:A$502)-2),1)),0))</f>
        <v/>
      </c>
      <c r="H129" s="126">
        <f t="array" ref="H129">IF(IFERROR(INDEX(Expenses!B$3:B$999,SMALL(IF((Expenses!E$3:E$999="GBP")*(Expenses!A$3:A$999=DATE(2026,6,24)),ROW(Expenses!A$3:A$999)-2),1)),"")&lt;&gt;"",IFERROR(INDEX(Expenses!B$3:B$999,SMALL(IF((Expenses!E$3:E$999="GBP")*(Expenses!A$3:A$999=DATE(2026,6,24)),ROW(Expenses!A$3:A$999)-2),1)),""),IF(IFERROR(INDEX(Income!B$3:B$502,SMALL(IF((Income!D$3:D$502="GBP")*(Income!A$3:A$502=DATE(2026,6,24)),ROW(Income!A$3:A$502)-2),1)),"")&lt;&gt;"",IFERROR(INDEX(Income!B$3:B$502,SMALL(IF((Income!D$3:D$502="GBP")*(Income!A$3:A$502=DATE(2026,6,24)),ROW(Income!A$3:A$502)-2),1)),""),""))</f>
        <v/>
      </c>
      <c r="I129" s="152">
        <f t="array" ref="I129">IF(IFERROR(-INDEX(Expenses!D$3:D$999,SMALL(IF((Expenses!E$3:E$999="GBP")*(Expenses!A$3:A$999=DATE(2026,6,25)),ROW(Expenses!A$3:A$999)-2),1)),0)+IFERROR(INDEX(Income!C$3:C$502,SMALL(IF((Income!D$3:D$502="GBP")*(Income!A$3:A$502=DATE(2026,6,25)),ROW(Income!A$3:A$502)-2),1)),0)=0,"",IFERROR(-INDEX(Expenses!D$3:D$999,SMALL(IF((Expenses!E$3:E$999="GBP")*(Expenses!A$3:A$999=DATE(2026,6,25)),ROW(Expenses!A$3:A$999)-2),1)),0)+IFERROR(INDEX(Income!C$3:C$502,SMALL(IF((Income!D$3:D$502="GBP")*(Income!A$3:A$502=DATE(2026,6,25)),ROW(Income!A$3:A$502)-2),1)),0))</f>
        <v/>
      </c>
      <c r="J129" s="126">
        <f t="array" ref="J129">IF(IFERROR(INDEX(Expenses!B$3:B$999,SMALL(IF((Expenses!E$3:E$999="GBP")*(Expenses!A$3:A$999=DATE(2026,6,25)),ROW(Expenses!A$3:A$999)-2),1)),"")&lt;&gt;"",IFERROR(INDEX(Expenses!B$3:B$999,SMALL(IF((Expenses!E$3:E$999="GBP")*(Expenses!A$3:A$999=DATE(2026,6,25)),ROW(Expenses!A$3:A$999)-2),1)),""),IF(IFERROR(INDEX(Income!B$3:B$502,SMALL(IF((Income!D$3:D$502="GBP")*(Income!A$3:A$502=DATE(2026,6,25)),ROW(Income!A$3:A$502)-2),1)),"")&lt;&gt;"",IFERROR(INDEX(Income!B$3:B$502,SMALL(IF((Income!D$3:D$502="GBP")*(Income!A$3:A$502=DATE(2026,6,25)),ROW(Income!A$3:A$502)-2),1)),""),""))</f>
        <v/>
      </c>
      <c r="K129" s="152">
        <f t="array" ref="K129">IF(IFERROR(-INDEX(Expenses!D$3:D$999,SMALL(IF((Expenses!E$3:E$999="GBP")*(Expenses!A$3:A$999=DATE(2026,6,26)),ROW(Expenses!A$3:A$999)-2),1)),0)+IFERROR(INDEX(Income!C$3:C$502,SMALL(IF((Income!D$3:D$502="GBP")*(Income!A$3:A$502=DATE(2026,6,26)),ROW(Income!A$3:A$502)-2),1)),0)=0,"",IFERROR(-INDEX(Expenses!D$3:D$999,SMALL(IF((Expenses!E$3:E$999="GBP")*(Expenses!A$3:A$999=DATE(2026,6,26)),ROW(Expenses!A$3:A$999)-2),1)),0)+IFERROR(INDEX(Income!C$3:C$502,SMALL(IF((Income!D$3:D$502="GBP")*(Income!A$3:A$502=DATE(2026,6,26)),ROW(Income!A$3:A$502)-2),1)),0))</f>
        <v/>
      </c>
      <c r="L129" s="126">
        <f t="array" ref="L129">IF(IFERROR(INDEX(Expenses!B$3:B$999,SMALL(IF((Expenses!E$3:E$999="GBP")*(Expenses!A$3:A$999=DATE(2026,6,26)),ROW(Expenses!A$3:A$999)-2),1)),"")&lt;&gt;"",IFERROR(INDEX(Expenses!B$3:B$999,SMALL(IF((Expenses!E$3:E$999="GBP")*(Expenses!A$3:A$999=DATE(2026,6,26)),ROW(Expenses!A$3:A$999)-2),1)),""),IF(IFERROR(INDEX(Income!B$3:B$502,SMALL(IF((Income!D$3:D$502="GBP")*(Income!A$3:A$502=DATE(2026,6,26)),ROW(Income!A$3:A$502)-2),1)),"")&lt;&gt;"",IFERROR(INDEX(Income!B$3:B$502,SMALL(IF((Income!D$3:D$502="GBP")*(Income!A$3:A$502=DATE(2026,6,26)),ROW(Income!A$3:A$502)-2),1)),""),""))</f>
        <v/>
      </c>
      <c r="M129" s="152">
        <f t="array" ref="M129">IF(IFERROR(-INDEX(Expenses!D$3:D$999,SMALL(IF((Expenses!E$3:E$999="GBP")*(Expenses!A$3:A$999=DATE(2026,6,27)),ROW(Expenses!A$3:A$999)-2),1)),0)+IFERROR(INDEX(Income!C$3:C$502,SMALL(IF((Income!D$3:D$502="GBP")*(Income!A$3:A$502=DATE(2026,6,27)),ROW(Income!A$3:A$502)-2),1)),0)=0,"",IFERROR(-INDEX(Expenses!D$3:D$999,SMALL(IF((Expenses!E$3:E$999="GBP")*(Expenses!A$3:A$999=DATE(2026,6,27)),ROW(Expenses!A$3:A$999)-2),1)),0)+IFERROR(INDEX(Income!C$3:C$502,SMALL(IF((Income!D$3:D$502="GBP")*(Income!A$3:A$502=DATE(2026,6,27)),ROW(Income!A$3:A$502)-2),1)),0))</f>
        <v/>
      </c>
      <c r="N129" s="126">
        <f t="array" ref="N129">IF(IFERROR(INDEX(Expenses!B$3:B$999,SMALL(IF((Expenses!E$3:E$999="GBP")*(Expenses!A$3:A$999=DATE(2026,6,27)),ROW(Expenses!A$3:A$999)-2),1)),"")&lt;&gt;"",IFERROR(INDEX(Expenses!B$3:B$999,SMALL(IF((Expenses!E$3:E$999="GBP")*(Expenses!A$3:A$999=DATE(2026,6,27)),ROW(Expenses!A$3:A$999)-2),1)),""),IF(IFERROR(INDEX(Income!B$3:B$502,SMALL(IF((Income!D$3:D$502="GBP")*(Income!A$3:A$502=DATE(2026,6,27)),ROW(Income!A$3:A$502)-2),1)),"")&lt;&gt;"",IFERROR(INDEX(Income!B$3:B$502,SMALL(IF((Income!D$3:D$502="GBP")*(Income!A$3:A$502=DATE(2026,6,27)),ROW(Income!A$3:A$502)-2),1)),""),""))</f>
        <v/>
      </c>
      <c r="O129" s="152">
        <f t="array" ref="O129">IF(IFERROR(-INDEX(Expenses!D$3:D$999,SMALL(IF((Expenses!E$3:E$999="GBP")*(Expenses!A$3:A$999=DATE(2026,6,28)),ROW(Expenses!A$3:A$999)-2),1)),0)+IFERROR(INDEX(Income!C$3:C$502,SMALL(IF((Income!D$3:D$502="GBP")*(Income!A$3:A$502=DATE(2026,6,28)),ROW(Income!A$3:A$502)-2),1)),0)=0,"",IFERROR(-INDEX(Expenses!D$3:D$999,SMALL(IF((Expenses!E$3:E$999="GBP")*(Expenses!A$3:A$999=DATE(2026,6,28)),ROW(Expenses!A$3:A$999)-2),1)),0)+IFERROR(INDEX(Income!C$3:C$502,SMALL(IF((Income!D$3:D$502="GBP")*(Income!A$3:A$502=DATE(2026,6,28)),ROW(Income!A$3:A$502)-2),1)),0))</f>
        <v/>
      </c>
      <c r="P129" s="126">
        <f t="array" ref="P129">IF(IFERROR(INDEX(Expenses!B$3:B$999,SMALL(IF((Expenses!E$3:E$999="GBP")*(Expenses!A$3:A$999=DATE(2026,6,28)),ROW(Expenses!A$3:A$999)-2),1)),"")&lt;&gt;"",IFERROR(INDEX(Expenses!B$3:B$999,SMALL(IF((Expenses!E$3:E$999="GBP")*(Expenses!A$3:A$999=DATE(2026,6,28)),ROW(Expenses!A$3:A$999)-2),1)),""),IF(IFERROR(INDEX(Income!B$3:B$502,SMALL(IF((Income!D$3:D$502="GBP")*(Income!A$3:A$502=DATE(2026,6,28)),ROW(Income!A$3:A$502)-2),1)),"")&lt;&gt;"",IFERROR(INDEX(Income!B$3:B$502,SMALL(IF((Income!D$3:D$502="GBP")*(Income!A$3:A$502=DATE(2026,6,28)),ROW(Income!A$3:A$502)-2),1)),""),""))</f>
        <v/>
      </c>
      <c r="Q129" s="103" t="n">
        <v>26</v>
      </c>
      <c r="R129" s="134">
        <f>SUM(C129:C133)+SUM(E129:E133)+SUM(G129:G133)+SUM(I129:I133)+SUM(K129:K133)+SUM(M129:M133)+SUM(O129:O133)</f>
        <v/>
      </c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68">
      <c r="A130" s="9" t="n"/>
      <c r="B130" s="9" t="n"/>
      <c r="C130" s="152">
        <f t="array" ref="C130">IF(IFERROR(-INDEX(Expenses!D$3:D$999,SMALL(IF((Expenses!E$3:E$999="GBP")*(Expenses!A$3:A$999=DATE(2026,6,22)),ROW(Expenses!A$3:A$999)-2),2)),0)+IFERROR(INDEX(Income!C$3:C$502,SMALL(IF((Income!D$3:D$502="GBP")*(Income!A$3:A$502=DATE(2026,6,22)),ROW(Income!A$3:A$502)-2),2)),0)=0,"",IFERROR(-INDEX(Expenses!D$3:D$999,SMALL(IF((Expenses!E$3:E$999="GBP")*(Expenses!A$3:A$999=DATE(2026,6,22)),ROW(Expenses!A$3:A$999)-2),2)),0)+IFERROR(INDEX(Income!C$3:C$502,SMALL(IF((Income!D$3:D$502="GBP")*(Income!A$3:A$502=DATE(2026,6,22)),ROW(Income!A$3:A$502)-2),2)),0))</f>
        <v/>
      </c>
      <c r="D130" s="126">
        <f t="array" ref="D130">IF(IFERROR(INDEX(Expenses!B$3:B$999,SMALL(IF((Expenses!E$3:E$999="GBP")*(Expenses!A$3:A$999=DATE(2026,6,22)),ROW(Expenses!A$3:A$999)-2),2)),"")&lt;&gt;"",IFERROR(INDEX(Expenses!B$3:B$999,SMALL(IF((Expenses!E$3:E$999="GBP")*(Expenses!A$3:A$999=DATE(2026,6,22)),ROW(Expenses!A$3:A$999)-2),2)),""),IF(IFERROR(INDEX(Income!B$3:B$502,SMALL(IF((Income!D$3:D$502="GBP")*(Income!A$3:A$502=DATE(2026,6,22)),ROW(Income!A$3:A$502)-2),2)),"")&lt;&gt;"",IFERROR(INDEX(Income!B$3:B$502,SMALL(IF((Income!D$3:D$502="GBP")*(Income!A$3:A$502=DATE(2026,6,22)),ROW(Income!A$3:A$502)-2),2)),""),""))</f>
        <v/>
      </c>
      <c r="E130" s="152">
        <f t="array" ref="E130">IF(IFERROR(-INDEX(Expenses!D$3:D$999,SMALL(IF((Expenses!E$3:E$999="GBP")*(Expenses!A$3:A$999=DATE(2026,6,23)),ROW(Expenses!A$3:A$999)-2),2)),0)+IFERROR(INDEX(Income!C$3:C$502,SMALL(IF((Income!D$3:D$502="GBP")*(Income!A$3:A$502=DATE(2026,6,23)),ROW(Income!A$3:A$502)-2),2)),0)=0,"",IFERROR(-INDEX(Expenses!D$3:D$999,SMALL(IF((Expenses!E$3:E$999="GBP")*(Expenses!A$3:A$999=DATE(2026,6,23)),ROW(Expenses!A$3:A$999)-2),2)),0)+IFERROR(INDEX(Income!C$3:C$502,SMALL(IF((Income!D$3:D$502="GBP")*(Income!A$3:A$502=DATE(2026,6,23)),ROW(Income!A$3:A$502)-2),2)),0))</f>
        <v/>
      </c>
      <c r="F130" s="126">
        <f t="array" ref="F130">IF(IFERROR(INDEX(Expenses!B$3:B$999,SMALL(IF((Expenses!E$3:E$999="GBP")*(Expenses!A$3:A$999=DATE(2026,6,23)),ROW(Expenses!A$3:A$999)-2),2)),"")&lt;&gt;"",IFERROR(INDEX(Expenses!B$3:B$999,SMALL(IF((Expenses!E$3:E$999="GBP")*(Expenses!A$3:A$999=DATE(2026,6,23)),ROW(Expenses!A$3:A$999)-2),2)),""),IF(IFERROR(INDEX(Income!B$3:B$502,SMALL(IF((Income!D$3:D$502="GBP")*(Income!A$3:A$502=DATE(2026,6,23)),ROW(Income!A$3:A$502)-2),2)),"")&lt;&gt;"",IFERROR(INDEX(Income!B$3:B$502,SMALL(IF((Income!D$3:D$502="GBP")*(Income!A$3:A$502=DATE(2026,6,23)),ROW(Income!A$3:A$502)-2),2)),""),""))</f>
        <v/>
      </c>
      <c r="G130" s="152">
        <f t="array" ref="G130">IF(IFERROR(-INDEX(Expenses!D$3:D$999,SMALL(IF((Expenses!E$3:E$999="GBP")*(Expenses!A$3:A$999=DATE(2026,6,24)),ROW(Expenses!A$3:A$999)-2),2)),0)+IFERROR(INDEX(Income!C$3:C$502,SMALL(IF((Income!D$3:D$502="GBP")*(Income!A$3:A$502=DATE(2026,6,24)),ROW(Income!A$3:A$502)-2),2)),0)=0,"",IFERROR(-INDEX(Expenses!D$3:D$999,SMALL(IF((Expenses!E$3:E$999="GBP")*(Expenses!A$3:A$999=DATE(2026,6,24)),ROW(Expenses!A$3:A$999)-2),2)),0)+IFERROR(INDEX(Income!C$3:C$502,SMALL(IF((Income!D$3:D$502="GBP")*(Income!A$3:A$502=DATE(2026,6,24)),ROW(Income!A$3:A$502)-2),2)),0))</f>
        <v/>
      </c>
      <c r="H130" s="126">
        <f t="array" ref="H130">IF(IFERROR(INDEX(Expenses!B$3:B$999,SMALL(IF((Expenses!E$3:E$999="GBP")*(Expenses!A$3:A$999=DATE(2026,6,24)),ROW(Expenses!A$3:A$999)-2),2)),"")&lt;&gt;"",IFERROR(INDEX(Expenses!B$3:B$999,SMALL(IF((Expenses!E$3:E$999="GBP")*(Expenses!A$3:A$999=DATE(2026,6,24)),ROW(Expenses!A$3:A$999)-2),2)),""),IF(IFERROR(INDEX(Income!B$3:B$502,SMALL(IF((Income!D$3:D$502="GBP")*(Income!A$3:A$502=DATE(2026,6,24)),ROW(Income!A$3:A$502)-2),2)),"")&lt;&gt;"",IFERROR(INDEX(Income!B$3:B$502,SMALL(IF((Income!D$3:D$502="GBP")*(Income!A$3:A$502=DATE(2026,6,24)),ROW(Income!A$3:A$502)-2),2)),""),""))</f>
        <v/>
      </c>
      <c r="I130" s="152">
        <f t="array" ref="I130">IF(IFERROR(-INDEX(Expenses!D$3:D$999,SMALL(IF((Expenses!E$3:E$999="GBP")*(Expenses!A$3:A$999=DATE(2026,6,25)),ROW(Expenses!A$3:A$999)-2),2)),0)+IFERROR(INDEX(Income!C$3:C$502,SMALL(IF((Income!D$3:D$502="GBP")*(Income!A$3:A$502=DATE(2026,6,25)),ROW(Income!A$3:A$502)-2),2)),0)=0,"",IFERROR(-INDEX(Expenses!D$3:D$999,SMALL(IF((Expenses!E$3:E$999="GBP")*(Expenses!A$3:A$999=DATE(2026,6,25)),ROW(Expenses!A$3:A$999)-2),2)),0)+IFERROR(INDEX(Income!C$3:C$502,SMALL(IF((Income!D$3:D$502="GBP")*(Income!A$3:A$502=DATE(2026,6,25)),ROW(Income!A$3:A$502)-2),2)),0))</f>
        <v/>
      </c>
      <c r="J130" s="126">
        <f t="array" ref="J130">IF(IFERROR(INDEX(Expenses!B$3:B$999,SMALL(IF((Expenses!E$3:E$999="GBP")*(Expenses!A$3:A$999=DATE(2026,6,25)),ROW(Expenses!A$3:A$999)-2),2)),"")&lt;&gt;"",IFERROR(INDEX(Expenses!B$3:B$999,SMALL(IF((Expenses!E$3:E$999="GBP")*(Expenses!A$3:A$999=DATE(2026,6,25)),ROW(Expenses!A$3:A$999)-2),2)),""),IF(IFERROR(INDEX(Income!B$3:B$502,SMALL(IF((Income!D$3:D$502="GBP")*(Income!A$3:A$502=DATE(2026,6,25)),ROW(Income!A$3:A$502)-2),2)),"")&lt;&gt;"",IFERROR(INDEX(Income!B$3:B$502,SMALL(IF((Income!D$3:D$502="GBP")*(Income!A$3:A$502=DATE(2026,6,25)),ROW(Income!A$3:A$502)-2),2)),""),""))</f>
        <v/>
      </c>
      <c r="K130" s="152">
        <f t="array" ref="K130">IF(IFERROR(-INDEX(Expenses!D$3:D$999,SMALL(IF((Expenses!E$3:E$999="GBP")*(Expenses!A$3:A$999=DATE(2026,6,26)),ROW(Expenses!A$3:A$999)-2),2)),0)+IFERROR(INDEX(Income!C$3:C$502,SMALL(IF((Income!D$3:D$502="GBP")*(Income!A$3:A$502=DATE(2026,6,26)),ROW(Income!A$3:A$502)-2),2)),0)=0,"",IFERROR(-INDEX(Expenses!D$3:D$999,SMALL(IF((Expenses!E$3:E$999="GBP")*(Expenses!A$3:A$999=DATE(2026,6,26)),ROW(Expenses!A$3:A$999)-2),2)),0)+IFERROR(INDEX(Income!C$3:C$502,SMALL(IF((Income!D$3:D$502="GBP")*(Income!A$3:A$502=DATE(2026,6,26)),ROW(Income!A$3:A$502)-2),2)),0))</f>
        <v/>
      </c>
      <c r="L130" s="126">
        <f t="array" ref="L130">IF(IFERROR(INDEX(Expenses!B$3:B$999,SMALL(IF((Expenses!E$3:E$999="GBP")*(Expenses!A$3:A$999=DATE(2026,6,26)),ROW(Expenses!A$3:A$999)-2),2)),"")&lt;&gt;"",IFERROR(INDEX(Expenses!B$3:B$999,SMALL(IF((Expenses!E$3:E$999="GBP")*(Expenses!A$3:A$999=DATE(2026,6,26)),ROW(Expenses!A$3:A$999)-2),2)),""),IF(IFERROR(INDEX(Income!B$3:B$502,SMALL(IF((Income!D$3:D$502="GBP")*(Income!A$3:A$502=DATE(2026,6,26)),ROW(Income!A$3:A$502)-2),2)),"")&lt;&gt;"",IFERROR(INDEX(Income!B$3:B$502,SMALL(IF((Income!D$3:D$502="GBP")*(Income!A$3:A$502=DATE(2026,6,26)),ROW(Income!A$3:A$502)-2),2)),""),""))</f>
        <v/>
      </c>
      <c r="M130" s="152">
        <f t="array" ref="M130">IF(IFERROR(-INDEX(Expenses!D$3:D$999,SMALL(IF((Expenses!E$3:E$999="GBP")*(Expenses!A$3:A$999=DATE(2026,6,27)),ROW(Expenses!A$3:A$999)-2),2)),0)+IFERROR(INDEX(Income!C$3:C$502,SMALL(IF((Income!D$3:D$502="GBP")*(Income!A$3:A$502=DATE(2026,6,27)),ROW(Income!A$3:A$502)-2),2)),0)=0,"",IFERROR(-INDEX(Expenses!D$3:D$999,SMALL(IF((Expenses!E$3:E$999="GBP")*(Expenses!A$3:A$999=DATE(2026,6,27)),ROW(Expenses!A$3:A$999)-2),2)),0)+IFERROR(INDEX(Income!C$3:C$502,SMALL(IF((Income!D$3:D$502="GBP")*(Income!A$3:A$502=DATE(2026,6,27)),ROW(Income!A$3:A$502)-2),2)),0))</f>
        <v/>
      </c>
      <c r="N130" s="126">
        <f t="array" ref="N130">IF(IFERROR(INDEX(Expenses!B$3:B$999,SMALL(IF((Expenses!E$3:E$999="GBP")*(Expenses!A$3:A$999=DATE(2026,6,27)),ROW(Expenses!A$3:A$999)-2),2)),"")&lt;&gt;"",IFERROR(INDEX(Expenses!B$3:B$999,SMALL(IF((Expenses!E$3:E$999="GBP")*(Expenses!A$3:A$999=DATE(2026,6,27)),ROW(Expenses!A$3:A$999)-2),2)),""),IF(IFERROR(INDEX(Income!B$3:B$502,SMALL(IF((Income!D$3:D$502="GBP")*(Income!A$3:A$502=DATE(2026,6,27)),ROW(Income!A$3:A$502)-2),2)),"")&lt;&gt;"",IFERROR(INDEX(Income!B$3:B$502,SMALL(IF((Income!D$3:D$502="GBP")*(Income!A$3:A$502=DATE(2026,6,27)),ROW(Income!A$3:A$502)-2),2)),""),""))</f>
        <v/>
      </c>
      <c r="O130" s="152">
        <f t="array" ref="O130">IF(IFERROR(-INDEX(Expenses!D$3:D$999,SMALL(IF((Expenses!E$3:E$999="GBP")*(Expenses!A$3:A$999=DATE(2026,6,28)),ROW(Expenses!A$3:A$999)-2),2)),0)+IFERROR(INDEX(Income!C$3:C$502,SMALL(IF((Income!D$3:D$502="GBP")*(Income!A$3:A$502=DATE(2026,6,28)),ROW(Income!A$3:A$502)-2),2)),0)=0,"",IFERROR(-INDEX(Expenses!D$3:D$999,SMALL(IF((Expenses!E$3:E$999="GBP")*(Expenses!A$3:A$999=DATE(2026,6,28)),ROW(Expenses!A$3:A$999)-2),2)),0)+IFERROR(INDEX(Income!C$3:C$502,SMALL(IF((Income!D$3:D$502="GBP")*(Income!A$3:A$502=DATE(2026,6,28)),ROW(Income!A$3:A$502)-2),2)),0))</f>
        <v/>
      </c>
      <c r="P130" s="126">
        <f t="array" ref="P130">IF(IFERROR(INDEX(Expenses!B$3:B$999,SMALL(IF((Expenses!E$3:E$999="GBP")*(Expenses!A$3:A$999=DATE(2026,6,28)),ROW(Expenses!A$3:A$999)-2),2)),"")&lt;&gt;"",IFERROR(INDEX(Expenses!B$3:B$999,SMALL(IF((Expenses!E$3:E$999="GBP")*(Expenses!A$3:A$999=DATE(2026,6,28)),ROW(Expenses!A$3:A$999)-2),2)),""),IF(IFERROR(INDEX(Income!B$3:B$502,SMALL(IF((Income!D$3:D$502="GBP")*(Income!A$3:A$502=DATE(2026,6,28)),ROW(Income!A$3:A$502)-2),2)),"")&lt;&gt;"",IFERROR(INDEX(Income!B$3:B$502,SMALL(IF((Income!D$3:D$502="GBP")*(Income!A$3:A$502=DATE(2026,6,28)),ROW(Income!A$3:A$502)-2),2)),""),""))</f>
        <v/>
      </c>
      <c r="Q130" s="9" t="n"/>
      <c r="R130" s="9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68">
      <c r="A131" s="9" t="n"/>
      <c r="B131" s="9" t="n"/>
      <c r="C131" s="152">
        <f t="array" ref="C131">IF(IFERROR(-INDEX(Expenses!D$3:D$999,SMALL(IF((Expenses!E$3:E$999="GBP")*(Expenses!A$3:A$999=DATE(2026,6,22)),ROW(Expenses!A$3:A$999)-2),3)),0)+IFERROR(INDEX(Income!C$3:C$502,SMALL(IF((Income!D$3:D$502="GBP")*(Income!A$3:A$502=DATE(2026,6,22)),ROW(Income!A$3:A$502)-2),3)),0)=0,"",IFERROR(-INDEX(Expenses!D$3:D$999,SMALL(IF((Expenses!E$3:E$999="GBP")*(Expenses!A$3:A$999=DATE(2026,6,22)),ROW(Expenses!A$3:A$999)-2),3)),0)+IFERROR(INDEX(Income!C$3:C$502,SMALL(IF((Income!D$3:D$502="GBP")*(Income!A$3:A$502=DATE(2026,6,22)),ROW(Income!A$3:A$502)-2),3)),0))</f>
        <v/>
      </c>
      <c r="D131" s="126">
        <f t="array" ref="D131">IF(IFERROR(INDEX(Expenses!B$3:B$999,SMALL(IF((Expenses!E$3:E$999="GBP")*(Expenses!A$3:A$999=DATE(2026,6,22)),ROW(Expenses!A$3:A$999)-2),3)),"")&lt;&gt;"",IFERROR(INDEX(Expenses!B$3:B$999,SMALL(IF((Expenses!E$3:E$999="GBP")*(Expenses!A$3:A$999=DATE(2026,6,22)),ROW(Expenses!A$3:A$999)-2),3)),""),IF(IFERROR(INDEX(Income!B$3:B$502,SMALL(IF((Income!D$3:D$502="GBP")*(Income!A$3:A$502=DATE(2026,6,22)),ROW(Income!A$3:A$502)-2),3)),"")&lt;&gt;"",IFERROR(INDEX(Income!B$3:B$502,SMALL(IF((Income!D$3:D$502="GBP")*(Income!A$3:A$502=DATE(2026,6,22)),ROW(Income!A$3:A$502)-2),3)),""),""))</f>
        <v/>
      </c>
      <c r="E131" s="152">
        <f t="array" ref="E131">IF(IFERROR(-INDEX(Expenses!D$3:D$999,SMALL(IF((Expenses!E$3:E$999="GBP")*(Expenses!A$3:A$999=DATE(2026,6,23)),ROW(Expenses!A$3:A$999)-2),3)),0)+IFERROR(INDEX(Income!C$3:C$502,SMALL(IF((Income!D$3:D$502="GBP")*(Income!A$3:A$502=DATE(2026,6,23)),ROW(Income!A$3:A$502)-2),3)),0)=0,"",IFERROR(-INDEX(Expenses!D$3:D$999,SMALL(IF((Expenses!E$3:E$999="GBP")*(Expenses!A$3:A$999=DATE(2026,6,23)),ROW(Expenses!A$3:A$999)-2),3)),0)+IFERROR(INDEX(Income!C$3:C$502,SMALL(IF((Income!D$3:D$502="GBP")*(Income!A$3:A$502=DATE(2026,6,23)),ROW(Income!A$3:A$502)-2),3)),0))</f>
        <v/>
      </c>
      <c r="F131" s="126">
        <f t="array" ref="F131">IF(IFERROR(INDEX(Expenses!B$3:B$999,SMALL(IF((Expenses!E$3:E$999="GBP")*(Expenses!A$3:A$999=DATE(2026,6,23)),ROW(Expenses!A$3:A$999)-2),3)),"")&lt;&gt;"",IFERROR(INDEX(Expenses!B$3:B$999,SMALL(IF((Expenses!E$3:E$999="GBP")*(Expenses!A$3:A$999=DATE(2026,6,23)),ROW(Expenses!A$3:A$999)-2),3)),""),IF(IFERROR(INDEX(Income!B$3:B$502,SMALL(IF((Income!D$3:D$502="GBP")*(Income!A$3:A$502=DATE(2026,6,23)),ROW(Income!A$3:A$502)-2),3)),"")&lt;&gt;"",IFERROR(INDEX(Income!B$3:B$502,SMALL(IF((Income!D$3:D$502="GBP")*(Income!A$3:A$502=DATE(2026,6,23)),ROW(Income!A$3:A$502)-2),3)),""),""))</f>
        <v/>
      </c>
      <c r="G131" s="152">
        <f t="array" ref="G131">IF(IFERROR(-INDEX(Expenses!D$3:D$999,SMALL(IF((Expenses!E$3:E$999="GBP")*(Expenses!A$3:A$999=DATE(2026,6,24)),ROW(Expenses!A$3:A$999)-2),3)),0)+IFERROR(INDEX(Income!C$3:C$502,SMALL(IF((Income!D$3:D$502="GBP")*(Income!A$3:A$502=DATE(2026,6,24)),ROW(Income!A$3:A$502)-2),3)),0)=0,"",IFERROR(-INDEX(Expenses!D$3:D$999,SMALL(IF((Expenses!E$3:E$999="GBP")*(Expenses!A$3:A$999=DATE(2026,6,24)),ROW(Expenses!A$3:A$999)-2),3)),0)+IFERROR(INDEX(Income!C$3:C$502,SMALL(IF((Income!D$3:D$502="GBP")*(Income!A$3:A$502=DATE(2026,6,24)),ROW(Income!A$3:A$502)-2),3)),0))</f>
        <v/>
      </c>
      <c r="H131" s="126">
        <f t="array" ref="H131">IF(IFERROR(INDEX(Expenses!B$3:B$999,SMALL(IF((Expenses!E$3:E$999="GBP")*(Expenses!A$3:A$999=DATE(2026,6,24)),ROW(Expenses!A$3:A$999)-2),3)),"")&lt;&gt;"",IFERROR(INDEX(Expenses!B$3:B$999,SMALL(IF((Expenses!E$3:E$999="GBP")*(Expenses!A$3:A$999=DATE(2026,6,24)),ROW(Expenses!A$3:A$999)-2),3)),""),IF(IFERROR(INDEX(Income!B$3:B$502,SMALL(IF((Income!D$3:D$502="GBP")*(Income!A$3:A$502=DATE(2026,6,24)),ROW(Income!A$3:A$502)-2),3)),"")&lt;&gt;"",IFERROR(INDEX(Income!B$3:B$502,SMALL(IF((Income!D$3:D$502="GBP")*(Income!A$3:A$502=DATE(2026,6,24)),ROW(Income!A$3:A$502)-2),3)),""),""))</f>
        <v/>
      </c>
      <c r="I131" s="152">
        <f t="array" ref="I131">IF(IFERROR(-INDEX(Expenses!D$3:D$999,SMALL(IF((Expenses!E$3:E$999="GBP")*(Expenses!A$3:A$999=DATE(2026,6,25)),ROW(Expenses!A$3:A$999)-2),3)),0)+IFERROR(INDEX(Income!C$3:C$502,SMALL(IF((Income!D$3:D$502="GBP")*(Income!A$3:A$502=DATE(2026,6,25)),ROW(Income!A$3:A$502)-2),3)),0)=0,"",IFERROR(-INDEX(Expenses!D$3:D$999,SMALL(IF((Expenses!E$3:E$999="GBP")*(Expenses!A$3:A$999=DATE(2026,6,25)),ROW(Expenses!A$3:A$999)-2),3)),0)+IFERROR(INDEX(Income!C$3:C$502,SMALL(IF((Income!D$3:D$502="GBP")*(Income!A$3:A$502=DATE(2026,6,25)),ROW(Income!A$3:A$502)-2),3)),0))</f>
        <v/>
      </c>
      <c r="J131" s="126">
        <f t="array" ref="J131">IF(IFERROR(INDEX(Expenses!B$3:B$999,SMALL(IF((Expenses!E$3:E$999="GBP")*(Expenses!A$3:A$999=DATE(2026,6,25)),ROW(Expenses!A$3:A$999)-2),3)),"")&lt;&gt;"",IFERROR(INDEX(Expenses!B$3:B$999,SMALL(IF((Expenses!E$3:E$999="GBP")*(Expenses!A$3:A$999=DATE(2026,6,25)),ROW(Expenses!A$3:A$999)-2),3)),""),IF(IFERROR(INDEX(Income!B$3:B$502,SMALL(IF((Income!D$3:D$502="GBP")*(Income!A$3:A$502=DATE(2026,6,25)),ROW(Income!A$3:A$502)-2),3)),"")&lt;&gt;"",IFERROR(INDEX(Income!B$3:B$502,SMALL(IF((Income!D$3:D$502="GBP")*(Income!A$3:A$502=DATE(2026,6,25)),ROW(Income!A$3:A$502)-2),3)),""),""))</f>
        <v/>
      </c>
      <c r="K131" s="152">
        <f t="array" ref="K131">IF(IFERROR(-INDEX(Expenses!D$3:D$999,SMALL(IF((Expenses!E$3:E$999="GBP")*(Expenses!A$3:A$999=DATE(2026,6,26)),ROW(Expenses!A$3:A$999)-2),3)),0)+IFERROR(INDEX(Income!C$3:C$502,SMALL(IF((Income!D$3:D$502="GBP")*(Income!A$3:A$502=DATE(2026,6,26)),ROW(Income!A$3:A$502)-2),3)),0)=0,"",IFERROR(-INDEX(Expenses!D$3:D$999,SMALL(IF((Expenses!E$3:E$999="GBP")*(Expenses!A$3:A$999=DATE(2026,6,26)),ROW(Expenses!A$3:A$999)-2),3)),0)+IFERROR(INDEX(Income!C$3:C$502,SMALL(IF((Income!D$3:D$502="GBP")*(Income!A$3:A$502=DATE(2026,6,26)),ROW(Income!A$3:A$502)-2),3)),0))</f>
        <v/>
      </c>
      <c r="L131" s="126">
        <f t="array" ref="L131">IF(IFERROR(INDEX(Expenses!B$3:B$999,SMALL(IF((Expenses!E$3:E$999="GBP")*(Expenses!A$3:A$999=DATE(2026,6,26)),ROW(Expenses!A$3:A$999)-2),3)),"")&lt;&gt;"",IFERROR(INDEX(Expenses!B$3:B$999,SMALL(IF((Expenses!E$3:E$999="GBP")*(Expenses!A$3:A$999=DATE(2026,6,26)),ROW(Expenses!A$3:A$999)-2),3)),""),IF(IFERROR(INDEX(Income!B$3:B$502,SMALL(IF((Income!D$3:D$502="GBP")*(Income!A$3:A$502=DATE(2026,6,26)),ROW(Income!A$3:A$502)-2),3)),"")&lt;&gt;"",IFERROR(INDEX(Income!B$3:B$502,SMALL(IF((Income!D$3:D$502="GBP")*(Income!A$3:A$502=DATE(2026,6,26)),ROW(Income!A$3:A$502)-2),3)),""),""))</f>
        <v/>
      </c>
      <c r="M131" s="152">
        <f t="array" ref="M131">IF(IFERROR(-INDEX(Expenses!D$3:D$999,SMALL(IF((Expenses!E$3:E$999="GBP")*(Expenses!A$3:A$999=DATE(2026,6,27)),ROW(Expenses!A$3:A$999)-2),3)),0)+IFERROR(INDEX(Income!C$3:C$502,SMALL(IF((Income!D$3:D$502="GBP")*(Income!A$3:A$502=DATE(2026,6,27)),ROW(Income!A$3:A$502)-2),3)),0)=0,"",IFERROR(-INDEX(Expenses!D$3:D$999,SMALL(IF((Expenses!E$3:E$999="GBP")*(Expenses!A$3:A$999=DATE(2026,6,27)),ROW(Expenses!A$3:A$999)-2),3)),0)+IFERROR(INDEX(Income!C$3:C$502,SMALL(IF((Income!D$3:D$502="GBP")*(Income!A$3:A$502=DATE(2026,6,27)),ROW(Income!A$3:A$502)-2),3)),0))</f>
        <v/>
      </c>
      <c r="N131" s="126">
        <f t="array" ref="N131">IF(IFERROR(INDEX(Expenses!B$3:B$999,SMALL(IF((Expenses!E$3:E$999="GBP")*(Expenses!A$3:A$999=DATE(2026,6,27)),ROW(Expenses!A$3:A$999)-2),3)),"")&lt;&gt;"",IFERROR(INDEX(Expenses!B$3:B$999,SMALL(IF((Expenses!E$3:E$999="GBP")*(Expenses!A$3:A$999=DATE(2026,6,27)),ROW(Expenses!A$3:A$999)-2),3)),""),IF(IFERROR(INDEX(Income!B$3:B$502,SMALL(IF((Income!D$3:D$502="GBP")*(Income!A$3:A$502=DATE(2026,6,27)),ROW(Income!A$3:A$502)-2),3)),"")&lt;&gt;"",IFERROR(INDEX(Income!B$3:B$502,SMALL(IF((Income!D$3:D$502="GBP")*(Income!A$3:A$502=DATE(2026,6,27)),ROW(Income!A$3:A$502)-2),3)),""),""))</f>
        <v/>
      </c>
      <c r="O131" s="152">
        <f t="array" ref="O131">IF(IFERROR(-INDEX(Expenses!D$3:D$999,SMALL(IF((Expenses!E$3:E$999="GBP")*(Expenses!A$3:A$999=DATE(2026,6,28)),ROW(Expenses!A$3:A$999)-2),3)),0)+IFERROR(INDEX(Income!C$3:C$502,SMALL(IF((Income!D$3:D$502="GBP")*(Income!A$3:A$502=DATE(2026,6,28)),ROW(Income!A$3:A$502)-2),3)),0)=0,"",IFERROR(-INDEX(Expenses!D$3:D$999,SMALL(IF((Expenses!E$3:E$999="GBP")*(Expenses!A$3:A$999=DATE(2026,6,28)),ROW(Expenses!A$3:A$999)-2),3)),0)+IFERROR(INDEX(Income!C$3:C$502,SMALL(IF((Income!D$3:D$502="GBP")*(Income!A$3:A$502=DATE(2026,6,28)),ROW(Income!A$3:A$502)-2),3)),0))</f>
        <v/>
      </c>
      <c r="P131" s="126">
        <f t="array" ref="P131">IF(IFERROR(INDEX(Expenses!B$3:B$999,SMALL(IF((Expenses!E$3:E$999="GBP")*(Expenses!A$3:A$999=DATE(2026,6,28)),ROW(Expenses!A$3:A$999)-2),3)),"")&lt;&gt;"",IFERROR(INDEX(Expenses!B$3:B$999,SMALL(IF((Expenses!E$3:E$999="GBP")*(Expenses!A$3:A$999=DATE(2026,6,28)),ROW(Expenses!A$3:A$999)-2),3)),""),IF(IFERROR(INDEX(Income!B$3:B$502,SMALL(IF((Income!D$3:D$502="GBP")*(Income!A$3:A$502=DATE(2026,6,28)),ROW(Income!A$3:A$502)-2),3)),"")&lt;&gt;"",IFERROR(INDEX(Income!B$3:B$502,SMALL(IF((Income!D$3:D$502="GBP")*(Income!A$3:A$502=DATE(2026,6,28)),ROW(Income!A$3:A$502)-2),3)),""),""))</f>
        <v/>
      </c>
      <c r="Q131" s="9" t="n"/>
      <c r="R131" s="9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68">
      <c r="A132" s="9" t="n"/>
      <c r="B132" s="9" t="n"/>
      <c r="C132" s="152">
        <f t="array" ref="C132">IF(IFERROR(-INDEX(Expenses!D$3:D$999,SMALL(IF((Expenses!E$3:E$999="GBP")*(Expenses!A$3:A$999=DATE(2026,6,22)),ROW(Expenses!A$3:A$999)-2),4)),0)+IFERROR(INDEX(Income!C$3:C$502,SMALL(IF((Income!D$3:D$502="GBP")*(Income!A$3:A$502=DATE(2026,6,22)),ROW(Income!A$3:A$502)-2),4)),0)=0,"",IFERROR(-INDEX(Expenses!D$3:D$999,SMALL(IF((Expenses!E$3:E$999="GBP")*(Expenses!A$3:A$999=DATE(2026,6,22)),ROW(Expenses!A$3:A$999)-2),4)),0)+IFERROR(INDEX(Income!C$3:C$502,SMALL(IF((Income!D$3:D$502="GBP")*(Income!A$3:A$502=DATE(2026,6,22)),ROW(Income!A$3:A$502)-2),4)),0))</f>
        <v/>
      </c>
      <c r="D132" s="126">
        <f t="array" ref="D132">IF(IFERROR(INDEX(Expenses!B$3:B$999,SMALL(IF((Expenses!E$3:E$999="GBP")*(Expenses!A$3:A$999=DATE(2026,6,22)),ROW(Expenses!A$3:A$999)-2),4)),"")&lt;&gt;"",IFERROR(INDEX(Expenses!B$3:B$999,SMALL(IF((Expenses!E$3:E$999="GBP")*(Expenses!A$3:A$999=DATE(2026,6,22)),ROW(Expenses!A$3:A$999)-2),4)),""),IF(IFERROR(INDEX(Income!B$3:B$502,SMALL(IF((Income!D$3:D$502="GBP")*(Income!A$3:A$502=DATE(2026,6,22)),ROW(Income!A$3:A$502)-2),4)),"")&lt;&gt;"",IFERROR(INDEX(Income!B$3:B$502,SMALL(IF((Income!D$3:D$502="GBP")*(Income!A$3:A$502=DATE(2026,6,22)),ROW(Income!A$3:A$502)-2),4)),""),""))</f>
        <v/>
      </c>
      <c r="E132" s="152">
        <f t="array" ref="E132">IF(IFERROR(-INDEX(Expenses!D$3:D$999,SMALL(IF((Expenses!E$3:E$999="GBP")*(Expenses!A$3:A$999=DATE(2026,6,23)),ROW(Expenses!A$3:A$999)-2),4)),0)+IFERROR(INDEX(Income!C$3:C$502,SMALL(IF((Income!D$3:D$502="GBP")*(Income!A$3:A$502=DATE(2026,6,23)),ROW(Income!A$3:A$502)-2),4)),0)=0,"",IFERROR(-INDEX(Expenses!D$3:D$999,SMALL(IF((Expenses!E$3:E$999="GBP")*(Expenses!A$3:A$999=DATE(2026,6,23)),ROW(Expenses!A$3:A$999)-2),4)),0)+IFERROR(INDEX(Income!C$3:C$502,SMALL(IF((Income!D$3:D$502="GBP")*(Income!A$3:A$502=DATE(2026,6,23)),ROW(Income!A$3:A$502)-2),4)),0))</f>
        <v/>
      </c>
      <c r="F132" s="126">
        <f t="array" ref="F132">IF(IFERROR(INDEX(Expenses!B$3:B$999,SMALL(IF((Expenses!E$3:E$999="GBP")*(Expenses!A$3:A$999=DATE(2026,6,23)),ROW(Expenses!A$3:A$999)-2),4)),"")&lt;&gt;"",IFERROR(INDEX(Expenses!B$3:B$999,SMALL(IF((Expenses!E$3:E$999="GBP")*(Expenses!A$3:A$999=DATE(2026,6,23)),ROW(Expenses!A$3:A$999)-2),4)),""),IF(IFERROR(INDEX(Income!B$3:B$502,SMALL(IF((Income!D$3:D$502="GBP")*(Income!A$3:A$502=DATE(2026,6,23)),ROW(Income!A$3:A$502)-2),4)),"")&lt;&gt;"",IFERROR(INDEX(Income!B$3:B$502,SMALL(IF((Income!D$3:D$502="GBP")*(Income!A$3:A$502=DATE(2026,6,23)),ROW(Income!A$3:A$502)-2),4)),""),""))</f>
        <v/>
      </c>
      <c r="G132" s="152">
        <f t="array" ref="G132">IF(IFERROR(-INDEX(Expenses!D$3:D$999,SMALL(IF((Expenses!E$3:E$999="GBP")*(Expenses!A$3:A$999=DATE(2026,6,24)),ROW(Expenses!A$3:A$999)-2),4)),0)+IFERROR(INDEX(Income!C$3:C$502,SMALL(IF((Income!D$3:D$502="GBP")*(Income!A$3:A$502=DATE(2026,6,24)),ROW(Income!A$3:A$502)-2),4)),0)=0,"",IFERROR(-INDEX(Expenses!D$3:D$999,SMALL(IF((Expenses!E$3:E$999="GBP")*(Expenses!A$3:A$999=DATE(2026,6,24)),ROW(Expenses!A$3:A$999)-2),4)),0)+IFERROR(INDEX(Income!C$3:C$502,SMALL(IF((Income!D$3:D$502="GBP")*(Income!A$3:A$502=DATE(2026,6,24)),ROW(Income!A$3:A$502)-2),4)),0))</f>
        <v/>
      </c>
      <c r="H132" s="126">
        <f t="array" ref="H132">IF(IFERROR(INDEX(Expenses!B$3:B$999,SMALL(IF((Expenses!E$3:E$999="GBP")*(Expenses!A$3:A$999=DATE(2026,6,24)),ROW(Expenses!A$3:A$999)-2),4)),"")&lt;&gt;"",IFERROR(INDEX(Expenses!B$3:B$999,SMALL(IF((Expenses!E$3:E$999="GBP")*(Expenses!A$3:A$999=DATE(2026,6,24)),ROW(Expenses!A$3:A$999)-2),4)),""),IF(IFERROR(INDEX(Income!B$3:B$502,SMALL(IF((Income!D$3:D$502="GBP")*(Income!A$3:A$502=DATE(2026,6,24)),ROW(Income!A$3:A$502)-2),4)),"")&lt;&gt;"",IFERROR(INDEX(Income!B$3:B$502,SMALL(IF((Income!D$3:D$502="GBP")*(Income!A$3:A$502=DATE(2026,6,24)),ROW(Income!A$3:A$502)-2),4)),""),""))</f>
        <v/>
      </c>
      <c r="I132" s="152">
        <f t="array" ref="I132">IF(IFERROR(-INDEX(Expenses!D$3:D$999,SMALL(IF((Expenses!E$3:E$999="GBP")*(Expenses!A$3:A$999=DATE(2026,6,25)),ROW(Expenses!A$3:A$999)-2),4)),0)+IFERROR(INDEX(Income!C$3:C$502,SMALL(IF((Income!D$3:D$502="GBP")*(Income!A$3:A$502=DATE(2026,6,25)),ROW(Income!A$3:A$502)-2),4)),0)=0,"",IFERROR(-INDEX(Expenses!D$3:D$999,SMALL(IF((Expenses!E$3:E$999="GBP")*(Expenses!A$3:A$999=DATE(2026,6,25)),ROW(Expenses!A$3:A$999)-2),4)),0)+IFERROR(INDEX(Income!C$3:C$502,SMALL(IF((Income!D$3:D$502="GBP")*(Income!A$3:A$502=DATE(2026,6,25)),ROW(Income!A$3:A$502)-2),4)),0))</f>
        <v/>
      </c>
      <c r="J132" s="126">
        <f t="array" ref="J132">IF(IFERROR(INDEX(Expenses!B$3:B$999,SMALL(IF((Expenses!E$3:E$999="GBP")*(Expenses!A$3:A$999=DATE(2026,6,25)),ROW(Expenses!A$3:A$999)-2),4)),"")&lt;&gt;"",IFERROR(INDEX(Expenses!B$3:B$999,SMALL(IF((Expenses!E$3:E$999="GBP")*(Expenses!A$3:A$999=DATE(2026,6,25)),ROW(Expenses!A$3:A$999)-2),4)),""),IF(IFERROR(INDEX(Income!B$3:B$502,SMALL(IF((Income!D$3:D$502="GBP")*(Income!A$3:A$502=DATE(2026,6,25)),ROW(Income!A$3:A$502)-2),4)),"")&lt;&gt;"",IFERROR(INDEX(Income!B$3:B$502,SMALL(IF((Income!D$3:D$502="GBP")*(Income!A$3:A$502=DATE(2026,6,25)),ROW(Income!A$3:A$502)-2),4)),""),""))</f>
        <v/>
      </c>
      <c r="K132" s="152">
        <f t="array" ref="K132">IF(IFERROR(-INDEX(Expenses!D$3:D$999,SMALL(IF((Expenses!E$3:E$999="GBP")*(Expenses!A$3:A$999=DATE(2026,6,26)),ROW(Expenses!A$3:A$999)-2),4)),0)+IFERROR(INDEX(Income!C$3:C$502,SMALL(IF((Income!D$3:D$502="GBP")*(Income!A$3:A$502=DATE(2026,6,26)),ROW(Income!A$3:A$502)-2),4)),0)=0,"",IFERROR(-INDEX(Expenses!D$3:D$999,SMALL(IF((Expenses!E$3:E$999="GBP")*(Expenses!A$3:A$999=DATE(2026,6,26)),ROW(Expenses!A$3:A$999)-2),4)),0)+IFERROR(INDEX(Income!C$3:C$502,SMALL(IF((Income!D$3:D$502="GBP")*(Income!A$3:A$502=DATE(2026,6,26)),ROW(Income!A$3:A$502)-2),4)),0))</f>
        <v/>
      </c>
      <c r="L132" s="126">
        <f t="array" ref="L132">IF(IFERROR(INDEX(Expenses!B$3:B$999,SMALL(IF((Expenses!E$3:E$999="GBP")*(Expenses!A$3:A$999=DATE(2026,6,26)),ROW(Expenses!A$3:A$999)-2),4)),"")&lt;&gt;"",IFERROR(INDEX(Expenses!B$3:B$999,SMALL(IF((Expenses!E$3:E$999="GBP")*(Expenses!A$3:A$999=DATE(2026,6,26)),ROW(Expenses!A$3:A$999)-2),4)),""),IF(IFERROR(INDEX(Income!B$3:B$502,SMALL(IF((Income!D$3:D$502="GBP")*(Income!A$3:A$502=DATE(2026,6,26)),ROW(Income!A$3:A$502)-2),4)),"")&lt;&gt;"",IFERROR(INDEX(Income!B$3:B$502,SMALL(IF((Income!D$3:D$502="GBP")*(Income!A$3:A$502=DATE(2026,6,26)),ROW(Income!A$3:A$502)-2),4)),""),""))</f>
        <v/>
      </c>
      <c r="M132" s="152">
        <f t="array" ref="M132">IF(IFERROR(-INDEX(Expenses!D$3:D$999,SMALL(IF((Expenses!E$3:E$999="GBP")*(Expenses!A$3:A$999=DATE(2026,6,27)),ROW(Expenses!A$3:A$999)-2),4)),0)+IFERROR(INDEX(Income!C$3:C$502,SMALL(IF((Income!D$3:D$502="GBP")*(Income!A$3:A$502=DATE(2026,6,27)),ROW(Income!A$3:A$502)-2),4)),0)=0,"",IFERROR(-INDEX(Expenses!D$3:D$999,SMALL(IF((Expenses!E$3:E$999="GBP")*(Expenses!A$3:A$999=DATE(2026,6,27)),ROW(Expenses!A$3:A$999)-2),4)),0)+IFERROR(INDEX(Income!C$3:C$502,SMALL(IF((Income!D$3:D$502="GBP")*(Income!A$3:A$502=DATE(2026,6,27)),ROW(Income!A$3:A$502)-2),4)),0))</f>
        <v/>
      </c>
      <c r="N132" s="126">
        <f t="array" ref="N132">IF(IFERROR(INDEX(Expenses!B$3:B$999,SMALL(IF((Expenses!E$3:E$999="GBP")*(Expenses!A$3:A$999=DATE(2026,6,27)),ROW(Expenses!A$3:A$999)-2),4)),"")&lt;&gt;"",IFERROR(INDEX(Expenses!B$3:B$999,SMALL(IF((Expenses!E$3:E$999="GBP")*(Expenses!A$3:A$999=DATE(2026,6,27)),ROW(Expenses!A$3:A$999)-2),4)),""),IF(IFERROR(INDEX(Income!B$3:B$502,SMALL(IF((Income!D$3:D$502="GBP")*(Income!A$3:A$502=DATE(2026,6,27)),ROW(Income!A$3:A$502)-2),4)),"")&lt;&gt;"",IFERROR(INDEX(Income!B$3:B$502,SMALL(IF((Income!D$3:D$502="GBP")*(Income!A$3:A$502=DATE(2026,6,27)),ROW(Income!A$3:A$502)-2),4)),""),""))</f>
        <v/>
      </c>
      <c r="O132" s="152">
        <f t="array" ref="O132">IF(IFERROR(-INDEX(Expenses!D$3:D$999,SMALL(IF((Expenses!E$3:E$999="GBP")*(Expenses!A$3:A$999=DATE(2026,6,28)),ROW(Expenses!A$3:A$999)-2),4)),0)+IFERROR(INDEX(Income!C$3:C$502,SMALL(IF((Income!D$3:D$502="GBP")*(Income!A$3:A$502=DATE(2026,6,28)),ROW(Income!A$3:A$502)-2),4)),0)=0,"",IFERROR(-INDEX(Expenses!D$3:D$999,SMALL(IF((Expenses!E$3:E$999="GBP")*(Expenses!A$3:A$999=DATE(2026,6,28)),ROW(Expenses!A$3:A$999)-2),4)),0)+IFERROR(INDEX(Income!C$3:C$502,SMALL(IF((Income!D$3:D$502="GBP")*(Income!A$3:A$502=DATE(2026,6,28)),ROW(Income!A$3:A$502)-2),4)),0))</f>
        <v/>
      </c>
      <c r="P132" s="126">
        <f t="array" ref="P132">IF(IFERROR(INDEX(Expenses!B$3:B$999,SMALL(IF((Expenses!E$3:E$999="GBP")*(Expenses!A$3:A$999=DATE(2026,6,28)),ROW(Expenses!A$3:A$999)-2),4)),"")&lt;&gt;"",IFERROR(INDEX(Expenses!B$3:B$999,SMALL(IF((Expenses!E$3:E$999="GBP")*(Expenses!A$3:A$999=DATE(2026,6,28)),ROW(Expenses!A$3:A$999)-2),4)),""),IF(IFERROR(INDEX(Income!B$3:B$502,SMALL(IF((Income!D$3:D$502="GBP")*(Income!A$3:A$502=DATE(2026,6,28)),ROW(Income!A$3:A$502)-2),4)),"")&lt;&gt;"",IFERROR(INDEX(Income!B$3:B$502,SMALL(IF((Income!D$3:D$502="GBP")*(Income!A$3:A$502=DATE(2026,6,28)),ROW(Income!A$3:A$502)-2),4)),""),""))</f>
        <v/>
      </c>
      <c r="Q132" s="9" t="n"/>
      <c r="R132" s="9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68">
      <c r="A133" s="9" t="n"/>
      <c r="B133" s="9" t="n"/>
      <c r="C133" s="152">
        <f t="array" ref="C133">IF(IFERROR(-INDEX(Expenses!D$3:D$999,SMALL(IF((Expenses!E$3:E$999="GBP")*(Expenses!A$3:A$999=DATE(2026,6,22)),ROW(Expenses!A$3:A$999)-2),5)),0)+IFERROR(INDEX(Income!C$3:C$502,SMALL(IF((Income!D$3:D$502="GBP")*(Income!A$3:A$502=DATE(2026,6,22)),ROW(Income!A$3:A$502)-2),5)),0)=0,"",IFERROR(-INDEX(Expenses!D$3:D$999,SMALL(IF((Expenses!E$3:E$999="GBP")*(Expenses!A$3:A$999=DATE(2026,6,22)),ROW(Expenses!A$3:A$999)-2),5)),0)+IFERROR(INDEX(Income!C$3:C$502,SMALL(IF((Income!D$3:D$502="GBP")*(Income!A$3:A$502=DATE(2026,6,22)),ROW(Income!A$3:A$502)-2),5)),0))</f>
        <v/>
      </c>
      <c r="D133" s="126">
        <f t="array" ref="D133">IF(IFERROR(INDEX(Expenses!B$3:B$999,SMALL(IF((Expenses!E$3:E$999="GBP")*(Expenses!A$3:A$999=DATE(2026,6,22)),ROW(Expenses!A$3:A$999)-2),5)),"")&lt;&gt;"",IFERROR(INDEX(Expenses!B$3:B$999,SMALL(IF((Expenses!E$3:E$999="GBP")*(Expenses!A$3:A$999=DATE(2026,6,22)),ROW(Expenses!A$3:A$999)-2),5)),""),IF(IFERROR(INDEX(Income!B$3:B$502,SMALL(IF((Income!D$3:D$502="GBP")*(Income!A$3:A$502=DATE(2026,6,22)),ROW(Income!A$3:A$502)-2),5)),"")&lt;&gt;"",IFERROR(INDEX(Income!B$3:B$502,SMALL(IF((Income!D$3:D$502="GBP")*(Income!A$3:A$502=DATE(2026,6,22)),ROW(Income!A$3:A$502)-2),5)),""),""))</f>
        <v/>
      </c>
      <c r="E133" s="152">
        <f t="array" ref="E133">IF(IFERROR(-INDEX(Expenses!D$3:D$999,SMALL(IF((Expenses!E$3:E$999="GBP")*(Expenses!A$3:A$999=DATE(2026,6,23)),ROW(Expenses!A$3:A$999)-2),5)),0)+IFERROR(INDEX(Income!C$3:C$502,SMALL(IF((Income!D$3:D$502="GBP")*(Income!A$3:A$502=DATE(2026,6,23)),ROW(Income!A$3:A$502)-2),5)),0)=0,"",IFERROR(-INDEX(Expenses!D$3:D$999,SMALL(IF((Expenses!E$3:E$999="GBP")*(Expenses!A$3:A$999=DATE(2026,6,23)),ROW(Expenses!A$3:A$999)-2),5)),0)+IFERROR(INDEX(Income!C$3:C$502,SMALL(IF((Income!D$3:D$502="GBP")*(Income!A$3:A$502=DATE(2026,6,23)),ROW(Income!A$3:A$502)-2),5)),0))</f>
        <v/>
      </c>
      <c r="F133" s="126">
        <f t="array" ref="F133">IF(IFERROR(INDEX(Expenses!B$3:B$999,SMALL(IF((Expenses!E$3:E$999="GBP")*(Expenses!A$3:A$999=DATE(2026,6,23)),ROW(Expenses!A$3:A$999)-2),5)),"")&lt;&gt;"",IFERROR(INDEX(Expenses!B$3:B$999,SMALL(IF((Expenses!E$3:E$999="GBP")*(Expenses!A$3:A$999=DATE(2026,6,23)),ROW(Expenses!A$3:A$999)-2),5)),""),IF(IFERROR(INDEX(Income!B$3:B$502,SMALL(IF((Income!D$3:D$502="GBP")*(Income!A$3:A$502=DATE(2026,6,23)),ROW(Income!A$3:A$502)-2),5)),"")&lt;&gt;"",IFERROR(INDEX(Income!B$3:B$502,SMALL(IF((Income!D$3:D$502="GBP")*(Income!A$3:A$502=DATE(2026,6,23)),ROW(Income!A$3:A$502)-2),5)),""),""))</f>
        <v/>
      </c>
      <c r="G133" s="152">
        <f t="array" ref="G133">IF(IFERROR(-INDEX(Expenses!D$3:D$999,SMALL(IF((Expenses!E$3:E$999="GBP")*(Expenses!A$3:A$999=DATE(2026,6,24)),ROW(Expenses!A$3:A$999)-2),5)),0)+IFERROR(INDEX(Income!C$3:C$502,SMALL(IF((Income!D$3:D$502="GBP")*(Income!A$3:A$502=DATE(2026,6,24)),ROW(Income!A$3:A$502)-2),5)),0)=0,"",IFERROR(-INDEX(Expenses!D$3:D$999,SMALL(IF((Expenses!E$3:E$999="GBP")*(Expenses!A$3:A$999=DATE(2026,6,24)),ROW(Expenses!A$3:A$999)-2),5)),0)+IFERROR(INDEX(Income!C$3:C$502,SMALL(IF((Income!D$3:D$502="GBP")*(Income!A$3:A$502=DATE(2026,6,24)),ROW(Income!A$3:A$502)-2),5)),0))</f>
        <v/>
      </c>
      <c r="H133" s="126">
        <f t="array" ref="H133">IF(IFERROR(INDEX(Expenses!B$3:B$999,SMALL(IF((Expenses!E$3:E$999="GBP")*(Expenses!A$3:A$999=DATE(2026,6,24)),ROW(Expenses!A$3:A$999)-2),5)),"")&lt;&gt;"",IFERROR(INDEX(Expenses!B$3:B$999,SMALL(IF((Expenses!E$3:E$999="GBP")*(Expenses!A$3:A$999=DATE(2026,6,24)),ROW(Expenses!A$3:A$999)-2),5)),""),IF(IFERROR(INDEX(Income!B$3:B$502,SMALL(IF((Income!D$3:D$502="GBP")*(Income!A$3:A$502=DATE(2026,6,24)),ROW(Income!A$3:A$502)-2),5)),"")&lt;&gt;"",IFERROR(INDEX(Income!B$3:B$502,SMALL(IF((Income!D$3:D$502="GBP")*(Income!A$3:A$502=DATE(2026,6,24)),ROW(Income!A$3:A$502)-2),5)),""),""))</f>
        <v/>
      </c>
      <c r="I133" s="152">
        <f t="array" ref="I133">IF(IFERROR(-INDEX(Expenses!D$3:D$999,SMALL(IF((Expenses!E$3:E$999="GBP")*(Expenses!A$3:A$999=DATE(2026,6,25)),ROW(Expenses!A$3:A$999)-2),5)),0)+IFERROR(INDEX(Income!C$3:C$502,SMALL(IF((Income!D$3:D$502="GBP")*(Income!A$3:A$502=DATE(2026,6,25)),ROW(Income!A$3:A$502)-2),5)),0)=0,"",IFERROR(-INDEX(Expenses!D$3:D$999,SMALL(IF((Expenses!E$3:E$999="GBP")*(Expenses!A$3:A$999=DATE(2026,6,25)),ROW(Expenses!A$3:A$999)-2),5)),0)+IFERROR(INDEX(Income!C$3:C$502,SMALL(IF((Income!D$3:D$502="GBP")*(Income!A$3:A$502=DATE(2026,6,25)),ROW(Income!A$3:A$502)-2),5)),0))</f>
        <v/>
      </c>
      <c r="J133" s="126">
        <f t="array" ref="J133">IF(IFERROR(INDEX(Expenses!B$3:B$999,SMALL(IF((Expenses!E$3:E$999="GBP")*(Expenses!A$3:A$999=DATE(2026,6,25)),ROW(Expenses!A$3:A$999)-2),5)),"")&lt;&gt;"",IFERROR(INDEX(Expenses!B$3:B$999,SMALL(IF((Expenses!E$3:E$999="GBP")*(Expenses!A$3:A$999=DATE(2026,6,25)),ROW(Expenses!A$3:A$999)-2),5)),""),IF(IFERROR(INDEX(Income!B$3:B$502,SMALL(IF((Income!D$3:D$502="GBP")*(Income!A$3:A$502=DATE(2026,6,25)),ROW(Income!A$3:A$502)-2),5)),"")&lt;&gt;"",IFERROR(INDEX(Income!B$3:B$502,SMALL(IF((Income!D$3:D$502="GBP")*(Income!A$3:A$502=DATE(2026,6,25)),ROW(Income!A$3:A$502)-2),5)),""),""))</f>
        <v/>
      </c>
      <c r="K133" s="152">
        <f t="array" ref="K133">IF(IFERROR(-INDEX(Expenses!D$3:D$999,SMALL(IF((Expenses!E$3:E$999="GBP")*(Expenses!A$3:A$999=DATE(2026,6,26)),ROW(Expenses!A$3:A$999)-2),5)),0)+IFERROR(INDEX(Income!C$3:C$502,SMALL(IF((Income!D$3:D$502="GBP")*(Income!A$3:A$502=DATE(2026,6,26)),ROW(Income!A$3:A$502)-2),5)),0)=0,"",IFERROR(-INDEX(Expenses!D$3:D$999,SMALL(IF((Expenses!E$3:E$999="GBP")*(Expenses!A$3:A$999=DATE(2026,6,26)),ROW(Expenses!A$3:A$999)-2),5)),0)+IFERROR(INDEX(Income!C$3:C$502,SMALL(IF((Income!D$3:D$502="GBP")*(Income!A$3:A$502=DATE(2026,6,26)),ROW(Income!A$3:A$502)-2),5)),0))</f>
        <v/>
      </c>
      <c r="L133" s="126">
        <f t="array" ref="L133">IF(IFERROR(INDEX(Expenses!B$3:B$999,SMALL(IF((Expenses!E$3:E$999="GBP")*(Expenses!A$3:A$999=DATE(2026,6,26)),ROW(Expenses!A$3:A$999)-2),5)),"")&lt;&gt;"",IFERROR(INDEX(Expenses!B$3:B$999,SMALL(IF((Expenses!E$3:E$999="GBP")*(Expenses!A$3:A$999=DATE(2026,6,26)),ROW(Expenses!A$3:A$999)-2),5)),""),IF(IFERROR(INDEX(Income!B$3:B$502,SMALL(IF((Income!D$3:D$502="GBP")*(Income!A$3:A$502=DATE(2026,6,26)),ROW(Income!A$3:A$502)-2),5)),"")&lt;&gt;"",IFERROR(INDEX(Income!B$3:B$502,SMALL(IF((Income!D$3:D$502="GBP")*(Income!A$3:A$502=DATE(2026,6,26)),ROW(Income!A$3:A$502)-2),5)),""),""))</f>
        <v/>
      </c>
      <c r="M133" s="152">
        <f t="array" ref="M133">IF(IFERROR(-INDEX(Expenses!D$3:D$999,SMALL(IF((Expenses!E$3:E$999="GBP")*(Expenses!A$3:A$999=DATE(2026,6,27)),ROW(Expenses!A$3:A$999)-2),5)),0)+IFERROR(INDEX(Income!C$3:C$502,SMALL(IF((Income!D$3:D$502="GBP")*(Income!A$3:A$502=DATE(2026,6,27)),ROW(Income!A$3:A$502)-2),5)),0)=0,"",IFERROR(-INDEX(Expenses!D$3:D$999,SMALL(IF((Expenses!E$3:E$999="GBP")*(Expenses!A$3:A$999=DATE(2026,6,27)),ROW(Expenses!A$3:A$999)-2),5)),0)+IFERROR(INDEX(Income!C$3:C$502,SMALL(IF((Income!D$3:D$502="GBP")*(Income!A$3:A$502=DATE(2026,6,27)),ROW(Income!A$3:A$502)-2),5)),0))</f>
        <v/>
      </c>
      <c r="N133" s="126">
        <f t="array" ref="N133">IF(IFERROR(INDEX(Expenses!B$3:B$999,SMALL(IF((Expenses!E$3:E$999="GBP")*(Expenses!A$3:A$999=DATE(2026,6,27)),ROW(Expenses!A$3:A$999)-2),5)),"")&lt;&gt;"",IFERROR(INDEX(Expenses!B$3:B$999,SMALL(IF((Expenses!E$3:E$999="GBP")*(Expenses!A$3:A$999=DATE(2026,6,27)),ROW(Expenses!A$3:A$999)-2),5)),""),IF(IFERROR(INDEX(Income!B$3:B$502,SMALL(IF((Income!D$3:D$502="GBP")*(Income!A$3:A$502=DATE(2026,6,27)),ROW(Income!A$3:A$502)-2),5)),"")&lt;&gt;"",IFERROR(INDEX(Income!B$3:B$502,SMALL(IF((Income!D$3:D$502="GBP")*(Income!A$3:A$502=DATE(2026,6,27)),ROW(Income!A$3:A$502)-2),5)),""),""))</f>
        <v/>
      </c>
      <c r="O133" s="152">
        <f t="array" ref="O133">IF(IFERROR(-INDEX(Expenses!D$3:D$999,SMALL(IF((Expenses!E$3:E$999="GBP")*(Expenses!A$3:A$999=DATE(2026,6,28)),ROW(Expenses!A$3:A$999)-2),5)),0)+IFERROR(INDEX(Income!C$3:C$502,SMALL(IF((Income!D$3:D$502="GBP")*(Income!A$3:A$502=DATE(2026,6,28)),ROW(Income!A$3:A$502)-2),5)),0)=0,"",IFERROR(-INDEX(Expenses!D$3:D$999,SMALL(IF((Expenses!E$3:E$999="GBP")*(Expenses!A$3:A$999=DATE(2026,6,28)),ROW(Expenses!A$3:A$999)-2),5)),0)+IFERROR(INDEX(Income!C$3:C$502,SMALL(IF((Income!D$3:D$502="GBP")*(Income!A$3:A$502=DATE(2026,6,28)),ROW(Income!A$3:A$502)-2),5)),0))</f>
        <v/>
      </c>
      <c r="P133" s="126">
        <f t="array" ref="P133">IF(IFERROR(INDEX(Expenses!B$3:B$999,SMALL(IF((Expenses!E$3:E$999="GBP")*(Expenses!A$3:A$999=DATE(2026,6,28)),ROW(Expenses!A$3:A$999)-2),5)),"")&lt;&gt;"",IFERROR(INDEX(Expenses!B$3:B$999,SMALL(IF((Expenses!E$3:E$999="GBP")*(Expenses!A$3:A$999=DATE(2026,6,28)),ROW(Expenses!A$3:A$999)-2),5)),""),IF(IFERROR(INDEX(Income!B$3:B$502,SMALL(IF((Income!D$3:D$502="GBP")*(Income!A$3:A$502=DATE(2026,6,28)),ROW(Income!A$3:A$502)-2),5)),"")&lt;&gt;"",IFERROR(INDEX(Income!B$3:B$502,SMALL(IF((Income!D$3:D$502="GBP")*(Income!A$3:A$502=DATE(2026,6,28)),ROW(Income!A$3:A$502)-2),5)),""),""))</f>
        <v/>
      </c>
      <c r="Q133" s="9" t="n"/>
      <c r="R133" s="9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68">
      <c r="A134" s="151" t="n">
        <v>46202</v>
      </c>
      <c r="B134" s="103" t="n">
        <v>27</v>
      </c>
      <c r="C134" s="152">
        <f t="array" ref="C134">IF(IFERROR(-INDEX(Expenses!D$3:D$999,SMALL(IF((Expenses!E$3:E$999="GBP")*(Expenses!A$3:A$999=DATE(2026,6,29)),ROW(Expenses!A$3:A$999)-2),1)),0)+IFERROR(INDEX(Income!C$3:C$502,SMALL(IF((Income!D$3:D$502="GBP")*(Income!A$3:A$502=DATE(2026,6,29)),ROW(Income!A$3:A$502)-2),1)),0)=0,"",IFERROR(-INDEX(Expenses!D$3:D$999,SMALL(IF((Expenses!E$3:E$999="GBP")*(Expenses!A$3:A$999=DATE(2026,6,29)),ROW(Expenses!A$3:A$999)-2),1)),0)+IFERROR(INDEX(Income!C$3:C$502,SMALL(IF((Income!D$3:D$502="GBP")*(Income!A$3:A$502=DATE(2026,6,29)),ROW(Income!A$3:A$502)-2),1)),0))</f>
        <v/>
      </c>
      <c r="D134" s="126">
        <f t="array" ref="D134">IF(IFERROR(INDEX(Expenses!B$3:B$999,SMALL(IF((Expenses!E$3:E$999="GBP")*(Expenses!A$3:A$999=DATE(2026,6,29)),ROW(Expenses!A$3:A$999)-2),1)),"")&lt;&gt;"",IFERROR(INDEX(Expenses!B$3:B$999,SMALL(IF((Expenses!E$3:E$999="GBP")*(Expenses!A$3:A$999=DATE(2026,6,29)),ROW(Expenses!A$3:A$999)-2),1)),""),IF(IFERROR(INDEX(Income!B$3:B$502,SMALL(IF((Income!D$3:D$502="GBP")*(Income!A$3:A$502=DATE(2026,6,29)),ROW(Income!A$3:A$502)-2),1)),"")&lt;&gt;"",IFERROR(INDEX(Income!B$3:B$502,SMALL(IF((Income!D$3:D$502="GBP")*(Income!A$3:A$502=DATE(2026,6,29)),ROW(Income!A$3:A$502)-2),1)),""),""))</f>
        <v/>
      </c>
      <c r="E134" s="152">
        <f t="array" ref="E134">IF(IFERROR(-INDEX(Expenses!D$3:D$999,SMALL(IF((Expenses!E$3:E$999="GBP")*(Expenses!A$3:A$999=DATE(2026,6,30)),ROW(Expenses!A$3:A$999)-2),1)),0)+IFERROR(INDEX(Income!C$3:C$502,SMALL(IF((Income!D$3:D$502="GBP")*(Income!A$3:A$502=DATE(2026,6,30)),ROW(Income!A$3:A$502)-2),1)),0)=0,"",IFERROR(-INDEX(Expenses!D$3:D$999,SMALL(IF((Expenses!E$3:E$999="GBP")*(Expenses!A$3:A$999=DATE(2026,6,30)),ROW(Expenses!A$3:A$999)-2),1)),0)+IFERROR(INDEX(Income!C$3:C$502,SMALL(IF((Income!D$3:D$502="GBP")*(Income!A$3:A$502=DATE(2026,6,30)),ROW(Income!A$3:A$502)-2),1)),0))</f>
        <v/>
      </c>
      <c r="F134" s="126">
        <f t="array" ref="F134">IF(IFERROR(INDEX(Expenses!B$3:B$999,SMALL(IF((Expenses!E$3:E$999="GBP")*(Expenses!A$3:A$999=DATE(2026,6,30)),ROW(Expenses!A$3:A$999)-2),1)),"")&lt;&gt;"",IFERROR(INDEX(Expenses!B$3:B$999,SMALL(IF((Expenses!E$3:E$999="GBP")*(Expenses!A$3:A$999=DATE(2026,6,30)),ROW(Expenses!A$3:A$999)-2),1)),""),IF(IFERROR(INDEX(Income!B$3:B$502,SMALL(IF((Income!D$3:D$502="GBP")*(Income!A$3:A$502=DATE(2026,6,30)),ROW(Income!A$3:A$502)-2),1)),"")&lt;&gt;"",IFERROR(INDEX(Income!B$3:B$502,SMALL(IF((Income!D$3:D$502="GBP")*(Income!A$3:A$502=DATE(2026,6,30)),ROW(Income!A$3:A$502)-2),1)),""),""))</f>
        <v/>
      </c>
      <c r="G134" s="152">
        <f t="array" ref="G134">IF(IFERROR(-INDEX(Expenses!D$3:D$999,SMALL(IF((Expenses!E$3:E$999="GBP")*(Expenses!A$3:A$999=DATE(2026,7,1)),ROW(Expenses!A$3:A$999)-2),1)),0)+IFERROR(INDEX(Income!C$3:C$502,SMALL(IF((Income!D$3:D$502="GBP")*(Income!A$3:A$502=DATE(2026,7,1)),ROW(Income!A$3:A$502)-2),1)),0)=0,"",IFERROR(-INDEX(Expenses!D$3:D$999,SMALL(IF((Expenses!E$3:E$999="GBP")*(Expenses!A$3:A$999=DATE(2026,7,1)),ROW(Expenses!A$3:A$999)-2),1)),0)+IFERROR(INDEX(Income!C$3:C$502,SMALL(IF((Income!D$3:D$502="GBP")*(Income!A$3:A$502=DATE(2026,7,1)),ROW(Income!A$3:A$502)-2),1)),0))</f>
        <v/>
      </c>
      <c r="H134" s="126">
        <f t="array" ref="H134">IF(IFERROR(INDEX(Expenses!B$3:B$999,SMALL(IF((Expenses!E$3:E$999="GBP")*(Expenses!A$3:A$999=DATE(2026,7,1)),ROW(Expenses!A$3:A$999)-2),1)),"")&lt;&gt;"",IFERROR(INDEX(Expenses!B$3:B$999,SMALL(IF((Expenses!E$3:E$999="GBP")*(Expenses!A$3:A$999=DATE(2026,7,1)),ROW(Expenses!A$3:A$999)-2),1)),""),IF(IFERROR(INDEX(Income!B$3:B$502,SMALL(IF((Income!D$3:D$502="GBP")*(Income!A$3:A$502=DATE(2026,7,1)),ROW(Income!A$3:A$502)-2),1)),"")&lt;&gt;"",IFERROR(INDEX(Income!B$3:B$502,SMALL(IF((Income!D$3:D$502="GBP")*(Income!A$3:A$502=DATE(2026,7,1)),ROW(Income!A$3:A$502)-2),1)),""),""))</f>
        <v/>
      </c>
      <c r="I134" s="152">
        <f t="array" ref="I134">IF(IFERROR(-INDEX(Expenses!D$3:D$999,SMALL(IF((Expenses!E$3:E$999="GBP")*(Expenses!A$3:A$999=DATE(2026,7,2)),ROW(Expenses!A$3:A$999)-2),1)),0)+IFERROR(INDEX(Income!C$3:C$502,SMALL(IF((Income!D$3:D$502="GBP")*(Income!A$3:A$502=DATE(2026,7,2)),ROW(Income!A$3:A$502)-2),1)),0)=0,"",IFERROR(-INDEX(Expenses!D$3:D$999,SMALL(IF((Expenses!E$3:E$999="GBP")*(Expenses!A$3:A$999=DATE(2026,7,2)),ROW(Expenses!A$3:A$999)-2),1)),0)+IFERROR(INDEX(Income!C$3:C$502,SMALL(IF((Income!D$3:D$502="GBP")*(Income!A$3:A$502=DATE(2026,7,2)),ROW(Income!A$3:A$502)-2),1)),0))</f>
        <v/>
      </c>
      <c r="J134" s="126">
        <f t="array" ref="J134">IF(IFERROR(INDEX(Expenses!B$3:B$999,SMALL(IF((Expenses!E$3:E$999="GBP")*(Expenses!A$3:A$999=DATE(2026,7,2)),ROW(Expenses!A$3:A$999)-2),1)),"")&lt;&gt;"",IFERROR(INDEX(Expenses!B$3:B$999,SMALL(IF((Expenses!E$3:E$999="GBP")*(Expenses!A$3:A$999=DATE(2026,7,2)),ROW(Expenses!A$3:A$999)-2),1)),""),IF(IFERROR(INDEX(Income!B$3:B$502,SMALL(IF((Income!D$3:D$502="GBP")*(Income!A$3:A$502=DATE(2026,7,2)),ROW(Income!A$3:A$502)-2),1)),"")&lt;&gt;"",IFERROR(INDEX(Income!B$3:B$502,SMALL(IF((Income!D$3:D$502="GBP")*(Income!A$3:A$502=DATE(2026,7,2)),ROW(Income!A$3:A$502)-2),1)),""),""))</f>
        <v/>
      </c>
      <c r="K134" s="152">
        <f t="array" ref="K134">IF(IFERROR(-INDEX(Expenses!D$3:D$999,SMALL(IF((Expenses!E$3:E$999="GBP")*(Expenses!A$3:A$999=DATE(2026,7,3)),ROW(Expenses!A$3:A$999)-2),1)),0)+IFERROR(INDEX(Income!C$3:C$502,SMALL(IF((Income!D$3:D$502="GBP")*(Income!A$3:A$502=DATE(2026,7,3)),ROW(Income!A$3:A$502)-2),1)),0)=0,"",IFERROR(-INDEX(Expenses!D$3:D$999,SMALL(IF((Expenses!E$3:E$999="GBP")*(Expenses!A$3:A$999=DATE(2026,7,3)),ROW(Expenses!A$3:A$999)-2),1)),0)+IFERROR(INDEX(Income!C$3:C$502,SMALL(IF((Income!D$3:D$502="GBP")*(Income!A$3:A$502=DATE(2026,7,3)),ROW(Income!A$3:A$502)-2),1)),0))</f>
        <v/>
      </c>
      <c r="L134" s="126">
        <f t="array" ref="L134">IF(IFERROR(INDEX(Expenses!B$3:B$999,SMALL(IF((Expenses!E$3:E$999="GBP")*(Expenses!A$3:A$999=DATE(2026,7,3)),ROW(Expenses!A$3:A$999)-2),1)),"")&lt;&gt;"",IFERROR(INDEX(Expenses!B$3:B$999,SMALL(IF((Expenses!E$3:E$999="GBP")*(Expenses!A$3:A$999=DATE(2026,7,3)),ROW(Expenses!A$3:A$999)-2),1)),""),IF(IFERROR(INDEX(Income!B$3:B$502,SMALL(IF((Income!D$3:D$502="GBP")*(Income!A$3:A$502=DATE(2026,7,3)),ROW(Income!A$3:A$502)-2),1)),"")&lt;&gt;"",IFERROR(INDEX(Income!B$3:B$502,SMALL(IF((Income!D$3:D$502="GBP")*(Income!A$3:A$502=DATE(2026,7,3)),ROW(Income!A$3:A$502)-2),1)),""),""))</f>
        <v/>
      </c>
      <c r="M134" s="152">
        <f t="array" ref="M134">IF(IFERROR(-INDEX(Expenses!D$3:D$999,SMALL(IF((Expenses!E$3:E$999="GBP")*(Expenses!A$3:A$999=DATE(2026,7,4)),ROW(Expenses!A$3:A$999)-2),1)),0)+IFERROR(INDEX(Income!C$3:C$502,SMALL(IF((Income!D$3:D$502="GBP")*(Income!A$3:A$502=DATE(2026,7,4)),ROW(Income!A$3:A$502)-2),1)),0)=0,"",IFERROR(-INDEX(Expenses!D$3:D$999,SMALL(IF((Expenses!E$3:E$999="GBP")*(Expenses!A$3:A$999=DATE(2026,7,4)),ROW(Expenses!A$3:A$999)-2),1)),0)+IFERROR(INDEX(Income!C$3:C$502,SMALL(IF((Income!D$3:D$502="GBP")*(Income!A$3:A$502=DATE(2026,7,4)),ROW(Income!A$3:A$502)-2),1)),0))</f>
        <v/>
      </c>
      <c r="N134" s="126">
        <f t="array" ref="N134">IF(IFERROR(INDEX(Expenses!B$3:B$999,SMALL(IF((Expenses!E$3:E$999="GBP")*(Expenses!A$3:A$999=DATE(2026,7,4)),ROW(Expenses!A$3:A$999)-2),1)),"")&lt;&gt;"",IFERROR(INDEX(Expenses!B$3:B$999,SMALL(IF((Expenses!E$3:E$999="GBP")*(Expenses!A$3:A$999=DATE(2026,7,4)),ROW(Expenses!A$3:A$999)-2),1)),""),IF(IFERROR(INDEX(Income!B$3:B$502,SMALL(IF((Income!D$3:D$502="GBP")*(Income!A$3:A$502=DATE(2026,7,4)),ROW(Income!A$3:A$502)-2),1)),"")&lt;&gt;"",IFERROR(INDEX(Income!B$3:B$502,SMALL(IF((Income!D$3:D$502="GBP")*(Income!A$3:A$502=DATE(2026,7,4)),ROW(Income!A$3:A$502)-2),1)),""),""))</f>
        <v/>
      </c>
      <c r="O134" s="152">
        <f t="array" ref="O134">IF(IFERROR(-INDEX(Expenses!D$3:D$999,SMALL(IF((Expenses!E$3:E$999="GBP")*(Expenses!A$3:A$999=DATE(2026,7,5)),ROW(Expenses!A$3:A$999)-2),1)),0)+IFERROR(INDEX(Income!C$3:C$502,SMALL(IF((Income!D$3:D$502="GBP")*(Income!A$3:A$502=DATE(2026,7,5)),ROW(Income!A$3:A$502)-2),1)),0)=0,"",IFERROR(-INDEX(Expenses!D$3:D$999,SMALL(IF((Expenses!E$3:E$999="GBP")*(Expenses!A$3:A$999=DATE(2026,7,5)),ROW(Expenses!A$3:A$999)-2),1)),0)+IFERROR(INDEX(Income!C$3:C$502,SMALL(IF((Income!D$3:D$502="GBP")*(Income!A$3:A$502=DATE(2026,7,5)),ROW(Income!A$3:A$502)-2),1)),0))</f>
        <v/>
      </c>
      <c r="P134" s="126">
        <f t="array" ref="P134">IF(IFERROR(INDEX(Expenses!B$3:B$999,SMALL(IF((Expenses!E$3:E$999="GBP")*(Expenses!A$3:A$999=DATE(2026,7,5)),ROW(Expenses!A$3:A$999)-2),1)),"")&lt;&gt;"",IFERROR(INDEX(Expenses!B$3:B$999,SMALL(IF((Expenses!E$3:E$999="GBP")*(Expenses!A$3:A$999=DATE(2026,7,5)),ROW(Expenses!A$3:A$999)-2),1)),""),IF(IFERROR(INDEX(Income!B$3:B$502,SMALL(IF((Income!D$3:D$502="GBP")*(Income!A$3:A$502=DATE(2026,7,5)),ROW(Income!A$3:A$502)-2),1)),"")&lt;&gt;"",IFERROR(INDEX(Income!B$3:B$502,SMALL(IF((Income!D$3:D$502="GBP")*(Income!A$3:A$502=DATE(2026,7,5)),ROW(Income!A$3:A$502)-2),1)),""),""))</f>
        <v/>
      </c>
      <c r="Q134" s="103" t="n">
        <v>27</v>
      </c>
      <c r="R134" s="134">
        <f>SUM(C134:C138)+SUM(E134:E138)+SUM(G134:G138)+SUM(I134:I138)+SUM(K134:K138)+SUM(M134:M138)+SUM(O134:O138)</f>
        <v/>
      </c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68">
      <c r="A135" s="9" t="n"/>
      <c r="B135" s="9" t="n"/>
      <c r="C135" s="152">
        <f t="array" ref="C135">IF(IFERROR(-INDEX(Expenses!D$3:D$999,SMALL(IF((Expenses!E$3:E$999="GBP")*(Expenses!A$3:A$999=DATE(2026,6,29)),ROW(Expenses!A$3:A$999)-2),2)),0)+IFERROR(INDEX(Income!C$3:C$502,SMALL(IF((Income!D$3:D$502="GBP")*(Income!A$3:A$502=DATE(2026,6,29)),ROW(Income!A$3:A$502)-2),2)),0)=0,"",IFERROR(-INDEX(Expenses!D$3:D$999,SMALL(IF((Expenses!E$3:E$999="GBP")*(Expenses!A$3:A$999=DATE(2026,6,29)),ROW(Expenses!A$3:A$999)-2),2)),0)+IFERROR(INDEX(Income!C$3:C$502,SMALL(IF((Income!D$3:D$502="GBP")*(Income!A$3:A$502=DATE(2026,6,29)),ROW(Income!A$3:A$502)-2),2)),0))</f>
        <v/>
      </c>
      <c r="D135" s="126">
        <f t="array" ref="D135">IF(IFERROR(INDEX(Expenses!B$3:B$999,SMALL(IF((Expenses!E$3:E$999="GBP")*(Expenses!A$3:A$999=DATE(2026,6,29)),ROW(Expenses!A$3:A$999)-2),2)),"")&lt;&gt;"",IFERROR(INDEX(Expenses!B$3:B$999,SMALL(IF((Expenses!E$3:E$999="GBP")*(Expenses!A$3:A$999=DATE(2026,6,29)),ROW(Expenses!A$3:A$999)-2),2)),""),IF(IFERROR(INDEX(Income!B$3:B$502,SMALL(IF((Income!D$3:D$502="GBP")*(Income!A$3:A$502=DATE(2026,6,29)),ROW(Income!A$3:A$502)-2),2)),"")&lt;&gt;"",IFERROR(INDEX(Income!B$3:B$502,SMALL(IF((Income!D$3:D$502="GBP")*(Income!A$3:A$502=DATE(2026,6,29)),ROW(Income!A$3:A$502)-2),2)),""),""))</f>
        <v/>
      </c>
      <c r="E135" s="152">
        <f t="array" ref="E135">IF(IFERROR(-INDEX(Expenses!D$3:D$999,SMALL(IF((Expenses!E$3:E$999="GBP")*(Expenses!A$3:A$999=DATE(2026,6,30)),ROW(Expenses!A$3:A$999)-2),2)),0)+IFERROR(INDEX(Income!C$3:C$502,SMALL(IF((Income!D$3:D$502="GBP")*(Income!A$3:A$502=DATE(2026,6,30)),ROW(Income!A$3:A$502)-2),2)),0)=0,"",IFERROR(-INDEX(Expenses!D$3:D$999,SMALL(IF((Expenses!E$3:E$999="GBP")*(Expenses!A$3:A$999=DATE(2026,6,30)),ROW(Expenses!A$3:A$999)-2),2)),0)+IFERROR(INDEX(Income!C$3:C$502,SMALL(IF((Income!D$3:D$502="GBP")*(Income!A$3:A$502=DATE(2026,6,30)),ROW(Income!A$3:A$502)-2),2)),0))</f>
        <v/>
      </c>
      <c r="F135" s="126">
        <f t="array" ref="F135">IF(IFERROR(INDEX(Expenses!B$3:B$999,SMALL(IF((Expenses!E$3:E$999="GBP")*(Expenses!A$3:A$999=DATE(2026,6,30)),ROW(Expenses!A$3:A$999)-2),2)),"")&lt;&gt;"",IFERROR(INDEX(Expenses!B$3:B$999,SMALL(IF((Expenses!E$3:E$999="GBP")*(Expenses!A$3:A$999=DATE(2026,6,30)),ROW(Expenses!A$3:A$999)-2),2)),""),IF(IFERROR(INDEX(Income!B$3:B$502,SMALL(IF((Income!D$3:D$502="GBP")*(Income!A$3:A$502=DATE(2026,6,30)),ROW(Income!A$3:A$502)-2),2)),"")&lt;&gt;"",IFERROR(INDEX(Income!B$3:B$502,SMALL(IF((Income!D$3:D$502="GBP")*(Income!A$3:A$502=DATE(2026,6,30)),ROW(Income!A$3:A$502)-2),2)),""),""))</f>
        <v/>
      </c>
      <c r="G135" s="152">
        <f t="array" ref="G135">IF(IFERROR(-INDEX(Expenses!D$3:D$999,SMALL(IF((Expenses!E$3:E$999="GBP")*(Expenses!A$3:A$999=DATE(2026,7,1)),ROW(Expenses!A$3:A$999)-2),2)),0)+IFERROR(INDEX(Income!C$3:C$502,SMALL(IF((Income!D$3:D$502="GBP")*(Income!A$3:A$502=DATE(2026,7,1)),ROW(Income!A$3:A$502)-2),2)),0)=0,"",IFERROR(-INDEX(Expenses!D$3:D$999,SMALL(IF((Expenses!E$3:E$999="GBP")*(Expenses!A$3:A$999=DATE(2026,7,1)),ROW(Expenses!A$3:A$999)-2),2)),0)+IFERROR(INDEX(Income!C$3:C$502,SMALL(IF((Income!D$3:D$502="GBP")*(Income!A$3:A$502=DATE(2026,7,1)),ROW(Income!A$3:A$502)-2),2)),0))</f>
        <v/>
      </c>
      <c r="H135" s="126">
        <f t="array" ref="H135">IF(IFERROR(INDEX(Expenses!B$3:B$999,SMALL(IF((Expenses!E$3:E$999="GBP")*(Expenses!A$3:A$999=DATE(2026,7,1)),ROW(Expenses!A$3:A$999)-2),2)),"")&lt;&gt;"",IFERROR(INDEX(Expenses!B$3:B$999,SMALL(IF((Expenses!E$3:E$999="GBP")*(Expenses!A$3:A$999=DATE(2026,7,1)),ROW(Expenses!A$3:A$999)-2),2)),""),IF(IFERROR(INDEX(Income!B$3:B$502,SMALL(IF((Income!D$3:D$502="GBP")*(Income!A$3:A$502=DATE(2026,7,1)),ROW(Income!A$3:A$502)-2),2)),"")&lt;&gt;"",IFERROR(INDEX(Income!B$3:B$502,SMALL(IF((Income!D$3:D$502="GBP")*(Income!A$3:A$502=DATE(2026,7,1)),ROW(Income!A$3:A$502)-2),2)),""),""))</f>
        <v/>
      </c>
      <c r="I135" s="152">
        <f t="array" ref="I135">IF(IFERROR(-INDEX(Expenses!D$3:D$999,SMALL(IF((Expenses!E$3:E$999="GBP")*(Expenses!A$3:A$999=DATE(2026,7,2)),ROW(Expenses!A$3:A$999)-2),2)),0)+IFERROR(INDEX(Income!C$3:C$502,SMALL(IF((Income!D$3:D$502="GBP")*(Income!A$3:A$502=DATE(2026,7,2)),ROW(Income!A$3:A$502)-2),2)),0)=0,"",IFERROR(-INDEX(Expenses!D$3:D$999,SMALL(IF((Expenses!E$3:E$999="GBP")*(Expenses!A$3:A$999=DATE(2026,7,2)),ROW(Expenses!A$3:A$999)-2),2)),0)+IFERROR(INDEX(Income!C$3:C$502,SMALL(IF((Income!D$3:D$502="GBP")*(Income!A$3:A$502=DATE(2026,7,2)),ROW(Income!A$3:A$502)-2),2)),0))</f>
        <v/>
      </c>
      <c r="J135" s="126">
        <f t="array" ref="J135">IF(IFERROR(INDEX(Expenses!B$3:B$999,SMALL(IF((Expenses!E$3:E$999="GBP")*(Expenses!A$3:A$999=DATE(2026,7,2)),ROW(Expenses!A$3:A$999)-2),2)),"")&lt;&gt;"",IFERROR(INDEX(Expenses!B$3:B$999,SMALL(IF((Expenses!E$3:E$999="GBP")*(Expenses!A$3:A$999=DATE(2026,7,2)),ROW(Expenses!A$3:A$999)-2),2)),""),IF(IFERROR(INDEX(Income!B$3:B$502,SMALL(IF((Income!D$3:D$502="GBP")*(Income!A$3:A$502=DATE(2026,7,2)),ROW(Income!A$3:A$502)-2),2)),"")&lt;&gt;"",IFERROR(INDEX(Income!B$3:B$502,SMALL(IF((Income!D$3:D$502="GBP")*(Income!A$3:A$502=DATE(2026,7,2)),ROW(Income!A$3:A$502)-2),2)),""),""))</f>
        <v/>
      </c>
      <c r="K135" s="152">
        <f t="array" ref="K135">IF(IFERROR(-INDEX(Expenses!D$3:D$999,SMALL(IF((Expenses!E$3:E$999="GBP")*(Expenses!A$3:A$999=DATE(2026,7,3)),ROW(Expenses!A$3:A$999)-2),2)),0)+IFERROR(INDEX(Income!C$3:C$502,SMALL(IF((Income!D$3:D$502="GBP")*(Income!A$3:A$502=DATE(2026,7,3)),ROW(Income!A$3:A$502)-2),2)),0)=0,"",IFERROR(-INDEX(Expenses!D$3:D$999,SMALL(IF((Expenses!E$3:E$999="GBP")*(Expenses!A$3:A$999=DATE(2026,7,3)),ROW(Expenses!A$3:A$999)-2),2)),0)+IFERROR(INDEX(Income!C$3:C$502,SMALL(IF((Income!D$3:D$502="GBP")*(Income!A$3:A$502=DATE(2026,7,3)),ROW(Income!A$3:A$502)-2),2)),0))</f>
        <v/>
      </c>
      <c r="L135" s="126">
        <f t="array" ref="L135">IF(IFERROR(INDEX(Expenses!B$3:B$999,SMALL(IF((Expenses!E$3:E$999="GBP")*(Expenses!A$3:A$999=DATE(2026,7,3)),ROW(Expenses!A$3:A$999)-2),2)),"")&lt;&gt;"",IFERROR(INDEX(Expenses!B$3:B$999,SMALL(IF((Expenses!E$3:E$999="GBP")*(Expenses!A$3:A$999=DATE(2026,7,3)),ROW(Expenses!A$3:A$999)-2),2)),""),IF(IFERROR(INDEX(Income!B$3:B$502,SMALL(IF((Income!D$3:D$502="GBP")*(Income!A$3:A$502=DATE(2026,7,3)),ROW(Income!A$3:A$502)-2),2)),"")&lt;&gt;"",IFERROR(INDEX(Income!B$3:B$502,SMALL(IF((Income!D$3:D$502="GBP")*(Income!A$3:A$502=DATE(2026,7,3)),ROW(Income!A$3:A$502)-2),2)),""),""))</f>
        <v/>
      </c>
      <c r="M135" s="152">
        <f t="array" ref="M135">IF(IFERROR(-INDEX(Expenses!D$3:D$999,SMALL(IF((Expenses!E$3:E$999="GBP")*(Expenses!A$3:A$999=DATE(2026,7,4)),ROW(Expenses!A$3:A$999)-2),2)),0)+IFERROR(INDEX(Income!C$3:C$502,SMALL(IF((Income!D$3:D$502="GBP")*(Income!A$3:A$502=DATE(2026,7,4)),ROW(Income!A$3:A$502)-2),2)),0)=0,"",IFERROR(-INDEX(Expenses!D$3:D$999,SMALL(IF((Expenses!E$3:E$999="GBP")*(Expenses!A$3:A$999=DATE(2026,7,4)),ROW(Expenses!A$3:A$999)-2),2)),0)+IFERROR(INDEX(Income!C$3:C$502,SMALL(IF((Income!D$3:D$502="GBP")*(Income!A$3:A$502=DATE(2026,7,4)),ROW(Income!A$3:A$502)-2),2)),0))</f>
        <v/>
      </c>
      <c r="N135" s="126">
        <f t="array" ref="N135">IF(IFERROR(INDEX(Expenses!B$3:B$999,SMALL(IF((Expenses!E$3:E$999="GBP")*(Expenses!A$3:A$999=DATE(2026,7,4)),ROW(Expenses!A$3:A$999)-2),2)),"")&lt;&gt;"",IFERROR(INDEX(Expenses!B$3:B$999,SMALL(IF((Expenses!E$3:E$999="GBP")*(Expenses!A$3:A$999=DATE(2026,7,4)),ROW(Expenses!A$3:A$999)-2),2)),""),IF(IFERROR(INDEX(Income!B$3:B$502,SMALL(IF((Income!D$3:D$502="GBP")*(Income!A$3:A$502=DATE(2026,7,4)),ROW(Income!A$3:A$502)-2),2)),"")&lt;&gt;"",IFERROR(INDEX(Income!B$3:B$502,SMALL(IF((Income!D$3:D$502="GBP")*(Income!A$3:A$502=DATE(2026,7,4)),ROW(Income!A$3:A$502)-2),2)),""),""))</f>
        <v/>
      </c>
      <c r="O135" s="152">
        <f t="array" ref="O135">IF(IFERROR(-INDEX(Expenses!D$3:D$999,SMALL(IF((Expenses!E$3:E$999="GBP")*(Expenses!A$3:A$999=DATE(2026,7,5)),ROW(Expenses!A$3:A$999)-2),2)),0)+IFERROR(INDEX(Income!C$3:C$502,SMALL(IF((Income!D$3:D$502="GBP")*(Income!A$3:A$502=DATE(2026,7,5)),ROW(Income!A$3:A$502)-2),2)),0)=0,"",IFERROR(-INDEX(Expenses!D$3:D$999,SMALL(IF((Expenses!E$3:E$999="GBP")*(Expenses!A$3:A$999=DATE(2026,7,5)),ROW(Expenses!A$3:A$999)-2),2)),0)+IFERROR(INDEX(Income!C$3:C$502,SMALL(IF((Income!D$3:D$502="GBP")*(Income!A$3:A$502=DATE(2026,7,5)),ROW(Income!A$3:A$502)-2),2)),0))</f>
        <v/>
      </c>
      <c r="P135" s="126">
        <f t="array" ref="P135">IF(IFERROR(INDEX(Expenses!B$3:B$999,SMALL(IF((Expenses!E$3:E$999="GBP")*(Expenses!A$3:A$999=DATE(2026,7,5)),ROW(Expenses!A$3:A$999)-2),2)),"")&lt;&gt;"",IFERROR(INDEX(Expenses!B$3:B$999,SMALL(IF((Expenses!E$3:E$999="GBP")*(Expenses!A$3:A$999=DATE(2026,7,5)),ROW(Expenses!A$3:A$999)-2),2)),""),IF(IFERROR(INDEX(Income!B$3:B$502,SMALL(IF((Income!D$3:D$502="GBP")*(Income!A$3:A$502=DATE(2026,7,5)),ROW(Income!A$3:A$502)-2),2)),"")&lt;&gt;"",IFERROR(INDEX(Income!B$3:B$502,SMALL(IF((Income!D$3:D$502="GBP")*(Income!A$3:A$502=DATE(2026,7,5)),ROW(Income!A$3:A$502)-2),2)),""),""))</f>
        <v/>
      </c>
      <c r="Q135" s="9" t="n"/>
      <c r="R135" s="9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68">
      <c r="A136" s="9" t="n"/>
      <c r="B136" s="9" t="n"/>
      <c r="C136" s="152">
        <f t="array" ref="C136">IF(IFERROR(-INDEX(Expenses!D$3:D$999,SMALL(IF((Expenses!E$3:E$999="GBP")*(Expenses!A$3:A$999=DATE(2026,6,29)),ROW(Expenses!A$3:A$999)-2),3)),0)+IFERROR(INDEX(Income!C$3:C$502,SMALL(IF((Income!D$3:D$502="GBP")*(Income!A$3:A$502=DATE(2026,6,29)),ROW(Income!A$3:A$502)-2),3)),0)=0,"",IFERROR(-INDEX(Expenses!D$3:D$999,SMALL(IF((Expenses!E$3:E$999="GBP")*(Expenses!A$3:A$999=DATE(2026,6,29)),ROW(Expenses!A$3:A$999)-2),3)),0)+IFERROR(INDEX(Income!C$3:C$502,SMALL(IF((Income!D$3:D$502="GBP")*(Income!A$3:A$502=DATE(2026,6,29)),ROW(Income!A$3:A$502)-2),3)),0))</f>
        <v/>
      </c>
      <c r="D136" s="126">
        <f t="array" ref="D136">IF(IFERROR(INDEX(Expenses!B$3:B$999,SMALL(IF((Expenses!E$3:E$999="GBP")*(Expenses!A$3:A$999=DATE(2026,6,29)),ROW(Expenses!A$3:A$999)-2),3)),"")&lt;&gt;"",IFERROR(INDEX(Expenses!B$3:B$999,SMALL(IF((Expenses!E$3:E$999="GBP")*(Expenses!A$3:A$999=DATE(2026,6,29)),ROW(Expenses!A$3:A$999)-2),3)),""),IF(IFERROR(INDEX(Income!B$3:B$502,SMALL(IF((Income!D$3:D$502="GBP")*(Income!A$3:A$502=DATE(2026,6,29)),ROW(Income!A$3:A$502)-2),3)),"")&lt;&gt;"",IFERROR(INDEX(Income!B$3:B$502,SMALL(IF((Income!D$3:D$502="GBP")*(Income!A$3:A$502=DATE(2026,6,29)),ROW(Income!A$3:A$502)-2),3)),""),""))</f>
        <v/>
      </c>
      <c r="E136" s="152">
        <f t="array" ref="E136">IF(IFERROR(-INDEX(Expenses!D$3:D$999,SMALL(IF((Expenses!E$3:E$999="GBP")*(Expenses!A$3:A$999=DATE(2026,6,30)),ROW(Expenses!A$3:A$999)-2),3)),0)+IFERROR(INDEX(Income!C$3:C$502,SMALL(IF((Income!D$3:D$502="GBP")*(Income!A$3:A$502=DATE(2026,6,30)),ROW(Income!A$3:A$502)-2),3)),0)=0,"",IFERROR(-INDEX(Expenses!D$3:D$999,SMALL(IF((Expenses!E$3:E$999="GBP")*(Expenses!A$3:A$999=DATE(2026,6,30)),ROW(Expenses!A$3:A$999)-2),3)),0)+IFERROR(INDEX(Income!C$3:C$502,SMALL(IF((Income!D$3:D$502="GBP")*(Income!A$3:A$502=DATE(2026,6,30)),ROW(Income!A$3:A$502)-2),3)),0))</f>
        <v/>
      </c>
      <c r="F136" s="126">
        <f t="array" ref="F136">IF(IFERROR(INDEX(Expenses!B$3:B$999,SMALL(IF((Expenses!E$3:E$999="GBP")*(Expenses!A$3:A$999=DATE(2026,6,30)),ROW(Expenses!A$3:A$999)-2),3)),"")&lt;&gt;"",IFERROR(INDEX(Expenses!B$3:B$999,SMALL(IF((Expenses!E$3:E$999="GBP")*(Expenses!A$3:A$999=DATE(2026,6,30)),ROW(Expenses!A$3:A$999)-2),3)),""),IF(IFERROR(INDEX(Income!B$3:B$502,SMALL(IF((Income!D$3:D$502="GBP")*(Income!A$3:A$502=DATE(2026,6,30)),ROW(Income!A$3:A$502)-2),3)),"")&lt;&gt;"",IFERROR(INDEX(Income!B$3:B$502,SMALL(IF((Income!D$3:D$502="GBP")*(Income!A$3:A$502=DATE(2026,6,30)),ROW(Income!A$3:A$502)-2),3)),""),""))</f>
        <v/>
      </c>
      <c r="G136" s="152">
        <f t="array" ref="G136">IF(IFERROR(-INDEX(Expenses!D$3:D$999,SMALL(IF((Expenses!E$3:E$999="GBP")*(Expenses!A$3:A$999=DATE(2026,7,1)),ROW(Expenses!A$3:A$999)-2),3)),0)+IFERROR(INDEX(Income!C$3:C$502,SMALL(IF((Income!D$3:D$502="GBP")*(Income!A$3:A$502=DATE(2026,7,1)),ROW(Income!A$3:A$502)-2),3)),0)=0,"",IFERROR(-INDEX(Expenses!D$3:D$999,SMALL(IF((Expenses!E$3:E$999="GBP")*(Expenses!A$3:A$999=DATE(2026,7,1)),ROW(Expenses!A$3:A$999)-2),3)),0)+IFERROR(INDEX(Income!C$3:C$502,SMALL(IF((Income!D$3:D$502="GBP")*(Income!A$3:A$502=DATE(2026,7,1)),ROW(Income!A$3:A$502)-2),3)),0))</f>
        <v/>
      </c>
      <c r="H136" s="126">
        <f t="array" ref="H136">IF(IFERROR(INDEX(Expenses!B$3:B$999,SMALL(IF((Expenses!E$3:E$999="GBP")*(Expenses!A$3:A$999=DATE(2026,7,1)),ROW(Expenses!A$3:A$999)-2),3)),"")&lt;&gt;"",IFERROR(INDEX(Expenses!B$3:B$999,SMALL(IF((Expenses!E$3:E$999="GBP")*(Expenses!A$3:A$999=DATE(2026,7,1)),ROW(Expenses!A$3:A$999)-2),3)),""),IF(IFERROR(INDEX(Income!B$3:B$502,SMALL(IF((Income!D$3:D$502="GBP")*(Income!A$3:A$502=DATE(2026,7,1)),ROW(Income!A$3:A$502)-2),3)),"")&lt;&gt;"",IFERROR(INDEX(Income!B$3:B$502,SMALL(IF((Income!D$3:D$502="GBP")*(Income!A$3:A$502=DATE(2026,7,1)),ROW(Income!A$3:A$502)-2),3)),""),""))</f>
        <v/>
      </c>
      <c r="I136" s="152">
        <f t="array" ref="I136">IF(IFERROR(-INDEX(Expenses!D$3:D$999,SMALL(IF((Expenses!E$3:E$999="GBP")*(Expenses!A$3:A$999=DATE(2026,7,2)),ROW(Expenses!A$3:A$999)-2),3)),0)+IFERROR(INDEX(Income!C$3:C$502,SMALL(IF((Income!D$3:D$502="GBP")*(Income!A$3:A$502=DATE(2026,7,2)),ROW(Income!A$3:A$502)-2),3)),0)=0,"",IFERROR(-INDEX(Expenses!D$3:D$999,SMALL(IF((Expenses!E$3:E$999="GBP")*(Expenses!A$3:A$999=DATE(2026,7,2)),ROW(Expenses!A$3:A$999)-2),3)),0)+IFERROR(INDEX(Income!C$3:C$502,SMALL(IF((Income!D$3:D$502="GBP")*(Income!A$3:A$502=DATE(2026,7,2)),ROW(Income!A$3:A$502)-2),3)),0))</f>
        <v/>
      </c>
      <c r="J136" s="126">
        <f t="array" ref="J136">IF(IFERROR(INDEX(Expenses!B$3:B$999,SMALL(IF((Expenses!E$3:E$999="GBP")*(Expenses!A$3:A$999=DATE(2026,7,2)),ROW(Expenses!A$3:A$999)-2),3)),"")&lt;&gt;"",IFERROR(INDEX(Expenses!B$3:B$999,SMALL(IF((Expenses!E$3:E$999="GBP")*(Expenses!A$3:A$999=DATE(2026,7,2)),ROW(Expenses!A$3:A$999)-2),3)),""),IF(IFERROR(INDEX(Income!B$3:B$502,SMALL(IF((Income!D$3:D$502="GBP")*(Income!A$3:A$502=DATE(2026,7,2)),ROW(Income!A$3:A$502)-2),3)),"")&lt;&gt;"",IFERROR(INDEX(Income!B$3:B$502,SMALL(IF((Income!D$3:D$502="GBP")*(Income!A$3:A$502=DATE(2026,7,2)),ROW(Income!A$3:A$502)-2),3)),""),""))</f>
        <v/>
      </c>
      <c r="K136" s="152">
        <f t="array" ref="K136">IF(IFERROR(-INDEX(Expenses!D$3:D$999,SMALL(IF((Expenses!E$3:E$999="GBP")*(Expenses!A$3:A$999=DATE(2026,7,3)),ROW(Expenses!A$3:A$999)-2),3)),0)+IFERROR(INDEX(Income!C$3:C$502,SMALL(IF((Income!D$3:D$502="GBP")*(Income!A$3:A$502=DATE(2026,7,3)),ROW(Income!A$3:A$502)-2),3)),0)=0,"",IFERROR(-INDEX(Expenses!D$3:D$999,SMALL(IF((Expenses!E$3:E$999="GBP")*(Expenses!A$3:A$999=DATE(2026,7,3)),ROW(Expenses!A$3:A$999)-2),3)),0)+IFERROR(INDEX(Income!C$3:C$502,SMALL(IF((Income!D$3:D$502="GBP")*(Income!A$3:A$502=DATE(2026,7,3)),ROW(Income!A$3:A$502)-2),3)),0))</f>
        <v/>
      </c>
      <c r="L136" s="126">
        <f t="array" ref="L136">IF(IFERROR(INDEX(Expenses!B$3:B$999,SMALL(IF((Expenses!E$3:E$999="GBP")*(Expenses!A$3:A$999=DATE(2026,7,3)),ROW(Expenses!A$3:A$999)-2),3)),"")&lt;&gt;"",IFERROR(INDEX(Expenses!B$3:B$999,SMALL(IF((Expenses!E$3:E$999="GBP")*(Expenses!A$3:A$999=DATE(2026,7,3)),ROW(Expenses!A$3:A$999)-2),3)),""),IF(IFERROR(INDEX(Income!B$3:B$502,SMALL(IF((Income!D$3:D$502="GBP")*(Income!A$3:A$502=DATE(2026,7,3)),ROW(Income!A$3:A$502)-2),3)),"")&lt;&gt;"",IFERROR(INDEX(Income!B$3:B$502,SMALL(IF((Income!D$3:D$502="GBP")*(Income!A$3:A$502=DATE(2026,7,3)),ROW(Income!A$3:A$502)-2),3)),""),""))</f>
        <v/>
      </c>
      <c r="M136" s="152">
        <f t="array" ref="M136">IF(IFERROR(-INDEX(Expenses!D$3:D$999,SMALL(IF((Expenses!E$3:E$999="GBP")*(Expenses!A$3:A$999=DATE(2026,7,4)),ROW(Expenses!A$3:A$999)-2),3)),0)+IFERROR(INDEX(Income!C$3:C$502,SMALL(IF((Income!D$3:D$502="GBP")*(Income!A$3:A$502=DATE(2026,7,4)),ROW(Income!A$3:A$502)-2),3)),0)=0,"",IFERROR(-INDEX(Expenses!D$3:D$999,SMALL(IF((Expenses!E$3:E$999="GBP")*(Expenses!A$3:A$999=DATE(2026,7,4)),ROW(Expenses!A$3:A$999)-2),3)),0)+IFERROR(INDEX(Income!C$3:C$502,SMALL(IF((Income!D$3:D$502="GBP")*(Income!A$3:A$502=DATE(2026,7,4)),ROW(Income!A$3:A$502)-2),3)),0))</f>
        <v/>
      </c>
      <c r="N136" s="126">
        <f t="array" ref="N136">IF(IFERROR(INDEX(Expenses!B$3:B$999,SMALL(IF((Expenses!E$3:E$999="GBP")*(Expenses!A$3:A$999=DATE(2026,7,4)),ROW(Expenses!A$3:A$999)-2),3)),"")&lt;&gt;"",IFERROR(INDEX(Expenses!B$3:B$999,SMALL(IF((Expenses!E$3:E$999="GBP")*(Expenses!A$3:A$999=DATE(2026,7,4)),ROW(Expenses!A$3:A$999)-2),3)),""),IF(IFERROR(INDEX(Income!B$3:B$502,SMALL(IF((Income!D$3:D$502="GBP")*(Income!A$3:A$502=DATE(2026,7,4)),ROW(Income!A$3:A$502)-2),3)),"")&lt;&gt;"",IFERROR(INDEX(Income!B$3:B$502,SMALL(IF((Income!D$3:D$502="GBP")*(Income!A$3:A$502=DATE(2026,7,4)),ROW(Income!A$3:A$502)-2),3)),""),""))</f>
        <v/>
      </c>
      <c r="O136" s="152">
        <f t="array" ref="O136">IF(IFERROR(-INDEX(Expenses!D$3:D$999,SMALL(IF((Expenses!E$3:E$999="GBP")*(Expenses!A$3:A$999=DATE(2026,7,5)),ROW(Expenses!A$3:A$999)-2),3)),0)+IFERROR(INDEX(Income!C$3:C$502,SMALL(IF((Income!D$3:D$502="GBP")*(Income!A$3:A$502=DATE(2026,7,5)),ROW(Income!A$3:A$502)-2),3)),0)=0,"",IFERROR(-INDEX(Expenses!D$3:D$999,SMALL(IF((Expenses!E$3:E$999="GBP")*(Expenses!A$3:A$999=DATE(2026,7,5)),ROW(Expenses!A$3:A$999)-2),3)),0)+IFERROR(INDEX(Income!C$3:C$502,SMALL(IF((Income!D$3:D$502="GBP")*(Income!A$3:A$502=DATE(2026,7,5)),ROW(Income!A$3:A$502)-2),3)),0))</f>
        <v/>
      </c>
      <c r="P136" s="126">
        <f t="array" ref="P136">IF(IFERROR(INDEX(Expenses!B$3:B$999,SMALL(IF((Expenses!E$3:E$999="GBP")*(Expenses!A$3:A$999=DATE(2026,7,5)),ROW(Expenses!A$3:A$999)-2),3)),"")&lt;&gt;"",IFERROR(INDEX(Expenses!B$3:B$999,SMALL(IF((Expenses!E$3:E$999="GBP")*(Expenses!A$3:A$999=DATE(2026,7,5)),ROW(Expenses!A$3:A$999)-2),3)),""),IF(IFERROR(INDEX(Income!B$3:B$502,SMALL(IF((Income!D$3:D$502="GBP")*(Income!A$3:A$502=DATE(2026,7,5)),ROW(Income!A$3:A$502)-2),3)),"")&lt;&gt;"",IFERROR(INDEX(Income!B$3:B$502,SMALL(IF((Income!D$3:D$502="GBP")*(Income!A$3:A$502=DATE(2026,7,5)),ROW(Income!A$3:A$502)-2),3)),""),""))</f>
        <v/>
      </c>
      <c r="Q136" s="9" t="n"/>
      <c r="R136" s="9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68">
      <c r="A137" s="9" t="n"/>
      <c r="B137" s="9" t="n"/>
      <c r="C137" s="152">
        <f t="array" ref="C137">IF(IFERROR(-INDEX(Expenses!D$3:D$999,SMALL(IF((Expenses!E$3:E$999="GBP")*(Expenses!A$3:A$999=DATE(2026,6,29)),ROW(Expenses!A$3:A$999)-2),4)),0)+IFERROR(INDEX(Income!C$3:C$502,SMALL(IF((Income!D$3:D$502="GBP")*(Income!A$3:A$502=DATE(2026,6,29)),ROW(Income!A$3:A$502)-2),4)),0)=0,"",IFERROR(-INDEX(Expenses!D$3:D$999,SMALL(IF((Expenses!E$3:E$999="GBP")*(Expenses!A$3:A$999=DATE(2026,6,29)),ROW(Expenses!A$3:A$999)-2),4)),0)+IFERROR(INDEX(Income!C$3:C$502,SMALL(IF((Income!D$3:D$502="GBP")*(Income!A$3:A$502=DATE(2026,6,29)),ROW(Income!A$3:A$502)-2),4)),0))</f>
        <v/>
      </c>
      <c r="D137" s="126">
        <f t="array" ref="D137">IF(IFERROR(INDEX(Expenses!B$3:B$999,SMALL(IF((Expenses!E$3:E$999="GBP")*(Expenses!A$3:A$999=DATE(2026,6,29)),ROW(Expenses!A$3:A$999)-2),4)),"")&lt;&gt;"",IFERROR(INDEX(Expenses!B$3:B$999,SMALL(IF((Expenses!E$3:E$999="GBP")*(Expenses!A$3:A$999=DATE(2026,6,29)),ROW(Expenses!A$3:A$999)-2),4)),""),IF(IFERROR(INDEX(Income!B$3:B$502,SMALL(IF((Income!D$3:D$502="GBP")*(Income!A$3:A$502=DATE(2026,6,29)),ROW(Income!A$3:A$502)-2),4)),"")&lt;&gt;"",IFERROR(INDEX(Income!B$3:B$502,SMALL(IF((Income!D$3:D$502="GBP")*(Income!A$3:A$502=DATE(2026,6,29)),ROW(Income!A$3:A$502)-2),4)),""),""))</f>
        <v/>
      </c>
      <c r="E137" s="152">
        <f t="array" ref="E137">IF(IFERROR(-INDEX(Expenses!D$3:D$999,SMALL(IF((Expenses!E$3:E$999="GBP")*(Expenses!A$3:A$999=DATE(2026,6,30)),ROW(Expenses!A$3:A$999)-2),4)),0)+IFERROR(INDEX(Income!C$3:C$502,SMALL(IF((Income!D$3:D$502="GBP")*(Income!A$3:A$502=DATE(2026,6,30)),ROW(Income!A$3:A$502)-2),4)),0)=0,"",IFERROR(-INDEX(Expenses!D$3:D$999,SMALL(IF((Expenses!E$3:E$999="GBP")*(Expenses!A$3:A$999=DATE(2026,6,30)),ROW(Expenses!A$3:A$999)-2),4)),0)+IFERROR(INDEX(Income!C$3:C$502,SMALL(IF((Income!D$3:D$502="GBP")*(Income!A$3:A$502=DATE(2026,6,30)),ROW(Income!A$3:A$502)-2),4)),0))</f>
        <v/>
      </c>
      <c r="F137" s="126">
        <f t="array" ref="F137">IF(IFERROR(INDEX(Expenses!B$3:B$999,SMALL(IF((Expenses!E$3:E$999="GBP")*(Expenses!A$3:A$999=DATE(2026,6,30)),ROW(Expenses!A$3:A$999)-2),4)),"")&lt;&gt;"",IFERROR(INDEX(Expenses!B$3:B$999,SMALL(IF((Expenses!E$3:E$999="GBP")*(Expenses!A$3:A$999=DATE(2026,6,30)),ROW(Expenses!A$3:A$999)-2),4)),""),IF(IFERROR(INDEX(Income!B$3:B$502,SMALL(IF((Income!D$3:D$502="GBP")*(Income!A$3:A$502=DATE(2026,6,30)),ROW(Income!A$3:A$502)-2),4)),"")&lt;&gt;"",IFERROR(INDEX(Income!B$3:B$502,SMALL(IF((Income!D$3:D$502="GBP")*(Income!A$3:A$502=DATE(2026,6,30)),ROW(Income!A$3:A$502)-2),4)),""),""))</f>
        <v/>
      </c>
      <c r="G137" s="152">
        <f t="array" ref="G137">IF(IFERROR(-INDEX(Expenses!D$3:D$999,SMALL(IF((Expenses!E$3:E$999="GBP")*(Expenses!A$3:A$999=DATE(2026,7,1)),ROW(Expenses!A$3:A$999)-2),4)),0)+IFERROR(INDEX(Income!C$3:C$502,SMALL(IF((Income!D$3:D$502="GBP")*(Income!A$3:A$502=DATE(2026,7,1)),ROW(Income!A$3:A$502)-2),4)),0)=0,"",IFERROR(-INDEX(Expenses!D$3:D$999,SMALL(IF((Expenses!E$3:E$999="GBP")*(Expenses!A$3:A$999=DATE(2026,7,1)),ROW(Expenses!A$3:A$999)-2),4)),0)+IFERROR(INDEX(Income!C$3:C$502,SMALL(IF((Income!D$3:D$502="GBP")*(Income!A$3:A$502=DATE(2026,7,1)),ROW(Income!A$3:A$502)-2),4)),0))</f>
        <v/>
      </c>
      <c r="H137" s="126">
        <f t="array" ref="H137">IF(IFERROR(INDEX(Expenses!B$3:B$999,SMALL(IF((Expenses!E$3:E$999="GBP")*(Expenses!A$3:A$999=DATE(2026,7,1)),ROW(Expenses!A$3:A$999)-2),4)),"")&lt;&gt;"",IFERROR(INDEX(Expenses!B$3:B$999,SMALL(IF((Expenses!E$3:E$999="GBP")*(Expenses!A$3:A$999=DATE(2026,7,1)),ROW(Expenses!A$3:A$999)-2),4)),""),IF(IFERROR(INDEX(Income!B$3:B$502,SMALL(IF((Income!D$3:D$502="GBP")*(Income!A$3:A$502=DATE(2026,7,1)),ROW(Income!A$3:A$502)-2),4)),"")&lt;&gt;"",IFERROR(INDEX(Income!B$3:B$502,SMALL(IF((Income!D$3:D$502="GBP")*(Income!A$3:A$502=DATE(2026,7,1)),ROW(Income!A$3:A$502)-2),4)),""),""))</f>
        <v/>
      </c>
      <c r="I137" s="152">
        <f t="array" ref="I137">IF(IFERROR(-INDEX(Expenses!D$3:D$999,SMALL(IF((Expenses!E$3:E$999="GBP")*(Expenses!A$3:A$999=DATE(2026,7,2)),ROW(Expenses!A$3:A$999)-2),4)),0)+IFERROR(INDEX(Income!C$3:C$502,SMALL(IF((Income!D$3:D$502="GBP")*(Income!A$3:A$502=DATE(2026,7,2)),ROW(Income!A$3:A$502)-2),4)),0)=0,"",IFERROR(-INDEX(Expenses!D$3:D$999,SMALL(IF((Expenses!E$3:E$999="GBP")*(Expenses!A$3:A$999=DATE(2026,7,2)),ROW(Expenses!A$3:A$999)-2),4)),0)+IFERROR(INDEX(Income!C$3:C$502,SMALL(IF((Income!D$3:D$502="GBP")*(Income!A$3:A$502=DATE(2026,7,2)),ROW(Income!A$3:A$502)-2),4)),0))</f>
        <v/>
      </c>
      <c r="J137" s="126">
        <f t="array" ref="J137">IF(IFERROR(INDEX(Expenses!B$3:B$999,SMALL(IF((Expenses!E$3:E$999="GBP")*(Expenses!A$3:A$999=DATE(2026,7,2)),ROW(Expenses!A$3:A$999)-2),4)),"")&lt;&gt;"",IFERROR(INDEX(Expenses!B$3:B$999,SMALL(IF((Expenses!E$3:E$999="GBP")*(Expenses!A$3:A$999=DATE(2026,7,2)),ROW(Expenses!A$3:A$999)-2),4)),""),IF(IFERROR(INDEX(Income!B$3:B$502,SMALL(IF((Income!D$3:D$502="GBP")*(Income!A$3:A$502=DATE(2026,7,2)),ROW(Income!A$3:A$502)-2),4)),"")&lt;&gt;"",IFERROR(INDEX(Income!B$3:B$502,SMALL(IF((Income!D$3:D$502="GBP")*(Income!A$3:A$502=DATE(2026,7,2)),ROW(Income!A$3:A$502)-2),4)),""),""))</f>
        <v/>
      </c>
      <c r="K137" s="152">
        <f t="array" ref="K137">IF(IFERROR(-INDEX(Expenses!D$3:D$999,SMALL(IF((Expenses!E$3:E$999="GBP")*(Expenses!A$3:A$999=DATE(2026,7,3)),ROW(Expenses!A$3:A$999)-2),4)),0)+IFERROR(INDEX(Income!C$3:C$502,SMALL(IF((Income!D$3:D$502="GBP")*(Income!A$3:A$502=DATE(2026,7,3)),ROW(Income!A$3:A$502)-2),4)),0)=0,"",IFERROR(-INDEX(Expenses!D$3:D$999,SMALL(IF((Expenses!E$3:E$999="GBP")*(Expenses!A$3:A$999=DATE(2026,7,3)),ROW(Expenses!A$3:A$999)-2),4)),0)+IFERROR(INDEX(Income!C$3:C$502,SMALL(IF((Income!D$3:D$502="GBP")*(Income!A$3:A$502=DATE(2026,7,3)),ROW(Income!A$3:A$502)-2),4)),0))</f>
        <v/>
      </c>
      <c r="L137" s="126">
        <f t="array" ref="L137">IF(IFERROR(INDEX(Expenses!B$3:B$999,SMALL(IF((Expenses!E$3:E$999="GBP")*(Expenses!A$3:A$999=DATE(2026,7,3)),ROW(Expenses!A$3:A$999)-2),4)),"")&lt;&gt;"",IFERROR(INDEX(Expenses!B$3:B$999,SMALL(IF((Expenses!E$3:E$999="GBP")*(Expenses!A$3:A$999=DATE(2026,7,3)),ROW(Expenses!A$3:A$999)-2),4)),""),IF(IFERROR(INDEX(Income!B$3:B$502,SMALL(IF((Income!D$3:D$502="GBP")*(Income!A$3:A$502=DATE(2026,7,3)),ROW(Income!A$3:A$502)-2),4)),"")&lt;&gt;"",IFERROR(INDEX(Income!B$3:B$502,SMALL(IF((Income!D$3:D$502="GBP")*(Income!A$3:A$502=DATE(2026,7,3)),ROW(Income!A$3:A$502)-2),4)),""),""))</f>
        <v/>
      </c>
      <c r="M137" s="152">
        <f t="array" ref="M137">IF(IFERROR(-INDEX(Expenses!D$3:D$999,SMALL(IF((Expenses!E$3:E$999="GBP")*(Expenses!A$3:A$999=DATE(2026,7,4)),ROW(Expenses!A$3:A$999)-2),4)),0)+IFERROR(INDEX(Income!C$3:C$502,SMALL(IF((Income!D$3:D$502="GBP")*(Income!A$3:A$502=DATE(2026,7,4)),ROW(Income!A$3:A$502)-2),4)),0)=0,"",IFERROR(-INDEX(Expenses!D$3:D$999,SMALL(IF((Expenses!E$3:E$999="GBP")*(Expenses!A$3:A$999=DATE(2026,7,4)),ROW(Expenses!A$3:A$999)-2),4)),0)+IFERROR(INDEX(Income!C$3:C$502,SMALL(IF((Income!D$3:D$502="GBP")*(Income!A$3:A$502=DATE(2026,7,4)),ROW(Income!A$3:A$502)-2),4)),0))</f>
        <v/>
      </c>
      <c r="N137" s="126">
        <f t="array" ref="N137">IF(IFERROR(INDEX(Expenses!B$3:B$999,SMALL(IF((Expenses!E$3:E$999="GBP")*(Expenses!A$3:A$999=DATE(2026,7,4)),ROW(Expenses!A$3:A$999)-2),4)),"")&lt;&gt;"",IFERROR(INDEX(Expenses!B$3:B$999,SMALL(IF((Expenses!E$3:E$999="GBP")*(Expenses!A$3:A$999=DATE(2026,7,4)),ROW(Expenses!A$3:A$999)-2),4)),""),IF(IFERROR(INDEX(Income!B$3:B$502,SMALL(IF((Income!D$3:D$502="GBP")*(Income!A$3:A$502=DATE(2026,7,4)),ROW(Income!A$3:A$502)-2),4)),"")&lt;&gt;"",IFERROR(INDEX(Income!B$3:B$502,SMALL(IF((Income!D$3:D$502="GBP")*(Income!A$3:A$502=DATE(2026,7,4)),ROW(Income!A$3:A$502)-2),4)),""),""))</f>
        <v/>
      </c>
      <c r="O137" s="152">
        <f t="array" ref="O137">IF(IFERROR(-INDEX(Expenses!D$3:D$999,SMALL(IF((Expenses!E$3:E$999="GBP")*(Expenses!A$3:A$999=DATE(2026,7,5)),ROW(Expenses!A$3:A$999)-2),4)),0)+IFERROR(INDEX(Income!C$3:C$502,SMALL(IF((Income!D$3:D$502="GBP")*(Income!A$3:A$502=DATE(2026,7,5)),ROW(Income!A$3:A$502)-2),4)),0)=0,"",IFERROR(-INDEX(Expenses!D$3:D$999,SMALL(IF((Expenses!E$3:E$999="GBP")*(Expenses!A$3:A$999=DATE(2026,7,5)),ROW(Expenses!A$3:A$999)-2),4)),0)+IFERROR(INDEX(Income!C$3:C$502,SMALL(IF((Income!D$3:D$502="GBP")*(Income!A$3:A$502=DATE(2026,7,5)),ROW(Income!A$3:A$502)-2),4)),0))</f>
        <v/>
      </c>
      <c r="P137" s="126">
        <f t="array" ref="P137">IF(IFERROR(INDEX(Expenses!B$3:B$999,SMALL(IF((Expenses!E$3:E$999="GBP")*(Expenses!A$3:A$999=DATE(2026,7,5)),ROW(Expenses!A$3:A$999)-2),4)),"")&lt;&gt;"",IFERROR(INDEX(Expenses!B$3:B$999,SMALL(IF((Expenses!E$3:E$999="GBP")*(Expenses!A$3:A$999=DATE(2026,7,5)),ROW(Expenses!A$3:A$999)-2),4)),""),IF(IFERROR(INDEX(Income!B$3:B$502,SMALL(IF((Income!D$3:D$502="GBP")*(Income!A$3:A$502=DATE(2026,7,5)),ROW(Income!A$3:A$502)-2),4)),"")&lt;&gt;"",IFERROR(INDEX(Income!B$3:B$502,SMALL(IF((Income!D$3:D$502="GBP")*(Income!A$3:A$502=DATE(2026,7,5)),ROW(Income!A$3:A$502)-2),4)),""),""))</f>
        <v/>
      </c>
      <c r="Q137" s="9" t="n"/>
      <c r="R137" s="9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68">
      <c r="A138" s="9" t="n"/>
      <c r="B138" s="9" t="n"/>
      <c r="C138" s="152">
        <f t="array" ref="C138">IF(IFERROR(-INDEX(Expenses!D$3:D$999,SMALL(IF((Expenses!E$3:E$999="GBP")*(Expenses!A$3:A$999=DATE(2026,6,29)),ROW(Expenses!A$3:A$999)-2),5)),0)+IFERROR(INDEX(Income!C$3:C$502,SMALL(IF((Income!D$3:D$502="GBP")*(Income!A$3:A$502=DATE(2026,6,29)),ROW(Income!A$3:A$502)-2),5)),0)=0,"",IFERROR(-INDEX(Expenses!D$3:D$999,SMALL(IF((Expenses!E$3:E$999="GBP")*(Expenses!A$3:A$999=DATE(2026,6,29)),ROW(Expenses!A$3:A$999)-2),5)),0)+IFERROR(INDEX(Income!C$3:C$502,SMALL(IF((Income!D$3:D$502="GBP")*(Income!A$3:A$502=DATE(2026,6,29)),ROW(Income!A$3:A$502)-2),5)),0))</f>
        <v/>
      </c>
      <c r="D138" s="126">
        <f t="array" ref="D138">IF(IFERROR(INDEX(Expenses!B$3:B$999,SMALL(IF((Expenses!E$3:E$999="GBP")*(Expenses!A$3:A$999=DATE(2026,6,29)),ROW(Expenses!A$3:A$999)-2),5)),"")&lt;&gt;"",IFERROR(INDEX(Expenses!B$3:B$999,SMALL(IF((Expenses!E$3:E$999="GBP")*(Expenses!A$3:A$999=DATE(2026,6,29)),ROW(Expenses!A$3:A$999)-2),5)),""),IF(IFERROR(INDEX(Income!B$3:B$502,SMALL(IF((Income!D$3:D$502="GBP")*(Income!A$3:A$502=DATE(2026,6,29)),ROW(Income!A$3:A$502)-2),5)),"")&lt;&gt;"",IFERROR(INDEX(Income!B$3:B$502,SMALL(IF((Income!D$3:D$502="GBP")*(Income!A$3:A$502=DATE(2026,6,29)),ROW(Income!A$3:A$502)-2),5)),""),""))</f>
        <v/>
      </c>
      <c r="E138" s="152">
        <f t="array" ref="E138">IF(IFERROR(-INDEX(Expenses!D$3:D$999,SMALL(IF((Expenses!E$3:E$999="GBP")*(Expenses!A$3:A$999=DATE(2026,6,30)),ROW(Expenses!A$3:A$999)-2),5)),0)+IFERROR(INDEX(Income!C$3:C$502,SMALL(IF((Income!D$3:D$502="GBP")*(Income!A$3:A$502=DATE(2026,6,30)),ROW(Income!A$3:A$502)-2),5)),0)=0,"",IFERROR(-INDEX(Expenses!D$3:D$999,SMALL(IF((Expenses!E$3:E$999="GBP")*(Expenses!A$3:A$999=DATE(2026,6,30)),ROW(Expenses!A$3:A$999)-2),5)),0)+IFERROR(INDEX(Income!C$3:C$502,SMALL(IF((Income!D$3:D$502="GBP")*(Income!A$3:A$502=DATE(2026,6,30)),ROW(Income!A$3:A$502)-2),5)),0))</f>
        <v/>
      </c>
      <c r="F138" s="126">
        <f t="array" ref="F138">IF(IFERROR(INDEX(Expenses!B$3:B$999,SMALL(IF((Expenses!E$3:E$999="GBP")*(Expenses!A$3:A$999=DATE(2026,6,30)),ROW(Expenses!A$3:A$999)-2),5)),"")&lt;&gt;"",IFERROR(INDEX(Expenses!B$3:B$999,SMALL(IF((Expenses!E$3:E$999="GBP")*(Expenses!A$3:A$999=DATE(2026,6,30)),ROW(Expenses!A$3:A$999)-2),5)),""),IF(IFERROR(INDEX(Income!B$3:B$502,SMALL(IF((Income!D$3:D$502="GBP")*(Income!A$3:A$502=DATE(2026,6,30)),ROW(Income!A$3:A$502)-2),5)),"")&lt;&gt;"",IFERROR(INDEX(Income!B$3:B$502,SMALL(IF((Income!D$3:D$502="GBP")*(Income!A$3:A$502=DATE(2026,6,30)),ROW(Income!A$3:A$502)-2),5)),""),""))</f>
        <v/>
      </c>
      <c r="G138" s="152">
        <f t="array" ref="G138">IF(IFERROR(-INDEX(Expenses!D$3:D$999,SMALL(IF((Expenses!E$3:E$999="GBP")*(Expenses!A$3:A$999=DATE(2026,7,1)),ROW(Expenses!A$3:A$999)-2),5)),0)+IFERROR(INDEX(Income!C$3:C$502,SMALL(IF((Income!D$3:D$502="GBP")*(Income!A$3:A$502=DATE(2026,7,1)),ROW(Income!A$3:A$502)-2),5)),0)=0,"",IFERROR(-INDEX(Expenses!D$3:D$999,SMALL(IF((Expenses!E$3:E$999="GBP")*(Expenses!A$3:A$999=DATE(2026,7,1)),ROW(Expenses!A$3:A$999)-2),5)),0)+IFERROR(INDEX(Income!C$3:C$502,SMALL(IF((Income!D$3:D$502="GBP")*(Income!A$3:A$502=DATE(2026,7,1)),ROW(Income!A$3:A$502)-2),5)),0))</f>
        <v/>
      </c>
      <c r="H138" s="126">
        <f t="array" ref="H138">IF(IFERROR(INDEX(Expenses!B$3:B$999,SMALL(IF((Expenses!E$3:E$999="GBP")*(Expenses!A$3:A$999=DATE(2026,7,1)),ROW(Expenses!A$3:A$999)-2),5)),"")&lt;&gt;"",IFERROR(INDEX(Expenses!B$3:B$999,SMALL(IF((Expenses!E$3:E$999="GBP")*(Expenses!A$3:A$999=DATE(2026,7,1)),ROW(Expenses!A$3:A$999)-2),5)),""),IF(IFERROR(INDEX(Income!B$3:B$502,SMALL(IF((Income!D$3:D$502="GBP")*(Income!A$3:A$502=DATE(2026,7,1)),ROW(Income!A$3:A$502)-2),5)),"")&lt;&gt;"",IFERROR(INDEX(Income!B$3:B$502,SMALL(IF((Income!D$3:D$502="GBP")*(Income!A$3:A$502=DATE(2026,7,1)),ROW(Income!A$3:A$502)-2),5)),""),""))</f>
        <v/>
      </c>
      <c r="I138" s="152">
        <f t="array" ref="I138">IF(IFERROR(-INDEX(Expenses!D$3:D$999,SMALL(IF((Expenses!E$3:E$999="GBP")*(Expenses!A$3:A$999=DATE(2026,7,2)),ROW(Expenses!A$3:A$999)-2),5)),0)+IFERROR(INDEX(Income!C$3:C$502,SMALL(IF((Income!D$3:D$502="GBP")*(Income!A$3:A$502=DATE(2026,7,2)),ROW(Income!A$3:A$502)-2),5)),0)=0,"",IFERROR(-INDEX(Expenses!D$3:D$999,SMALL(IF((Expenses!E$3:E$999="GBP")*(Expenses!A$3:A$999=DATE(2026,7,2)),ROW(Expenses!A$3:A$999)-2),5)),0)+IFERROR(INDEX(Income!C$3:C$502,SMALL(IF((Income!D$3:D$502="GBP")*(Income!A$3:A$502=DATE(2026,7,2)),ROW(Income!A$3:A$502)-2),5)),0))</f>
        <v/>
      </c>
      <c r="J138" s="126">
        <f t="array" ref="J138">IF(IFERROR(INDEX(Expenses!B$3:B$999,SMALL(IF((Expenses!E$3:E$999="GBP")*(Expenses!A$3:A$999=DATE(2026,7,2)),ROW(Expenses!A$3:A$999)-2),5)),"")&lt;&gt;"",IFERROR(INDEX(Expenses!B$3:B$999,SMALL(IF((Expenses!E$3:E$999="GBP")*(Expenses!A$3:A$999=DATE(2026,7,2)),ROW(Expenses!A$3:A$999)-2),5)),""),IF(IFERROR(INDEX(Income!B$3:B$502,SMALL(IF((Income!D$3:D$502="GBP")*(Income!A$3:A$502=DATE(2026,7,2)),ROW(Income!A$3:A$502)-2),5)),"")&lt;&gt;"",IFERROR(INDEX(Income!B$3:B$502,SMALL(IF((Income!D$3:D$502="GBP")*(Income!A$3:A$502=DATE(2026,7,2)),ROW(Income!A$3:A$502)-2),5)),""),""))</f>
        <v/>
      </c>
      <c r="K138" s="152">
        <f t="array" ref="K138">IF(IFERROR(-INDEX(Expenses!D$3:D$999,SMALL(IF((Expenses!E$3:E$999="GBP")*(Expenses!A$3:A$999=DATE(2026,7,3)),ROW(Expenses!A$3:A$999)-2),5)),0)+IFERROR(INDEX(Income!C$3:C$502,SMALL(IF((Income!D$3:D$502="GBP")*(Income!A$3:A$502=DATE(2026,7,3)),ROW(Income!A$3:A$502)-2),5)),0)=0,"",IFERROR(-INDEX(Expenses!D$3:D$999,SMALL(IF((Expenses!E$3:E$999="GBP")*(Expenses!A$3:A$999=DATE(2026,7,3)),ROW(Expenses!A$3:A$999)-2),5)),0)+IFERROR(INDEX(Income!C$3:C$502,SMALL(IF((Income!D$3:D$502="GBP")*(Income!A$3:A$502=DATE(2026,7,3)),ROW(Income!A$3:A$502)-2),5)),0))</f>
        <v/>
      </c>
      <c r="L138" s="126">
        <f t="array" ref="L138">IF(IFERROR(INDEX(Expenses!B$3:B$999,SMALL(IF((Expenses!E$3:E$999="GBP")*(Expenses!A$3:A$999=DATE(2026,7,3)),ROW(Expenses!A$3:A$999)-2),5)),"")&lt;&gt;"",IFERROR(INDEX(Expenses!B$3:B$999,SMALL(IF((Expenses!E$3:E$999="GBP")*(Expenses!A$3:A$999=DATE(2026,7,3)),ROW(Expenses!A$3:A$999)-2),5)),""),IF(IFERROR(INDEX(Income!B$3:B$502,SMALL(IF((Income!D$3:D$502="GBP")*(Income!A$3:A$502=DATE(2026,7,3)),ROW(Income!A$3:A$502)-2),5)),"")&lt;&gt;"",IFERROR(INDEX(Income!B$3:B$502,SMALL(IF((Income!D$3:D$502="GBP")*(Income!A$3:A$502=DATE(2026,7,3)),ROW(Income!A$3:A$502)-2),5)),""),""))</f>
        <v/>
      </c>
      <c r="M138" s="152">
        <f t="array" ref="M138">IF(IFERROR(-INDEX(Expenses!D$3:D$999,SMALL(IF((Expenses!E$3:E$999="GBP")*(Expenses!A$3:A$999=DATE(2026,7,4)),ROW(Expenses!A$3:A$999)-2),5)),0)+IFERROR(INDEX(Income!C$3:C$502,SMALL(IF((Income!D$3:D$502="GBP")*(Income!A$3:A$502=DATE(2026,7,4)),ROW(Income!A$3:A$502)-2),5)),0)=0,"",IFERROR(-INDEX(Expenses!D$3:D$999,SMALL(IF((Expenses!E$3:E$999="GBP")*(Expenses!A$3:A$999=DATE(2026,7,4)),ROW(Expenses!A$3:A$999)-2),5)),0)+IFERROR(INDEX(Income!C$3:C$502,SMALL(IF((Income!D$3:D$502="GBP")*(Income!A$3:A$502=DATE(2026,7,4)),ROW(Income!A$3:A$502)-2),5)),0))</f>
        <v/>
      </c>
      <c r="N138" s="126">
        <f t="array" ref="N138">IF(IFERROR(INDEX(Expenses!B$3:B$999,SMALL(IF((Expenses!E$3:E$999="GBP")*(Expenses!A$3:A$999=DATE(2026,7,4)),ROW(Expenses!A$3:A$999)-2),5)),"")&lt;&gt;"",IFERROR(INDEX(Expenses!B$3:B$999,SMALL(IF((Expenses!E$3:E$999="GBP")*(Expenses!A$3:A$999=DATE(2026,7,4)),ROW(Expenses!A$3:A$999)-2),5)),""),IF(IFERROR(INDEX(Income!B$3:B$502,SMALL(IF((Income!D$3:D$502="GBP")*(Income!A$3:A$502=DATE(2026,7,4)),ROW(Income!A$3:A$502)-2),5)),"")&lt;&gt;"",IFERROR(INDEX(Income!B$3:B$502,SMALL(IF((Income!D$3:D$502="GBP")*(Income!A$3:A$502=DATE(2026,7,4)),ROW(Income!A$3:A$502)-2),5)),""),""))</f>
        <v/>
      </c>
      <c r="O138" s="152">
        <f t="array" ref="O138">IF(IFERROR(-INDEX(Expenses!D$3:D$999,SMALL(IF((Expenses!E$3:E$999="GBP")*(Expenses!A$3:A$999=DATE(2026,7,5)),ROW(Expenses!A$3:A$999)-2),5)),0)+IFERROR(INDEX(Income!C$3:C$502,SMALL(IF((Income!D$3:D$502="GBP")*(Income!A$3:A$502=DATE(2026,7,5)),ROW(Income!A$3:A$502)-2),5)),0)=0,"",IFERROR(-INDEX(Expenses!D$3:D$999,SMALL(IF((Expenses!E$3:E$999="GBP")*(Expenses!A$3:A$999=DATE(2026,7,5)),ROW(Expenses!A$3:A$999)-2),5)),0)+IFERROR(INDEX(Income!C$3:C$502,SMALL(IF((Income!D$3:D$502="GBP")*(Income!A$3:A$502=DATE(2026,7,5)),ROW(Income!A$3:A$502)-2),5)),0))</f>
        <v/>
      </c>
      <c r="P138" s="126">
        <f t="array" ref="P138">IF(IFERROR(INDEX(Expenses!B$3:B$999,SMALL(IF((Expenses!E$3:E$999="GBP")*(Expenses!A$3:A$999=DATE(2026,7,5)),ROW(Expenses!A$3:A$999)-2),5)),"")&lt;&gt;"",IFERROR(INDEX(Expenses!B$3:B$999,SMALL(IF((Expenses!E$3:E$999="GBP")*(Expenses!A$3:A$999=DATE(2026,7,5)),ROW(Expenses!A$3:A$999)-2),5)),""),IF(IFERROR(INDEX(Income!B$3:B$502,SMALL(IF((Income!D$3:D$502="GBP")*(Income!A$3:A$502=DATE(2026,7,5)),ROW(Income!A$3:A$502)-2),5)),"")&lt;&gt;"",IFERROR(INDEX(Income!B$3:B$502,SMALL(IF((Income!D$3:D$502="GBP")*(Income!A$3:A$502=DATE(2026,7,5)),ROW(Income!A$3:A$502)-2),5)),""),""))</f>
        <v/>
      </c>
      <c r="Q138" s="9" t="n"/>
      <c r="R138" s="9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68">
      <c r="A139" s="151" t="n">
        <v>46209</v>
      </c>
      <c r="B139" s="103" t="n">
        <v>28</v>
      </c>
      <c r="C139" s="152">
        <f t="array" ref="C139">IF(IFERROR(-INDEX(Expenses!D$3:D$999,SMALL(IF((Expenses!E$3:E$999="GBP")*(Expenses!A$3:A$999=DATE(2026,7,6)),ROW(Expenses!A$3:A$999)-2),1)),0)+IFERROR(INDEX(Income!C$3:C$502,SMALL(IF((Income!D$3:D$502="GBP")*(Income!A$3:A$502=DATE(2026,7,6)),ROW(Income!A$3:A$502)-2),1)),0)=0,"",IFERROR(-INDEX(Expenses!D$3:D$999,SMALL(IF((Expenses!E$3:E$999="GBP")*(Expenses!A$3:A$999=DATE(2026,7,6)),ROW(Expenses!A$3:A$999)-2),1)),0)+IFERROR(INDEX(Income!C$3:C$502,SMALL(IF((Income!D$3:D$502="GBP")*(Income!A$3:A$502=DATE(2026,7,6)),ROW(Income!A$3:A$502)-2),1)),0))</f>
        <v/>
      </c>
      <c r="D139" s="126">
        <f t="array" ref="D139">IF(IFERROR(INDEX(Expenses!B$3:B$999,SMALL(IF((Expenses!E$3:E$999="GBP")*(Expenses!A$3:A$999=DATE(2026,7,6)),ROW(Expenses!A$3:A$999)-2),1)),"")&lt;&gt;"",IFERROR(INDEX(Expenses!B$3:B$999,SMALL(IF((Expenses!E$3:E$999="GBP")*(Expenses!A$3:A$999=DATE(2026,7,6)),ROW(Expenses!A$3:A$999)-2),1)),""),IF(IFERROR(INDEX(Income!B$3:B$502,SMALL(IF((Income!D$3:D$502="GBP")*(Income!A$3:A$502=DATE(2026,7,6)),ROW(Income!A$3:A$502)-2),1)),"")&lt;&gt;"",IFERROR(INDEX(Income!B$3:B$502,SMALL(IF((Income!D$3:D$502="GBP")*(Income!A$3:A$502=DATE(2026,7,6)),ROW(Income!A$3:A$502)-2),1)),""),""))</f>
        <v/>
      </c>
      <c r="E139" s="152">
        <f t="array" ref="E139">IF(IFERROR(-INDEX(Expenses!D$3:D$999,SMALL(IF((Expenses!E$3:E$999="GBP")*(Expenses!A$3:A$999=DATE(2026,7,7)),ROW(Expenses!A$3:A$999)-2),1)),0)+IFERROR(INDEX(Income!C$3:C$502,SMALL(IF((Income!D$3:D$502="GBP")*(Income!A$3:A$502=DATE(2026,7,7)),ROW(Income!A$3:A$502)-2),1)),0)=0,"",IFERROR(-INDEX(Expenses!D$3:D$999,SMALL(IF((Expenses!E$3:E$999="GBP")*(Expenses!A$3:A$999=DATE(2026,7,7)),ROW(Expenses!A$3:A$999)-2),1)),0)+IFERROR(INDEX(Income!C$3:C$502,SMALL(IF((Income!D$3:D$502="GBP")*(Income!A$3:A$502=DATE(2026,7,7)),ROW(Income!A$3:A$502)-2),1)),0))</f>
        <v/>
      </c>
      <c r="F139" s="126">
        <f t="array" ref="F139">IF(IFERROR(INDEX(Expenses!B$3:B$999,SMALL(IF((Expenses!E$3:E$999="GBP")*(Expenses!A$3:A$999=DATE(2026,7,7)),ROW(Expenses!A$3:A$999)-2),1)),"")&lt;&gt;"",IFERROR(INDEX(Expenses!B$3:B$999,SMALL(IF((Expenses!E$3:E$999="GBP")*(Expenses!A$3:A$999=DATE(2026,7,7)),ROW(Expenses!A$3:A$999)-2),1)),""),IF(IFERROR(INDEX(Income!B$3:B$502,SMALL(IF((Income!D$3:D$502="GBP")*(Income!A$3:A$502=DATE(2026,7,7)),ROW(Income!A$3:A$502)-2),1)),"")&lt;&gt;"",IFERROR(INDEX(Income!B$3:B$502,SMALL(IF((Income!D$3:D$502="GBP")*(Income!A$3:A$502=DATE(2026,7,7)),ROW(Income!A$3:A$502)-2),1)),""),""))</f>
        <v/>
      </c>
      <c r="G139" s="152">
        <f t="array" ref="G139">IF(IFERROR(-INDEX(Expenses!D$3:D$999,SMALL(IF((Expenses!E$3:E$999="GBP")*(Expenses!A$3:A$999=DATE(2026,7,8)),ROW(Expenses!A$3:A$999)-2),1)),0)+IFERROR(INDEX(Income!C$3:C$502,SMALL(IF((Income!D$3:D$502="GBP")*(Income!A$3:A$502=DATE(2026,7,8)),ROW(Income!A$3:A$502)-2),1)),0)=0,"",IFERROR(-INDEX(Expenses!D$3:D$999,SMALL(IF((Expenses!E$3:E$999="GBP")*(Expenses!A$3:A$999=DATE(2026,7,8)),ROW(Expenses!A$3:A$999)-2),1)),0)+IFERROR(INDEX(Income!C$3:C$502,SMALL(IF((Income!D$3:D$502="GBP")*(Income!A$3:A$502=DATE(2026,7,8)),ROW(Income!A$3:A$502)-2),1)),0))</f>
        <v/>
      </c>
      <c r="H139" s="126">
        <f t="array" ref="H139">IF(IFERROR(INDEX(Expenses!B$3:B$999,SMALL(IF((Expenses!E$3:E$999="GBP")*(Expenses!A$3:A$999=DATE(2026,7,8)),ROW(Expenses!A$3:A$999)-2),1)),"")&lt;&gt;"",IFERROR(INDEX(Expenses!B$3:B$999,SMALL(IF((Expenses!E$3:E$999="GBP")*(Expenses!A$3:A$999=DATE(2026,7,8)),ROW(Expenses!A$3:A$999)-2),1)),""),IF(IFERROR(INDEX(Income!B$3:B$502,SMALL(IF((Income!D$3:D$502="GBP")*(Income!A$3:A$502=DATE(2026,7,8)),ROW(Income!A$3:A$502)-2),1)),"")&lt;&gt;"",IFERROR(INDEX(Income!B$3:B$502,SMALL(IF((Income!D$3:D$502="GBP")*(Income!A$3:A$502=DATE(2026,7,8)),ROW(Income!A$3:A$502)-2),1)),""),""))</f>
        <v/>
      </c>
      <c r="I139" s="152">
        <f t="array" ref="I139">IF(IFERROR(-INDEX(Expenses!D$3:D$999,SMALL(IF((Expenses!E$3:E$999="GBP")*(Expenses!A$3:A$999=DATE(2026,7,9)),ROW(Expenses!A$3:A$999)-2),1)),0)+IFERROR(INDEX(Income!C$3:C$502,SMALL(IF((Income!D$3:D$502="GBP")*(Income!A$3:A$502=DATE(2026,7,9)),ROW(Income!A$3:A$502)-2),1)),0)=0,"",IFERROR(-INDEX(Expenses!D$3:D$999,SMALL(IF((Expenses!E$3:E$999="GBP")*(Expenses!A$3:A$999=DATE(2026,7,9)),ROW(Expenses!A$3:A$999)-2),1)),0)+IFERROR(INDEX(Income!C$3:C$502,SMALL(IF((Income!D$3:D$502="GBP")*(Income!A$3:A$502=DATE(2026,7,9)),ROW(Income!A$3:A$502)-2),1)),0))</f>
        <v/>
      </c>
      <c r="J139" s="126">
        <f t="array" ref="J139">IF(IFERROR(INDEX(Expenses!B$3:B$999,SMALL(IF((Expenses!E$3:E$999="GBP")*(Expenses!A$3:A$999=DATE(2026,7,9)),ROW(Expenses!A$3:A$999)-2),1)),"")&lt;&gt;"",IFERROR(INDEX(Expenses!B$3:B$999,SMALL(IF((Expenses!E$3:E$999="GBP")*(Expenses!A$3:A$999=DATE(2026,7,9)),ROW(Expenses!A$3:A$999)-2),1)),""),IF(IFERROR(INDEX(Income!B$3:B$502,SMALL(IF((Income!D$3:D$502="GBP")*(Income!A$3:A$502=DATE(2026,7,9)),ROW(Income!A$3:A$502)-2),1)),"")&lt;&gt;"",IFERROR(INDEX(Income!B$3:B$502,SMALL(IF((Income!D$3:D$502="GBP")*(Income!A$3:A$502=DATE(2026,7,9)),ROW(Income!A$3:A$502)-2),1)),""),""))</f>
        <v/>
      </c>
      <c r="K139" s="152">
        <f t="array" ref="K139">IF(IFERROR(-INDEX(Expenses!D$3:D$999,SMALL(IF((Expenses!E$3:E$999="GBP")*(Expenses!A$3:A$999=DATE(2026,7,10)),ROW(Expenses!A$3:A$999)-2),1)),0)+IFERROR(INDEX(Income!C$3:C$502,SMALL(IF((Income!D$3:D$502="GBP")*(Income!A$3:A$502=DATE(2026,7,10)),ROW(Income!A$3:A$502)-2),1)),0)=0,"",IFERROR(-INDEX(Expenses!D$3:D$999,SMALL(IF((Expenses!E$3:E$999="GBP")*(Expenses!A$3:A$999=DATE(2026,7,10)),ROW(Expenses!A$3:A$999)-2),1)),0)+IFERROR(INDEX(Income!C$3:C$502,SMALL(IF((Income!D$3:D$502="GBP")*(Income!A$3:A$502=DATE(2026,7,10)),ROW(Income!A$3:A$502)-2),1)),0))</f>
        <v/>
      </c>
      <c r="L139" s="126">
        <f t="array" ref="L139">IF(IFERROR(INDEX(Expenses!B$3:B$999,SMALL(IF((Expenses!E$3:E$999="GBP")*(Expenses!A$3:A$999=DATE(2026,7,10)),ROW(Expenses!A$3:A$999)-2),1)),"")&lt;&gt;"",IFERROR(INDEX(Expenses!B$3:B$999,SMALL(IF((Expenses!E$3:E$999="GBP")*(Expenses!A$3:A$999=DATE(2026,7,10)),ROW(Expenses!A$3:A$999)-2),1)),""),IF(IFERROR(INDEX(Income!B$3:B$502,SMALL(IF((Income!D$3:D$502="GBP")*(Income!A$3:A$502=DATE(2026,7,10)),ROW(Income!A$3:A$502)-2),1)),"")&lt;&gt;"",IFERROR(INDEX(Income!B$3:B$502,SMALL(IF((Income!D$3:D$502="GBP")*(Income!A$3:A$502=DATE(2026,7,10)),ROW(Income!A$3:A$502)-2),1)),""),""))</f>
        <v/>
      </c>
      <c r="M139" s="152">
        <f t="array" ref="M139">IF(IFERROR(-INDEX(Expenses!D$3:D$999,SMALL(IF((Expenses!E$3:E$999="GBP")*(Expenses!A$3:A$999=DATE(2026,7,11)),ROW(Expenses!A$3:A$999)-2),1)),0)+IFERROR(INDEX(Income!C$3:C$502,SMALL(IF((Income!D$3:D$502="GBP")*(Income!A$3:A$502=DATE(2026,7,11)),ROW(Income!A$3:A$502)-2),1)),0)=0,"",IFERROR(-INDEX(Expenses!D$3:D$999,SMALL(IF((Expenses!E$3:E$999="GBP")*(Expenses!A$3:A$999=DATE(2026,7,11)),ROW(Expenses!A$3:A$999)-2),1)),0)+IFERROR(INDEX(Income!C$3:C$502,SMALL(IF((Income!D$3:D$502="GBP")*(Income!A$3:A$502=DATE(2026,7,11)),ROW(Income!A$3:A$502)-2),1)),0))</f>
        <v/>
      </c>
      <c r="N139" s="126">
        <f t="array" ref="N139">IF(IFERROR(INDEX(Expenses!B$3:B$999,SMALL(IF((Expenses!E$3:E$999="GBP")*(Expenses!A$3:A$999=DATE(2026,7,11)),ROW(Expenses!A$3:A$999)-2),1)),"")&lt;&gt;"",IFERROR(INDEX(Expenses!B$3:B$999,SMALL(IF((Expenses!E$3:E$999="GBP")*(Expenses!A$3:A$999=DATE(2026,7,11)),ROW(Expenses!A$3:A$999)-2),1)),""),IF(IFERROR(INDEX(Income!B$3:B$502,SMALL(IF((Income!D$3:D$502="GBP")*(Income!A$3:A$502=DATE(2026,7,11)),ROW(Income!A$3:A$502)-2),1)),"")&lt;&gt;"",IFERROR(INDEX(Income!B$3:B$502,SMALL(IF((Income!D$3:D$502="GBP")*(Income!A$3:A$502=DATE(2026,7,11)),ROW(Income!A$3:A$502)-2),1)),""),""))</f>
        <v/>
      </c>
      <c r="O139" s="152">
        <f t="array" ref="O139">IF(IFERROR(-INDEX(Expenses!D$3:D$999,SMALL(IF((Expenses!E$3:E$999="GBP")*(Expenses!A$3:A$999=DATE(2026,7,12)),ROW(Expenses!A$3:A$999)-2),1)),0)+IFERROR(INDEX(Income!C$3:C$502,SMALL(IF((Income!D$3:D$502="GBP")*(Income!A$3:A$502=DATE(2026,7,12)),ROW(Income!A$3:A$502)-2),1)),0)=0,"",IFERROR(-INDEX(Expenses!D$3:D$999,SMALL(IF((Expenses!E$3:E$999="GBP")*(Expenses!A$3:A$999=DATE(2026,7,12)),ROW(Expenses!A$3:A$999)-2),1)),0)+IFERROR(INDEX(Income!C$3:C$502,SMALL(IF((Income!D$3:D$502="GBP")*(Income!A$3:A$502=DATE(2026,7,12)),ROW(Income!A$3:A$502)-2),1)),0))</f>
        <v/>
      </c>
      <c r="P139" s="126">
        <f t="array" ref="P139">IF(IFERROR(INDEX(Expenses!B$3:B$999,SMALL(IF((Expenses!E$3:E$999="GBP")*(Expenses!A$3:A$999=DATE(2026,7,12)),ROW(Expenses!A$3:A$999)-2),1)),"")&lt;&gt;"",IFERROR(INDEX(Expenses!B$3:B$999,SMALL(IF((Expenses!E$3:E$999="GBP")*(Expenses!A$3:A$999=DATE(2026,7,12)),ROW(Expenses!A$3:A$999)-2),1)),""),IF(IFERROR(INDEX(Income!B$3:B$502,SMALL(IF((Income!D$3:D$502="GBP")*(Income!A$3:A$502=DATE(2026,7,12)),ROW(Income!A$3:A$502)-2),1)),"")&lt;&gt;"",IFERROR(INDEX(Income!B$3:B$502,SMALL(IF((Income!D$3:D$502="GBP")*(Income!A$3:A$502=DATE(2026,7,12)),ROW(Income!A$3:A$502)-2),1)),""),""))</f>
        <v/>
      </c>
      <c r="Q139" s="103" t="n">
        <v>28</v>
      </c>
      <c r="R139" s="134">
        <f>SUM(C139:C143)+SUM(E139:E143)+SUM(G139:G143)+SUM(I139:I143)+SUM(K139:K143)+SUM(M139:M143)+SUM(O139:O143)</f>
        <v/>
      </c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68">
      <c r="A140" s="9" t="n"/>
      <c r="B140" s="9" t="n"/>
      <c r="C140" s="152">
        <f t="array" ref="C140">IF(IFERROR(-INDEX(Expenses!D$3:D$999,SMALL(IF((Expenses!E$3:E$999="GBP")*(Expenses!A$3:A$999=DATE(2026,7,6)),ROW(Expenses!A$3:A$999)-2),2)),0)+IFERROR(INDEX(Income!C$3:C$502,SMALL(IF((Income!D$3:D$502="GBP")*(Income!A$3:A$502=DATE(2026,7,6)),ROW(Income!A$3:A$502)-2),2)),0)=0,"",IFERROR(-INDEX(Expenses!D$3:D$999,SMALL(IF((Expenses!E$3:E$999="GBP")*(Expenses!A$3:A$999=DATE(2026,7,6)),ROW(Expenses!A$3:A$999)-2),2)),0)+IFERROR(INDEX(Income!C$3:C$502,SMALL(IF((Income!D$3:D$502="GBP")*(Income!A$3:A$502=DATE(2026,7,6)),ROW(Income!A$3:A$502)-2),2)),0))</f>
        <v/>
      </c>
      <c r="D140" s="126">
        <f t="array" ref="D140">IF(IFERROR(INDEX(Expenses!B$3:B$999,SMALL(IF((Expenses!E$3:E$999="GBP")*(Expenses!A$3:A$999=DATE(2026,7,6)),ROW(Expenses!A$3:A$999)-2),2)),"")&lt;&gt;"",IFERROR(INDEX(Expenses!B$3:B$999,SMALL(IF((Expenses!E$3:E$999="GBP")*(Expenses!A$3:A$999=DATE(2026,7,6)),ROW(Expenses!A$3:A$999)-2),2)),""),IF(IFERROR(INDEX(Income!B$3:B$502,SMALL(IF((Income!D$3:D$502="GBP")*(Income!A$3:A$502=DATE(2026,7,6)),ROW(Income!A$3:A$502)-2),2)),"")&lt;&gt;"",IFERROR(INDEX(Income!B$3:B$502,SMALL(IF((Income!D$3:D$502="GBP")*(Income!A$3:A$502=DATE(2026,7,6)),ROW(Income!A$3:A$502)-2),2)),""),""))</f>
        <v/>
      </c>
      <c r="E140" s="152">
        <f t="array" ref="E140">IF(IFERROR(-INDEX(Expenses!D$3:D$999,SMALL(IF((Expenses!E$3:E$999="GBP")*(Expenses!A$3:A$999=DATE(2026,7,7)),ROW(Expenses!A$3:A$999)-2),2)),0)+IFERROR(INDEX(Income!C$3:C$502,SMALL(IF((Income!D$3:D$502="GBP")*(Income!A$3:A$502=DATE(2026,7,7)),ROW(Income!A$3:A$502)-2),2)),0)=0,"",IFERROR(-INDEX(Expenses!D$3:D$999,SMALL(IF((Expenses!E$3:E$999="GBP")*(Expenses!A$3:A$999=DATE(2026,7,7)),ROW(Expenses!A$3:A$999)-2),2)),0)+IFERROR(INDEX(Income!C$3:C$502,SMALL(IF((Income!D$3:D$502="GBP")*(Income!A$3:A$502=DATE(2026,7,7)),ROW(Income!A$3:A$502)-2),2)),0))</f>
        <v/>
      </c>
      <c r="F140" s="126">
        <f t="array" ref="F140">IF(IFERROR(INDEX(Expenses!B$3:B$999,SMALL(IF((Expenses!E$3:E$999="GBP")*(Expenses!A$3:A$999=DATE(2026,7,7)),ROW(Expenses!A$3:A$999)-2),2)),"")&lt;&gt;"",IFERROR(INDEX(Expenses!B$3:B$999,SMALL(IF((Expenses!E$3:E$999="GBP")*(Expenses!A$3:A$999=DATE(2026,7,7)),ROW(Expenses!A$3:A$999)-2),2)),""),IF(IFERROR(INDEX(Income!B$3:B$502,SMALL(IF((Income!D$3:D$502="GBP")*(Income!A$3:A$502=DATE(2026,7,7)),ROW(Income!A$3:A$502)-2),2)),"")&lt;&gt;"",IFERROR(INDEX(Income!B$3:B$502,SMALL(IF((Income!D$3:D$502="GBP")*(Income!A$3:A$502=DATE(2026,7,7)),ROW(Income!A$3:A$502)-2),2)),""),""))</f>
        <v/>
      </c>
      <c r="G140" s="152">
        <f t="array" ref="G140">IF(IFERROR(-INDEX(Expenses!D$3:D$999,SMALL(IF((Expenses!E$3:E$999="GBP")*(Expenses!A$3:A$999=DATE(2026,7,8)),ROW(Expenses!A$3:A$999)-2),2)),0)+IFERROR(INDEX(Income!C$3:C$502,SMALL(IF((Income!D$3:D$502="GBP")*(Income!A$3:A$502=DATE(2026,7,8)),ROW(Income!A$3:A$502)-2),2)),0)=0,"",IFERROR(-INDEX(Expenses!D$3:D$999,SMALL(IF((Expenses!E$3:E$999="GBP")*(Expenses!A$3:A$999=DATE(2026,7,8)),ROW(Expenses!A$3:A$999)-2),2)),0)+IFERROR(INDEX(Income!C$3:C$502,SMALL(IF((Income!D$3:D$502="GBP")*(Income!A$3:A$502=DATE(2026,7,8)),ROW(Income!A$3:A$502)-2),2)),0))</f>
        <v/>
      </c>
      <c r="H140" s="126">
        <f t="array" ref="H140">IF(IFERROR(INDEX(Expenses!B$3:B$999,SMALL(IF((Expenses!E$3:E$999="GBP")*(Expenses!A$3:A$999=DATE(2026,7,8)),ROW(Expenses!A$3:A$999)-2),2)),"")&lt;&gt;"",IFERROR(INDEX(Expenses!B$3:B$999,SMALL(IF((Expenses!E$3:E$999="GBP")*(Expenses!A$3:A$999=DATE(2026,7,8)),ROW(Expenses!A$3:A$999)-2),2)),""),IF(IFERROR(INDEX(Income!B$3:B$502,SMALL(IF((Income!D$3:D$502="GBP")*(Income!A$3:A$502=DATE(2026,7,8)),ROW(Income!A$3:A$502)-2),2)),"")&lt;&gt;"",IFERROR(INDEX(Income!B$3:B$502,SMALL(IF((Income!D$3:D$502="GBP")*(Income!A$3:A$502=DATE(2026,7,8)),ROW(Income!A$3:A$502)-2),2)),""),""))</f>
        <v/>
      </c>
      <c r="I140" s="152">
        <f t="array" ref="I140">IF(IFERROR(-INDEX(Expenses!D$3:D$999,SMALL(IF((Expenses!E$3:E$999="GBP")*(Expenses!A$3:A$999=DATE(2026,7,9)),ROW(Expenses!A$3:A$999)-2),2)),0)+IFERROR(INDEX(Income!C$3:C$502,SMALL(IF((Income!D$3:D$502="GBP")*(Income!A$3:A$502=DATE(2026,7,9)),ROW(Income!A$3:A$502)-2),2)),0)=0,"",IFERROR(-INDEX(Expenses!D$3:D$999,SMALL(IF((Expenses!E$3:E$999="GBP")*(Expenses!A$3:A$999=DATE(2026,7,9)),ROW(Expenses!A$3:A$999)-2),2)),0)+IFERROR(INDEX(Income!C$3:C$502,SMALL(IF((Income!D$3:D$502="GBP")*(Income!A$3:A$502=DATE(2026,7,9)),ROW(Income!A$3:A$502)-2),2)),0))</f>
        <v/>
      </c>
      <c r="J140" s="126">
        <f t="array" ref="J140">IF(IFERROR(INDEX(Expenses!B$3:B$999,SMALL(IF((Expenses!E$3:E$999="GBP")*(Expenses!A$3:A$999=DATE(2026,7,9)),ROW(Expenses!A$3:A$999)-2),2)),"")&lt;&gt;"",IFERROR(INDEX(Expenses!B$3:B$999,SMALL(IF((Expenses!E$3:E$999="GBP")*(Expenses!A$3:A$999=DATE(2026,7,9)),ROW(Expenses!A$3:A$999)-2),2)),""),IF(IFERROR(INDEX(Income!B$3:B$502,SMALL(IF((Income!D$3:D$502="GBP")*(Income!A$3:A$502=DATE(2026,7,9)),ROW(Income!A$3:A$502)-2),2)),"")&lt;&gt;"",IFERROR(INDEX(Income!B$3:B$502,SMALL(IF((Income!D$3:D$502="GBP")*(Income!A$3:A$502=DATE(2026,7,9)),ROW(Income!A$3:A$502)-2),2)),""),""))</f>
        <v/>
      </c>
      <c r="K140" s="152">
        <f t="array" ref="K140">IF(IFERROR(-INDEX(Expenses!D$3:D$999,SMALL(IF((Expenses!E$3:E$999="GBP")*(Expenses!A$3:A$999=DATE(2026,7,10)),ROW(Expenses!A$3:A$999)-2),2)),0)+IFERROR(INDEX(Income!C$3:C$502,SMALL(IF((Income!D$3:D$502="GBP")*(Income!A$3:A$502=DATE(2026,7,10)),ROW(Income!A$3:A$502)-2),2)),0)=0,"",IFERROR(-INDEX(Expenses!D$3:D$999,SMALL(IF((Expenses!E$3:E$999="GBP")*(Expenses!A$3:A$999=DATE(2026,7,10)),ROW(Expenses!A$3:A$999)-2),2)),0)+IFERROR(INDEX(Income!C$3:C$502,SMALL(IF((Income!D$3:D$502="GBP")*(Income!A$3:A$502=DATE(2026,7,10)),ROW(Income!A$3:A$502)-2),2)),0))</f>
        <v/>
      </c>
      <c r="L140" s="126">
        <f t="array" ref="L140">IF(IFERROR(INDEX(Expenses!B$3:B$999,SMALL(IF((Expenses!E$3:E$999="GBP")*(Expenses!A$3:A$999=DATE(2026,7,10)),ROW(Expenses!A$3:A$999)-2),2)),"")&lt;&gt;"",IFERROR(INDEX(Expenses!B$3:B$999,SMALL(IF((Expenses!E$3:E$999="GBP")*(Expenses!A$3:A$999=DATE(2026,7,10)),ROW(Expenses!A$3:A$999)-2),2)),""),IF(IFERROR(INDEX(Income!B$3:B$502,SMALL(IF((Income!D$3:D$502="GBP")*(Income!A$3:A$502=DATE(2026,7,10)),ROW(Income!A$3:A$502)-2),2)),"")&lt;&gt;"",IFERROR(INDEX(Income!B$3:B$502,SMALL(IF((Income!D$3:D$502="GBP")*(Income!A$3:A$502=DATE(2026,7,10)),ROW(Income!A$3:A$502)-2),2)),""),""))</f>
        <v/>
      </c>
      <c r="M140" s="152">
        <f t="array" ref="M140">IF(IFERROR(-INDEX(Expenses!D$3:D$999,SMALL(IF((Expenses!E$3:E$999="GBP")*(Expenses!A$3:A$999=DATE(2026,7,11)),ROW(Expenses!A$3:A$999)-2),2)),0)+IFERROR(INDEX(Income!C$3:C$502,SMALL(IF((Income!D$3:D$502="GBP")*(Income!A$3:A$502=DATE(2026,7,11)),ROW(Income!A$3:A$502)-2),2)),0)=0,"",IFERROR(-INDEX(Expenses!D$3:D$999,SMALL(IF((Expenses!E$3:E$999="GBP")*(Expenses!A$3:A$999=DATE(2026,7,11)),ROW(Expenses!A$3:A$999)-2),2)),0)+IFERROR(INDEX(Income!C$3:C$502,SMALL(IF((Income!D$3:D$502="GBP")*(Income!A$3:A$502=DATE(2026,7,11)),ROW(Income!A$3:A$502)-2),2)),0))</f>
        <v/>
      </c>
      <c r="N140" s="126">
        <f t="array" ref="N140">IF(IFERROR(INDEX(Expenses!B$3:B$999,SMALL(IF((Expenses!E$3:E$999="GBP")*(Expenses!A$3:A$999=DATE(2026,7,11)),ROW(Expenses!A$3:A$999)-2),2)),"")&lt;&gt;"",IFERROR(INDEX(Expenses!B$3:B$999,SMALL(IF((Expenses!E$3:E$999="GBP")*(Expenses!A$3:A$999=DATE(2026,7,11)),ROW(Expenses!A$3:A$999)-2),2)),""),IF(IFERROR(INDEX(Income!B$3:B$502,SMALL(IF((Income!D$3:D$502="GBP")*(Income!A$3:A$502=DATE(2026,7,11)),ROW(Income!A$3:A$502)-2),2)),"")&lt;&gt;"",IFERROR(INDEX(Income!B$3:B$502,SMALL(IF((Income!D$3:D$502="GBP")*(Income!A$3:A$502=DATE(2026,7,11)),ROW(Income!A$3:A$502)-2),2)),""),""))</f>
        <v/>
      </c>
      <c r="O140" s="152">
        <f t="array" ref="O140">IF(IFERROR(-INDEX(Expenses!D$3:D$999,SMALL(IF((Expenses!E$3:E$999="GBP")*(Expenses!A$3:A$999=DATE(2026,7,12)),ROW(Expenses!A$3:A$999)-2),2)),0)+IFERROR(INDEX(Income!C$3:C$502,SMALL(IF((Income!D$3:D$502="GBP")*(Income!A$3:A$502=DATE(2026,7,12)),ROW(Income!A$3:A$502)-2),2)),0)=0,"",IFERROR(-INDEX(Expenses!D$3:D$999,SMALL(IF((Expenses!E$3:E$999="GBP")*(Expenses!A$3:A$999=DATE(2026,7,12)),ROW(Expenses!A$3:A$999)-2),2)),0)+IFERROR(INDEX(Income!C$3:C$502,SMALL(IF((Income!D$3:D$502="GBP")*(Income!A$3:A$502=DATE(2026,7,12)),ROW(Income!A$3:A$502)-2),2)),0))</f>
        <v/>
      </c>
      <c r="P140" s="126">
        <f t="array" ref="P140">IF(IFERROR(INDEX(Expenses!B$3:B$999,SMALL(IF((Expenses!E$3:E$999="GBP")*(Expenses!A$3:A$999=DATE(2026,7,12)),ROW(Expenses!A$3:A$999)-2),2)),"")&lt;&gt;"",IFERROR(INDEX(Expenses!B$3:B$999,SMALL(IF((Expenses!E$3:E$999="GBP")*(Expenses!A$3:A$999=DATE(2026,7,12)),ROW(Expenses!A$3:A$999)-2),2)),""),IF(IFERROR(INDEX(Income!B$3:B$502,SMALL(IF((Income!D$3:D$502="GBP")*(Income!A$3:A$502=DATE(2026,7,12)),ROW(Income!A$3:A$502)-2),2)),"")&lt;&gt;"",IFERROR(INDEX(Income!B$3:B$502,SMALL(IF((Income!D$3:D$502="GBP")*(Income!A$3:A$502=DATE(2026,7,12)),ROW(Income!A$3:A$502)-2),2)),""),""))</f>
        <v/>
      </c>
      <c r="Q140" s="9" t="n"/>
      <c r="R140" s="9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68">
      <c r="A141" s="9" t="n"/>
      <c r="B141" s="9" t="n"/>
      <c r="C141" s="152">
        <f t="array" ref="C141">IF(IFERROR(-INDEX(Expenses!D$3:D$999,SMALL(IF((Expenses!E$3:E$999="GBP")*(Expenses!A$3:A$999=DATE(2026,7,6)),ROW(Expenses!A$3:A$999)-2),3)),0)+IFERROR(INDEX(Income!C$3:C$502,SMALL(IF((Income!D$3:D$502="GBP")*(Income!A$3:A$502=DATE(2026,7,6)),ROW(Income!A$3:A$502)-2),3)),0)=0,"",IFERROR(-INDEX(Expenses!D$3:D$999,SMALL(IF((Expenses!E$3:E$999="GBP")*(Expenses!A$3:A$999=DATE(2026,7,6)),ROW(Expenses!A$3:A$999)-2),3)),0)+IFERROR(INDEX(Income!C$3:C$502,SMALL(IF((Income!D$3:D$502="GBP")*(Income!A$3:A$502=DATE(2026,7,6)),ROW(Income!A$3:A$502)-2),3)),0))</f>
        <v/>
      </c>
      <c r="D141" s="126">
        <f t="array" ref="D141">IF(IFERROR(INDEX(Expenses!B$3:B$999,SMALL(IF((Expenses!E$3:E$999="GBP")*(Expenses!A$3:A$999=DATE(2026,7,6)),ROW(Expenses!A$3:A$999)-2),3)),"")&lt;&gt;"",IFERROR(INDEX(Expenses!B$3:B$999,SMALL(IF((Expenses!E$3:E$999="GBP")*(Expenses!A$3:A$999=DATE(2026,7,6)),ROW(Expenses!A$3:A$999)-2),3)),""),IF(IFERROR(INDEX(Income!B$3:B$502,SMALL(IF((Income!D$3:D$502="GBP")*(Income!A$3:A$502=DATE(2026,7,6)),ROW(Income!A$3:A$502)-2),3)),"")&lt;&gt;"",IFERROR(INDEX(Income!B$3:B$502,SMALL(IF((Income!D$3:D$502="GBP")*(Income!A$3:A$502=DATE(2026,7,6)),ROW(Income!A$3:A$502)-2),3)),""),""))</f>
        <v/>
      </c>
      <c r="E141" s="152">
        <f t="array" ref="E141">IF(IFERROR(-INDEX(Expenses!D$3:D$999,SMALL(IF((Expenses!E$3:E$999="GBP")*(Expenses!A$3:A$999=DATE(2026,7,7)),ROW(Expenses!A$3:A$999)-2),3)),0)+IFERROR(INDEX(Income!C$3:C$502,SMALL(IF((Income!D$3:D$502="GBP")*(Income!A$3:A$502=DATE(2026,7,7)),ROW(Income!A$3:A$502)-2),3)),0)=0,"",IFERROR(-INDEX(Expenses!D$3:D$999,SMALL(IF((Expenses!E$3:E$999="GBP")*(Expenses!A$3:A$999=DATE(2026,7,7)),ROW(Expenses!A$3:A$999)-2),3)),0)+IFERROR(INDEX(Income!C$3:C$502,SMALL(IF((Income!D$3:D$502="GBP")*(Income!A$3:A$502=DATE(2026,7,7)),ROW(Income!A$3:A$502)-2),3)),0))</f>
        <v/>
      </c>
      <c r="F141" s="126">
        <f t="array" ref="F141">IF(IFERROR(INDEX(Expenses!B$3:B$999,SMALL(IF((Expenses!E$3:E$999="GBP")*(Expenses!A$3:A$999=DATE(2026,7,7)),ROW(Expenses!A$3:A$999)-2),3)),"")&lt;&gt;"",IFERROR(INDEX(Expenses!B$3:B$999,SMALL(IF((Expenses!E$3:E$999="GBP")*(Expenses!A$3:A$999=DATE(2026,7,7)),ROW(Expenses!A$3:A$999)-2),3)),""),IF(IFERROR(INDEX(Income!B$3:B$502,SMALL(IF((Income!D$3:D$502="GBP")*(Income!A$3:A$502=DATE(2026,7,7)),ROW(Income!A$3:A$502)-2),3)),"")&lt;&gt;"",IFERROR(INDEX(Income!B$3:B$502,SMALL(IF((Income!D$3:D$502="GBP")*(Income!A$3:A$502=DATE(2026,7,7)),ROW(Income!A$3:A$502)-2),3)),""),""))</f>
        <v/>
      </c>
      <c r="G141" s="152">
        <f t="array" ref="G141">IF(IFERROR(-INDEX(Expenses!D$3:D$999,SMALL(IF((Expenses!E$3:E$999="GBP")*(Expenses!A$3:A$999=DATE(2026,7,8)),ROW(Expenses!A$3:A$999)-2),3)),0)+IFERROR(INDEX(Income!C$3:C$502,SMALL(IF((Income!D$3:D$502="GBP")*(Income!A$3:A$502=DATE(2026,7,8)),ROW(Income!A$3:A$502)-2),3)),0)=0,"",IFERROR(-INDEX(Expenses!D$3:D$999,SMALL(IF((Expenses!E$3:E$999="GBP")*(Expenses!A$3:A$999=DATE(2026,7,8)),ROW(Expenses!A$3:A$999)-2),3)),0)+IFERROR(INDEX(Income!C$3:C$502,SMALL(IF((Income!D$3:D$502="GBP")*(Income!A$3:A$502=DATE(2026,7,8)),ROW(Income!A$3:A$502)-2),3)),0))</f>
        <v/>
      </c>
      <c r="H141" s="126">
        <f t="array" ref="H141">IF(IFERROR(INDEX(Expenses!B$3:B$999,SMALL(IF((Expenses!E$3:E$999="GBP")*(Expenses!A$3:A$999=DATE(2026,7,8)),ROW(Expenses!A$3:A$999)-2),3)),"")&lt;&gt;"",IFERROR(INDEX(Expenses!B$3:B$999,SMALL(IF((Expenses!E$3:E$999="GBP")*(Expenses!A$3:A$999=DATE(2026,7,8)),ROW(Expenses!A$3:A$999)-2),3)),""),IF(IFERROR(INDEX(Income!B$3:B$502,SMALL(IF((Income!D$3:D$502="GBP")*(Income!A$3:A$502=DATE(2026,7,8)),ROW(Income!A$3:A$502)-2),3)),"")&lt;&gt;"",IFERROR(INDEX(Income!B$3:B$502,SMALL(IF((Income!D$3:D$502="GBP")*(Income!A$3:A$502=DATE(2026,7,8)),ROW(Income!A$3:A$502)-2),3)),""),""))</f>
        <v/>
      </c>
      <c r="I141" s="152">
        <f t="array" ref="I141">IF(IFERROR(-INDEX(Expenses!D$3:D$999,SMALL(IF((Expenses!E$3:E$999="GBP")*(Expenses!A$3:A$999=DATE(2026,7,9)),ROW(Expenses!A$3:A$999)-2),3)),0)+IFERROR(INDEX(Income!C$3:C$502,SMALL(IF((Income!D$3:D$502="GBP")*(Income!A$3:A$502=DATE(2026,7,9)),ROW(Income!A$3:A$502)-2),3)),0)=0,"",IFERROR(-INDEX(Expenses!D$3:D$999,SMALL(IF((Expenses!E$3:E$999="GBP")*(Expenses!A$3:A$999=DATE(2026,7,9)),ROW(Expenses!A$3:A$999)-2),3)),0)+IFERROR(INDEX(Income!C$3:C$502,SMALL(IF((Income!D$3:D$502="GBP")*(Income!A$3:A$502=DATE(2026,7,9)),ROW(Income!A$3:A$502)-2),3)),0))</f>
        <v/>
      </c>
      <c r="J141" s="126">
        <f t="array" ref="J141">IF(IFERROR(INDEX(Expenses!B$3:B$999,SMALL(IF((Expenses!E$3:E$999="GBP")*(Expenses!A$3:A$999=DATE(2026,7,9)),ROW(Expenses!A$3:A$999)-2),3)),"")&lt;&gt;"",IFERROR(INDEX(Expenses!B$3:B$999,SMALL(IF((Expenses!E$3:E$999="GBP")*(Expenses!A$3:A$999=DATE(2026,7,9)),ROW(Expenses!A$3:A$999)-2),3)),""),IF(IFERROR(INDEX(Income!B$3:B$502,SMALL(IF((Income!D$3:D$502="GBP")*(Income!A$3:A$502=DATE(2026,7,9)),ROW(Income!A$3:A$502)-2),3)),"")&lt;&gt;"",IFERROR(INDEX(Income!B$3:B$502,SMALL(IF((Income!D$3:D$502="GBP")*(Income!A$3:A$502=DATE(2026,7,9)),ROW(Income!A$3:A$502)-2),3)),""),""))</f>
        <v/>
      </c>
      <c r="K141" s="152">
        <f t="array" ref="K141">IF(IFERROR(-INDEX(Expenses!D$3:D$999,SMALL(IF((Expenses!E$3:E$999="GBP")*(Expenses!A$3:A$999=DATE(2026,7,10)),ROW(Expenses!A$3:A$999)-2),3)),0)+IFERROR(INDEX(Income!C$3:C$502,SMALL(IF((Income!D$3:D$502="GBP")*(Income!A$3:A$502=DATE(2026,7,10)),ROW(Income!A$3:A$502)-2),3)),0)=0,"",IFERROR(-INDEX(Expenses!D$3:D$999,SMALL(IF((Expenses!E$3:E$999="GBP")*(Expenses!A$3:A$999=DATE(2026,7,10)),ROW(Expenses!A$3:A$999)-2),3)),0)+IFERROR(INDEX(Income!C$3:C$502,SMALL(IF((Income!D$3:D$502="GBP")*(Income!A$3:A$502=DATE(2026,7,10)),ROW(Income!A$3:A$502)-2),3)),0))</f>
        <v/>
      </c>
      <c r="L141" s="126">
        <f t="array" ref="L141">IF(IFERROR(INDEX(Expenses!B$3:B$999,SMALL(IF((Expenses!E$3:E$999="GBP")*(Expenses!A$3:A$999=DATE(2026,7,10)),ROW(Expenses!A$3:A$999)-2),3)),"")&lt;&gt;"",IFERROR(INDEX(Expenses!B$3:B$999,SMALL(IF((Expenses!E$3:E$999="GBP")*(Expenses!A$3:A$999=DATE(2026,7,10)),ROW(Expenses!A$3:A$999)-2),3)),""),IF(IFERROR(INDEX(Income!B$3:B$502,SMALL(IF((Income!D$3:D$502="GBP")*(Income!A$3:A$502=DATE(2026,7,10)),ROW(Income!A$3:A$502)-2),3)),"")&lt;&gt;"",IFERROR(INDEX(Income!B$3:B$502,SMALL(IF((Income!D$3:D$502="GBP")*(Income!A$3:A$502=DATE(2026,7,10)),ROW(Income!A$3:A$502)-2),3)),""),""))</f>
        <v/>
      </c>
      <c r="M141" s="152">
        <f t="array" ref="M141">IF(IFERROR(-INDEX(Expenses!D$3:D$999,SMALL(IF((Expenses!E$3:E$999="GBP")*(Expenses!A$3:A$999=DATE(2026,7,11)),ROW(Expenses!A$3:A$999)-2),3)),0)+IFERROR(INDEX(Income!C$3:C$502,SMALL(IF((Income!D$3:D$502="GBP")*(Income!A$3:A$502=DATE(2026,7,11)),ROW(Income!A$3:A$502)-2),3)),0)=0,"",IFERROR(-INDEX(Expenses!D$3:D$999,SMALL(IF((Expenses!E$3:E$999="GBP")*(Expenses!A$3:A$999=DATE(2026,7,11)),ROW(Expenses!A$3:A$999)-2),3)),0)+IFERROR(INDEX(Income!C$3:C$502,SMALL(IF((Income!D$3:D$502="GBP")*(Income!A$3:A$502=DATE(2026,7,11)),ROW(Income!A$3:A$502)-2),3)),0))</f>
        <v/>
      </c>
      <c r="N141" s="126">
        <f t="array" ref="N141">IF(IFERROR(INDEX(Expenses!B$3:B$999,SMALL(IF((Expenses!E$3:E$999="GBP")*(Expenses!A$3:A$999=DATE(2026,7,11)),ROW(Expenses!A$3:A$999)-2),3)),"")&lt;&gt;"",IFERROR(INDEX(Expenses!B$3:B$999,SMALL(IF((Expenses!E$3:E$999="GBP")*(Expenses!A$3:A$999=DATE(2026,7,11)),ROW(Expenses!A$3:A$999)-2),3)),""),IF(IFERROR(INDEX(Income!B$3:B$502,SMALL(IF((Income!D$3:D$502="GBP")*(Income!A$3:A$502=DATE(2026,7,11)),ROW(Income!A$3:A$502)-2),3)),"")&lt;&gt;"",IFERROR(INDEX(Income!B$3:B$502,SMALL(IF((Income!D$3:D$502="GBP")*(Income!A$3:A$502=DATE(2026,7,11)),ROW(Income!A$3:A$502)-2),3)),""),""))</f>
        <v/>
      </c>
      <c r="O141" s="152">
        <f t="array" ref="O141">IF(IFERROR(-INDEX(Expenses!D$3:D$999,SMALL(IF((Expenses!E$3:E$999="GBP")*(Expenses!A$3:A$999=DATE(2026,7,12)),ROW(Expenses!A$3:A$999)-2),3)),0)+IFERROR(INDEX(Income!C$3:C$502,SMALL(IF((Income!D$3:D$502="GBP")*(Income!A$3:A$502=DATE(2026,7,12)),ROW(Income!A$3:A$502)-2),3)),0)=0,"",IFERROR(-INDEX(Expenses!D$3:D$999,SMALL(IF((Expenses!E$3:E$999="GBP")*(Expenses!A$3:A$999=DATE(2026,7,12)),ROW(Expenses!A$3:A$999)-2),3)),0)+IFERROR(INDEX(Income!C$3:C$502,SMALL(IF((Income!D$3:D$502="GBP")*(Income!A$3:A$502=DATE(2026,7,12)),ROW(Income!A$3:A$502)-2),3)),0))</f>
        <v/>
      </c>
      <c r="P141" s="126">
        <f t="array" ref="P141">IF(IFERROR(INDEX(Expenses!B$3:B$999,SMALL(IF((Expenses!E$3:E$999="GBP")*(Expenses!A$3:A$999=DATE(2026,7,12)),ROW(Expenses!A$3:A$999)-2),3)),"")&lt;&gt;"",IFERROR(INDEX(Expenses!B$3:B$999,SMALL(IF((Expenses!E$3:E$999="GBP")*(Expenses!A$3:A$999=DATE(2026,7,12)),ROW(Expenses!A$3:A$999)-2),3)),""),IF(IFERROR(INDEX(Income!B$3:B$502,SMALL(IF((Income!D$3:D$502="GBP")*(Income!A$3:A$502=DATE(2026,7,12)),ROW(Income!A$3:A$502)-2),3)),"")&lt;&gt;"",IFERROR(INDEX(Income!B$3:B$502,SMALL(IF((Income!D$3:D$502="GBP")*(Income!A$3:A$502=DATE(2026,7,12)),ROW(Income!A$3:A$502)-2),3)),""),""))</f>
        <v/>
      </c>
      <c r="Q141" s="9" t="n"/>
      <c r="R141" s="9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68">
      <c r="A142" s="9" t="n"/>
      <c r="B142" s="9" t="n"/>
      <c r="C142" s="152">
        <f t="array" ref="C142">IF(IFERROR(-INDEX(Expenses!D$3:D$999,SMALL(IF((Expenses!E$3:E$999="GBP")*(Expenses!A$3:A$999=DATE(2026,7,6)),ROW(Expenses!A$3:A$999)-2),4)),0)+IFERROR(INDEX(Income!C$3:C$502,SMALL(IF((Income!D$3:D$502="GBP")*(Income!A$3:A$502=DATE(2026,7,6)),ROW(Income!A$3:A$502)-2),4)),0)=0,"",IFERROR(-INDEX(Expenses!D$3:D$999,SMALL(IF((Expenses!E$3:E$999="GBP")*(Expenses!A$3:A$999=DATE(2026,7,6)),ROW(Expenses!A$3:A$999)-2),4)),0)+IFERROR(INDEX(Income!C$3:C$502,SMALL(IF((Income!D$3:D$502="GBP")*(Income!A$3:A$502=DATE(2026,7,6)),ROW(Income!A$3:A$502)-2),4)),0))</f>
        <v/>
      </c>
      <c r="D142" s="126">
        <f t="array" ref="D142">IF(IFERROR(INDEX(Expenses!B$3:B$999,SMALL(IF((Expenses!E$3:E$999="GBP")*(Expenses!A$3:A$999=DATE(2026,7,6)),ROW(Expenses!A$3:A$999)-2),4)),"")&lt;&gt;"",IFERROR(INDEX(Expenses!B$3:B$999,SMALL(IF((Expenses!E$3:E$999="GBP")*(Expenses!A$3:A$999=DATE(2026,7,6)),ROW(Expenses!A$3:A$999)-2),4)),""),IF(IFERROR(INDEX(Income!B$3:B$502,SMALL(IF((Income!D$3:D$502="GBP")*(Income!A$3:A$502=DATE(2026,7,6)),ROW(Income!A$3:A$502)-2),4)),"")&lt;&gt;"",IFERROR(INDEX(Income!B$3:B$502,SMALL(IF((Income!D$3:D$502="GBP")*(Income!A$3:A$502=DATE(2026,7,6)),ROW(Income!A$3:A$502)-2),4)),""),""))</f>
        <v/>
      </c>
      <c r="E142" s="152">
        <f t="array" ref="E142">IF(IFERROR(-INDEX(Expenses!D$3:D$999,SMALL(IF((Expenses!E$3:E$999="GBP")*(Expenses!A$3:A$999=DATE(2026,7,7)),ROW(Expenses!A$3:A$999)-2),4)),0)+IFERROR(INDEX(Income!C$3:C$502,SMALL(IF((Income!D$3:D$502="GBP")*(Income!A$3:A$502=DATE(2026,7,7)),ROW(Income!A$3:A$502)-2),4)),0)=0,"",IFERROR(-INDEX(Expenses!D$3:D$999,SMALL(IF((Expenses!E$3:E$999="GBP")*(Expenses!A$3:A$999=DATE(2026,7,7)),ROW(Expenses!A$3:A$999)-2),4)),0)+IFERROR(INDEX(Income!C$3:C$502,SMALL(IF((Income!D$3:D$502="GBP")*(Income!A$3:A$502=DATE(2026,7,7)),ROW(Income!A$3:A$502)-2),4)),0))</f>
        <v/>
      </c>
      <c r="F142" s="126">
        <f t="array" ref="F142">IF(IFERROR(INDEX(Expenses!B$3:B$999,SMALL(IF((Expenses!E$3:E$999="GBP")*(Expenses!A$3:A$999=DATE(2026,7,7)),ROW(Expenses!A$3:A$999)-2),4)),"")&lt;&gt;"",IFERROR(INDEX(Expenses!B$3:B$999,SMALL(IF((Expenses!E$3:E$999="GBP")*(Expenses!A$3:A$999=DATE(2026,7,7)),ROW(Expenses!A$3:A$999)-2),4)),""),IF(IFERROR(INDEX(Income!B$3:B$502,SMALL(IF((Income!D$3:D$502="GBP")*(Income!A$3:A$502=DATE(2026,7,7)),ROW(Income!A$3:A$502)-2),4)),"")&lt;&gt;"",IFERROR(INDEX(Income!B$3:B$502,SMALL(IF((Income!D$3:D$502="GBP")*(Income!A$3:A$502=DATE(2026,7,7)),ROW(Income!A$3:A$502)-2),4)),""),""))</f>
        <v/>
      </c>
      <c r="G142" s="152">
        <f t="array" ref="G142">IF(IFERROR(-INDEX(Expenses!D$3:D$999,SMALL(IF((Expenses!E$3:E$999="GBP")*(Expenses!A$3:A$999=DATE(2026,7,8)),ROW(Expenses!A$3:A$999)-2),4)),0)+IFERROR(INDEX(Income!C$3:C$502,SMALL(IF((Income!D$3:D$502="GBP")*(Income!A$3:A$502=DATE(2026,7,8)),ROW(Income!A$3:A$502)-2),4)),0)=0,"",IFERROR(-INDEX(Expenses!D$3:D$999,SMALL(IF((Expenses!E$3:E$999="GBP")*(Expenses!A$3:A$999=DATE(2026,7,8)),ROW(Expenses!A$3:A$999)-2),4)),0)+IFERROR(INDEX(Income!C$3:C$502,SMALL(IF((Income!D$3:D$502="GBP")*(Income!A$3:A$502=DATE(2026,7,8)),ROW(Income!A$3:A$502)-2),4)),0))</f>
        <v/>
      </c>
      <c r="H142" s="126">
        <f t="array" ref="H142">IF(IFERROR(INDEX(Expenses!B$3:B$999,SMALL(IF((Expenses!E$3:E$999="GBP")*(Expenses!A$3:A$999=DATE(2026,7,8)),ROW(Expenses!A$3:A$999)-2),4)),"")&lt;&gt;"",IFERROR(INDEX(Expenses!B$3:B$999,SMALL(IF((Expenses!E$3:E$999="GBP")*(Expenses!A$3:A$999=DATE(2026,7,8)),ROW(Expenses!A$3:A$999)-2),4)),""),IF(IFERROR(INDEX(Income!B$3:B$502,SMALL(IF((Income!D$3:D$502="GBP")*(Income!A$3:A$502=DATE(2026,7,8)),ROW(Income!A$3:A$502)-2),4)),"")&lt;&gt;"",IFERROR(INDEX(Income!B$3:B$502,SMALL(IF((Income!D$3:D$502="GBP")*(Income!A$3:A$502=DATE(2026,7,8)),ROW(Income!A$3:A$502)-2),4)),""),""))</f>
        <v/>
      </c>
      <c r="I142" s="152">
        <f t="array" ref="I142">IF(IFERROR(-INDEX(Expenses!D$3:D$999,SMALL(IF((Expenses!E$3:E$999="GBP")*(Expenses!A$3:A$999=DATE(2026,7,9)),ROW(Expenses!A$3:A$999)-2),4)),0)+IFERROR(INDEX(Income!C$3:C$502,SMALL(IF((Income!D$3:D$502="GBP")*(Income!A$3:A$502=DATE(2026,7,9)),ROW(Income!A$3:A$502)-2),4)),0)=0,"",IFERROR(-INDEX(Expenses!D$3:D$999,SMALL(IF((Expenses!E$3:E$999="GBP")*(Expenses!A$3:A$999=DATE(2026,7,9)),ROW(Expenses!A$3:A$999)-2),4)),0)+IFERROR(INDEX(Income!C$3:C$502,SMALL(IF((Income!D$3:D$502="GBP")*(Income!A$3:A$502=DATE(2026,7,9)),ROW(Income!A$3:A$502)-2),4)),0))</f>
        <v/>
      </c>
      <c r="J142" s="126">
        <f t="array" ref="J142">IF(IFERROR(INDEX(Expenses!B$3:B$999,SMALL(IF((Expenses!E$3:E$999="GBP")*(Expenses!A$3:A$999=DATE(2026,7,9)),ROW(Expenses!A$3:A$999)-2),4)),"")&lt;&gt;"",IFERROR(INDEX(Expenses!B$3:B$999,SMALL(IF((Expenses!E$3:E$999="GBP")*(Expenses!A$3:A$999=DATE(2026,7,9)),ROW(Expenses!A$3:A$999)-2),4)),""),IF(IFERROR(INDEX(Income!B$3:B$502,SMALL(IF((Income!D$3:D$502="GBP")*(Income!A$3:A$502=DATE(2026,7,9)),ROW(Income!A$3:A$502)-2),4)),"")&lt;&gt;"",IFERROR(INDEX(Income!B$3:B$502,SMALL(IF((Income!D$3:D$502="GBP")*(Income!A$3:A$502=DATE(2026,7,9)),ROW(Income!A$3:A$502)-2),4)),""),""))</f>
        <v/>
      </c>
      <c r="K142" s="152">
        <f t="array" ref="K142">IF(IFERROR(-INDEX(Expenses!D$3:D$999,SMALL(IF((Expenses!E$3:E$999="GBP")*(Expenses!A$3:A$999=DATE(2026,7,10)),ROW(Expenses!A$3:A$999)-2),4)),0)+IFERROR(INDEX(Income!C$3:C$502,SMALL(IF((Income!D$3:D$502="GBP")*(Income!A$3:A$502=DATE(2026,7,10)),ROW(Income!A$3:A$502)-2),4)),0)=0,"",IFERROR(-INDEX(Expenses!D$3:D$999,SMALL(IF((Expenses!E$3:E$999="GBP")*(Expenses!A$3:A$999=DATE(2026,7,10)),ROW(Expenses!A$3:A$999)-2),4)),0)+IFERROR(INDEX(Income!C$3:C$502,SMALL(IF((Income!D$3:D$502="GBP")*(Income!A$3:A$502=DATE(2026,7,10)),ROW(Income!A$3:A$502)-2),4)),0))</f>
        <v/>
      </c>
      <c r="L142" s="126">
        <f t="array" ref="L142">IF(IFERROR(INDEX(Expenses!B$3:B$999,SMALL(IF((Expenses!E$3:E$999="GBP")*(Expenses!A$3:A$999=DATE(2026,7,10)),ROW(Expenses!A$3:A$999)-2),4)),"")&lt;&gt;"",IFERROR(INDEX(Expenses!B$3:B$999,SMALL(IF((Expenses!E$3:E$999="GBP")*(Expenses!A$3:A$999=DATE(2026,7,10)),ROW(Expenses!A$3:A$999)-2),4)),""),IF(IFERROR(INDEX(Income!B$3:B$502,SMALL(IF((Income!D$3:D$502="GBP")*(Income!A$3:A$502=DATE(2026,7,10)),ROW(Income!A$3:A$502)-2),4)),"")&lt;&gt;"",IFERROR(INDEX(Income!B$3:B$502,SMALL(IF((Income!D$3:D$502="GBP")*(Income!A$3:A$502=DATE(2026,7,10)),ROW(Income!A$3:A$502)-2),4)),""),""))</f>
        <v/>
      </c>
      <c r="M142" s="152">
        <f t="array" ref="M142">IF(IFERROR(-INDEX(Expenses!D$3:D$999,SMALL(IF((Expenses!E$3:E$999="GBP")*(Expenses!A$3:A$999=DATE(2026,7,11)),ROW(Expenses!A$3:A$999)-2),4)),0)+IFERROR(INDEX(Income!C$3:C$502,SMALL(IF((Income!D$3:D$502="GBP")*(Income!A$3:A$502=DATE(2026,7,11)),ROW(Income!A$3:A$502)-2),4)),0)=0,"",IFERROR(-INDEX(Expenses!D$3:D$999,SMALL(IF((Expenses!E$3:E$999="GBP")*(Expenses!A$3:A$999=DATE(2026,7,11)),ROW(Expenses!A$3:A$999)-2),4)),0)+IFERROR(INDEX(Income!C$3:C$502,SMALL(IF((Income!D$3:D$502="GBP")*(Income!A$3:A$502=DATE(2026,7,11)),ROW(Income!A$3:A$502)-2),4)),0))</f>
        <v/>
      </c>
      <c r="N142" s="126">
        <f t="array" ref="N142">IF(IFERROR(INDEX(Expenses!B$3:B$999,SMALL(IF((Expenses!E$3:E$999="GBP")*(Expenses!A$3:A$999=DATE(2026,7,11)),ROW(Expenses!A$3:A$999)-2),4)),"")&lt;&gt;"",IFERROR(INDEX(Expenses!B$3:B$999,SMALL(IF((Expenses!E$3:E$999="GBP")*(Expenses!A$3:A$999=DATE(2026,7,11)),ROW(Expenses!A$3:A$999)-2),4)),""),IF(IFERROR(INDEX(Income!B$3:B$502,SMALL(IF((Income!D$3:D$502="GBP")*(Income!A$3:A$502=DATE(2026,7,11)),ROW(Income!A$3:A$502)-2),4)),"")&lt;&gt;"",IFERROR(INDEX(Income!B$3:B$502,SMALL(IF((Income!D$3:D$502="GBP")*(Income!A$3:A$502=DATE(2026,7,11)),ROW(Income!A$3:A$502)-2),4)),""),""))</f>
        <v/>
      </c>
      <c r="O142" s="152">
        <f t="array" ref="O142">IF(IFERROR(-INDEX(Expenses!D$3:D$999,SMALL(IF((Expenses!E$3:E$999="GBP")*(Expenses!A$3:A$999=DATE(2026,7,12)),ROW(Expenses!A$3:A$999)-2),4)),0)+IFERROR(INDEX(Income!C$3:C$502,SMALL(IF((Income!D$3:D$502="GBP")*(Income!A$3:A$502=DATE(2026,7,12)),ROW(Income!A$3:A$502)-2),4)),0)=0,"",IFERROR(-INDEX(Expenses!D$3:D$999,SMALL(IF((Expenses!E$3:E$999="GBP")*(Expenses!A$3:A$999=DATE(2026,7,12)),ROW(Expenses!A$3:A$999)-2),4)),0)+IFERROR(INDEX(Income!C$3:C$502,SMALL(IF((Income!D$3:D$502="GBP")*(Income!A$3:A$502=DATE(2026,7,12)),ROW(Income!A$3:A$502)-2),4)),0))</f>
        <v/>
      </c>
      <c r="P142" s="126">
        <f t="array" ref="P142">IF(IFERROR(INDEX(Expenses!B$3:B$999,SMALL(IF((Expenses!E$3:E$999="GBP")*(Expenses!A$3:A$999=DATE(2026,7,12)),ROW(Expenses!A$3:A$999)-2),4)),"")&lt;&gt;"",IFERROR(INDEX(Expenses!B$3:B$999,SMALL(IF((Expenses!E$3:E$999="GBP")*(Expenses!A$3:A$999=DATE(2026,7,12)),ROW(Expenses!A$3:A$999)-2),4)),""),IF(IFERROR(INDEX(Income!B$3:B$502,SMALL(IF((Income!D$3:D$502="GBP")*(Income!A$3:A$502=DATE(2026,7,12)),ROW(Income!A$3:A$502)-2),4)),"")&lt;&gt;"",IFERROR(INDEX(Income!B$3:B$502,SMALL(IF((Income!D$3:D$502="GBP")*(Income!A$3:A$502=DATE(2026,7,12)),ROW(Income!A$3:A$502)-2),4)),""),""))</f>
        <v/>
      </c>
      <c r="Q142" s="9" t="n"/>
      <c r="R142" s="9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68">
      <c r="A143" s="9" t="n"/>
      <c r="B143" s="9" t="n"/>
      <c r="C143" s="152">
        <f t="array" ref="C143">IF(IFERROR(-INDEX(Expenses!D$3:D$999,SMALL(IF((Expenses!E$3:E$999="GBP")*(Expenses!A$3:A$999=DATE(2026,7,6)),ROW(Expenses!A$3:A$999)-2),5)),0)+IFERROR(INDEX(Income!C$3:C$502,SMALL(IF((Income!D$3:D$502="GBP")*(Income!A$3:A$502=DATE(2026,7,6)),ROW(Income!A$3:A$502)-2),5)),0)=0,"",IFERROR(-INDEX(Expenses!D$3:D$999,SMALL(IF((Expenses!E$3:E$999="GBP")*(Expenses!A$3:A$999=DATE(2026,7,6)),ROW(Expenses!A$3:A$999)-2),5)),0)+IFERROR(INDEX(Income!C$3:C$502,SMALL(IF((Income!D$3:D$502="GBP")*(Income!A$3:A$502=DATE(2026,7,6)),ROW(Income!A$3:A$502)-2),5)),0))</f>
        <v/>
      </c>
      <c r="D143" s="126">
        <f t="array" ref="D143">IF(IFERROR(INDEX(Expenses!B$3:B$999,SMALL(IF((Expenses!E$3:E$999="GBP")*(Expenses!A$3:A$999=DATE(2026,7,6)),ROW(Expenses!A$3:A$999)-2),5)),"")&lt;&gt;"",IFERROR(INDEX(Expenses!B$3:B$999,SMALL(IF((Expenses!E$3:E$999="GBP")*(Expenses!A$3:A$999=DATE(2026,7,6)),ROW(Expenses!A$3:A$999)-2),5)),""),IF(IFERROR(INDEX(Income!B$3:B$502,SMALL(IF((Income!D$3:D$502="GBP")*(Income!A$3:A$502=DATE(2026,7,6)),ROW(Income!A$3:A$502)-2),5)),"")&lt;&gt;"",IFERROR(INDEX(Income!B$3:B$502,SMALL(IF((Income!D$3:D$502="GBP")*(Income!A$3:A$502=DATE(2026,7,6)),ROW(Income!A$3:A$502)-2),5)),""),""))</f>
        <v/>
      </c>
      <c r="E143" s="152">
        <f t="array" ref="E143">IF(IFERROR(-INDEX(Expenses!D$3:D$999,SMALL(IF((Expenses!E$3:E$999="GBP")*(Expenses!A$3:A$999=DATE(2026,7,7)),ROW(Expenses!A$3:A$999)-2),5)),0)+IFERROR(INDEX(Income!C$3:C$502,SMALL(IF((Income!D$3:D$502="GBP")*(Income!A$3:A$502=DATE(2026,7,7)),ROW(Income!A$3:A$502)-2),5)),0)=0,"",IFERROR(-INDEX(Expenses!D$3:D$999,SMALL(IF((Expenses!E$3:E$999="GBP")*(Expenses!A$3:A$999=DATE(2026,7,7)),ROW(Expenses!A$3:A$999)-2),5)),0)+IFERROR(INDEX(Income!C$3:C$502,SMALL(IF((Income!D$3:D$502="GBP")*(Income!A$3:A$502=DATE(2026,7,7)),ROW(Income!A$3:A$502)-2),5)),0))</f>
        <v/>
      </c>
      <c r="F143" s="126">
        <f t="array" ref="F143">IF(IFERROR(INDEX(Expenses!B$3:B$999,SMALL(IF((Expenses!E$3:E$999="GBP")*(Expenses!A$3:A$999=DATE(2026,7,7)),ROW(Expenses!A$3:A$999)-2),5)),"")&lt;&gt;"",IFERROR(INDEX(Expenses!B$3:B$999,SMALL(IF((Expenses!E$3:E$999="GBP")*(Expenses!A$3:A$999=DATE(2026,7,7)),ROW(Expenses!A$3:A$999)-2),5)),""),IF(IFERROR(INDEX(Income!B$3:B$502,SMALL(IF((Income!D$3:D$502="GBP")*(Income!A$3:A$502=DATE(2026,7,7)),ROW(Income!A$3:A$502)-2),5)),"")&lt;&gt;"",IFERROR(INDEX(Income!B$3:B$502,SMALL(IF((Income!D$3:D$502="GBP")*(Income!A$3:A$502=DATE(2026,7,7)),ROW(Income!A$3:A$502)-2),5)),""),""))</f>
        <v/>
      </c>
      <c r="G143" s="152">
        <f t="array" ref="G143">IF(IFERROR(-INDEX(Expenses!D$3:D$999,SMALL(IF((Expenses!E$3:E$999="GBP")*(Expenses!A$3:A$999=DATE(2026,7,8)),ROW(Expenses!A$3:A$999)-2),5)),0)+IFERROR(INDEX(Income!C$3:C$502,SMALL(IF((Income!D$3:D$502="GBP")*(Income!A$3:A$502=DATE(2026,7,8)),ROW(Income!A$3:A$502)-2),5)),0)=0,"",IFERROR(-INDEX(Expenses!D$3:D$999,SMALL(IF((Expenses!E$3:E$999="GBP")*(Expenses!A$3:A$999=DATE(2026,7,8)),ROW(Expenses!A$3:A$999)-2),5)),0)+IFERROR(INDEX(Income!C$3:C$502,SMALL(IF((Income!D$3:D$502="GBP")*(Income!A$3:A$502=DATE(2026,7,8)),ROW(Income!A$3:A$502)-2),5)),0))</f>
        <v/>
      </c>
      <c r="H143" s="126">
        <f t="array" ref="H143">IF(IFERROR(INDEX(Expenses!B$3:B$999,SMALL(IF((Expenses!E$3:E$999="GBP")*(Expenses!A$3:A$999=DATE(2026,7,8)),ROW(Expenses!A$3:A$999)-2),5)),"")&lt;&gt;"",IFERROR(INDEX(Expenses!B$3:B$999,SMALL(IF((Expenses!E$3:E$999="GBP")*(Expenses!A$3:A$999=DATE(2026,7,8)),ROW(Expenses!A$3:A$999)-2),5)),""),IF(IFERROR(INDEX(Income!B$3:B$502,SMALL(IF((Income!D$3:D$502="GBP")*(Income!A$3:A$502=DATE(2026,7,8)),ROW(Income!A$3:A$502)-2),5)),"")&lt;&gt;"",IFERROR(INDEX(Income!B$3:B$502,SMALL(IF((Income!D$3:D$502="GBP")*(Income!A$3:A$502=DATE(2026,7,8)),ROW(Income!A$3:A$502)-2),5)),""),""))</f>
        <v/>
      </c>
      <c r="I143" s="152">
        <f t="array" ref="I143">IF(IFERROR(-INDEX(Expenses!D$3:D$999,SMALL(IF((Expenses!E$3:E$999="GBP")*(Expenses!A$3:A$999=DATE(2026,7,9)),ROW(Expenses!A$3:A$999)-2),5)),0)+IFERROR(INDEX(Income!C$3:C$502,SMALL(IF((Income!D$3:D$502="GBP")*(Income!A$3:A$502=DATE(2026,7,9)),ROW(Income!A$3:A$502)-2),5)),0)=0,"",IFERROR(-INDEX(Expenses!D$3:D$999,SMALL(IF((Expenses!E$3:E$999="GBP")*(Expenses!A$3:A$999=DATE(2026,7,9)),ROW(Expenses!A$3:A$999)-2),5)),0)+IFERROR(INDEX(Income!C$3:C$502,SMALL(IF((Income!D$3:D$502="GBP")*(Income!A$3:A$502=DATE(2026,7,9)),ROW(Income!A$3:A$502)-2),5)),0))</f>
        <v/>
      </c>
      <c r="J143" s="126">
        <f t="array" ref="J143">IF(IFERROR(INDEX(Expenses!B$3:B$999,SMALL(IF((Expenses!E$3:E$999="GBP")*(Expenses!A$3:A$999=DATE(2026,7,9)),ROW(Expenses!A$3:A$999)-2),5)),"")&lt;&gt;"",IFERROR(INDEX(Expenses!B$3:B$999,SMALL(IF((Expenses!E$3:E$999="GBP")*(Expenses!A$3:A$999=DATE(2026,7,9)),ROW(Expenses!A$3:A$999)-2),5)),""),IF(IFERROR(INDEX(Income!B$3:B$502,SMALL(IF((Income!D$3:D$502="GBP")*(Income!A$3:A$502=DATE(2026,7,9)),ROW(Income!A$3:A$502)-2),5)),"")&lt;&gt;"",IFERROR(INDEX(Income!B$3:B$502,SMALL(IF((Income!D$3:D$502="GBP")*(Income!A$3:A$502=DATE(2026,7,9)),ROW(Income!A$3:A$502)-2),5)),""),""))</f>
        <v/>
      </c>
      <c r="K143" s="152">
        <f t="array" ref="K143">IF(IFERROR(-INDEX(Expenses!D$3:D$999,SMALL(IF((Expenses!E$3:E$999="GBP")*(Expenses!A$3:A$999=DATE(2026,7,10)),ROW(Expenses!A$3:A$999)-2),5)),0)+IFERROR(INDEX(Income!C$3:C$502,SMALL(IF((Income!D$3:D$502="GBP")*(Income!A$3:A$502=DATE(2026,7,10)),ROW(Income!A$3:A$502)-2),5)),0)=0,"",IFERROR(-INDEX(Expenses!D$3:D$999,SMALL(IF((Expenses!E$3:E$999="GBP")*(Expenses!A$3:A$999=DATE(2026,7,10)),ROW(Expenses!A$3:A$999)-2),5)),0)+IFERROR(INDEX(Income!C$3:C$502,SMALL(IF((Income!D$3:D$502="GBP")*(Income!A$3:A$502=DATE(2026,7,10)),ROW(Income!A$3:A$502)-2),5)),0))</f>
        <v/>
      </c>
      <c r="L143" s="126">
        <f t="array" ref="L143">IF(IFERROR(INDEX(Expenses!B$3:B$999,SMALL(IF((Expenses!E$3:E$999="GBP")*(Expenses!A$3:A$999=DATE(2026,7,10)),ROW(Expenses!A$3:A$999)-2),5)),"")&lt;&gt;"",IFERROR(INDEX(Expenses!B$3:B$999,SMALL(IF((Expenses!E$3:E$999="GBP")*(Expenses!A$3:A$999=DATE(2026,7,10)),ROW(Expenses!A$3:A$999)-2),5)),""),IF(IFERROR(INDEX(Income!B$3:B$502,SMALL(IF((Income!D$3:D$502="GBP")*(Income!A$3:A$502=DATE(2026,7,10)),ROW(Income!A$3:A$502)-2),5)),"")&lt;&gt;"",IFERROR(INDEX(Income!B$3:B$502,SMALL(IF((Income!D$3:D$502="GBP")*(Income!A$3:A$502=DATE(2026,7,10)),ROW(Income!A$3:A$502)-2),5)),""),""))</f>
        <v/>
      </c>
      <c r="M143" s="152">
        <f t="array" ref="M143">IF(IFERROR(-INDEX(Expenses!D$3:D$999,SMALL(IF((Expenses!E$3:E$999="GBP")*(Expenses!A$3:A$999=DATE(2026,7,11)),ROW(Expenses!A$3:A$999)-2),5)),0)+IFERROR(INDEX(Income!C$3:C$502,SMALL(IF((Income!D$3:D$502="GBP")*(Income!A$3:A$502=DATE(2026,7,11)),ROW(Income!A$3:A$502)-2),5)),0)=0,"",IFERROR(-INDEX(Expenses!D$3:D$999,SMALL(IF((Expenses!E$3:E$999="GBP")*(Expenses!A$3:A$999=DATE(2026,7,11)),ROW(Expenses!A$3:A$999)-2),5)),0)+IFERROR(INDEX(Income!C$3:C$502,SMALL(IF((Income!D$3:D$502="GBP")*(Income!A$3:A$502=DATE(2026,7,11)),ROW(Income!A$3:A$502)-2),5)),0))</f>
        <v/>
      </c>
      <c r="N143" s="126">
        <f t="array" ref="N143">IF(IFERROR(INDEX(Expenses!B$3:B$999,SMALL(IF((Expenses!E$3:E$999="GBP")*(Expenses!A$3:A$999=DATE(2026,7,11)),ROW(Expenses!A$3:A$999)-2),5)),"")&lt;&gt;"",IFERROR(INDEX(Expenses!B$3:B$999,SMALL(IF((Expenses!E$3:E$999="GBP")*(Expenses!A$3:A$999=DATE(2026,7,11)),ROW(Expenses!A$3:A$999)-2),5)),""),IF(IFERROR(INDEX(Income!B$3:B$502,SMALL(IF((Income!D$3:D$502="GBP")*(Income!A$3:A$502=DATE(2026,7,11)),ROW(Income!A$3:A$502)-2),5)),"")&lt;&gt;"",IFERROR(INDEX(Income!B$3:B$502,SMALL(IF((Income!D$3:D$502="GBP")*(Income!A$3:A$502=DATE(2026,7,11)),ROW(Income!A$3:A$502)-2),5)),""),""))</f>
        <v/>
      </c>
      <c r="O143" s="152">
        <f t="array" ref="O143">IF(IFERROR(-INDEX(Expenses!D$3:D$999,SMALL(IF((Expenses!E$3:E$999="GBP")*(Expenses!A$3:A$999=DATE(2026,7,12)),ROW(Expenses!A$3:A$999)-2),5)),0)+IFERROR(INDEX(Income!C$3:C$502,SMALL(IF((Income!D$3:D$502="GBP")*(Income!A$3:A$502=DATE(2026,7,12)),ROW(Income!A$3:A$502)-2),5)),0)=0,"",IFERROR(-INDEX(Expenses!D$3:D$999,SMALL(IF((Expenses!E$3:E$999="GBP")*(Expenses!A$3:A$999=DATE(2026,7,12)),ROW(Expenses!A$3:A$999)-2),5)),0)+IFERROR(INDEX(Income!C$3:C$502,SMALL(IF((Income!D$3:D$502="GBP")*(Income!A$3:A$502=DATE(2026,7,12)),ROW(Income!A$3:A$502)-2),5)),0))</f>
        <v/>
      </c>
      <c r="P143" s="126">
        <f t="array" ref="P143">IF(IFERROR(INDEX(Expenses!B$3:B$999,SMALL(IF((Expenses!E$3:E$999="GBP")*(Expenses!A$3:A$999=DATE(2026,7,12)),ROW(Expenses!A$3:A$999)-2),5)),"")&lt;&gt;"",IFERROR(INDEX(Expenses!B$3:B$999,SMALL(IF((Expenses!E$3:E$999="GBP")*(Expenses!A$3:A$999=DATE(2026,7,12)),ROW(Expenses!A$3:A$999)-2),5)),""),IF(IFERROR(INDEX(Income!B$3:B$502,SMALL(IF((Income!D$3:D$502="GBP")*(Income!A$3:A$502=DATE(2026,7,12)),ROW(Income!A$3:A$502)-2),5)),"")&lt;&gt;"",IFERROR(INDEX(Income!B$3:B$502,SMALL(IF((Income!D$3:D$502="GBP")*(Income!A$3:A$502=DATE(2026,7,12)),ROW(Income!A$3:A$502)-2),5)),""),""))</f>
        <v/>
      </c>
      <c r="Q143" s="9" t="n"/>
      <c r="R143" s="9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68">
      <c r="A144" s="151" t="n">
        <v>46216</v>
      </c>
      <c r="B144" s="103" t="n">
        <v>29</v>
      </c>
      <c r="C144" s="152">
        <f t="array" ref="C144">IF(IFERROR(-INDEX(Expenses!D$3:D$999,SMALL(IF((Expenses!E$3:E$999="GBP")*(Expenses!A$3:A$999=DATE(2026,7,13)),ROW(Expenses!A$3:A$999)-2),1)),0)+IFERROR(INDEX(Income!C$3:C$502,SMALL(IF((Income!D$3:D$502="GBP")*(Income!A$3:A$502=DATE(2026,7,13)),ROW(Income!A$3:A$502)-2),1)),0)=0,"",IFERROR(-INDEX(Expenses!D$3:D$999,SMALL(IF((Expenses!E$3:E$999="GBP")*(Expenses!A$3:A$999=DATE(2026,7,13)),ROW(Expenses!A$3:A$999)-2),1)),0)+IFERROR(INDEX(Income!C$3:C$502,SMALL(IF((Income!D$3:D$502="GBP")*(Income!A$3:A$502=DATE(2026,7,13)),ROW(Income!A$3:A$502)-2),1)),0))</f>
        <v/>
      </c>
      <c r="D144" s="126">
        <f t="array" ref="D144">IF(IFERROR(INDEX(Expenses!B$3:B$999,SMALL(IF((Expenses!E$3:E$999="GBP")*(Expenses!A$3:A$999=DATE(2026,7,13)),ROW(Expenses!A$3:A$999)-2),1)),"")&lt;&gt;"",IFERROR(INDEX(Expenses!B$3:B$999,SMALL(IF((Expenses!E$3:E$999="GBP")*(Expenses!A$3:A$999=DATE(2026,7,13)),ROW(Expenses!A$3:A$999)-2),1)),""),IF(IFERROR(INDEX(Income!B$3:B$502,SMALL(IF((Income!D$3:D$502="GBP")*(Income!A$3:A$502=DATE(2026,7,13)),ROW(Income!A$3:A$502)-2),1)),"")&lt;&gt;"",IFERROR(INDEX(Income!B$3:B$502,SMALL(IF((Income!D$3:D$502="GBP")*(Income!A$3:A$502=DATE(2026,7,13)),ROW(Income!A$3:A$502)-2),1)),""),""))</f>
        <v/>
      </c>
      <c r="E144" s="152">
        <f t="array" ref="E144">IF(IFERROR(-INDEX(Expenses!D$3:D$999,SMALL(IF((Expenses!E$3:E$999="GBP")*(Expenses!A$3:A$999=DATE(2026,7,14)),ROW(Expenses!A$3:A$999)-2),1)),0)+IFERROR(INDEX(Income!C$3:C$502,SMALL(IF((Income!D$3:D$502="GBP")*(Income!A$3:A$502=DATE(2026,7,14)),ROW(Income!A$3:A$502)-2),1)),0)=0,"",IFERROR(-INDEX(Expenses!D$3:D$999,SMALL(IF((Expenses!E$3:E$999="GBP")*(Expenses!A$3:A$999=DATE(2026,7,14)),ROW(Expenses!A$3:A$999)-2),1)),0)+IFERROR(INDEX(Income!C$3:C$502,SMALL(IF((Income!D$3:D$502="GBP")*(Income!A$3:A$502=DATE(2026,7,14)),ROW(Income!A$3:A$502)-2),1)),0))</f>
        <v/>
      </c>
      <c r="F144" s="126">
        <f t="array" ref="F144">IF(IFERROR(INDEX(Expenses!B$3:B$999,SMALL(IF((Expenses!E$3:E$999="GBP")*(Expenses!A$3:A$999=DATE(2026,7,14)),ROW(Expenses!A$3:A$999)-2),1)),"")&lt;&gt;"",IFERROR(INDEX(Expenses!B$3:B$999,SMALL(IF((Expenses!E$3:E$999="GBP")*(Expenses!A$3:A$999=DATE(2026,7,14)),ROW(Expenses!A$3:A$999)-2),1)),""),IF(IFERROR(INDEX(Income!B$3:B$502,SMALL(IF((Income!D$3:D$502="GBP")*(Income!A$3:A$502=DATE(2026,7,14)),ROW(Income!A$3:A$502)-2),1)),"")&lt;&gt;"",IFERROR(INDEX(Income!B$3:B$502,SMALL(IF((Income!D$3:D$502="GBP")*(Income!A$3:A$502=DATE(2026,7,14)),ROW(Income!A$3:A$502)-2),1)),""),""))</f>
        <v/>
      </c>
      <c r="G144" s="152">
        <f t="array" ref="G144">IF(IFERROR(-INDEX(Expenses!D$3:D$999,SMALL(IF((Expenses!E$3:E$999="GBP")*(Expenses!A$3:A$999=DATE(2026,7,15)),ROW(Expenses!A$3:A$999)-2),1)),0)+IFERROR(INDEX(Income!C$3:C$502,SMALL(IF((Income!D$3:D$502="GBP")*(Income!A$3:A$502=DATE(2026,7,15)),ROW(Income!A$3:A$502)-2),1)),0)=0,"",IFERROR(-INDEX(Expenses!D$3:D$999,SMALL(IF((Expenses!E$3:E$999="GBP")*(Expenses!A$3:A$999=DATE(2026,7,15)),ROW(Expenses!A$3:A$999)-2),1)),0)+IFERROR(INDEX(Income!C$3:C$502,SMALL(IF((Income!D$3:D$502="GBP")*(Income!A$3:A$502=DATE(2026,7,15)),ROW(Income!A$3:A$502)-2),1)),0))</f>
        <v/>
      </c>
      <c r="H144" s="126">
        <f t="array" ref="H144">IF(IFERROR(INDEX(Expenses!B$3:B$999,SMALL(IF((Expenses!E$3:E$999="GBP")*(Expenses!A$3:A$999=DATE(2026,7,15)),ROW(Expenses!A$3:A$999)-2),1)),"")&lt;&gt;"",IFERROR(INDEX(Expenses!B$3:B$999,SMALL(IF((Expenses!E$3:E$999="GBP")*(Expenses!A$3:A$999=DATE(2026,7,15)),ROW(Expenses!A$3:A$999)-2),1)),""),IF(IFERROR(INDEX(Income!B$3:B$502,SMALL(IF((Income!D$3:D$502="GBP")*(Income!A$3:A$502=DATE(2026,7,15)),ROW(Income!A$3:A$502)-2),1)),"")&lt;&gt;"",IFERROR(INDEX(Income!B$3:B$502,SMALL(IF((Income!D$3:D$502="GBP")*(Income!A$3:A$502=DATE(2026,7,15)),ROW(Income!A$3:A$502)-2),1)),""),""))</f>
        <v/>
      </c>
      <c r="I144" s="152">
        <f t="array" ref="I144">IF(IFERROR(-INDEX(Expenses!D$3:D$999,SMALL(IF((Expenses!E$3:E$999="GBP")*(Expenses!A$3:A$999=DATE(2026,7,16)),ROW(Expenses!A$3:A$999)-2),1)),0)+IFERROR(INDEX(Income!C$3:C$502,SMALL(IF((Income!D$3:D$502="GBP")*(Income!A$3:A$502=DATE(2026,7,16)),ROW(Income!A$3:A$502)-2),1)),0)=0,"",IFERROR(-INDEX(Expenses!D$3:D$999,SMALL(IF((Expenses!E$3:E$999="GBP")*(Expenses!A$3:A$999=DATE(2026,7,16)),ROW(Expenses!A$3:A$999)-2),1)),0)+IFERROR(INDEX(Income!C$3:C$502,SMALL(IF((Income!D$3:D$502="GBP")*(Income!A$3:A$502=DATE(2026,7,16)),ROW(Income!A$3:A$502)-2),1)),0))</f>
        <v/>
      </c>
      <c r="J144" s="126">
        <f t="array" ref="J144">IF(IFERROR(INDEX(Expenses!B$3:B$999,SMALL(IF((Expenses!E$3:E$999="GBP")*(Expenses!A$3:A$999=DATE(2026,7,16)),ROW(Expenses!A$3:A$999)-2),1)),"")&lt;&gt;"",IFERROR(INDEX(Expenses!B$3:B$999,SMALL(IF((Expenses!E$3:E$999="GBP")*(Expenses!A$3:A$999=DATE(2026,7,16)),ROW(Expenses!A$3:A$999)-2),1)),""),IF(IFERROR(INDEX(Income!B$3:B$502,SMALL(IF((Income!D$3:D$502="GBP")*(Income!A$3:A$502=DATE(2026,7,16)),ROW(Income!A$3:A$502)-2),1)),"")&lt;&gt;"",IFERROR(INDEX(Income!B$3:B$502,SMALL(IF((Income!D$3:D$502="GBP")*(Income!A$3:A$502=DATE(2026,7,16)),ROW(Income!A$3:A$502)-2),1)),""),""))</f>
        <v/>
      </c>
      <c r="K144" s="152">
        <f t="array" ref="K144">IF(IFERROR(-INDEX(Expenses!D$3:D$999,SMALL(IF((Expenses!E$3:E$999="GBP")*(Expenses!A$3:A$999=DATE(2026,7,17)),ROW(Expenses!A$3:A$999)-2),1)),0)+IFERROR(INDEX(Income!C$3:C$502,SMALL(IF((Income!D$3:D$502="GBP")*(Income!A$3:A$502=DATE(2026,7,17)),ROW(Income!A$3:A$502)-2),1)),0)=0,"",IFERROR(-INDEX(Expenses!D$3:D$999,SMALL(IF((Expenses!E$3:E$999="GBP")*(Expenses!A$3:A$999=DATE(2026,7,17)),ROW(Expenses!A$3:A$999)-2),1)),0)+IFERROR(INDEX(Income!C$3:C$502,SMALL(IF((Income!D$3:D$502="GBP")*(Income!A$3:A$502=DATE(2026,7,17)),ROW(Income!A$3:A$502)-2),1)),0))</f>
        <v/>
      </c>
      <c r="L144" s="126">
        <f t="array" ref="L144">IF(IFERROR(INDEX(Expenses!B$3:B$999,SMALL(IF((Expenses!E$3:E$999="GBP")*(Expenses!A$3:A$999=DATE(2026,7,17)),ROW(Expenses!A$3:A$999)-2),1)),"")&lt;&gt;"",IFERROR(INDEX(Expenses!B$3:B$999,SMALL(IF((Expenses!E$3:E$999="GBP")*(Expenses!A$3:A$999=DATE(2026,7,17)),ROW(Expenses!A$3:A$999)-2),1)),""),IF(IFERROR(INDEX(Income!B$3:B$502,SMALL(IF((Income!D$3:D$502="GBP")*(Income!A$3:A$502=DATE(2026,7,17)),ROW(Income!A$3:A$502)-2),1)),"")&lt;&gt;"",IFERROR(INDEX(Income!B$3:B$502,SMALL(IF((Income!D$3:D$502="GBP")*(Income!A$3:A$502=DATE(2026,7,17)),ROW(Income!A$3:A$502)-2),1)),""),""))</f>
        <v/>
      </c>
      <c r="M144" s="152">
        <f t="array" ref="M144">IF(IFERROR(-INDEX(Expenses!D$3:D$999,SMALL(IF((Expenses!E$3:E$999="GBP")*(Expenses!A$3:A$999=DATE(2026,7,18)),ROW(Expenses!A$3:A$999)-2),1)),0)+IFERROR(INDEX(Income!C$3:C$502,SMALL(IF((Income!D$3:D$502="GBP")*(Income!A$3:A$502=DATE(2026,7,18)),ROW(Income!A$3:A$502)-2),1)),0)=0,"",IFERROR(-INDEX(Expenses!D$3:D$999,SMALL(IF((Expenses!E$3:E$999="GBP")*(Expenses!A$3:A$999=DATE(2026,7,18)),ROW(Expenses!A$3:A$999)-2),1)),0)+IFERROR(INDEX(Income!C$3:C$502,SMALL(IF((Income!D$3:D$502="GBP")*(Income!A$3:A$502=DATE(2026,7,18)),ROW(Income!A$3:A$502)-2),1)),0))</f>
        <v/>
      </c>
      <c r="N144" s="126">
        <f t="array" ref="N144">IF(IFERROR(INDEX(Expenses!B$3:B$999,SMALL(IF((Expenses!E$3:E$999="GBP")*(Expenses!A$3:A$999=DATE(2026,7,18)),ROW(Expenses!A$3:A$999)-2),1)),"")&lt;&gt;"",IFERROR(INDEX(Expenses!B$3:B$999,SMALL(IF((Expenses!E$3:E$999="GBP")*(Expenses!A$3:A$999=DATE(2026,7,18)),ROW(Expenses!A$3:A$999)-2),1)),""),IF(IFERROR(INDEX(Income!B$3:B$502,SMALL(IF((Income!D$3:D$502="GBP")*(Income!A$3:A$502=DATE(2026,7,18)),ROW(Income!A$3:A$502)-2),1)),"")&lt;&gt;"",IFERROR(INDEX(Income!B$3:B$502,SMALL(IF((Income!D$3:D$502="GBP")*(Income!A$3:A$502=DATE(2026,7,18)),ROW(Income!A$3:A$502)-2),1)),""),""))</f>
        <v/>
      </c>
      <c r="O144" s="152">
        <f t="array" ref="O144">IF(IFERROR(-INDEX(Expenses!D$3:D$999,SMALL(IF((Expenses!E$3:E$999="GBP")*(Expenses!A$3:A$999=DATE(2026,7,19)),ROW(Expenses!A$3:A$999)-2),1)),0)+IFERROR(INDEX(Income!C$3:C$502,SMALL(IF((Income!D$3:D$502="GBP")*(Income!A$3:A$502=DATE(2026,7,19)),ROW(Income!A$3:A$502)-2),1)),0)=0,"",IFERROR(-INDEX(Expenses!D$3:D$999,SMALL(IF((Expenses!E$3:E$999="GBP")*(Expenses!A$3:A$999=DATE(2026,7,19)),ROW(Expenses!A$3:A$999)-2),1)),0)+IFERROR(INDEX(Income!C$3:C$502,SMALL(IF((Income!D$3:D$502="GBP")*(Income!A$3:A$502=DATE(2026,7,19)),ROW(Income!A$3:A$502)-2),1)),0))</f>
        <v/>
      </c>
      <c r="P144" s="126">
        <f t="array" ref="P144">IF(IFERROR(INDEX(Expenses!B$3:B$999,SMALL(IF((Expenses!E$3:E$999="GBP")*(Expenses!A$3:A$999=DATE(2026,7,19)),ROW(Expenses!A$3:A$999)-2),1)),"")&lt;&gt;"",IFERROR(INDEX(Expenses!B$3:B$999,SMALL(IF((Expenses!E$3:E$999="GBP")*(Expenses!A$3:A$999=DATE(2026,7,19)),ROW(Expenses!A$3:A$999)-2),1)),""),IF(IFERROR(INDEX(Income!B$3:B$502,SMALL(IF((Income!D$3:D$502="GBP")*(Income!A$3:A$502=DATE(2026,7,19)),ROW(Income!A$3:A$502)-2),1)),"")&lt;&gt;"",IFERROR(INDEX(Income!B$3:B$502,SMALL(IF((Income!D$3:D$502="GBP")*(Income!A$3:A$502=DATE(2026,7,19)),ROW(Income!A$3:A$502)-2),1)),""),""))</f>
        <v/>
      </c>
      <c r="Q144" s="103" t="n">
        <v>29</v>
      </c>
      <c r="R144" s="134">
        <f>SUM(C144:C148)+SUM(E144:E148)+SUM(G144:G148)+SUM(I144:I148)+SUM(K144:K148)+SUM(M144:M148)+SUM(O144:O148)</f>
        <v/>
      </c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68">
      <c r="A145" s="9" t="n"/>
      <c r="B145" s="9" t="n"/>
      <c r="C145" s="152">
        <f t="array" ref="C145">IF(IFERROR(-INDEX(Expenses!D$3:D$999,SMALL(IF((Expenses!E$3:E$999="GBP")*(Expenses!A$3:A$999=DATE(2026,7,13)),ROW(Expenses!A$3:A$999)-2),2)),0)+IFERROR(INDEX(Income!C$3:C$502,SMALL(IF((Income!D$3:D$502="GBP")*(Income!A$3:A$502=DATE(2026,7,13)),ROW(Income!A$3:A$502)-2),2)),0)=0,"",IFERROR(-INDEX(Expenses!D$3:D$999,SMALL(IF((Expenses!E$3:E$999="GBP")*(Expenses!A$3:A$999=DATE(2026,7,13)),ROW(Expenses!A$3:A$999)-2),2)),0)+IFERROR(INDEX(Income!C$3:C$502,SMALL(IF((Income!D$3:D$502="GBP")*(Income!A$3:A$502=DATE(2026,7,13)),ROW(Income!A$3:A$502)-2),2)),0))</f>
        <v/>
      </c>
      <c r="D145" s="126">
        <f t="array" ref="D145">IF(IFERROR(INDEX(Expenses!B$3:B$999,SMALL(IF((Expenses!E$3:E$999="GBP")*(Expenses!A$3:A$999=DATE(2026,7,13)),ROW(Expenses!A$3:A$999)-2),2)),"")&lt;&gt;"",IFERROR(INDEX(Expenses!B$3:B$999,SMALL(IF((Expenses!E$3:E$999="GBP")*(Expenses!A$3:A$999=DATE(2026,7,13)),ROW(Expenses!A$3:A$999)-2),2)),""),IF(IFERROR(INDEX(Income!B$3:B$502,SMALL(IF((Income!D$3:D$502="GBP")*(Income!A$3:A$502=DATE(2026,7,13)),ROW(Income!A$3:A$502)-2),2)),"")&lt;&gt;"",IFERROR(INDEX(Income!B$3:B$502,SMALL(IF((Income!D$3:D$502="GBP")*(Income!A$3:A$502=DATE(2026,7,13)),ROW(Income!A$3:A$502)-2),2)),""),""))</f>
        <v/>
      </c>
      <c r="E145" s="152">
        <f t="array" ref="E145">IF(IFERROR(-INDEX(Expenses!D$3:D$999,SMALL(IF((Expenses!E$3:E$999="GBP")*(Expenses!A$3:A$999=DATE(2026,7,14)),ROW(Expenses!A$3:A$999)-2),2)),0)+IFERROR(INDEX(Income!C$3:C$502,SMALL(IF((Income!D$3:D$502="GBP")*(Income!A$3:A$502=DATE(2026,7,14)),ROW(Income!A$3:A$502)-2),2)),0)=0,"",IFERROR(-INDEX(Expenses!D$3:D$999,SMALL(IF((Expenses!E$3:E$999="GBP")*(Expenses!A$3:A$999=DATE(2026,7,14)),ROW(Expenses!A$3:A$999)-2),2)),0)+IFERROR(INDEX(Income!C$3:C$502,SMALL(IF((Income!D$3:D$502="GBP")*(Income!A$3:A$502=DATE(2026,7,14)),ROW(Income!A$3:A$502)-2),2)),0))</f>
        <v/>
      </c>
      <c r="F145" s="126">
        <f t="array" ref="F145">IF(IFERROR(INDEX(Expenses!B$3:B$999,SMALL(IF((Expenses!E$3:E$999="GBP")*(Expenses!A$3:A$999=DATE(2026,7,14)),ROW(Expenses!A$3:A$999)-2),2)),"")&lt;&gt;"",IFERROR(INDEX(Expenses!B$3:B$999,SMALL(IF((Expenses!E$3:E$999="GBP")*(Expenses!A$3:A$999=DATE(2026,7,14)),ROW(Expenses!A$3:A$999)-2),2)),""),IF(IFERROR(INDEX(Income!B$3:B$502,SMALL(IF((Income!D$3:D$502="GBP")*(Income!A$3:A$502=DATE(2026,7,14)),ROW(Income!A$3:A$502)-2),2)),"")&lt;&gt;"",IFERROR(INDEX(Income!B$3:B$502,SMALL(IF((Income!D$3:D$502="GBP")*(Income!A$3:A$502=DATE(2026,7,14)),ROW(Income!A$3:A$502)-2),2)),""),""))</f>
        <v/>
      </c>
      <c r="G145" s="152">
        <f t="array" ref="G145">IF(IFERROR(-INDEX(Expenses!D$3:D$999,SMALL(IF((Expenses!E$3:E$999="GBP")*(Expenses!A$3:A$999=DATE(2026,7,15)),ROW(Expenses!A$3:A$999)-2),2)),0)+IFERROR(INDEX(Income!C$3:C$502,SMALL(IF((Income!D$3:D$502="GBP")*(Income!A$3:A$502=DATE(2026,7,15)),ROW(Income!A$3:A$502)-2),2)),0)=0,"",IFERROR(-INDEX(Expenses!D$3:D$999,SMALL(IF((Expenses!E$3:E$999="GBP")*(Expenses!A$3:A$999=DATE(2026,7,15)),ROW(Expenses!A$3:A$999)-2),2)),0)+IFERROR(INDEX(Income!C$3:C$502,SMALL(IF((Income!D$3:D$502="GBP")*(Income!A$3:A$502=DATE(2026,7,15)),ROW(Income!A$3:A$502)-2),2)),0))</f>
        <v/>
      </c>
      <c r="H145" s="126">
        <f t="array" ref="H145">IF(IFERROR(INDEX(Expenses!B$3:B$999,SMALL(IF((Expenses!E$3:E$999="GBP")*(Expenses!A$3:A$999=DATE(2026,7,15)),ROW(Expenses!A$3:A$999)-2),2)),"")&lt;&gt;"",IFERROR(INDEX(Expenses!B$3:B$999,SMALL(IF((Expenses!E$3:E$999="GBP")*(Expenses!A$3:A$999=DATE(2026,7,15)),ROW(Expenses!A$3:A$999)-2),2)),""),IF(IFERROR(INDEX(Income!B$3:B$502,SMALL(IF((Income!D$3:D$502="GBP")*(Income!A$3:A$502=DATE(2026,7,15)),ROW(Income!A$3:A$502)-2),2)),"")&lt;&gt;"",IFERROR(INDEX(Income!B$3:B$502,SMALL(IF((Income!D$3:D$502="GBP")*(Income!A$3:A$502=DATE(2026,7,15)),ROW(Income!A$3:A$502)-2),2)),""),""))</f>
        <v/>
      </c>
      <c r="I145" s="152">
        <f t="array" ref="I145">IF(IFERROR(-INDEX(Expenses!D$3:D$999,SMALL(IF((Expenses!E$3:E$999="GBP")*(Expenses!A$3:A$999=DATE(2026,7,16)),ROW(Expenses!A$3:A$999)-2),2)),0)+IFERROR(INDEX(Income!C$3:C$502,SMALL(IF((Income!D$3:D$502="GBP")*(Income!A$3:A$502=DATE(2026,7,16)),ROW(Income!A$3:A$502)-2),2)),0)=0,"",IFERROR(-INDEX(Expenses!D$3:D$999,SMALL(IF((Expenses!E$3:E$999="GBP")*(Expenses!A$3:A$999=DATE(2026,7,16)),ROW(Expenses!A$3:A$999)-2),2)),0)+IFERROR(INDEX(Income!C$3:C$502,SMALL(IF((Income!D$3:D$502="GBP")*(Income!A$3:A$502=DATE(2026,7,16)),ROW(Income!A$3:A$502)-2),2)),0))</f>
        <v/>
      </c>
      <c r="J145" s="126">
        <f t="array" ref="J145">IF(IFERROR(INDEX(Expenses!B$3:B$999,SMALL(IF((Expenses!E$3:E$999="GBP")*(Expenses!A$3:A$999=DATE(2026,7,16)),ROW(Expenses!A$3:A$999)-2),2)),"")&lt;&gt;"",IFERROR(INDEX(Expenses!B$3:B$999,SMALL(IF((Expenses!E$3:E$999="GBP")*(Expenses!A$3:A$999=DATE(2026,7,16)),ROW(Expenses!A$3:A$999)-2),2)),""),IF(IFERROR(INDEX(Income!B$3:B$502,SMALL(IF((Income!D$3:D$502="GBP")*(Income!A$3:A$502=DATE(2026,7,16)),ROW(Income!A$3:A$502)-2),2)),"")&lt;&gt;"",IFERROR(INDEX(Income!B$3:B$502,SMALL(IF((Income!D$3:D$502="GBP")*(Income!A$3:A$502=DATE(2026,7,16)),ROW(Income!A$3:A$502)-2),2)),""),""))</f>
        <v/>
      </c>
      <c r="K145" s="152">
        <f t="array" ref="K145">IF(IFERROR(-INDEX(Expenses!D$3:D$999,SMALL(IF((Expenses!E$3:E$999="GBP")*(Expenses!A$3:A$999=DATE(2026,7,17)),ROW(Expenses!A$3:A$999)-2),2)),0)+IFERROR(INDEX(Income!C$3:C$502,SMALL(IF((Income!D$3:D$502="GBP")*(Income!A$3:A$502=DATE(2026,7,17)),ROW(Income!A$3:A$502)-2),2)),0)=0,"",IFERROR(-INDEX(Expenses!D$3:D$999,SMALL(IF((Expenses!E$3:E$999="GBP")*(Expenses!A$3:A$999=DATE(2026,7,17)),ROW(Expenses!A$3:A$999)-2),2)),0)+IFERROR(INDEX(Income!C$3:C$502,SMALL(IF((Income!D$3:D$502="GBP")*(Income!A$3:A$502=DATE(2026,7,17)),ROW(Income!A$3:A$502)-2),2)),0))</f>
        <v/>
      </c>
      <c r="L145" s="126">
        <f t="array" ref="L145">IF(IFERROR(INDEX(Expenses!B$3:B$999,SMALL(IF((Expenses!E$3:E$999="GBP")*(Expenses!A$3:A$999=DATE(2026,7,17)),ROW(Expenses!A$3:A$999)-2),2)),"")&lt;&gt;"",IFERROR(INDEX(Expenses!B$3:B$999,SMALL(IF((Expenses!E$3:E$999="GBP")*(Expenses!A$3:A$999=DATE(2026,7,17)),ROW(Expenses!A$3:A$999)-2),2)),""),IF(IFERROR(INDEX(Income!B$3:B$502,SMALL(IF((Income!D$3:D$502="GBP")*(Income!A$3:A$502=DATE(2026,7,17)),ROW(Income!A$3:A$502)-2),2)),"")&lt;&gt;"",IFERROR(INDEX(Income!B$3:B$502,SMALL(IF((Income!D$3:D$502="GBP")*(Income!A$3:A$502=DATE(2026,7,17)),ROW(Income!A$3:A$502)-2),2)),""),""))</f>
        <v/>
      </c>
      <c r="M145" s="152">
        <f t="array" ref="M145">IF(IFERROR(-INDEX(Expenses!D$3:D$999,SMALL(IF((Expenses!E$3:E$999="GBP")*(Expenses!A$3:A$999=DATE(2026,7,18)),ROW(Expenses!A$3:A$999)-2),2)),0)+IFERROR(INDEX(Income!C$3:C$502,SMALL(IF((Income!D$3:D$502="GBP")*(Income!A$3:A$502=DATE(2026,7,18)),ROW(Income!A$3:A$502)-2),2)),0)=0,"",IFERROR(-INDEX(Expenses!D$3:D$999,SMALL(IF((Expenses!E$3:E$999="GBP")*(Expenses!A$3:A$999=DATE(2026,7,18)),ROW(Expenses!A$3:A$999)-2),2)),0)+IFERROR(INDEX(Income!C$3:C$502,SMALL(IF((Income!D$3:D$502="GBP")*(Income!A$3:A$502=DATE(2026,7,18)),ROW(Income!A$3:A$502)-2),2)),0))</f>
        <v/>
      </c>
      <c r="N145" s="126">
        <f t="array" ref="N145">IF(IFERROR(INDEX(Expenses!B$3:B$999,SMALL(IF((Expenses!E$3:E$999="GBP")*(Expenses!A$3:A$999=DATE(2026,7,18)),ROW(Expenses!A$3:A$999)-2),2)),"")&lt;&gt;"",IFERROR(INDEX(Expenses!B$3:B$999,SMALL(IF((Expenses!E$3:E$999="GBP")*(Expenses!A$3:A$999=DATE(2026,7,18)),ROW(Expenses!A$3:A$999)-2),2)),""),IF(IFERROR(INDEX(Income!B$3:B$502,SMALL(IF((Income!D$3:D$502="GBP")*(Income!A$3:A$502=DATE(2026,7,18)),ROW(Income!A$3:A$502)-2),2)),"")&lt;&gt;"",IFERROR(INDEX(Income!B$3:B$502,SMALL(IF((Income!D$3:D$502="GBP")*(Income!A$3:A$502=DATE(2026,7,18)),ROW(Income!A$3:A$502)-2),2)),""),""))</f>
        <v/>
      </c>
      <c r="O145" s="152">
        <f t="array" ref="O145">IF(IFERROR(-INDEX(Expenses!D$3:D$999,SMALL(IF((Expenses!E$3:E$999="GBP")*(Expenses!A$3:A$999=DATE(2026,7,19)),ROW(Expenses!A$3:A$999)-2),2)),0)+IFERROR(INDEX(Income!C$3:C$502,SMALL(IF((Income!D$3:D$502="GBP")*(Income!A$3:A$502=DATE(2026,7,19)),ROW(Income!A$3:A$502)-2),2)),0)=0,"",IFERROR(-INDEX(Expenses!D$3:D$999,SMALL(IF((Expenses!E$3:E$999="GBP")*(Expenses!A$3:A$999=DATE(2026,7,19)),ROW(Expenses!A$3:A$999)-2),2)),0)+IFERROR(INDEX(Income!C$3:C$502,SMALL(IF((Income!D$3:D$502="GBP")*(Income!A$3:A$502=DATE(2026,7,19)),ROW(Income!A$3:A$502)-2),2)),0))</f>
        <v/>
      </c>
      <c r="P145" s="126">
        <f t="array" ref="P145">IF(IFERROR(INDEX(Expenses!B$3:B$999,SMALL(IF((Expenses!E$3:E$999="GBP")*(Expenses!A$3:A$999=DATE(2026,7,19)),ROW(Expenses!A$3:A$999)-2),2)),"")&lt;&gt;"",IFERROR(INDEX(Expenses!B$3:B$999,SMALL(IF((Expenses!E$3:E$999="GBP")*(Expenses!A$3:A$999=DATE(2026,7,19)),ROW(Expenses!A$3:A$999)-2),2)),""),IF(IFERROR(INDEX(Income!B$3:B$502,SMALL(IF((Income!D$3:D$502="GBP")*(Income!A$3:A$502=DATE(2026,7,19)),ROW(Income!A$3:A$502)-2),2)),"")&lt;&gt;"",IFERROR(INDEX(Income!B$3:B$502,SMALL(IF((Income!D$3:D$502="GBP")*(Income!A$3:A$502=DATE(2026,7,19)),ROW(Income!A$3:A$502)-2),2)),""),""))</f>
        <v/>
      </c>
      <c r="Q145" s="9" t="n"/>
      <c r="R145" s="9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68">
      <c r="A146" s="9" t="n"/>
      <c r="B146" s="9" t="n"/>
      <c r="C146" s="152">
        <f t="array" ref="C146">IF(IFERROR(-INDEX(Expenses!D$3:D$999,SMALL(IF((Expenses!E$3:E$999="GBP")*(Expenses!A$3:A$999=DATE(2026,7,13)),ROW(Expenses!A$3:A$999)-2),3)),0)+IFERROR(INDEX(Income!C$3:C$502,SMALL(IF((Income!D$3:D$502="GBP")*(Income!A$3:A$502=DATE(2026,7,13)),ROW(Income!A$3:A$502)-2),3)),0)=0,"",IFERROR(-INDEX(Expenses!D$3:D$999,SMALL(IF((Expenses!E$3:E$999="GBP")*(Expenses!A$3:A$999=DATE(2026,7,13)),ROW(Expenses!A$3:A$999)-2),3)),0)+IFERROR(INDEX(Income!C$3:C$502,SMALL(IF((Income!D$3:D$502="GBP")*(Income!A$3:A$502=DATE(2026,7,13)),ROW(Income!A$3:A$502)-2),3)),0))</f>
        <v/>
      </c>
      <c r="D146" s="126">
        <f t="array" ref="D146">IF(IFERROR(INDEX(Expenses!B$3:B$999,SMALL(IF((Expenses!E$3:E$999="GBP")*(Expenses!A$3:A$999=DATE(2026,7,13)),ROW(Expenses!A$3:A$999)-2),3)),"")&lt;&gt;"",IFERROR(INDEX(Expenses!B$3:B$999,SMALL(IF((Expenses!E$3:E$999="GBP")*(Expenses!A$3:A$999=DATE(2026,7,13)),ROW(Expenses!A$3:A$999)-2),3)),""),IF(IFERROR(INDEX(Income!B$3:B$502,SMALL(IF((Income!D$3:D$502="GBP")*(Income!A$3:A$502=DATE(2026,7,13)),ROW(Income!A$3:A$502)-2),3)),"")&lt;&gt;"",IFERROR(INDEX(Income!B$3:B$502,SMALL(IF((Income!D$3:D$502="GBP")*(Income!A$3:A$502=DATE(2026,7,13)),ROW(Income!A$3:A$502)-2),3)),""),""))</f>
        <v/>
      </c>
      <c r="E146" s="152">
        <f t="array" ref="E146">IF(IFERROR(-INDEX(Expenses!D$3:D$999,SMALL(IF((Expenses!E$3:E$999="GBP")*(Expenses!A$3:A$999=DATE(2026,7,14)),ROW(Expenses!A$3:A$999)-2),3)),0)+IFERROR(INDEX(Income!C$3:C$502,SMALL(IF((Income!D$3:D$502="GBP")*(Income!A$3:A$502=DATE(2026,7,14)),ROW(Income!A$3:A$502)-2),3)),0)=0,"",IFERROR(-INDEX(Expenses!D$3:D$999,SMALL(IF((Expenses!E$3:E$999="GBP")*(Expenses!A$3:A$999=DATE(2026,7,14)),ROW(Expenses!A$3:A$999)-2),3)),0)+IFERROR(INDEX(Income!C$3:C$502,SMALL(IF((Income!D$3:D$502="GBP")*(Income!A$3:A$502=DATE(2026,7,14)),ROW(Income!A$3:A$502)-2),3)),0))</f>
        <v/>
      </c>
      <c r="F146" s="126">
        <f t="array" ref="F146">IF(IFERROR(INDEX(Expenses!B$3:B$999,SMALL(IF((Expenses!E$3:E$999="GBP")*(Expenses!A$3:A$999=DATE(2026,7,14)),ROW(Expenses!A$3:A$999)-2),3)),"")&lt;&gt;"",IFERROR(INDEX(Expenses!B$3:B$999,SMALL(IF((Expenses!E$3:E$999="GBP")*(Expenses!A$3:A$999=DATE(2026,7,14)),ROW(Expenses!A$3:A$999)-2),3)),""),IF(IFERROR(INDEX(Income!B$3:B$502,SMALL(IF((Income!D$3:D$502="GBP")*(Income!A$3:A$502=DATE(2026,7,14)),ROW(Income!A$3:A$502)-2),3)),"")&lt;&gt;"",IFERROR(INDEX(Income!B$3:B$502,SMALL(IF((Income!D$3:D$502="GBP")*(Income!A$3:A$502=DATE(2026,7,14)),ROW(Income!A$3:A$502)-2),3)),""),""))</f>
        <v/>
      </c>
      <c r="G146" s="152">
        <f t="array" ref="G146">IF(IFERROR(-INDEX(Expenses!D$3:D$999,SMALL(IF((Expenses!E$3:E$999="GBP")*(Expenses!A$3:A$999=DATE(2026,7,15)),ROW(Expenses!A$3:A$999)-2),3)),0)+IFERROR(INDEX(Income!C$3:C$502,SMALL(IF((Income!D$3:D$502="GBP")*(Income!A$3:A$502=DATE(2026,7,15)),ROW(Income!A$3:A$502)-2),3)),0)=0,"",IFERROR(-INDEX(Expenses!D$3:D$999,SMALL(IF((Expenses!E$3:E$999="GBP")*(Expenses!A$3:A$999=DATE(2026,7,15)),ROW(Expenses!A$3:A$999)-2),3)),0)+IFERROR(INDEX(Income!C$3:C$502,SMALL(IF((Income!D$3:D$502="GBP")*(Income!A$3:A$502=DATE(2026,7,15)),ROW(Income!A$3:A$502)-2),3)),0))</f>
        <v/>
      </c>
      <c r="H146" s="126">
        <f t="array" ref="H146">IF(IFERROR(INDEX(Expenses!B$3:B$999,SMALL(IF((Expenses!E$3:E$999="GBP")*(Expenses!A$3:A$999=DATE(2026,7,15)),ROW(Expenses!A$3:A$999)-2),3)),"")&lt;&gt;"",IFERROR(INDEX(Expenses!B$3:B$999,SMALL(IF((Expenses!E$3:E$999="GBP")*(Expenses!A$3:A$999=DATE(2026,7,15)),ROW(Expenses!A$3:A$999)-2),3)),""),IF(IFERROR(INDEX(Income!B$3:B$502,SMALL(IF((Income!D$3:D$502="GBP")*(Income!A$3:A$502=DATE(2026,7,15)),ROW(Income!A$3:A$502)-2),3)),"")&lt;&gt;"",IFERROR(INDEX(Income!B$3:B$502,SMALL(IF((Income!D$3:D$502="GBP")*(Income!A$3:A$502=DATE(2026,7,15)),ROW(Income!A$3:A$502)-2),3)),""),""))</f>
        <v/>
      </c>
      <c r="I146" s="152">
        <f t="array" ref="I146">IF(IFERROR(-INDEX(Expenses!D$3:D$999,SMALL(IF((Expenses!E$3:E$999="GBP")*(Expenses!A$3:A$999=DATE(2026,7,16)),ROW(Expenses!A$3:A$999)-2),3)),0)+IFERROR(INDEX(Income!C$3:C$502,SMALL(IF((Income!D$3:D$502="GBP")*(Income!A$3:A$502=DATE(2026,7,16)),ROW(Income!A$3:A$502)-2),3)),0)=0,"",IFERROR(-INDEX(Expenses!D$3:D$999,SMALL(IF((Expenses!E$3:E$999="GBP")*(Expenses!A$3:A$999=DATE(2026,7,16)),ROW(Expenses!A$3:A$999)-2),3)),0)+IFERROR(INDEX(Income!C$3:C$502,SMALL(IF((Income!D$3:D$502="GBP")*(Income!A$3:A$502=DATE(2026,7,16)),ROW(Income!A$3:A$502)-2),3)),0))</f>
        <v/>
      </c>
      <c r="J146" s="126">
        <f t="array" ref="J146">IF(IFERROR(INDEX(Expenses!B$3:B$999,SMALL(IF((Expenses!E$3:E$999="GBP")*(Expenses!A$3:A$999=DATE(2026,7,16)),ROW(Expenses!A$3:A$999)-2),3)),"")&lt;&gt;"",IFERROR(INDEX(Expenses!B$3:B$999,SMALL(IF((Expenses!E$3:E$999="GBP")*(Expenses!A$3:A$999=DATE(2026,7,16)),ROW(Expenses!A$3:A$999)-2),3)),""),IF(IFERROR(INDEX(Income!B$3:B$502,SMALL(IF((Income!D$3:D$502="GBP")*(Income!A$3:A$502=DATE(2026,7,16)),ROW(Income!A$3:A$502)-2),3)),"")&lt;&gt;"",IFERROR(INDEX(Income!B$3:B$502,SMALL(IF((Income!D$3:D$502="GBP")*(Income!A$3:A$502=DATE(2026,7,16)),ROW(Income!A$3:A$502)-2),3)),""),""))</f>
        <v/>
      </c>
      <c r="K146" s="152">
        <f t="array" ref="K146">IF(IFERROR(-INDEX(Expenses!D$3:D$999,SMALL(IF((Expenses!E$3:E$999="GBP")*(Expenses!A$3:A$999=DATE(2026,7,17)),ROW(Expenses!A$3:A$999)-2),3)),0)+IFERROR(INDEX(Income!C$3:C$502,SMALL(IF((Income!D$3:D$502="GBP")*(Income!A$3:A$502=DATE(2026,7,17)),ROW(Income!A$3:A$502)-2),3)),0)=0,"",IFERROR(-INDEX(Expenses!D$3:D$999,SMALL(IF((Expenses!E$3:E$999="GBP")*(Expenses!A$3:A$999=DATE(2026,7,17)),ROW(Expenses!A$3:A$999)-2),3)),0)+IFERROR(INDEX(Income!C$3:C$502,SMALL(IF((Income!D$3:D$502="GBP")*(Income!A$3:A$502=DATE(2026,7,17)),ROW(Income!A$3:A$502)-2),3)),0))</f>
        <v/>
      </c>
      <c r="L146" s="126">
        <f t="array" ref="L146">IF(IFERROR(INDEX(Expenses!B$3:B$999,SMALL(IF((Expenses!E$3:E$999="GBP")*(Expenses!A$3:A$999=DATE(2026,7,17)),ROW(Expenses!A$3:A$999)-2),3)),"")&lt;&gt;"",IFERROR(INDEX(Expenses!B$3:B$999,SMALL(IF((Expenses!E$3:E$999="GBP")*(Expenses!A$3:A$999=DATE(2026,7,17)),ROW(Expenses!A$3:A$999)-2),3)),""),IF(IFERROR(INDEX(Income!B$3:B$502,SMALL(IF((Income!D$3:D$502="GBP")*(Income!A$3:A$502=DATE(2026,7,17)),ROW(Income!A$3:A$502)-2),3)),"")&lt;&gt;"",IFERROR(INDEX(Income!B$3:B$502,SMALL(IF((Income!D$3:D$502="GBP")*(Income!A$3:A$502=DATE(2026,7,17)),ROW(Income!A$3:A$502)-2),3)),""),""))</f>
        <v/>
      </c>
      <c r="M146" s="152">
        <f t="array" ref="M146">IF(IFERROR(-INDEX(Expenses!D$3:D$999,SMALL(IF((Expenses!E$3:E$999="GBP")*(Expenses!A$3:A$999=DATE(2026,7,18)),ROW(Expenses!A$3:A$999)-2),3)),0)+IFERROR(INDEX(Income!C$3:C$502,SMALL(IF((Income!D$3:D$502="GBP")*(Income!A$3:A$502=DATE(2026,7,18)),ROW(Income!A$3:A$502)-2),3)),0)=0,"",IFERROR(-INDEX(Expenses!D$3:D$999,SMALL(IF((Expenses!E$3:E$999="GBP")*(Expenses!A$3:A$999=DATE(2026,7,18)),ROW(Expenses!A$3:A$999)-2),3)),0)+IFERROR(INDEX(Income!C$3:C$502,SMALL(IF((Income!D$3:D$502="GBP")*(Income!A$3:A$502=DATE(2026,7,18)),ROW(Income!A$3:A$502)-2),3)),0))</f>
        <v/>
      </c>
      <c r="N146" s="126">
        <f t="array" ref="N146">IF(IFERROR(INDEX(Expenses!B$3:B$999,SMALL(IF((Expenses!E$3:E$999="GBP")*(Expenses!A$3:A$999=DATE(2026,7,18)),ROW(Expenses!A$3:A$999)-2),3)),"")&lt;&gt;"",IFERROR(INDEX(Expenses!B$3:B$999,SMALL(IF((Expenses!E$3:E$999="GBP")*(Expenses!A$3:A$999=DATE(2026,7,18)),ROW(Expenses!A$3:A$999)-2),3)),""),IF(IFERROR(INDEX(Income!B$3:B$502,SMALL(IF((Income!D$3:D$502="GBP")*(Income!A$3:A$502=DATE(2026,7,18)),ROW(Income!A$3:A$502)-2),3)),"")&lt;&gt;"",IFERROR(INDEX(Income!B$3:B$502,SMALL(IF((Income!D$3:D$502="GBP")*(Income!A$3:A$502=DATE(2026,7,18)),ROW(Income!A$3:A$502)-2),3)),""),""))</f>
        <v/>
      </c>
      <c r="O146" s="152">
        <f t="array" ref="O146">IF(IFERROR(-INDEX(Expenses!D$3:D$999,SMALL(IF((Expenses!E$3:E$999="GBP")*(Expenses!A$3:A$999=DATE(2026,7,19)),ROW(Expenses!A$3:A$999)-2),3)),0)+IFERROR(INDEX(Income!C$3:C$502,SMALL(IF((Income!D$3:D$502="GBP")*(Income!A$3:A$502=DATE(2026,7,19)),ROW(Income!A$3:A$502)-2),3)),0)=0,"",IFERROR(-INDEX(Expenses!D$3:D$999,SMALL(IF((Expenses!E$3:E$999="GBP")*(Expenses!A$3:A$999=DATE(2026,7,19)),ROW(Expenses!A$3:A$999)-2),3)),0)+IFERROR(INDEX(Income!C$3:C$502,SMALL(IF((Income!D$3:D$502="GBP")*(Income!A$3:A$502=DATE(2026,7,19)),ROW(Income!A$3:A$502)-2),3)),0))</f>
        <v/>
      </c>
      <c r="P146" s="126">
        <f t="array" ref="P146">IF(IFERROR(INDEX(Expenses!B$3:B$999,SMALL(IF((Expenses!E$3:E$999="GBP")*(Expenses!A$3:A$999=DATE(2026,7,19)),ROW(Expenses!A$3:A$999)-2),3)),"")&lt;&gt;"",IFERROR(INDEX(Expenses!B$3:B$999,SMALL(IF((Expenses!E$3:E$999="GBP")*(Expenses!A$3:A$999=DATE(2026,7,19)),ROW(Expenses!A$3:A$999)-2),3)),""),IF(IFERROR(INDEX(Income!B$3:B$502,SMALL(IF((Income!D$3:D$502="GBP")*(Income!A$3:A$502=DATE(2026,7,19)),ROW(Income!A$3:A$502)-2),3)),"")&lt;&gt;"",IFERROR(INDEX(Income!B$3:B$502,SMALL(IF((Income!D$3:D$502="GBP")*(Income!A$3:A$502=DATE(2026,7,19)),ROW(Income!A$3:A$502)-2),3)),""),""))</f>
        <v/>
      </c>
      <c r="Q146" s="9" t="n"/>
      <c r="R146" s="9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68">
      <c r="A147" s="9" t="n"/>
      <c r="B147" s="9" t="n"/>
      <c r="C147" s="152">
        <f t="array" ref="C147">IF(IFERROR(-INDEX(Expenses!D$3:D$999,SMALL(IF((Expenses!E$3:E$999="GBP")*(Expenses!A$3:A$999=DATE(2026,7,13)),ROW(Expenses!A$3:A$999)-2),4)),0)+IFERROR(INDEX(Income!C$3:C$502,SMALL(IF((Income!D$3:D$502="GBP")*(Income!A$3:A$502=DATE(2026,7,13)),ROW(Income!A$3:A$502)-2),4)),0)=0,"",IFERROR(-INDEX(Expenses!D$3:D$999,SMALL(IF((Expenses!E$3:E$999="GBP")*(Expenses!A$3:A$999=DATE(2026,7,13)),ROW(Expenses!A$3:A$999)-2),4)),0)+IFERROR(INDEX(Income!C$3:C$502,SMALL(IF((Income!D$3:D$502="GBP")*(Income!A$3:A$502=DATE(2026,7,13)),ROW(Income!A$3:A$502)-2),4)),0))</f>
        <v/>
      </c>
      <c r="D147" s="126">
        <f t="array" ref="D147">IF(IFERROR(INDEX(Expenses!B$3:B$999,SMALL(IF((Expenses!E$3:E$999="GBP")*(Expenses!A$3:A$999=DATE(2026,7,13)),ROW(Expenses!A$3:A$999)-2),4)),"")&lt;&gt;"",IFERROR(INDEX(Expenses!B$3:B$999,SMALL(IF((Expenses!E$3:E$999="GBP")*(Expenses!A$3:A$999=DATE(2026,7,13)),ROW(Expenses!A$3:A$999)-2),4)),""),IF(IFERROR(INDEX(Income!B$3:B$502,SMALL(IF((Income!D$3:D$502="GBP")*(Income!A$3:A$502=DATE(2026,7,13)),ROW(Income!A$3:A$502)-2),4)),"")&lt;&gt;"",IFERROR(INDEX(Income!B$3:B$502,SMALL(IF((Income!D$3:D$502="GBP")*(Income!A$3:A$502=DATE(2026,7,13)),ROW(Income!A$3:A$502)-2),4)),""),""))</f>
        <v/>
      </c>
      <c r="E147" s="152">
        <f t="array" ref="E147">IF(IFERROR(-INDEX(Expenses!D$3:D$999,SMALL(IF((Expenses!E$3:E$999="GBP")*(Expenses!A$3:A$999=DATE(2026,7,14)),ROW(Expenses!A$3:A$999)-2),4)),0)+IFERROR(INDEX(Income!C$3:C$502,SMALL(IF((Income!D$3:D$502="GBP")*(Income!A$3:A$502=DATE(2026,7,14)),ROW(Income!A$3:A$502)-2),4)),0)=0,"",IFERROR(-INDEX(Expenses!D$3:D$999,SMALL(IF((Expenses!E$3:E$999="GBP")*(Expenses!A$3:A$999=DATE(2026,7,14)),ROW(Expenses!A$3:A$999)-2),4)),0)+IFERROR(INDEX(Income!C$3:C$502,SMALL(IF((Income!D$3:D$502="GBP")*(Income!A$3:A$502=DATE(2026,7,14)),ROW(Income!A$3:A$502)-2),4)),0))</f>
        <v/>
      </c>
      <c r="F147" s="126">
        <f t="array" ref="F147">IF(IFERROR(INDEX(Expenses!B$3:B$999,SMALL(IF((Expenses!E$3:E$999="GBP")*(Expenses!A$3:A$999=DATE(2026,7,14)),ROW(Expenses!A$3:A$999)-2),4)),"")&lt;&gt;"",IFERROR(INDEX(Expenses!B$3:B$999,SMALL(IF((Expenses!E$3:E$999="GBP")*(Expenses!A$3:A$999=DATE(2026,7,14)),ROW(Expenses!A$3:A$999)-2),4)),""),IF(IFERROR(INDEX(Income!B$3:B$502,SMALL(IF((Income!D$3:D$502="GBP")*(Income!A$3:A$502=DATE(2026,7,14)),ROW(Income!A$3:A$502)-2),4)),"")&lt;&gt;"",IFERROR(INDEX(Income!B$3:B$502,SMALL(IF((Income!D$3:D$502="GBP")*(Income!A$3:A$502=DATE(2026,7,14)),ROW(Income!A$3:A$502)-2),4)),""),""))</f>
        <v/>
      </c>
      <c r="G147" s="152">
        <f t="array" ref="G147">IF(IFERROR(-INDEX(Expenses!D$3:D$999,SMALL(IF((Expenses!E$3:E$999="GBP")*(Expenses!A$3:A$999=DATE(2026,7,15)),ROW(Expenses!A$3:A$999)-2),4)),0)+IFERROR(INDEX(Income!C$3:C$502,SMALL(IF((Income!D$3:D$502="GBP")*(Income!A$3:A$502=DATE(2026,7,15)),ROW(Income!A$3:A$502)-2),4)),0)=0,"",IFERROR(-INDEX(Expenses!D$3:D$999,SMALL(IF((Expenses!E$3:E$999="GBP")*(Expenses!A$3:A$999=DATE(2026,7,15)),ROW(Expenses!A$3:A$999)-2),4)),0)+IFERROR(INDEX(Income!C$3:C$502,SMALL(IF((Income!D$3:D$502="GBP")*(Income!A$3:A$502=DATE(2026,7,15)),ROW(Income!A$3:A$502)-2),4)),0))</f>
        <v/>
      </c>
      <c r="H147" s="126">
        <f t="array" ref="H147">IF(IFERROR(INDEX(Expenses!B$3:B$999,SMALL(IF((Expenses!E$3:E$999="GBP")*(Expenses!A$3:A$999=DATE(2026,7,15)),ROW(Expenses!A$3:A$999)-2),4)),"")&lt;&gt;"",IFERROR(INDEX(Expenses!B$3:B$999,SMALL(IF((Expenses!E$3:E$999="GBP")*(Expenses!A$3:A$999=DATE(2026,7,15)),ROW(Expenses!A$3:A$999)-2),4)),""),IF(IFERROR(INDEX(Income!B$3:B$502,SMALL(IF((Income!D$3:D$502="GBP")*(Income!A$3:A$502=DATE(2026,7,15)),ROW(Income!A$3:A$502)-2),4)),"")&lt;&gt;"",IFERROR(INDEX(Income!B$3:B$502,SMALL(IF((Income!D$3:D$502="GBP")*(Income!A$3:A$502=DATE(2026,7,15)),ROW(Income!A$3:A$502)-2),4)),""),""))</f>
        <v/>
      </c>
      <c r="I147" s="152">
        <f t="array" ref="I147">IF(IFERROR(-INDEX(Expenses!D$3:D$999,SMALL(IF((Expenses!E$3:E$999="GBP")*(Expenses!A$3:A$999=DATE(2026,7,16)),ROW(Expenses!A$3:A$999)-2),4)),0)+IFERROR(INDEX(Income!C$3:C$502,SMALL(IF((Income!D$3:D$502="GBP")*(Income!A$3:A$502=DATE(2026,7,16)),ROW(Income!A$3:A$502)-2),4)),0)=0,"",IFERROR(-INDEX(Expenses!D$3:D$999,SMALL(IF((Expenses!E$3:E$999="GBP")*(Expenses!A$3:A$999=DATE(2026,7,16)),ROW(Expenses!A$3:A$999)-2),4)),0)+IFERROR(INDEX(Income!C$3:C$502,SMALL(IF((Income!D$3:D$502="GBP")*(Income!A$3:A$502=DATE(2026,7,16)),ROW(Income!A$3:A$502)-2),4)),0))</f>
        <v/>
      </c>
      <c r="J147" s="126">
        <f t="array" ref="J147">IF(IFERROR(INDEX(Expenses!B$3:B$999,SMALL(IF((Expenses!E$3:E$999="GBP")*(Expenses!A$3:A$999=DATE(2026,7,16)),ROW(Expenses!A$3:A$999)-2),4)),"")&lt;&gt;"",IFERROR(INDEX(Expenses!B$3:B$999,SMALL(IF((Expenses!E$3:E$999="GBP")*(Expenses!A$3:A$999=DATE(2026,7,16)),ROW(Expenses!A$3:A$999)-2),4)),""),IF(IFERROR(INDEX(Income!B$3:B$502,SMALL(IF((Income!D$3:D$502="GBP")*(Income!A$3:A$502=DATE(2026,7,16)),ROW(Income!A$3:A$502)-2),4)),"")&lt;&gt;"",IFERROR(INDEX(Income!B$3:B$502,SMALL(IF((Income!D$3:D$502="GBP")*(Income!A$3:A$502=DATE(2026,7,16)),ROW(Income!A$3:A$502)-2),4)),""),""))</f>
        <v/>
      </c>
      <c r="K147" s="152">
        <f t="array" ref="K147">IF(IFERROR(-INDEX(Expenses!D$3:D$999,SMALL(IF((Expenses!E$3:E$999="GBP")*(Expenses!A$3:A$999=DATE(2026,7,17)),ROW(Expenses!A$3:A$999)-2),4)),0)+IFERROR(INDEX(Income!C$3:C$502,SMALL(IF((Income!D$3:D$502="GBP")*(Income!A$3:A$502=DATE(2026,7,17)),ROW(Income!A$3:A$502)-2),4)),0)=0,"",IFERROR(-INDEX(Expenses!D$3:D$999,SMALL(IF((Expenses!E$3:E$999="GBP")*(Expenses!A$3:A$999=DATE(2026,7,17)),ROW(Expenses!A$3:A$999)-2),4)),0)+IFERROR(INDEX(Income!C$3:C$502,SMALL(IF((Income!D$3:D$502="GBP")*(Income!A$3:A$502=DATE(2026,7,17)),ROW(Income!A$3:A$502)-2),4)),0))</f>
        <v/>
      </c>
      <c r="L147" s="126">
        <f t="array" ref="L147">IF(IFERROR(INDEX(Expenses!B$3:B$999,SMALL(IF((Expenses!E$3:E$999="GBP")*(Expenses!A$3:A$999=DATE(2026,7,17)),ROW(Expenses!A$3:A$999)-2),4)),"")&lt;&gt;"",IFERROR(INDEX(Expenses!B$3:B$999,SMALL(IF((Expenses!E$3:E$999="GBP")*(Expenses!A$3:A$999=DATE(2026,7,17)),ROW(Expenses!A$3:A$999)-2),4)),""),IF(IFERROR(INDEX(Income!B$3:B$502,SMALL(IF((Income!D$3:D$502="GBP")*(Income!A$3:A$502=DATE(2026,7,17)),ROW(Income!A$3:A$502)-2),4)),"")&lt;&gt;"",IFERROR(INDEX(Income!B$3:B$502,SMALL(IF((Income!D$3:D$502="GBP")*(Income!A$3:A$502=DATE(2026,7,17)),ROW(Income!A$3:A$502)-2),4)),""),""))</f>
        <v/>
      </c>
      <c r="M147" s="152">
        <f t="array" ref="M147">IF(IFERROR(-INDEX(Expenses!D$3:D$999,SMALL(IF((Expenses!E$3:E$999="GBP")*(Expenses!A$3:A$999=DATE(2026,7,18)),ROW(Expenses!A$3:A$999)-2),4)),0)+IFERROR(INDEX(Income!C$3:C$502,SMALL(IF((Income!D$3:D$502="GBP")*(Income!A$3:A$502=DATE(2026,7,18)),ROW(Income!A$3:A$502)-2),4)),0)=0,"",IFERROR(-INDEX(Expenses!D$3:D$999,SMALL(IF((Expenses!E$3:E$999="GBP")*(Expenses!A$3:A$999=DATE(2026,7,18)),ROW(Expenses!A$3:A$999)-2),4)),0)+IFERROR(INDEX(Income!C$3:C$502,SMALL(IF((Income!D$3:D$502="GBP")*(Income!A$3:A$502=DATE(2026,7,18)),ROW(Income!A$3:A$502)-2),4)),0))</f>
        <v/>
      </c>
      <c r="N147" s="126">
        <f t="array" ref="N147">IF(IFERROR(INDEX(Expenses!B$3:B$999,SMALL(IF((Expenses!E$3:E$999="GBP")*(Expenses!A$3:A$999=DATE(2026,7,18)),ROW(Expenses!A$3:A$999)-2),4)),"")&lt;&gt;"",IFERROR(INDEX(Expenses!B$3:B$999,SMALL(IF((Expenses!E$3:E$999="GBP")*(Expenses!A$3:A$999=DATE(2026,7,18)),ROW(Expenses!A$3:A$999)-2),4)),""),IF(IFERROR(INDEX(Income!B$3:B$502,SMALL(IF((Income!D$3:D$502="GBP")*(Income!A$3:A$502=DATE(2026,7,18)),ROW(Income!A$3:A$502)-2),4)),"")&lt;&gt;"",IFERROR(INDEX(Income!B$3:B$502,SMALL(IF((Income!D$3:D$502="GBP")*(Income!A$3:A$502=DATE(2026,7,18)),ROW(Income!A$3:A$502)-2),4)),""),""))</f>
        <v/>
      </c>
      <c r="O147" s="152">
        <f t="array" ref="O147">IF(IFERROR(-INDEX(Expenses!D$3:D$999,SMALL(IF((Expenses!E$3:E$999="GBP")*(Expenses!A$3:A$999=DATE(2026,7,19)),ROW(Expenses!A$3:A$999)-2),4)),0)+IFERROR(INDEX(Income!C$3:C$502,SMALL(IF((Income!D$3:D$502="GBP")*(Income!A$3:A$502=DATE(2026,7,19)),ROW(Income!A$3:A$502)-2),4)),0)=0,"",IFERROR(-INDEX(Expenses!D$3:D$999,SMALL(IF((Expenses!E$3:E$999="GBP")*(Expenses!A$3:A$999=DATE(2026,7,19)),ROW(Expenses!A$3:A$999)-2),4)),0)+IFERROR(INDEX(Income!C$3:C$502,SMALL(IF((Income!D$3:D$502="GBP")*(Income!A$3:A$502=DATE(2026,7,19)),ROW(Income!A$3:A$502)-2),4)),0))</f>
        <v/>
      </c>
      <c r="P147" s="126">
        <f t="array" ref="P147">IF(IFERROR(INDEX(Expenses!B$3:B$999,SMALL(IF((Expenses!E$3:E$999="GBP")*(Expenses!A$3:A$999=DATE(2026,7,19)),ROW(Expenses!A$3:A$999)-2),4)),"")&lt;&gt;"",IFERROR(INDEX(Expenses!B$3:B$999,SMALL(IF((Expenses!E$3:E$999="GBP")*(Expenses!A$3:A$999=DATE(2026,7,19)),ROW(Expenses!A$3:A$999)-2),4)),""),IF(IFERROR(INDEX(Income!B$3:B$502,SMALL(IF((Income!D$3:D$502="GBP")*(Income!A$3:A$502=DATE(2026,7,19)),ROW(Income!A$3:A$502)-2),4)),"")&lt;&gt;"",IFERROR(INDEX(Income!B$3:B$502,SMALL(IF((Income!D$3:D$502="GBP")*(Income!A$3:A$502=DATE(2026,7,19)),ROW(Income!A$3:A$502)-2),4)),""),""))</f>
        <v/>
      </c>
      <c r="Q147" s="9" t="n"/>
      <c r="R147" s="9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68">
      <c r="A148" s="9" t="n"/>
      <c r="B148" s="9" t="n"/>
      <c r="C148" s="152">
        <f t="array" ref="C148">IF(IFERROR(-INDEX(Expenses!D$3:D$999,SMALL(IF((Expenses!E$3:E$999="GBP")*(Expenses!A$3:A$999=DATE(2026,7,13)),ROW(Expenses!A$3:A$999)-2),5)),0)+IFERROR(INDEX(Income!C$3:C$502,SMALL(IF((Income!D$3:D$502="GBP")*(Income!A$3:A$502=DATE(2026,7,13)),ROW(Income!A$3:A$502)-2),5)),0)=0,"",IFERROR(-INDEX(Expenses!D$3:D$999,SMALL(IF((Expenses!E$3:E$999="GBP")*(Expenses!A$3:A$999=DATE(2026,7,13)),ROW(Expenses!A$3:A$999)-2),5)),0)+IFERROR(INDEX(Income!C$3:C$502,SMALL(IF((Income!D$3:D$502="GBP")*(Income!A$3:A$502=DATE(2026,7,13)),ROW(Income!A$3:A$502)-2),5)),0))</f>
        <v/>
      </c>
      <c r="D148" s="126">
        <f t="array" ref="D148">IF(IFERROR(INDEX(Expenses!B$3:B$999,SMALL(IF((Expenses!E$3:E$999="GBP")*(Expenses!A$3:A$999=DATE(2026,7,13)),ROW(Expenses!A$3:A$999)-2),5)),"")&lt;&gt;"",IFERROR(INDEX(Expenses!B$3:B$999,SMALL(IF((Expenses!E$3:E$999="GBP")*(Expenses!A$3:A$999=DATE(2026,7,13)),ROW(Expenses!A$3:A$999)-2),5)),""),IF(IFERROR(INDEX(Income!B$3:B$502,SMALL(IF((Income!D$3:D$502="GBP")*(Income!A$3:A$502=DATE(2026,7,13)),ROW(Income!A$3:A$502)-2),5)),"")&lt;&gt;"",IFERROR(INDEX(Income!B$3:B$502,SMALL(IF((Income!D$3:D$502="GBP")*(Income!A$3:A$502=DATE(2026,7,13)),ROW(Income!A$3:A$502)-2),5)),""),""))</f>
        <v/>
      </c>
      <c r="E148" s="152">
        <f t="array" ref="E148">IF(IFERROR(-INDEX(Expenses!D$3:D$999,SMALL(IF((Expenses!E$3:E$999="GBP")*(Expenses!A$3:A$999=DATE(2026,7,14)),ROW(Expenses!A$3:A$999)-2),5)),0)+IFERROR(INDEX(Income!C$3:C$502,SMALL(IF((Income!D$3:D$502="GBP")*(Income!A$3:A$502=DATE(2026,7,14)),ROW(Income!A$3:A$502)-2),5)),0)=0,"",IFERROR(-INDEX(Expenses!D$3:D$999,SMALL(IF((Expenses!E$3:E$999="GBP")*(Expenses!A$3:A$999=DATE(2026,7,14)),ROW(Expenses!A$3:A$999)-2),5)),0)+IFERROR(INDEX(Income!C$3:C$502,SMALL(IF((Income!D$3:D$502="GBP")*(Income!A$3:A$502=DATE(2026,7,14)),ROW(Income!A$3:A$502)-2),5)),0))</f>
        <v/>
      </c>
      <c r="F148" s="126">
        <f t="array" ref="F148">IF(IFERROR(INDEX(Expenses!B$3:B$999,SMALL(IF((Expenses!E$3:E$999="GBP")*(Expenses!A$3:A$999=DATE(2026,7,14)),ROW(Expenses!A$3:A$999)-2),5)),"")&lt;&gt;"",IFERROR(INDEX(Expenses!B$3:B$999,SMALL(IF((Expenses!E$3:E$999="GBP")*(Expenses!A$3:A$999=DATE(2026,7,14)),ROW(Expenses!A$3:A$999)-2),5)),""),IF(IFERROR(INDEX(Income!B$3:B$502,SMALL(IF((Income!D$3:D$502="GBP")*(Income!A$3:A$502=DATE(2026,7,14)),ROW(Income!A$3:A$502)-2),5)),"")&lt;&gt;"",IFERROR(INDEX(Income!B$3:B$502,SMALL(IF((Income!D$3:D$502="GBP")*(Income!A$3:A$502=DATE(2026,7,14)),ROW(Income!A$3:A$502)-2),5)),""),""))</f>
        <v/>
      </c>
      <c r="G148" s="152">
        <f t="array" ref="G148">IF(IFERROR(-INDEX(Expenses!D$3:D$999,SMALL(IF((Expenses!E$3:E$999="GBP")*(Expenses!A$3:A$999=DATE(2026,7,15)),ROW(Expenses!A$3:A$999)-2),5)),0)+IFERROR(INDEX(Income!C$3:C$502,SMALL(IF((Income!D$3:D$502="GBP")*(Income!A$3:A$502=DATE(2026,7,15)),ROW(Income!A$3:A$502)-2),5)),0)=0,"",IFERROR(-INDEX(Expenses!D$3:D$999,SMALL(IF((Expenses!E$3:E$999="GBP")*(Expenses!A$3:A$999=DATE(2026,7,15)),ROW(Expenses!A$3:A$999)-2),5)),0)+IFERROR(INDEX(Income!C$3:C$502,SMALL(IF((Income!D$3:D$502="GBP")*(Income!A$3:A$502=DATE(2026,7,15)),ROW(Income!A$3:A$502)-2),5)),0))</f>
        <v/>
      </c>
      <c r="H148" s="126">
        <f t="array" ref="H148">IF(IFERROR(INDEX(Expenses!B$3:B$999,SMALL(IF((Expenses!E$3:E$999="GBP")*(Expenses!A$3:A$999=DATE(2026,7,15)),ROW(Expenses!A$3:A$999)-2),5)),"")&lt;&gt;"",IFERROR(INDEX(Expenses!B$3:B$999,SMALL(IF((Expenses!E$3:E$999="GBP")*(Expenses!A$3:A$999=DATE(2026,7,15)),ROW(Expenses!A$3:A$999)-2),5)),""),IF(IFERROR(INDEX(Income!B$3:B$502,SMALL(IF((Income!D$3:D$502="GBP")*(Income!A$3:A$502=DATE(2026,7,15)),ROW(Income!A$3:A$502)-2),5)),"")&lt;&gt;"",IFERROR(INDEX(Income!B$3:B$502,SMALL(IF((Income!D$3:D$502="GBP")*(Income!A$3:A$502=DATE(2026,7,15)),ROW(Income!A$3:A$502)-2),5)),""),""))</f>
        <v/>
      </c>
      <c r="I148" s="152">
        <f t="array" ref="I148">IF(IFERROR(-INDEX(Expenses!D$3:D$999,SMALL(IF((Expenses!E$3:E$999="GBP")*(Expenses!A$3:A$999=DATE(2026,7,16)),ROW(Expenses!A$3:A$999)-2),5)),0)+IFERROR(INDEX(Income!C$3:C$502,SMALL(IF((Income!D$3:D$502="GBP")*(Income!A$3:A$502=DATE(2026,7,16)),ROW(Income!A$3:A$502)-2),5)),0)=0,"",IFERROR(-INDEX(Expenses!D$3:D$999,SMALL(IF((Expenses!E$3:E$999="GBP")*(Expenses!A$3:A$999=DATE(2026,7,16)),ROW(Expenses!A$3:A$999)-2),5)),0)+IFERROR(INDEX(Income!C$3:C$502,SMALL(IF((Income!D$3:D$502="GBP")*(Income!A$3:A$502=DATE(2026,7,16)),ROW(Income!A$3:A$502)-2),5)),0))</f>
        <v/>
      </c>
      <c r="J148" s="126">
        <f t="array" ref="J148">IF(IFERROR(INDEX(Expenses!B$3:B$999,SMALL(IF((Expenses!E$3:E$999="GBP")*(Expenses!A$3:A$999=DATE(2026,7,16)),ROW(Expenses!A$3:A$999)-2),5)),"")&lt;&gt;"",IFERROR(INDEX(Expenses!B$3:B$999,SMALL(IF((Expenses!E$3:E$999="GBP")*(Expenses!A$3:A$999=DATE(2026,7,16)),ROW(Expenses!A$3:A$999)-2),5)),""),IF(IFERROR(INDEX(Income!B$3:B$502,SMALL(IF((Income!D$3:D$502="GBP")*(Income!A$3:A$502=DATE(2026,7,16)),ROW(Income!A$3:A$502)-2),5)),"")&lt;&gt;"",IFERROR(INDEX(Income!B$3:B$502,SMALL(IF((Income!D$3:D$502="GBP")*(Income!A$3:A$502=DATE(2026,7,16)),ROW(Income!A$3:A$502)-2),5)),""),""))</f>
        <v/>
      </c>
      <c r="K148" s="152">
        <f t="array" ref="K148">IF(IFERROR(-INDEX(Expenses!D$3:D$999,SMALL(IF((Expenses!E$3:E$999="GBP")*(Expenses!A$3:A$999=DATE(2026,7,17)),ROW(Expenses!A$3:A$999)-2),5)),0)+IFERROR(INDEX(Income!C$3:C$502,SMALL(IF((Income!D$3:D$502="GBP")*(Income!A$3:A$502=DATE(2026,7,17)),ROW(Income!A$3:A$502)-2),5)),0)=0,"",IFERROR(-INDEX(Expenses!D$3:D$999,SMALL(IF((Expenses!E$3:E$999="GBP")*(Expenses!A$3:A$999=DATE(2026,7,17)),ROW(Expenses!A$3:A$999)-2),5)),0)+IFERROR(INDEX(Income!C$3:C$502,SMALL(IF((Income!D$3:D$502="GBP")*(Income!A$3:A$502=DATE(2026,7,17)),ROW(Income!A$3:A$502)-2),5)),0))</f>
        <v/>
      </c>
      <c r="L148" s="126">
        <f t="array" ref="L148">IF(IFERROR(INDEX(Expenses!B$3:B$999,SMALL(IF((Expenses!E$3:E$999="GBP")*(Expenses!A$3:A$999=DATE(2026,7,17)),ROW(Expenses!A$3:A$999)-2),5)),"")&lt;&gt;"",IFERROR(INDEX(Expenses!B$3:B$999,SMALL(IF((Expenses!E$3:E$999="GBP")*(Expenses!A$3:A$999=DATE(2026,7,17)),ROW(Expenses!A$3:A$999)-2),5)),""),IF(IFERROR(INDEX(Income!B$3:B$502,SMALL(IF((Income!D$3:D$502="GBP")*(Income!A$3:A$502=DATE(2026,7,17)),ROW(Income!A$3:A$502)-2),5)),"")&lt;&gt;"",IFERROR(INDEX(Income!B$3:B$502,SMALL(IF((Income!D$3:D$502="GBP")*(Income!A$3:A$502=DATE(2026,7,17)),ROW(Income!A$3:A$502)-2),5)),""),""))</f>
        <v/>
      </c>
      <c r="M148" s="152">
        <f t="array" ref="M148">IF(IFERROR(-INDEX(Expenses!D$3:D$999,SMALL(IF((Expenses!E$3:E$999="GBP")*(Expenses!A$3:A$999=DATE(2026,7,18)),ROW(Expenses!A$3:A$999)-2),5)),0)+IFERROR(INDEX(Income!C$3:C$502,SMALL(IF((Income!D$3:D$502="GBP")*(Income!A$3:A$502=DATE(2026,7,18)),ROW(Income!A$3:A$502)-2),5)),0)=0,"",IFERROR(-INDEX(Expenses!D$3:D$999,SMALL(IF((Expenses!E$3:E$999="GBP")*(Expenses!A$3:A$999=DATE(2026,7,18)),ROW(Expenses!A$3:A$999)-2),5)),0)+IFERROR(INDEX(Income!C$3:C$502,SMALL(IF((Income!D$3:D$502="GBP")*(Income!A$3:A$502=DATE(2026,7,18)),ROW(Income!A$3:A$502)-2),5)),0))</f>
        <v/>
      </c>
      <c r="N148" s="126">
        <f t="array" ref="N148">IF(IFERROR(INDEX(Expenses!B$3:B$999,SMALL(IF((Expenses!E$3:E$999="GBP")*(Expenses!A$3:A$999=DATE(2026,7,18)),ROW(Expenses!A$3:A$999)-2),5)),"")&lt;&gt;"",IFERROR(INDEX(Expenses!B$3:B$999,SMALL(IF((Expenses!E$3:E$999="GBP")*(Expenses!A$3:A$999=DATE(2026,7,18)),ROW(Expenses!A$3:A$999)-2),5)),""),IF(IFERROR(INDEX(Income!B$3:B$502,SMALL(IF((Income!D$3:D$502="GBP")*(Income!A$3:A$502=DATE(2026,7,18)),ROW(Income!A$3:A$502)-2),5)),"")&lt;&gt;"",IFERROR(INDEX(Income!B$3:B$502,SMALL(IF((Income!D$3:D$502="GBP")*(Income!A$3:A$502=DATE(2026,7,18)),ROW(Income!A$3:A$502)-2),5)),""),""))</f>
        <v/>
      </c>
      <c r="O148" s="152">
        <f t="array" ref="O148">IF(IFERROR(-INDEX(Expenses!D$3:D$999,SMALL(IF((Expenses!E$3:E$999="GBP")*(Expenses!A$3:A$999=DATE(2026,7,19)),ROW(Expenses!A$3:A$999)-2),5)),0)+IFERROR(INDEX(Income!C$3:C$502,SMALL(IF((Income!D$3:D$502="GBP")*(Income!A$3:A$502=DATE(2026,7,19)),ROW(Income!A$3:A$502)-2),5)),0)=0,"",IFERROR(-INDEX(Expenses!D$3:D$999,SMALL(IF((Expenses!E$3:E$999="GBP")*(Expenses!A$3:A$999=DATE(2026,7,19)),ROW(Expenses!A$3:A$999)-2),5)),0)+IFERROR(INDEX(Income!C$3:C$502,SMALL(IF((Income!D$3:D$502="GBP")*(Income!A$3:A$502=DATE(2026,7,19)),ROW(Income!A$3:A$502)-2),5)),0))</f>
        <v/>
      </c>
      <c r="P148" s="126">
        <f t="array" ref="P148">IF(IFERROR(INDEX(Expenses!B$3:B$999,SMALL(IF((Expenses!E$3:E$999="GBP")*(Expenses!A$3:A$999=DATE(2026,7,19)),ROW(Expenses!A$3:A$999)-2),5)),"")&lt;&gt;"",IFERROR(INDEX(Expenses!B$3:B$999,SMALL(IF((Expenses!E$3:E$999="GBP")*(Expenses!A$3:A$999=DATE(2026,7,19)),ROW(Expenses!A$3:A$999)-2),5)),""),IF(IFERROR(INDEX(Income!B$3:B$502,SMALL(IF((Income!D$3:D$502="GBP")*(Income!A$3:A$502=DATE(2026,7,19)),ROW(Income!A$3:A$502)-2),5)),"")&lt;&gt;"",IFERROR(INDEX(Income!B$3:B$502,SMALL(IF((Income!D$3:D$502="GBP")*(Income!A$3:A$502=DATE(2026,7,19)),ROW(Income!A$3:A$502)-2),5)),""),""))</f>
        <v/>
      </c>
      <c r="Q148" s="9" t="n"/>
      <c r="R148" s="9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68">
      <c r="A149" s="151" t="n">
        <v>46223</v>
      </c>
      <c r="B149" s="103" t="n">
        <v>30</v>
      </c>
      <c r="C149" s="152">
        <f t="array" ref="C149">IF(IFERROR(-INDEX(Expenses!D$3:D$999,SMALL(IF((Expenses!E$3:E$999="GBP")*(Expenses!A$3:A$999=DATE(2026,7,20)),ROW(Expenses!A$3:A$999)-2),1)),0)+IFERROR(INDEX(Income!C$3:C$502,SMALL(IF((Income!D$3:D$502="GBP")*(Income!A$3:A$502=DATE(2026,7,20)),ROW(Income!A$3:A$502)-2),1)),0)=0,"",IFERROR(-INDEX(Expenses!D$3:D$999,SMALL(IF((Expenses!E$3:E$999="GBP")*(Expenses!A$3:A$999=DATE(2026,7,20)),ROW(Expenses!A$3:A$999)-2),1)),0)+IFERROR(INDEX(Income!C$3:C$502,SMALL(IF((Income!D$3:D$502="GBP")*(Income!A$3:A$502=DATE(2026,7,20)),ROW(Income!A$3:A$502)-2),1)),0))</f>
        <v/>
      </c>
      <c r="D149" s="126">
        <f t="array" ref="D149">IF(IFERROR(INDEX(Expenses!B$3:B$999,SMALL(IF((Expenses!E$3:E$999="GBP")*(Expenses!A$3:A$999=DATE(2026,7,20)),ROW(Expenses!A$3:A$999)-2),1)),"")&lt;&gt;"",IFERROR(INDEX(Expenses!B$3:B$999,SMALL(IF((Expenses!E$3:E$999="GBP")*(Expenses!A$3:A$999=DATE(2026,7,20)),ROW(Expenses!A$3:A$999)-2),1)),""),IF(IFERROR(INDEX(Income!B$3:B$502,SMALL(IF((Income!D$3:D$502="GBP")*(Income!A$3:A$502=DATE(2026,7,20)),ROW(Income!A$3:A$502)-2),1)),"")&lt;&gt;"",IFERROR(INDEX(Income!B$3:B$502,SMALL(IF((Income!D$3:D$502="GBP")*(Income!A$3:A$502=DATE(2026,7,20)),ROW(Income!A$3:A$502)-2),1)),""),""))</f>
        <v/>
      </c>
      <c r="E149" s="152">
        <f t="array" ref="E149">IF(IFERROR(-INDEX(Expenses!D$3:D$999,SMALL(IF((Expenses!E$3:E$999="GBP")*(Expenses!A$3:A$999=DATE(2026,7,21)),ROW(Expenses!A$3:A$999)-2),1)),0)+IFERROR(INDEX(Income!C$3:C$502,SMALL(IF((Income!D$3:D$502="GBP")*(Income!A$3:A$502=DATE(2026,7,21)),ROW(Income!A$3:A$502)-2),1)),0)=0,"",IFERROR(-INDEX(Expenses!D$3:D$999,SMALL(IF((Expenses!E$3:E$999="GBP")*(Expenses!A$3:A$999=DATE(2026,7,21)),ROW(Expenses!A$3:A$999)-2),1)),0)+IFERROR(INDEX(Income!C$3:C$502,SMALL(IF((Income!D$3:D$502="GBP")*(Income!A$3:A$502=DATE(2026,7,21)),ROW(Income!A$3:A$502)-2),1)),0))</f>
        <v/>
      </c>
      <c r="F149" s="126">
        <f t="array" ref="F149">IF(IFERROR(INDEX(Expenses!B$3:B$999,SMALL(IF((Expenses!E$3:E$999="GBP")*(Expenses!A$3:A$999=DATE(2026,7,21)),ROW(Expenses!A$3:A$999)-2),1)),"")&lt;&gt;"",IFERROR(INDEX(Expenses!B$3:B$999,SMALL(IF((Expenses!E$3:E$999="GBP")*(Expenses!A$3:A$999=DATE(2026,7,21)),ROW(Expenses!A$3:A$999)-2),1)),""),IF(IFERROR(INDEX(Income!B$3:B$502,SMALL(IF((Income!D$3:D$502="GBP")*(Income!A$3:A$502=DATE(2026,7,21)),ROW(Income!A$3:A$502)-2),1)),"")&lt;&gt;"",IFERROR(INDEX(Income!B$3:B$502,SMALL(IF((Income!D$3:D$502="GBP")*(Income!A$3:A$502=DATE(2026,7,21)),ROW(Income!A$3:A$502)-2),1)),""),""))</f>
        <v/>
      </c>
      <c r="G149" s="152">
        <f t="array" ref="G149">IF(IFERROR(-INDEX(Expenses!D$3:D$999,SMALL(IF((Expenses!E$3:E$999="GBP")*(Expenses!A$3:A$999=DATE(2026,7,22)),ROW(Expenses!A$3:A$999)-2),1)),0)+IFERROR(INDEX(Income!C$3:C$502,SMALL(IF((Income!D$3:D$502="GBP")*(Income!A$3:A$502=DATE(2026,7,22)),ROW(Income!A$3:A$502)-2),1)),0)=0,"",IFERROR(-INDEX(Expenses!D$3:D$999,SMALL(IF((Expenses!E$3:E$999="GBP")*(Expenses!A$3:A$999=DATE(2026,7,22)),ROW(Expenses!A$3:A$999)-2),1)),0)+IFERROR(INDEX(Income!C$3:C$502,SMALL(IF((Income!D$3:D$502="GBP")*(Income!A$3:A$502=DATE(2026,7,22)),ROW(Income!A$3:A$502)-2),1)),0))</f>
        <v/>
      </c>
      <c r="H149" s="126">
        <f t="array" ref="H149">IF(IFERROR(INDEX(Expenses!B$3:B$999,SMALL(IF((Expenses!E$3:E$999="GBP")*(Expenses!A$3:A$999=DATE(2026,7,22)),ROW(Expenses!A$3:A$999)-2),1)),"")&lt;&gt;"",IFERROR(INDEX(Expenses!B$3:B$999,SMALL(IF((Expenses!E$3:E$999="GBP")*(Expenses!A$3:A$999=DATE(2026,7,22)),ROW(Expenses!A$3:A$999)-2),1)),""),IF(IFERROR(INDEX(Income!B$3:B$502,SMALL(IF((Income!D$3:D$502="GBP")*(Income!A$3:A$502=DATE(2026,7,22)),ROW(Income!A$3:A$502)-2),1)),"")&lt;&gt;"",IFERROR(INDEX(Income!B$3:B$502,SMALL(IF((Income!D$3:D$502="GBP")*(Income!A$3:A$502=DATE(2026,7,22)),ROW(Income!A$3:A$502)-2),1)),""),""))</f>
        <v/>
      </c>
      <c r="I149" s="152">
        <f t="array" ref="I149">IF(IFERROR(-INDEX(Expenses!D$3:D$999,SMALL(IF((Expenses!E$3:E$999="GBP")*(Expenses!A$3:A$999=DATE(2026,7,23)),ROW(Expenses!A$3:A$999)-2),1)),0)+IFERROR(INDEX(Income!C$3:C$502,SMALL(IF((Income!D$3:D$502="GBP")*(Income!A$3:A$502=DATE(2026,7,23)),ROW(Income!A$3:A$502)-2),1)),0)=0,"",IFERROR(-INDEX(Expenses!D$3:D$999,SMALL(IF((Expenses!E$3:E$999="GBP")*(Expenses!A$3:A$999=DATE(2026,7,23)),ROW(Expenses!A$3:A$999)-2),1)),0)+IFERROR(INDEX(Income!C$3:C$502,SMALL(IF((Income!D$3:D$502="GBP")*(Income!A$3:A$502=DATE(2026,7,23)),ROW(Income!A$3:A$502)-2),1)),0))</f>
        <v/>
      </c>
      <c r="J149" s="126">
        <f t="array" ref="J149">IF(IFERROR(INDEX(Expenses!B$3:B$999,SMALL(IF((Expenses!E$3:E$999="GBP")*(Expenses!A$3:A$999=DATE(2026,7,23)),ROW(Expenses!A$3:A$999)-2),1)),"")&lt;&gt;"",IFERROR(INDEX(Expenses!B$3:B$999,SMALL(IF((Expenses!E$3:E$999="GBP")*(Expenses!A$3:A$999=DATE(2026,7,23)),ROW(Expenses!A$3:A$999)-2),1)),""),IF(IFERROR(INDEX(Income!B$3:B$502,SMALL(IF((Income!D$3:D$502="GBP")*(Income!A$3:A$502=DATE(2026,7,23)),ROW(Income!A$3:A$502)-2),1)),"")&lt;&gt;"",IFERROR(INDEX(Income!B$3:B$502,SMALL(IF((Income!D$3:D$502="GBP")*(Income!A$3:A$502=DATE(2026,7,23)),ROW(Income!A$3:A$502)-2),1)),""),""))</f>
        <v/>
      </c>
      <c r="K149" s="152">
        <f t="array" ref="K149">IF(IFERROR(-INDEX(Expenses!D$3:D$999,SMALL(IF((Expenses!E$3:E$999="GBP")*(Expenses!A$3:A$999=DATE(2026,7,24)),ROW(Expenses!A$3:A$999)-2),1)),0)+IFERROR(INDEX(Income!C$3:C$502,SMALL(IF((Income!D$3:D$502="GBP")*(Income!A$3:A$502=DATE(2026,7,24)),ROW(Income!A$3:A$502)-2),1)),0)=0,"",IFERROR(-INDEX(Expenses!D$3:D$999,SMALL(IF((Expenses!E$3:E$999="GBP")*(Expenses!A$3:A$999=DATE(2026,7,24)),ROW(Expenses!A$3:A$999)-2),1)),0)+IFERROR(INDEX(Income!C$3:C$502,SMALL(IF((Income!D$3:D$502="GBP")*(Income!A$3:A$502=DATE(2026,7,24)),ROW(Income!A$3:A$502)-2),1)),0))</f>
        <v/>
      </c>
      <c r="L149" s="126">
        <f t="array" ref="L149">IF(IFERROR(INDEX(Expenses!B$3:B$999,SMALL(IF((Expenses!E$3:E$999="GBP")*(Expenses!A$3:A$999=DATE(2026,7,24)),ROW(Expenses!A$3:A$999)-2),1)),"")&lt;&gt;"",IFERROR(INDEX(Expenses!B$3:B$999,SMALL(IF((Expenses!E$3:E$999="GBP")*(Expenses!A$3:A$999=DATE(2026,7,24)),ROW(Expenses!A$3:A$999)-2),1)),""),IF(IFERROR(INDEX(Income!B$3:B$502,SMALL(IF((Income!D$3:D$502="GBP")*(Income!A$3:A$502=DATE(2026,7,24)),ROW(Income!A$3:A$502)-2),1)),"")&lt;&gt;"",IFERROR(INDEX(Income!B$3:B$502,SMALL(IF((Income!D$3:D$502="GBP")*(Income!A$3:A$502=DATE(2026,7,24)),ROW(Income!A$3:A$502)-2),1)),""),""))</f>
        <v/>
      </c>
      <c r="M149" s="152">
        <f t="array" ref="M149">IF(IFERROR(-INDEX(Expenses!D$3:D$999,SMALL(IF((Expenses!E$3:E$999="GBP")*(Expenses!A$3:A$999=DATE(2026,7,25)),ROW(Expenses!A$3:A$999)-2),1)),0)+IFERROR(INDEX(Income!C$3:C$502,SMALL(IF((Income!D$3:D$502="GBP")*(Income!A$3:A$502=DATE(2026,7,25)),ROW(Income!A$3:A$502)-2),1)),0)=0,"",IFERROR(-INDEX(Expenses!D$3:D$999,SMALL(IF((Expenses!E$3:E$999="GBP")*(Expenses!A$3:A$999=DATE(2026,7,25)),ROW(Expenses!A$3:A$999)-2),1)),0)+IFERROR(INDEX(Income!C$3:C$502,SMALL(IF((Income!D$3:D$502="GBP")*(Income!A$3:A$502=DATE(2026,7,25)),ROW(Income!A$3:A$502)-2),1)),0))</f>
        <v/>
      </c>
      <c r="N149" s="126">
        <f t="array" ref="N149">IF(IFERROR(INDEX(Expenses!B$3:B$999,SMALL(IF((Expenses!E$3:E$999="GBP")*(Expenses!A$3:A$999=DATE(2026,7,25)),ROW(Expenses!A$3:A$999)-2),1)),"")&lt;&gt;"",IFERROR(INDEX(Expenses!B$3:B$999,SMALL(IF((Expenses!E$3:E$999="GBP")*(Expenses!A$3:A$999=DATE(2026,7,25)),ROW(Expenses!A$3:A$999)-2),1)),""),IF(IFERROR(INDEX(Income!B$3:B$502,SMALL(IF((Income!D$3:D$502="GBP")*(Income!A$3:A$502=DATE(2026,7,25)),ROW(Income!A$3:A$502)-2),1)),"")&lt;&gt;"",IFERROR(INDEX(Income!B$3:B$502,SMALL(IF((Income!D$3:D$502="GBP")*(Income!A$3:A$502=DATE(2026,7,25)),ROW(Income!A$3:A$502)-2),1)),""),""))</f>
        <v/>
      </c>
      <c r="O149" s="152">
        <f t="array" ref="O149">IF(IFERROR(-INDEX(Expenses!D$3:D$999,SMALL(IF((Expenses!E$3:E$999="GBP")*(Expenses!A$3:A$999=DATE(2026,7,26)),ROW(Expenses!A$3:A$999)-2),1)),0)+IFERROR(INDEX(Income!C$3:C$502,SMALL(IF((Income!D$3:D$502="GBP")*(Income!A$3:A$502=DATE(2026,7,26)),ROW(Income!A$3:A$502)-2),1)),0)=0,"",IFERROR(-INDEX(Expenses!D$3:D$999,SMALL(IF((Expenses!E$3:E$999="GBP")*(Expenses!A$3:A$999=DATE(2026,7,26)),ROW(Expenses!A$3:A$999)-2),1)),0)+IFERROR(INDEX(Income!C$3:C$502,SMALL(IF((Income!D$3:D$502="GBP")*(Income!A$3:A$502=DATE(2026,7,26)),ROW(Income!A$3:A$502)-2),1)),0))</f>
        <v/>
      </c>
      <c r="P149" s="126">
        <f t="array" ref="P149">IF(IFERROR(INDEX(Expenses!B$3:B$999,SMALL(IF((Expenses!E$3:E$999="GBP")*(Expenses!A$3:A$999=DATE(2026,7,26)),ROW(Expenses!A$3:A$999)-2),1)),"")&lt;&gt;"",IFERROR(INDEX(Expenses!B$3:B$999,SMALL(IF((Expenses!E$3:E$999="GBP")*(Expenses!A$3:A$999=DATE(2026,7,26)),ROW(Expenses!A$3:A$999)-2),1)),""),IF(IFERROR(INDEX(Income!B$3:B$502,SMALL(IF((Income!D$3:D$502="GBP")*(Income!A$3:A$502=DATE(2026,7,26)),ROW(Income!A$3:A$502)-2),1)),"")&lt;&gt;"",IFERROR(INDEX(Income!B$3:B$502,SMALL(IF((Income!D$3:D$502="GBP")*(Income!A$3:A$502=DATE(2026,7,26)),ROW(Income!A$3:A$502)-2),1)),""),""))</f>
        <v/>
      </c>
      <c r="Q149" s="103" t="n">
        <v>30</v>
      </c>
      <c r="R149" s="134">
        <f>SUM(C149:C153)+SUM(E149:E153)+SUM(G149:G153)+SUM(I149:I153)+SUM(K149:K153)+SUM(M149:M153)+SUM(O149:O153)</f>
        <v/>
      </c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68">
      <c r="A150" s="9" t="n"/>
      <c r="B150" s="9" t="n"/>
      <c r="C150" s="152">
        <f t="array" ref="C150">IF(IFERROR(-INDEX(Expenses!D$3:D$999,SMALL(IF((Expenses!E$3:E$999="GBP")*(Expenses!A$3:A$999=DATE(2026,7,20)),ROW(Expenses!A$3:A$999)-2),2)),0)+IFERROR(INDEX(Income!C$3:C$502,SMALL(IF((Income!D$3:D$502="GBP")*(Income!A$3:A$502=DATE(2026,7,20)),ROW(Income!A$3:A$502)-2),2)),0)=0,"",IFERROR(-INDEX(Expenses!D$3:D$999,SMALL(IF((Expenses!E$3:E$999="GBP")*(Expenses!A$3:A$999=DATE(2026,7,20)),ROW(Expenses!A$3:A$999)-2),2)),0)+IFERROR(INDEX(Income!C$3:C$502,SMALL(IF((Income!D$3:D$502="GBP")*(Income!A$3:A$502=DATE(2026,7,20)),ROW(Income!A$3:A$502)-2),2)),0))</f>
        <v/>
      </c>
      <c r="D150" s="126">
        <f t="array" ref="D150">IF(IFERROR(INDEX(Expenses!B$3:B$999,SMALL(IF((Expenses!E$3:E$999="GBP")*(Expenses!A$3:A$999=DATE(2026,7,20)),ROW(Expenses!A$3:A$999)-2),2)),"")&lt;&gt;"",IFERROR(INDEX(Expenses!B$3:B$999,SMALL(IF((Expenses!E$3:E$999="GBP")*(Expenses!A$3:A$999=DATE(2026,7,20)),ROW(Expenses!A$3:A$999)-2),2)),""),IF(IFERROR(INDEX(Income!B$3:B$502,SMALL(IF((Income!D$3:D$502="GBP")*(Income!A$3:A$502=DATE(2026,7,20)),ROW(Income!A$3:A$502)-2),2)),"")&lt;&gt;"",IFERROR(INDEX(Income!B$3:B$502,SMALL(IF((Income!D$3:D$502="GBP")*(Income!A$3:A$502=DATE(2026,7,20)),ROW(Income!A$3:A$502)-2),2)),""),""))</f>
        <v/>
      </c>
      <c r="E150" s="152">
        <f t="array" ref="E150">IF(IFERROR(-INDEX(Expenses!D$3:D$999,SMALL(IF((Expenses!E$3:E$999="GBP")*(Expenses!A$3:A$999=DATE(2026,7,21)),ROW(Expenses!A$3:A$999)-2),2)),0)+IFERROR(INDEX(Income!C$3:C$502,SMALL(IF((Income!D$3:D$502="GBP")*(Income!A$3:A$502=DATE(2026,7,21)),ROW(Income!A$3:A$502)-2),2)),0)=0,"",IFERROR(-INDEX(Expenses!D$3:D$999,SMALL(IF((Expenses!E$3:E$999="GBP")*(Expenses!A$3:A$999=DATE(2026,7,21)),ROW(Expenses!A$3:A$999)-2),2)),0)+IFERROR(INDEX(Income!C$3:C$502,SMALL(IF((Income!D$3:D$502="GBP")*(Income!A$3:A$502=DATE(2026,7,21)),ROW(Income!A$3:A$502)-2),2)),0))</f>
        <v/>
      </c>
      <c r="F150" s="126">
        <f t="array" ref="F150">IF(IFERROR(INDEX(Expenses!B$3:B$999,SMALL(IF((Expenses!E$3:E$999="GBP")*(Expenses!A$3:A$999=DATE(2026,7,21)),ROW(Expenses!A$3:A$999)-2),2)),"")&lt;&gt;"",IFERROR(INDEX(Expenses!B$3:B$999,SMALL(IF((Expenses!E$3:E$999="GBP")*(Expenses!A$3:A$999=DATE(2026,7,21)),ROW(Expenses!A$3:A$999)-2),2)),""),IF(IFERROR(INDEX(Income!B$3:B$502,SMALL(IF((Income!D$3:D$502="GBP")*(Income!A$3:A$502=DATE(2026,7,21)),ROW(Income!A$3:A$502)-2),2)),"")&lt;&gt;"",IFERROR(INDEX(Income!B$3:B$502,SMALL(IF((Income!D$3:D$502="GBP")*(Income!A$3:A$502=DATE(2026,7,21)),ROW(Income!A$3:A$502)-2),2)),""),""))</f>
        <v/>
      </c>
      <c r="G150" s="152">
        <f t="array" ref="G150">IF(IFERROR(-INDEX(Expenses!D$3:D$999,SMALL(IF((Expenses!E$3:E$999="GBP")*(Expenses!A$3:A$999=DATE(2026,7,22)),ROW(Expenses!A$3:A$999)-2),2)),0)+IFERROR(INDEX(Income!C$3:C$502,SMALL(IF((Income!D$3:D$502="GBP")*(Income!A$3:A$502=DATE(2026,7,22)),ROW(Income!A$3:A$502)-2),2)),0)=0,"",IFERROR(-INDEX(Expenses!D$3:D$999,SMALL(IF((Expenses!E$3:E$999="GBP")*(Expenses!A$3:A$999=DATE(2026,7,22)),ROW(Expenses!A$3:A$999)-2),2)),0)+IFERROR(INDEX(Income!C$3:C$502,SMALL(IF((Income!D$3:D$502="GBP")*(Income!A$3:A$502=DATE(2026,7,22)),ROW(Income!A$3:A$502)-2),2)),0))</f>
        <v/>
      </c>
      <c r="H150" s="126">
        <f t="array" ref="H150">IF(IFERROR(INDEX(Expenses!B$3:B$999,SMALL(IF((Expenses!E$3:E$999="GBP")*(Expenses!A$3:A$999=DATE(2026,7,22)),ROW(Expenses!A$3:A$999)-2),2)),"")&lt;&gt;"",IFERROR(INDEX(Expenses!B$3:B$999,SMALL(IF((Expenses!E$3:E$999="GBP")*(Expenses!A$3:A$999=DATE(2026,7,22)),ROW(Expenses!A$3:A$999)-2),2)),""),IF(IFERROR(INDEX(Income!B$3:B$502,SMALL(IF((Income!D$3:D$502="GBP")*(Income!A$3:A$502=DATE(2026,7,22)),ROW(Income!A$3:A$502)-2),2)),"")&lt;&gt;"",IFERROR(INDEX(Income!B$3:B$502,SMALL(IF((Income!D$3:D$502="GBP")*(Income!A$3:A$502=DATE(2026,7,22)),ROW(Income!A$3:A$502)-2),2)),""),""))</f>
        <v/>
      </c>
      <c r="I150" s="152">
        <f t="array" ref="I150">IF(IFERROR(-INDEX(Expenses!D$3:D$999,SMALL(IF((Expenses!E$3:E$999="GBP")*(Expenses!A$3:A$999=DATE(2026,7,23)),ROW(Expenses!A$3:A$999)-2),2)),0)+IFERROR(INDEX(Income!C$3:C$502,SMALL(IF((Income!D$3:D$502="GBP")*(Income!A$3:A$502=DATE(2026,7,23)),ROW(Income!A$3:A$502)-2),2)),0)=0,"",IFERROR(-INDEX(Expenses!D$3:D$999,SMALL(IF((Expenses!E$3:E$999="GBP")*(Expenses!A$3:A$999=DATE(2026,7,23)),ROW(Expenses!A$3:A$999)-2),2)),0)+IFERROR(INDEX(Income!C$3:C$502,SMALL(IF((Income!D$3:D$502="GBP")*(Income!A$3:A$502=DATE(2026,7,23)),ROW(Income!A$3:A$502)-2),2)),0))</f>
        <v/>
      </c>
      <c r="J150" s="126">
        <f t="array" ref="J150">IF(IFERROR(INDEX(Expenses!B$3:B$999,SMALL(IF((Expenses!E$3:E$999="GBP")*(Expenses!A$3:A$999=DATE(2026,7,23)),ROW(Expenses!A$3:A$999)-2),2)),"")&lt;&gt;"",IFERROR(INDEX(Expenses!B$3:B$999,SMALL(IF((Expenses!E$3:E$999="GBP")*(Expenses!A$3:A$999=DATE(2026,7,23)),ROW(Expenses!A$3:A$999)-2),2)),""),IF(IFERROR(INDEX(Income!B$3:B$502,SMALL(IF((Income!D$3:D$502="GBP")*(Income!A$3:A$502=DATE(2026,7,23)),ROW(Income!A$3:A$502)-2),2)),"")&lt;&gt;"",IFERROR(INDEX(Income!B$3:B$502,SMALL(IF((Income!D$3:D$502="GBP")*(Income!A$3:A$502=DATE(2026,7,23)),ROW(Income!A$3:A$502)-2),2)),""),""))</f>
        <v/>
      </c>
      <c r="K150" s="152">
        <f t="array" ref="K150">IF(IFERROR(-INDEX(Expenses!D$3:D$999,SMALL(IF((Expenses!E$3:E$999="GBP")*(Expenses!A$3:A$999=DATE(2026,7,24)),ROW(Expenses!A$3:A$999)-2),2)),0)+IFERROR(INDEX(Income!C$3:C$502,SMALL(IF((Income!D$3:D$502="GBP")*(Income!A$3:A$502=DATE(2026,7,24)),ROW(Income!A$3:A$502)-2),2)),0)=0,"",IFERROR(-INDEX(Expenses!D$3:D$999,SMALL(IF((Expenses!E$3:E$999="GBP")*(Expenses!A$3:A$999=DATE(2026,7,24)),ROW(Expenses!A$3:A$999)-2),2)),0)+IFERROR(INDEX(Income!C$3:C$502,SMALL(IF((Income!D$3:D$502="GBP")*(Income!A$3:A$502=DATE(2026,7,24)),ROW(Income!A$3:A$502)-2),2)),0))</f>
        <v/>
      </c>
      <c r="L150" s="126">
        <f t="array" ref="L150">IF(IFERROR(INDEX(Expenses!B$3:B$999,SMALL(IF((Expenses!E$3:E$999="GBP")*(Expenses!A$3:A$999=DATE(2026,7,24)),ROW(Expenses!A$3:A$999)-2),2)),"")&lt;&gt;"",IFERROR(INDEX(Expenses!B$3:B$999,SMALL(IF((Expenses!E$3:E$999="GBP")*(Expenses!A$3:A$999=DATE(2026,7,24)),ROW(Expenses!A$3:A$999)-2),2)),""),IF(IFERROR(INDEX(Income!B$3:B$502,SMALL(IF((Income!D$3:D$502="GBP")*(Income!A$3:A$502=DATE(2026,7,24)),ROW(Income!A$3:A$502)-2),2)),"")&lt;&gt;"",IFERROR(INDEX(Income!B$3:B$502,SMALL(IF((Income!D$3:D$502="GBP")*(Income!A$3:A$502=DATE(2026,7,24)),ROW(Income!A$3:A$502)-2),2)),""),""))</f>
        <v/>
      </c>
      <c r="M150" s="152">
        <f t="array" ref="M150">IF(IFERROR(-INDEX(Expenses!D$3:D$999,SMALL(IF((Expenses!E$3:E$999="GBP")*(Expenses!A$3:A$999=DATE(2026,7,25)),ROW(Expenses!A$3:A$999)-2),2)),0)+IFERROR(INDEX(Income!C$3:C$502,SMALL(IF((Income!D$3:D$502="GBP")*(Income!A$3:A$502=DATE(2026,7,25)),ROW(Income!A$3:A$502)-2),2)),0)=0,"",IFERROR(-INDEX(Expenses!D$3:D$999,SMALL(IF((Expenses!E$3:E$999="GBP")*(Expenses!A$3:A$999=DATE(2026,7,25)),ROW(Expenses!A$3:A$999)-2),2)),0)+IFERROR(INDEX(Income!C$3:C$502,SMALL(IF((Income!D$3:D$502="GBP")*(Income!A$3:A$502=DATE(2026,7,25)),ROW(Income!A$3:A$502)-2),2)),0))</f>
        <v/>
      </c>
      <c r="N150" s="126">
        <f t="array" ref="N150">IF(IFERROR(INDEX(Expenses!B$3:B$999,SMALL(IF((Expenses!E$3:E$999="GBP")*(Expenses!A$3:A$999=DATE(2026,7,25)),ROW(Expenses!A$3:A$999)-2),2)),"")&lt;&gt;"",IFERROR(INDEX(Expenses!B$3:B$999,SMALL(IF((Expenses!E$3:E$999="GBP")*(Expenses!A$3:A$999=DATE(2026,7,25)),ROW(Expenses!A$3:A$999)-2),2)),""),IF(IFERROR(INDEX(Income!B$3:B$502,SMALL(IF((Income!D$3:D$502="GBP")*(Income!A$3:A$502=DATE(2026,7,25)),ROW(Income!A$3:A$502)-2),2)),"")&lt;&gt;"",IFERROR(INDEX(Income!B$3:B$502,SMALL(IF((Income!D$3:D$502="GBP")*(Income!A$3:A$502=DATE(2026,7,25)),ROW(Income!A$3:A$502)-2),2)),""),""))</f>
        <v/>
      </c>
      <c r="O150" s="152">
        <f t="array" ref="O150">IF(IFERROR(-INDEX(Expenses!D$3:D$999,SMALL(IF((Expenses!E$3:E$999="GBP")*(Expenses!A$3:A$999=DATE(2026,7,26)),ROW(Expenses!A$3:A$999)-2),2)),0)+IFERROR(INDEX(Income!C$3:C$502,SMALL(IF((Income!D$3:D$502="GBP")*(Income!A$3:A$502=DATE(2026,7,26)),ROW(Income!A$3:A$502)-2),2)),0)=0,"",IFERROR(-INDEX(Expenses!D$3:D$999,SMALL(IF((Expenses!E$3:E$999="GBP")*(Expenses!A$3:A$999=DATE(2026,7,26)),ROW(Expenses!A$3:A$999)-2),2)),0)+IFERROR(INDEX(Income!C$3:C$502,SMALL(IF((Income!D$3:D$502="GBP")*(Income!A$3:A$502=DATE(2026,7,26)),ROW(Income!A$3:A$502)-2),2)),0))</f>
        <v/>
      </c>
      <c r="P150" s="126">
        <f t="array" ref="P150">IF(IFERROR(INDEX(Expenses!B$3:B$999,SMALL(IF((Expenses!E$3:E$999="GBP")*(Expenses!A$3:A$999=DATE(2026,7,26)),ROW(Expenses!A$3:A$999)-2),2)),"")&lt;&gt;"",IFERROR(INDEX(Expenses!B$3:B$999,SMALL(IF((Expenses!E$3:E$999="GBP")*(Expenses!A$3:A$999=DATE(2026,7,26)),ROW(Expenses!A$3:A$999)-2),2)),""),IF(IFERROR(INDEX(Income!B$3:B$502,SMALL(IF((Income!D$3:D$502="GBP")*(Income!A$3:A$502=DATE(2026,7,26)),ROW(Income!A$3:A$502)-2),2)),"")&lt;&gt;"",IFERROR(INDEX(Income!B$3:B$502,SMALL(IF((Income!D$3:D$502="GBP")*(Income!A$3:A$502=DATE(2026,7,26)),ROW(Income!A$3:A$502)-2),2)),""),""))</f>
        <v/>
      </c>
      <c r="Q150" s="9" t="n"/>
      <c r="R150" s="9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68">
      <c r="A151" s="9" t="n"/>
      <c r="B151" s="9" t="n"/>
      <c r="C151" s="152">
        <f t="array" ref="C151">IF(IFERROR(-INDEX(Expenses!D$3:D$999,SMALL(IF((Expenses!E$3:E$999="GBP")*(Expenses!A$3:A$999=DATE(2026,7,20)),ROW(Expenses!A$3:A$999)-2),3)),0)+IFERROR(INDEX(Income!C$3:C$502,SMALL(IF((Income!D$3:D$502="GBP")*(Income!A$3:A$502=DATE(2026,7,20)),ROW(Income!A$3:A$502)-2),3)),0)=0,"",IFERROR(-INDEX(Expenses!D$3:D$999,SMALL(IF((Expenses!E$3:E$999="GBP")*(Expenses!A$3:A$999=DATE(2026,7,20)),ROW(Expenses!A$3:A$999)-2),3)),0)+IFERROR(INDEX(Income!C$3:C$502,SMALL(IF((Income!D$3:D$502="GBP")*(Income!A$3:A$502=DATE(2026,7,20)),ROW(Income!A$3:A$502)-2),3)),0))</f>
        <v/>
      </c>
      <c r="D151" s="126">
        <f t="array" ref="D151">IF(IFERROR(INDEX(Expenses!B$3:B$999,SMALL(IF((Expenses!E$3:E$999="GBP")*(Expenses!A$3:A$999=DATE(2026,7,20)),ROW(Expenses!A$3:A$999)-2),3)),"")&lt;&gt;"",IFERROR(INDEX(Expenses!B$3:B$999,SMALL(IF((Expenses!E$3:E$999="GBP")*(Expenses!A$3:A$999=DATE(2026,7,20)),ROW(Expenses!A$3:A$999)-2),3)),""),IF(IFERROR(INDEX(Income!B$3:B$502,SMALL(IF((Income!D$3:D$502="GBP")*(Income!A$3:A$502=DATE(2026,7,20)),ROW(Income!A$3:A$502)-2),3)),"")&lt;&gt;"",IFERROR(INDEX(Income!B$3:B$502,SMALL(IF((Income!D$3:D$502="GBP")*(Income!A$3:A$502=DATE(2026,7,20)),ROW(Income!A$3:A$502)-2),3)),""),""))</f>
        <v/>
      </c>
      <c r="E151" s="152">
        <f t="array" ref="E151">IF(IFERROR(-INDEX(Expenses!D$3:D$999,SMALL(IF((Expenses!E$3:E$999="GBP")*(Expenses!A$3:A$999=DATE(2026,7,21)),ROW(Expenses!A$3:A$999)-2),3)),0)+IFERROR(INDEX(Income!C$3:C$502,SMALL(IF((Income!D$3:D$502="GBP")*(Income!A$3:A$502=DATE(2026,7,21)),ROW(Income!A$3:A$502)-2),3)),0)=0,"",IFERROR(-INDEX(Expenses!D$3:D$999,SMALL(IF((Expenses!E$3:E$999="GBP")*(Expenses!A$3:A$999=DATE(2026,7,21)),ROW(Expenses!A$3:A$999)-2),3)),0)+IFERROR(INDEX(Income!C$3:C$502,SMALL(IF((Income!D$3:D$502="GBP")*(Income!A$3:A$502=DATE(2026,7,21)),ROW(Income!A$3:A$502)-2),3)),0))</f>
        <v/>
      </c>
      <c r="F151" s="126">
        <f t="array" ref="F151">IF(IFERROR(INDEX(Expenses!B$3:B$999,SMALL(IF((Expenses!E$3:E$999="GBP")*(Expenses!A$3:A$999=DATE(2026,7,21)),ROW(Expenses!A$3:A$999)-2),3)),"")&lt;&gt;"",IFERROR(INDEX(Expenses!B$3:B$999,SMALL(IF((Expenses!E$3:E$999="GBP")*(Expenses!A$3:A$999=DATE(2026,7,21)),ROW(Expenses!A$3:A$999)-2),3)),""),IF(IFERROR(INDEX(Income!B$3:B$502,SMALL(IF((Income!D$3:D$502="GBP")*(Income!A$3:A$502=DATE(2026,7,21)),ROW(Income!A$3:A$502)-2),3)),"")&lt;&gt;"",IFERROR(INDEX(Income!B$3:B$502,SMALL(IF((Income!D$3:D$502="GBP")*(Income!A$3:A$502=DATE(2026,7,21)),ROW(Income!A$3:A$502)-2),3)),""),""))</f>
        <v/>
      </c>
      <c r="G151" s="152">
        <f t="array" ref="G151">IF(IFERROR(-INDEX(Expenses!D$3:D$999,SMALL(IF((Expenses!E$3:E$999="GBP")*(Expenses!A$3:A$999=DATE(2026,7,22)),ROW(Expenses!A$3:A$999)-2),3)),0)+IFERROR(INDEX(Income!C$3:C$502,SMALL(IF((Income!D$3:D$502="GBP")*(Income!A$3:A$502=DATE(2026,7,22)),ROW(Income!A$3:A$502)-2),3)),0)=0,"",IFERROR(-INDEX(Expenses!D$3:D$999,SMALL(IF((Expenses!E$3:E$999="GBP")*(Expenses!A$3:A$999=DATE(2026,7,22)),ROW(Expenses!A$3:A$999)-2),3)),0)+IFERROR(INDEX(Income!C$3:C$502,SMALL(IF((Income!D$3:D$502="GBP")*(Income!A$3:A$502=DATE(2026,7,22)),ROW(Income!A$3:A$502)-2),3)),0))</f>
        <v/>
      </c>
      <c r="H151" s="126">
        <f t="array" ref="H151">IF(IFERROR(INDEX(Expenses!B$3:B$999,SMALL(IF((Expenses!E$3:E$999="GBP")*(Expenses!A$3:A$999=DATE(2026,7,22)),ROW(Expenses!A$3:A$999)-2),3)),"")&lt;&gt;"",IFERROR(INDEX(Expenses!B$3:B$999,SMALL(IF((Expenses!E$3:E$999="GBP")*(Expenses!A$3:A$999=DATE(2026,7,22)),ROW(Expenses!A$3:A$999)-2),3)),""),IF(IFERROR(INDEX(Income!B$3:B$502,SMALL(IF((Income!D$3:D$502="GBP")*(Income!A$3:A$502=DATE(2026,7,22)),ROW(Income!A$3:A$502)-2),3)),"")&lt;&gt;"",IFERROR(INDEX(Income!B$3:B$502,SMALL(IF((Income!D$3:D$502="GBP")*(Income!A$3:A$502=DATE(2026,7,22)),ROW(Income!A$3:A$502)-2),3)),""),""))</f>
        <v/>
      </c>
      <c r="I151" s="152">
        <f t="array" ref="I151">IF(IFERROR(-INDEX(Expenses!D$3:D$999,SMALL(IF((Expenses!E$3:E$999="GBP")*(Expenses!A$3:A$999=DATE(2026,7,23)),ROW(Expenses!A$3:A$999)-2),3)),0)+IFERROR(INDEX(Income!C$3:C$502,SMALL(IF((Income!D$3:D$502="GBP")*(Income!A$3:A$502=DATE(2026,7,23)),ROW(Income!A$3:A$502)-2),3)),0)=0,"",IFERROR(-INDEX(Expenses!D$3:D$999,SMALL(IF((Expenses!E$3:E$999="GBP")*(Expenses!A$3:A$999=DATE(2026,7,23)),ROW(Expenses!A$3:A$999)-2),3)),0)+IFERROR(INDEX(Income!C$3:C$502,SMALL(IF((Income!D$3:D$502="GBP")*(Income!A$3:A$502=DATE(2026,7,23)),ROW(Income!A$3:A$502)-2),3)),0))</f>
        <v/>
      </c>
      <c r="J151" s="126">
        <f t="array" ref="J151">IF(IFERROR(INDEX(Expenses!B$3:B$999,SMALL(IF((Expenses!E$3:E$999="GBP")*(Expenses!A$3:A$999=DATE(2026,7,23)),ROW(Expenses!A$3:A$999)-2),3)),"")&lt;&gt;"",IFERROR(INDEX(Expenses!B$3:B$999,SMALL(IF((Expenses!E$3:E$999="GBP")*(Expenses!A$3:A$999=DATE(2026,7,23)),ROW(Expenses!A$3:A$999)-2),3)),""),IF(IFERROR(INDEX(Income!B$3:B$502,SMALL(IF((Income!D$3:D$502="GBP")*(Income!A$3:A$502=DATE(2026,7,23)),ROW(Income!A$3:A$502)-2),3)),"")&lt;&gt;"",IFERROR(INDEX(Income!B$3:B$502,SMALL(IF((Income!D$3:D$502="GBP")*(Income!A$3:A$502=DATE(2026,7,23)),ROW(Income!A$3:A$502)-2),3)),""),""))</f>
        <v/>
      </c>
      <c r="K151" s="152">
        <f t="array" ref="K151">IF(IFERROR(-INDEX(Expenses!D$3:D$999,SMALL(IF((Expenses!E$3:E$999="GBP")*(Expenses!A$3:A$999=DATE(2026,7,24)),ROW(Expenses!A$3:A$999)-2),3)),0)+IFERROR(INDEX(Income!C$3:C$502,SMALL(IF((Income!D$3:D$502="GBP")*(Income!A$3:A$502=DATE(2026,7,24)),ROW(Income!A$3:A$502)-2),3)),0)=0,"",IFERROR(-INDEX(Expenses!D$3:D$999,SMALL(IF((Expenses!E$3:E$999="GBP")*(Expenses!A$3:A$999=DATE(2026,7,24)),ROW(Expenses!A$3:A$999)-2),3)),0)+IFERROR(INDEX(Income!C$3:C$502,SMALL(IF((Income!D$3:D$502="GBP")*(Income!A$3:A$502=DATE(2026,7,24)),ROW(Income!A$3:A$502)-2),3)),0))</f>
        <v/>
      </c>
      <c r="L151" s="126">
        <f t="array" ref="L151">IF(IFERROR(INDEX(Expenses!B$3:B$999,SMALL(IF((Expenses!E$3:E$999="GBP")*(Expenses!A$3:A$999=DATE(2026,7,24)),ROW(Expenses!A$3:A$999)-2),3)),"")&lt;&gt;"",IFERROR(INDEX(Expenses!B$3:B$999,SMALL(IF((Expenses!E$3:E$999="GBP")*(Expenses!A$3:A$999=DATE(2026,7,24)),ROW(Expenses!A$3:A$999)-2),3)),""),IF(IFERROR(INDEX(Income!B$3:B$502,SMALL(IF((Income!D$3:D$502="GBP")*(Income!A$3:A$502=DATE(2026,7,24)),ROW(Income!A$3:A$502)-2),3)),"")&lt;&gt;"",IFERROR(INDEX(Income!B$3:B$502,SMALL(IF((Income!D$3:D$502="GBP")*(Income!A$3:A$502=DATE(2026,7,24)),ROW(Income!A$3:A$502)-2),3)),""),""))</f>
        <v/>
      </c>
      <c r="M151" s="152">
        <f t="array" ref="M151">IF(IFERROR(-INDEX(Expenses!D$3:D$999,SMALL(IF((Expenses!E$3:E$999="GBP")*(Expenses!A$3:A$999=DATE(2026,7,25)),ROW(Expenses!A$3:A$999)-2),3)),0)+IFERROR(INDEX(Income!C$3:C$502,SMALL(IF((Income!D$3:D$502="GBP")*(Income!A$3:A$502=DATE(2026,7,25)),ROW(Income!A$3:A$502)-2),3)),0)=0,"",IFERROR(-INDEX(Expenses!D$3:D$999,SMALL(IF((Expenses!E$3:E$999="GBP")*(Expenses!A$3:A$999=DATE(2026,7,25)),ROW(Expenses!A$3:A$999)-2),3)),0)+IFERROR(INDEX(Income!C$3:C$502,SMALL(IF((Income!D$3:D$502="GBP")*(Income!A$3:A$502=DATE(2026,7,25)),ROW(Income!A$3:A$502)-2),3)),0))</f>
        <v/>
      </c>
      <c r="N151" s="126">
        <f t="array" ref="N151">IF(IFERROR(INDEX(Expenses!B$3:B$999,SMALL(IF((Expenses!E$3:E$999="GBP")*(Expenses!A$3:A$999=DATE(2026,7,25)),ROW(Expenses!A$3:A$999)-2),3)),"")&lt;&gt;"",IFERROR(INDEX(Expenses!B$3:B$999,SMALL(IF((Expenses!E$3:E$999="GBP")*(Expenses!A$3:A$999=DATE(2026,7,25)),ROW(Expenses!A$3:A$999)-2),3)),""),IF(IFERROR(INDEX(Income!B$3:B$502,SMALL(IF((Income!D$3:D$502="GBP")*(Income!A$3:A$502=DATE(2026,7,25)),ROW(Income!A$3:A$502)-2),3)),"")&lt;&gt;"",IFERROR(INDEX(Income!B$3:B$502,SMALL(IF((Income!D$3:D$502="GBP")*(Income!A$3:A$502=DATE(2026,7,25)),ROW(Income!A$3:A$502)-2),3)),""),""))</f>
        <v/>
      </c>
      <c r="O151" s="152">
        <f t="array" ref="O151">IF(IFERROR(-INDEX(Expenses!D$3:D$999,SMALL(IF((Expenses!E$3:E$999="GBP")*(Expenses!A$3:A$999=DATE(2026,7,26)),ROW(Expenses!A$3:A$999)-2),3)),0)+IFERROR(INDEX(Income!C$3:C$502,SMALL(IF((Income!D$3:D$502="GBP")*(Income!A$3:A$502=DATE(2026,7,26)),ROW(Income!A$3:A$502)-2),3)),0)=0,"",IFERROR(-INDEX(Expenses!D$3:D$999,SMALL(IF((Expenses!E$3:E$999="GBP")*(Expenses!A$3:A$999=DATE(2026,7,26)),ROW(Expenses!A$3:A$999)-2),3)),0)+IFERROR(INDEX(Income!C$3:C$502,SMALL(IF((Income!D$3:D$502="GBP")*(Income!A$3:A$502=DATE(2026,7,26)),ROW(Income!A$3:A$502)-2),3)),0))</f>
        <v/>
      </c>
      <c r="P151" s="126">
        <f t="array" ref="P151">IF(IFERROR(INDEX(Expenses!B$3:B$999,SMALL(IF((Expenses!E$3:E$999="GBP")*(Expenses!A$3:A$999=DATE(2026,7,26)),ROW(Expenses!A$3:A$999)-2),3)),"")&lt;&gt;"",IFERROR(INDEX(Expenses!B$3:B$999,SMALL(IF((Expenses!E$3:E$999="GBP")*(Expenses!A$3:A$999=DATE(2026,7,26)),ROW(Expenses!A$3:A$999)-2),3)),""),IF(IFERROR(INDEX(Income!B$3:B$502,SMALL(IF((Income!D$3:D$502="GBP")*(Income!A$3:A$502=DATE(2026,7,26)),ROW(Income!A$3:A$502)-2),3)),"")&lt;&gt;"",IFERROR(INDEX(Income!B$3:B$502,SMALL(IF((Income!D$3:D$502="GBP")*(Income!A$3:A$502=DATE(2026,7,26)),ROW(Income!A$3:A$502)-2),3)),""),""))</f>
        <v/>
      </c>
      <c r="Q151" s="9" t="n"/>
      <c r="R151" s="9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68">
      <c r="A152" s="9" t="n"/>
      <c r="B152" s="9" t="n"/>
      <c r="C152" s="152">
        <f t="array" ref="C152">IF(IFERROR(-INDEX(Expenses!D$3:D$999,SMALL(IF((Expenses!E$3:E$999="GBP")*(Expenses!A$3:A$999=DATE(2026,7,20)),ROW(Expenses!A$3:A$999)-2),4)),0)+IFERROR(INDEX(Income!C$3:C$502,SMALL(IF((Income!D$3:D$502="GBP")*(Income!A$3:A$502=DATE(2026,7,20)),ROW(Income!A$3:A$502)-2),4)),0)=0,"",IFERROR(-INDEX(Expenses!D$3:D$999,SMALL(IF((Expenses!E$3:E$999="GBP")*(Expenses!A$3:A$999=DATE(2026,7,20)),ROW(Expenses!A$3:A$999)-2),4)),0)+IFERROR(INDEX(Income!C$3:C$502,SMALL(IF((Income!D$3:D$502="GBP")*(Income!A$3:A$502=DATE(2026,7,20)),ROW(Income!A$3:A$502)-2),4)),0))</f>
        <v/>
      </c>
      <c r="D152" s="126">
        <f t="array" ref="D152">IF(IFERROR(INDEX(Expenses!B$3:B$999,SMALL(IF((Expenses!E$3:E$999="GBP")*(Expenses!A$3:A$999=DATE(2026,7,20)),ROW(Expenses!A$3:A$999)-2),4)),"")&lt;&gt;"",IFERROR(INDEX(Expenses!B$3:B$999,SMALL(IF((Expenses!E$3:E$999="GBP")*(Expenses!A$3:A$999=DATE(2026,7,20)),ROW(Expenses!A$3:A$999)-2),4)),""),IF(IFERROR(INDEX(Income!B$3:B$502,SMALL(IF((Income!D$3:D$502="GBP")*(Income!A$3:A$502=DATE(2026,7,20)),ROW(Income!A$3:A$502)-2),4)),"")&lt;&gt;"",IFERROR(INDEX(Income!B$3:B$502,SMALL(IF((Income!D$3:D$502="GBP")*(Income!A$3:A$502=DATE(2026,7,20)),ROW(Income!A$3:A$502)-2),4)),""),""))</f>
        <v/>
      </c>
      <c r="E152" s="152">
        <f t="array" ref="E152">IF(IFERROR(-INDEX(Expenses!D$3:D$999,SMALL(IF((Expenses!E$3:E$999="GBP")*(Expenses!A$3:A$999=DATE(2026,7,21)),ROW(Expenses!A$3:A$999)-2),4)),0)+IFERROR(INDEX(Income!C$3:C$502,SMALL(IF((Income!D$3:D$502="GBP")*(Income!A$3:A$502=DATE(2026,7,21)),ROW(Income!A$3:A$502)-2),4)),0)=0,"",IFERROR(-INDEX(Expenses!D$3:D$999,SMALL(IF((Expenses!E$3:E$999="GBP")*(Expenses!A$3:A$999=DATE(2026,7,21)),ROW(Expenses!A$3:A$999)-2),4)),0)+IFERROR(INDEX(Income!C$3:C$502,SMALL(IF((Income!D$3:D$502="GBP")*(Income!A$3:A$502=DATE(2026,7,21)),ROW(Income!A$3:A$502)-2),4)),0))</f>
        <v/>
      </c>
      <c r="F152" s="126">
        <f t="array" ref="F152">IF(IFERROR(INDEX(Expenses!B$3:B$999,SMALL(IF((Expenses!E$3:E$999="GBP")*(Expenses!A$3:A$999=DATE(2026,7,21)),ROW(Expenses!A$3:A$999)-2),4)),"")&lt;&gt;"",IFERROR(INDEX(Expenses!B$3:B$999,SMALL(IF((Expenses!E$3:E$999="GBP")*(Expenses!A$3:A$999=DATE(2026,7,21)),ROW(Expenses!A$3:A$999)-2),4)),""),IF(IFERROR(INDEX(Income!B$3:B$502,SMALL(IF((Income!D$3:D$502="GBP")*(Income!A$3:A$502=DATE(2026,7,21)),ROW(Income!A$3:A$502)-2),4)),"")&lt;&gt;"",IFERROR(INDEX(Income!B$3:B$502,SMALL(IF((Income!D$3:D$502="GBP")*(Income!A$3:A$502=DATE(2026,7,21)),ROW(Income!A$3:A$502)-2),4)),""),""))</f>
        <v/>
      </c>
      <c r="G152" s="152">
        <f t="array" ref="G152">IF(IFERROR(-INDEX(Expenses!D$3:D$999,SMALL(IF((Expenses!E$3:E$999="GBP")*(Expenses!A$3:A$999=DATE(2026,7,22)),ROW(Expenses!A$3:A$999)-2),4)),0)+IFERROR(INDEX(Income!C$3:C$502,SMALL(IF((Income!D$3:D$502="GBP")*(Income!A$3:A$502=DATE(2026,7,22)),ROW(Income!A$3:A$502)-2),4)),0)=0,"",IFERROR(-INDEX(Expenses!D$3:D$999,SMALL(IF((Expenses!E$3:E$999="GBP")*(Expenses!A$3:A$999=DATE(2026,7,22)),ROW(Expenses!A$3:A$999)-2),4)),0)+IFERROR(INDEX(Income!C$3:C$502,SMALL(IF((Income!D$3:D$502="GBP")*(Income!A$3:A$502=DATE(2026,7,22)),ROW(Income!A$3:A$502)-2),4)),0))</f>
        <v/>
      </c>
      <c r="H152" s="126">
        <f t="array" ref="H152">IF(IFERROR(INDEX(Expenses!B$3:B$999,SMALL(IF((Expenses!E$3:E$999="GBP")*(Expenses!A$3:A$999=DATE(2026,7,22)),ROW(Expenses!A$3:A$999)-2),4)),"")&lt;&gt;"",IFERROR(INDEX(Expenses!B$3:B$999,SMALL(IF((Expenses!E$3:E$999="GBP")*(Expenses!A$3:A$999=DATE(2026,7,22)),ROW(Expenses!A$3:A$999)-2),4)),""),IF(IFERROR(INDEX(Income!B$3:B$502,SMALL(IF((Income!D$3:D$502="GBP")*(Income!A$3:A$502=DATE(2026,7,22)),ROW(Income!A$3:A$502)-2),4)),"")&lt;&gt;"",IFERROR(INDEX(Income!B$3:B$502,SMALL(IF((Income!D$3:D$502="GBP")*(Income!A$3:A$502=DATE(2026,7,22)),ROW(Income!A$3:A$502)-2),4)),""),""))</f>
        <v/>
      </c>
      <c r="I152" s="152">
        <f t="array" ref="I152">IF(IFERROR(-INDEX(Expenses!D$3:D$999,SMALL(IF((Expenses!E$3:E$999="GBP")*(Expenses!A$3:A$999=DATE(2026,7,23)),ROW(Expenses!A$3:A$999)-2),4)),0)+IFERROR(INDEX(Income!C$3:C$502,SMALL(IF((Income!D$3:D$502="GBP")*(Income!A$3:A$502=DATE(2026,7,23)),ROW(Income!A$3:A$502)-2),4)),0)=0,"",IFERROR(-INDEX(Expenses!D$3:D$999,SMALL(IF((Expenses!E$3:E$999="GBP")*(Expenses!A$3:A$999=DATE(2026,7,23)),ROW(Expenses!A$3:A$999)-2),4)),0)+IFERROR(INDEX(Income!C$3:C$502,SMALL(IF((Income!D$3:D$502="GBP")*(Income!A$3:A$502=DATE(2026,7,23)),ROW(Income!A$3:A$502)-2),4)),0))</f>
        <v/>
      </c>
      <c r="J152" s="126">
        <f t="array" ref="J152">IF(IFERROR(INDEX(Expenses!B$3:B$999,SMALL(IF((Expenses!E$3:E$999="GBP")*(Expenses!A$3:A$999=DATE(2026,7,23)),ROW(Expenses!A$3:A$999)-2),4)),"")&lt;&gt;"",IFERROR(INDEX(Expenses!B$3:B$999,SMALL(IF((Expenses!E$3:E$999="GBP")*(Expenses!A$3:A$999=DATE(2026,7,23)),ROW(Expenses!A$3:A$999)-2),4)),""),IF(IFERROR(INDEX(Income!B$3:B$502,SMALL(IF((Income!D$3:D$502="GBP")*(Income!A$3:A$502=DATE(2026,7,23)),ROW(Income!A$3:A$502)-2),4)),"")&lt;&gt;"",IFERROR(INDEX(Income!B$3:B$502,SMALL(IF((Income!D$3:D$502="GBP")*(Income!A$3:A$502=DATE(2026,7,23)),ROW(Income!A$3:A$502)-2),4)),""),""))</f>
        <v/>
      </c>
      <c r="K152" s="152">
        <f t="array" ref="K152">IF(IFERROR(-INDEX(Expenses!D$3:D$999,SMALL(IF((Expenses!E$3:E$999="GBP")*(Expenses!A$3:A$999=DATE(2026,7,24)),ROW(Expenses!A$3:A$999)-2),4)),0)+IFERROR(INDEX(Income!C$3:C$502,SMALL(IF((Income!D$3:D$502="GBP")*(Income!A$3:A$502=DATE(2026,7,24)),ROW(Income!A$3:A$502)-2),4)),0)=0,"",IFERROR(-INDEX(Expenses!D$3:D$999,SMALL(IF((Expenses!E$3:E$999="GBP")*(Expenses!A$3:A$999=DATE(2026,7,24)),ROW(Expenses!A$3:A$999)-2),4)),0)+IFERROR(INDEX(Income!C$3:C$502,SMALL(IF((Income!D$3:D$502="GBP")*(Income!A$3:A$502=DATE(2026,7,24)),ROW(Income!A$3:A$502)-2),4)),0))</f>
        <v/>
      </c>
      <c r="L152" s="126">
        <f t="array" ref="L152">IF(IFERROR(INDEX(Expenses!B$3:B$999,SMALL(IF((Expenses!E$3:E$999="GBP")*(Expenses!A$3:A$999=DATE(2026,7,24)),ROW(Expenses!A$3:A$999)-2),4)),"")&lt;&gt;"",IFERROR(INDEX(Expenses!B$3:B$999,SMALL(IF((Expenses!E$3:E$999="GBP")*(Expenses!A$3:A$999=DATE(2026,7,24)),ROW(Expenses!A$3:A$999)-2),4)),""),IF(IFERROR(INDEX(Income!B$3:B$502,SMALL(IF((Income!D$3:D$502="GBP")*(Income!A$3:A$502=DATE(2026,7,24)),ROW(Income!A$3:A$502)-2),4)),"")&lt;&gt;"",IFERROR(INDEX(Income!B$3:B$502,SMALL(IF((Income!D$3:D$502="GBP")*(Income!A$3:A$502=DATE(2026,7,24)),ROW(Income!A$3:A$502)-2),4)),""),""))</f>
        <v/>
      </c>
      <c r="M152" s="152">
        <f t="array" ref="M152">IF(IFERROR(-INDEX(Expenses!D$3:D$999,SMALL(IF((Expenses!E$3:E$999="GBP")*(Expenses!A$3:A$999=DATE(2026,7,25)),ROW(Expenses!A$3:A$999)-2),4)),0)+IFERROR(INDEX(Income!C$3:C$502,SMALL(IF((Income!D$3:D$502="GBP")*(Income!A$3:A$502=DATE(2026,7,25)),ROW(Income!A$3:A$502)-2),4)),0)=0,"",IFERROR(-INDEX(Expenses!D$3:D$999,SMALL(IF((Expenses!E$3:E$999="GBP")*(Expenses!A$3:A$999=DATE(2026,7,25)),ROW(Expenses!A$3:A$999)-2),4)),0)+IFERROR(INDEX(Income!C$3:C$502,SMALL(IF((Income!D$3:D$502="GBP")*(Income!A$3:A$502=DATE(2026,7,25)),ROW(Income!A$3:A$502)-2),4)),0))</f>
        <v/>
      </c>
      <c r="N152" s="126">
        <f t="array" ref="N152">IF(IFERROR(INDEX(Expenses!B$3:B$999,SMALL(IF((Expenses!E$3:E$999="GBP")*(Expenses!A$3:A$999=DATE(2026,7,25)),ROW(Expenses!A$3:A$999)-2),4)),"")&lt;&gt;"",IFERROR(INDEX(Expenses!B$3:B$999,SMALL(IF((Expenses!E$3:E$999="GBP")*(Expenses!A$3:A$999=DATE(2026,7,25)),ROW(Expenses!A$3:A$999)-2),4)),""),IF(IFERROR(INDEX(Income!B$3:B$502,SMALL(IF((Income!D$3:D$502="GBP")*(Income!A$3:A$502=DATE(2026,7,25)),ROW(Income!A$3:A$502)-2),4)),"")&lt;&gt;"",IFERROR(INDEX(Income!B$3:B$502,SMALL(IF((Income!D$3:D$502="GBP")*(Income!A$3:A$502=DATE(2026,7,25)),ROW(Income!A$3:A$502)-2),4)),""),""))</f>
        <v/>
      </c>
      <c r="O152" s="152">
        <f t="array" ref="O152">IF(IFERROR(-INDEX(Expenses!D$3:D$999,SMALL(IF((Expenses!E$3:E$999="GBP")*(Expenses!A$3:A$999=DATE(2026,7,26)),ROW(Expenses!A$3:A$999)-2),4)),0)+IFERROR(INDEX(Income!C$3:C$502,SMALL(IF((Income!D$3:D$502="GBP")*(Income!A$3:A$502=DATE(2026,7,26)),ROW(Income!A$3:A$502)-2),4)),0)=0,"",IFERROR(-INDEX(Expenses!D$3:D$999,SMALL(IF((Expenses!E$3:E$999="GBP")*(Expenses!A$3:A$999=DATE(2026,7,26)),ROW(Expenses!A$3:A$999)-2),4)),0)+IFERROR(INDEX(Income!C$3:C$502,SMALL(IF((Income!D$3:D$502="GBP")*(Income!A$3:A$502=DATE(2026,7,26)),ROW(Income!A$3:A$502)-2),4)),0))</f>
        <v/>
      </c>
      <c r="P152" s="126">
        <f t="array" ref="P152">IF(IFERROR(INDEX(Expenses!B$3:B$999,SMALL(IF((Expenses!E$3:E$999="GBP")*(Expenses!A$3:A$999=DATE(2026,7,26)),ROW(Expenses!A$3:A$999)-2),4)),"")&lt;&gt;"",IFERROR(INDEX(Expenses!B$3:B$999,SMALL(IF((Expenses!E$3:E$999="GBP")*(Expenses!A$3:A$999=DATE(2026,7,26)),ROW(Expenses!A$3:A$999)-2),4)),""),IF(IFERROR(INDEX(Income!B$3:B$502,SMALL(IF((Income!D$3:D$502="GBP")*(Income!A$3:A$502=DATE(2026,7,26)),ROW(Income!A$3:A$502)-2),4)),"")&lt;&gt;"",IFERROR(INDEX(Income!B$3:B$502,SMALL(IF((Income!D$3:D$502="GBP")*(Income!A$3:A$502=DATE(2026,7,26)),ROW(Income!A$3:A$502)-2),4)),""),""))</f>
        <v/>
      </c>
      <c r="Q152" s="9" t="n"/>
      <c r="R152" s="9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68">
      <c r="A153" s="9" t="n"/>
      <c r="B153" s="9" t="n"/>
      <c r="C153" s="152">
        <f t="array" ref="C153">IF(IFERROR(-INDEX(Expenses!D$3:D$999,SMALL(IF((Expenses!E$3:E$999="GBP")*(Expenses!A$3:A$999=DATE(2026,7,20)),ROW(Expenses!A$3:A$999)-2),5)),0)+IFERROR(INDEX(Income!C$3:C$502,SMALL(IF((Income!D$3:D$502="GBP")*(Income!A$3:A$502=DATE(2026,7,20)),ROW(Income!A$3:A$502)-2),5)),0)=0,"",IFERROR(-INDEX(Expenses!D$3:D$999,SMALL(IF((Expenses!E$3:E$999="GBP")*(Expenses!A$3:A$999=DATE(2026,7,20)),ROW(Expenses!A$3:A$999)-2),5)),0)+IFERROR(INDEX(Income!C$3:C$502,SMALL(IF((Income!D$3:D$502="GBP")*(Income!A$3:A$502=DATE(2026,7,20)),ROW(Income!A$3:A$502)-2),5)),0))</f>
        <v/>
      </c>
      <c r="D153" s="126">
        <f t="array" ref="D153">IF(IFERROR(INDEX(Expenses!B$3:B$999,SMALL(IF((Expenses!E$3:E$999="GBP")*(Expenses!A$3:A$999=DATE(2026,7,20)),ROW(Expenses!A$3:A$999)-2),5)),"")&lt;&gt;"",IFERROR(INDEX(Expenses!B$3:B$999,SMALL(IF((Expenses!E$3:E$999="GBP")*(Expenses!A$3:A$999=DATE(2026,7,20)),ROW(Expenses!A$3:A$999)-2),5)),""),IF(IFERROR(INDEX(Income!B$3:B$502,SMALL(IF((Income!D$3:D$502="GBP")*(Income!A$3:A$502=DATE(2026,7,20)),ROW(Income!A$3:A$502)-2),5)),"")&lt;&gt;"",IFERROR(INDEX(Income!B$3:B$502,SMALL(IF((Income!D$3:D$502="GBP")*(Income!A$3:A$502=DATE(2026,7,20)),ROW(Income!A$3:A$502)-2),5)),""),""))</f>
        <v/>
      </c>
      <c r="E153" s="152">
        <f t="array" ref="E153">IF(IFERROR(-INDEX(Expenses!D$3:D$999,SMALL(IF((Expenses!E$3:E$999="GBP")*(Expenses!A$3:A$999=DATE(2026,7,21)),ROW(Expenses!A$3:A$999)-2),5)),0)+IFERROR(INDEX(Income!C$3:C$502,SMALL(IF((Income!D$3:D$502="GBP")*(Income!A$3:A$502=DATE(2026,7,21)),ROW(Income!A$3:A$502)-2),5)),0)=0,"",IFERROR(-INDEX(Expenses!D$3:D$999,SMALL(IF((Expenses!E$3:E$999="GBP")*(Expenses!A$3:A$999=DATE(2026,7,21)),ROW(Expenses!A$3:A$999)-2),5)),0)+IFERROR(INDEX(Income!C$3:C$502,SMALL(IF((Income!D$3:D$502="GBP")*(Income!A$3:A$502=DATE(2026,7,21)),ROW(Income!A$3:A$502)-2),5)),0))</f>
        <v/>
      </c>
      <c r="F153" s="126">
        <f t="array" ref="F153">IF(IFERROR(INDEX(Expenses!B$3:B$999,SMALL(IF((Expenses!E$3:E$999="GBP")*(Expenses!A$3:A$999=DATE(2026,7,21)),ROW(Expenses!A$3:A$999)-2),5)),"")&lt;&gt;"",IFERROR(INDEX(Expenses!B$3:B$999,SMALL(IF((Expenses!E$3:E$999="GBP")*(Expenses!A$3:A$999=DATE(2026,7,21)),ROW(Expenses!A$3:A$999)-2),5)),""),IF(IFERROR(INDEX(Income!B$3:B$502,SMALL(IF((Income!D$3:D$502="GBP")*(Income!A$3:A$502=DATE(2026,7,21)),ROW(Income!A$3:A$502)-2),5)),"")&lt;&gt;"",IFERROR(INDEX(Income!B$3:B$502,SMALL(IF((Income!D$3:D$502="GBP")*(Income!A$3:A$502=DATE(2026,7,21)),ROW(Income!A$3:A$502)-2),5)),""),""))</f>
        <v/>
      </c>
      <c r="G153" s="152">
        <f t="array" ref="G153">IF(IFERROR(-INDEX(Expenses!D$3:D$999,SMALL(IF((Expenses!E$3:E$999="GBP")*(Expenses!A$3:A$999=DATE(2026,7,22)),ROW(Expenses!A$3:A$999)-2),5)),0)+IFERROR(INDEX(Income!C$3:C$502,SMALL(IF((Income!D$3:D$502="GBP")*(Income!A$3:A$502=DATE(2026,7,22)),ROW(Income!A$3:A$502)-2),5)),0)=0,"",IFERROR(-INDEX(Expenses!D$3:D$999,SMALL(IF((Expenses!E$3:E$999="GBP")*(Expenses!A$3:A$999=DATE(2026,7,22)),ROW(Expenses!A$3:A$999)-2),5)),0)+IFERROR(INDEX(Income!C$3:C$502,SMALL(IF((Income!D$3:D$502="GBP")*(Income!A$3:A$502=DATE(2026,7,22)),ROW(Income!A$3:A$502)-2),5)),0))</f>
        <v/>
      </c>
      <c r="H153" s="126">
        <f t="array" ref="H153">IF(IFERROR(INDEX(Expenses!B$3:B$999,SMALL(IF((Expenses!E$3:E$999="GBP")*(Expenses!A$3:A$999=DATE(2026,7,22)),ROW(Expenses!A$3:A$999)-2),5)),"")&lt;&gt;"",IFERROR(INDEX(Expenses!B$3:B$999,SMALL(IF((Expenses!E$3:E$999="GBP")*(Expenses!A$3:A$999=DATE(2026,7,22)),ROW(Expenses!A$3:A$999)-2),5)),""),IF(IFERROR(INDEX(Income!B$3:B$502,SMALL(IF((Income!D$3:D$502="GBP")*(Income!A$3:A$502=DATE(2026,7,22)),ROW(Income!A$3:A$502)-2),5)),"")&lt;&gt;"",IFERROR(INDEX(Income!B$3:B$502,SMALL(IF((Income!D$3:D$502="GBP")*(Income!A$3:A$502=DATE(2026,7,22)),ROW(Income!A$3:A$502)-2),5)),""),""))</f>
        <v/>
      </c>
      <c r="I153" s="152">
        <f t="array" ref="I153">IF(IFERROR(-INDEX(Expenses!D$3:D$999,SMALL(IF((Expenses!E$3:E$999="GBP")*(Expenses!A$3:A$999=DATE(2026,7,23)),ROW(Expenses!A$3:A$999)-2),5)),0)+IFERROR(INDEX(Income!C$3:C$502,SMALL(IF((Income!D$3:D$502="GBP")*(Income!A$3:A$502=DATE(2026,7,23)),ROW(Income!A$3:A$502)-2),5)),0)=0,"",IFERROR(-INDEX(Expenses!D$3:D$999,SMALL(IF((Expenses!E$3:E$999="GBP")*(Expenses!A$3:A$999=DATE(2026,7,23)),ROW(Expenses!A$3:A$999)-2),5)),0)+IFERROR(INDEX(Income!C$3:C$502,SMALL(IF((Income!D$3:D$502="GBP")*(Income!A$3:A$502=DATE(2026,7,23)),ROW(Income!A$3:A$502)-2),5)),0))</f>
        <v/>
      </c>
      <c r="J153" s="126">
        <f t="array" ref="J153">IF(IFERROR(INDEX(Expenses!B$3:B$999,SMALL(IF((Expenses!E$3:E$999="GBP")*(Expenses!A$3:A$999=DATE(2026,7,23)),ROW(Expenses!A$3:A$999)-2),5)),"")&lt;&gt;"",IFERROR(INDEX(Expenses!B$3:B$999,SMALL(IF((Expenses!E$3:E$999="GBP")*(Expenses!A$3:A$999=DATE(2026,7,23)),ROW(Expenses!A$3:A$999)-2),5)),""),IF(IFERROR(INDEX(Income!B$3:B$502,SMALL(IF((Income!D$3:D$502="GBP")*(Income!A$3:A$502=DATE(2026,7,23)),ROW(Income!A$3:A$502)-2),5)),"")&lt;&gt;"",IFERROR(INDEX(Income!B$3:B$502,SMALL(IF((Income!D$3:D$502="GBP")*(Income!A$3:A$502=DATE(2026,7,23)),ROW(Income!A$3:A$502)-2),5)),""),""))</f>
        <v/>
      </c>
      <c r="K153" s="152">
        <f t="array" ref="K153">IF(IFERROR(-INDEX(Expenses!D$3:D$999,SMALL(IF((Expenses!E$3:E$999="GBP")*(Expenses!A$3:A$999=DATE(2026,7,24)),ROW(Expenses!A$3:A$999)-2),5)),0)+IFERROR(INDEX(Income!C$3:C$502,SMALL(IF((Income!D$3:D$502="GBP")*(Income!A$3:A$502=DATE(2026,7,24)),ROW(Income!A$3:A$502)-2),5)),0)=0,"",IFERROR(-INDEX(Expenses!D$3:D$999,SMALL(IF((Expenses!E$3:E$999="GBP")*(Expenses!A$3:A$999=DATE(2026,7,24)),ROW(Expenses!A$3:A$999)-2),5)),0)+IFERROR(INDEX(Income!C$3:C$502,SMALL(IF((Income!D$3:D$502="GBP")*(Income!A$3:A$502=DATE(2026,7,24)),ROW(Income!A$3:A$502)-2),5)),0))</f>
        <v/>
      </c>
      <c r="L153" s="126">
        <f t="array" ref="L153">IF(IFERROR(INDEX(Expenses!B$3:B$999,SMALL(IF((Expenses!E$3:E$999="GBP")*(Expenses!A$3:A$999=DATE(2026,7,24)),ROW(Expenses!A$3:A$999)-2),5)),"")&lt;&gt;"",IFERROR(INDEX(Expenses!B$3:B$999,SMALL(IF((Expenses!E$3:E$999="GBP")*(Expenses!A$3:A$999=DATE(2026,7,24)),ROW(Expenses!A$3:A$999)-2),5)),""),IF(IFERROR(INDEX(Income!B$3:B$502,SMALL(IF((Income!D$3:D$502="GBP")*(Income!A$3:A$502=DATE(2026,7,24)),ROW(Income!A$3:A$502)-2),5)),"")&lt;&gt;"",IFERROR(INDEX(Income!B$3:B$502,SMALL(IF((Income!D$3:D$502="GBP")*(Income!A$3:A$502=DATE(2026,7,24)),ROW(Income!A$3:A$502)-2),5)),""),""))</f>
        <v/>
      </c>
      <c r="M153" s="152">
        <f t="array" ref="M153">IF(IFERROR(-INDEX(Expenses!D$3:D$999,SMALL(IF((Expenses!E$3:E$999="GBP")*(Expenses!A$3:A$999=DATE(2026,7,25)),ROW(Expenses!A$3:A$999)-2),5)),0)+IFERROR(INDEX(Income!C$3:C$502,SMALL(IF((Income!D$3:D$502="GBP")*(Income!A$3:A$502=DATE(2026,7,25)),ROW(Income!A$3:A$502)-2),5)),0)=0,"",IFERROR(-INDEX(Expenses!D$3:D$999,SMALL(IF((Expenses!E$3:E$999="GBP")*(Expenses!A$3:A$999=DATE(2026,7,25)),ROW(Expenses!A$3:A$999)-2),5)),0)+IFERROR(INDEX(Income!C$3:C$502,SMALL(IF((Income!D$3:D$502="GBP")*(Income!A$3:A$502=DATE(2026,7,25)),ROW(Income!A$3:A$502)-2),5)),0))</f>
        <v/>
      </c>
      <c r="N153" s="126">
        <f t="array" ref="N153">IF(IFERROR(INDEX(Expenses!B$3:B$999,SMALL(IF((Expenses!E$3:E$999="GBP")*(Expenses!A$3:A$999=DATE(2026,7,25)),ROW(Expenses!A$3:A$999)-2),5)),"")&lt;&gt;"",IFERROR(INDEX(Expenses!B$3:B$999,SMALL(IF((Expenses!E$3:E$999="GBP")*(Expenses!A$3:A$999=DATE(2026,7,25)),ROW(Expenses!A$3:A$999)-2),5)),""),IF(IFERROR(INDEX(Income!B$3:B$502,SMALL(IF((Income!D$3:D$502="GBP")*(Income!A$3:A$502=DATE(2026,7,25)),ROW(Income!A$3:A$502)-2),5)),"")&lt;&gt;"",IFERROR(INDEX(Income!B$3:B$502,SMALL(IF((Income!D$3:D$502="GBP")*(Income!A$3:A$502=DATE(2026,7,25)),ROW(Income!A$3:A$502)-2),5)),""),""))</f>
        <v/>
      </c>
      <c r="O153" s="152">
        <f t="array" ref="O153">IF(IFERROR(-INDEX(Expenses!D$3:D$999,SMALL(IF((Expenses!E$3:E$999="GBP")*(Expenses!A$3:A$999=DATE(2026,7,26)),ROW(Expenses!A$3:A$999)-2),5)),0)+IFERROR(INDEX(Income!C$3:C$502,SMALL(IF((Income!D$3:D$502="GBP")*(Income!A$3:A$502=DATE(2026,7,26)),ROW(Income!A$3:A$502)-2),5)),0)=0,"",IFERROR(-INDEX(Expenses!D$3:D$999,SMALL(IF((Expenses!E$3:E$999="GBP")*(Expenses!A$3:A$999=DATE(2026,7,26)),ROW(Expenses!A$3:A$999)-2),5)),0)+IFERROR(INDEX(Income!C$3:C$502,SMALL(IF((Income!D$3:D$502="GBP")*(Income!A$3:A$502=DATE(2026,7,26)),ROW(Income!A$3:A$502)-2),5)),0))</f>
        <v/>
      </c>
      <c r="P153" s="126">
        <f t="array" ref="P153">IF(IFERROR(INDEX(Expenses!B$3:B$999,SMALL(IF((Expenses!E$3:E$999="GBP")*(Expenses!A$3:A$999=DATE(2026,7,26)),ROW(Expenses!A$3:A$999)-2),5)),"")&lt;&gt;"",IFERROR(INDEX(Expenses!B$3:B$999,SMALL(IF((Expenses!E$3:E$999="GBP")*(Expenses!A$3:A$999=DATE(2026,7,26)),ROW(Expenses!A$3:A$999)-2),5)),""),IF(IFERROR(INDEX(Income!B$3:B$502,SMALL(IF((Income!D$3:D$502="GBP")*(Income!A$3:A$502=DATE(2026,7,26)),ROW(Income!A$3:A$502)-2),5)),"")&lt;&gt;"",IFERROR(INDEX(Income!B$3:B$502,SMALL(IF((Income!D$3:D$502="GBP")*(Income!A$3:A$502=DATE(2026,7,26)),ROW(Income!A$3:A$502)-2),5)),""),""))</f>
        <v/>
      </c>
      <c r="Q153" s="9" t="n"/>
      <c r="R153" s="9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68">
      <c r="A154" s="151" t="n">
        <v>46230</v>
      </c>
      <c r="B154" s="103" t="n">
        <v>31</v>
      </c>
      <c r="C154" s="152">
        <f t="array" ref="C154">IF(IFERROR(-INDEX(Expenses!D$3:D$999,SMALL(IF((Expenses!E$3:E$999="GBP")*(Expenses!A$3:A$999=DATE(2026,7,27)),ROW(Expenses!A$3:A$999)-2),1)),0)+IFERROR(INDEX(Income!C$3:C$502,SMALL(IF((Income!D$3:D$502="GBP")*(Income!A$3:A$502=DATE(2026,7,27)),ROW(Income!A$3:A$502)-2),1)),0)=0,"",IFERROR(-INDEX(Expenses!D$3:D$999,SMALL(IF((Expenses!E$3:E$999="GBP")*(Expenses!A$3:A$999=DATE(2026,7,27)),ROW(Expenses!A$3:A$999)-2),1)),0)+IFERROR(INDEX(Income!C$3:C$502,SMALL(IF((Income!D$3:D$502="GBP")*(Income!A$3:A$502=DATE(2026,7,27)),ROW(Income!A$3:A$502)-2),1)),0))</f>
        <v/>
      </c>
      <c r="D154" s="126">
        <f t="array" ref="D154">IF(IFERROR(INDEX(Expenses!B$3:B$999,SMALL(IF((Expenses!E$3:E$999="GBP")*(Expenses!A$3:A$999=DATE(2026,7,27)),ROW(Expenses!A$3:A$999)-2),1)),"")&lt;&gt;"",IFERROR(INDEX(Expenses!B$3:B$999,SMALL(IF((Expenses!E$3:E$999="GBP")*(Expenses!A$3:A$999=DATE(2026,7,27)),ROW(Expenses!A$3:A$999)-2),1)),""),IF(IFERROR(INDEX(Income!B$3:B$502,SMALL(IF((Income!D$3:D$502="GBP")*(Income!A$3:A$502=DATE(2026,7,27)),ROW(Income!A$3:A$502)-2),1)),"")&lt;&gt;"",IFERROR(INDEX(Income!B$3:B$502,SMALL(IF((Income!D$3:D$502="GBP")*(Income!A$3:A$502=DATE(2026,7,27)),ROW(Income!A$3:A$502)-2),1)),""),""))</f>
        <v/>
      </c>
      <c r="E154" s="152">
        <f t="array" ref="E154">IF(IFERROR(-INDEX(Expenses!D$3:D$999,SMALL(IF((Expenses!E$3:E$999="GBP")*(Expenses!A$3:A$999=DATE(2026,7,28)),ROW(Expenses!A$3:A$999)-2),1)),0)+IFERROR(INDEX(Income!C$3:C$502,SMALL(IF((Income!D$3:D$502="GBP")*(Income!A$3:A$502=DATE(2026,7,28)),ROW(Income!A$3:A$502)-2),1)),0)=0,"",IFERROR(-INDEX(Expenses!D$3:D$999,SMALL(IF((Expenses!E$3:E$999="GBP")*(Expenses!A$3:A$999=DATE(2026,7,28)),ROW(Expenses!A$3:A$999)-2),1)),0)+IFERROR(INDEX(Income!C$3:C$502,SMALL(IF((Income!D$3:D$502="GBP")*(Income!A$3:A$502=DATE(2026,7,28)),ROW(Income!A$3:A$502)-2),1)),0))</f>
        <v/>
      </c>
      <c r="F154" s="126">
        <f t="array" ref="F154">IF(IFERROR(INDEX(Expenses!B$3:B$999,SMALL(IF((Expenses!E$3:E$999="GBP")*(Expenses!A$3:A$999=DATE(2026,7,28)),ROW(Expenses!A$3:A$999)-2),1)),"")&lt;&gt;"",IFERROR(INDEX(Expenses!B$3:B$999,SMALL(IF((Expenses!E$3:E$999="GBP")*(Expenses!A$3:A$999=DATE(2026,7,28)),ROW(Expenses!A$3:A$999)-2),1)),""),IF(IFERROR(INDEX(Income!B$3:B$502,SMALL(IF((Income!D$3:D$502="GBP")*(Income!A$3:A$502=DATE(2026,7,28)),ROW(Income!A$3:A$502)-2),1)),"")&lt;&gt;"",IFERROR(INDEX(Income!B$3:B$502,SMALL(IF((Income!D$3:D$502="GBP")*(Income!A$3:A$502=DATE(2026,7,28)),ROW(Income!A$3:A$502)-2),1)),""),""))</f>
        <v/>
      </c>
      <c r="G154" s="152">
        <f t="array" ref="G154">IF(IFERROR(-INDEX(Expenses!D$3:D$999,SMALL(IF((Expenses!E$3:E$999="GBP")*(Expenses!A$3:A$999=DATE(2026,7,29)),ROW(Expenses!A$3:A$999)-2),1)),0)+IFERROR(INDEX(Income!C$3:C$502,SMALL(IF((Income!D$3:D$502="GBP")*(Income!A$3:A$502=DATE(2026,7,29)),ROW(Income!A$3:A$502)-2),1)),0)=0,"",IFERROR(-INDEX(Expenses!D$3:D$999,SMALL(IF((Expenses!E$3:E$999="GBP")*(Expenses!A$3:A$999=DATE(2026,7,29)),ROW(Expenses!A$3:A$999)-2),1)),0)+IFERROR(INDEX(Income!C$3:C$502,SMALL(IF((Income!D$3:D$502="GBP")*(Income!A$3:A$502=DATE(2026,7,29)),ROW(Income!A$3:A$502)-2),1)),0))</f>
        <v/>
      </c>
      <c r="H154" s="126">
        <f t="array" ref="H154">IF(IFERROR(INDEX(Expenses!B$3:B$999,SMALL(IF((Expenses!E$3:E$999="GBP")*(Expenses!A$3:A$999=DATE(2026,7,29)),ROW(Expenses!A$3:A$999)-2),1)),"")&lt;&gt;"",IFERROR(INDEX(Expenses!B$3:B$999,SMALL(IF((Expenses!E$3:E$999="GBP")*(Expenses!A$3:A$999=DATE(2026,7,29)),ROW(Expenses!A$3:A$999)-2),1)),""),IF(IFERROR(INDEX(Income!B$3:B$502,SMALL(IF((Income!D$3:D$502="GBP")*(Income!A$3:A$502=DATE(2026,7,29)),ROW(Income!A$3:A$502)-2),1)),"")&lt;&gt;"",IFERROR(INDEX(Income!B$3:B$502,SMALL(IF((Income!D$3:D$502="GBP")*(Income!A$3:A$502=DATE(2026,7,29)),ROW(Income!A$3:A$502)-2),1)),""),""))</f>
        <v/>
      </c>
      <c r="I154" s="152">
        <f t="array" ref="I154">IF(IFERROR(-INDEX(Expenses!D$3:D$999,SMALL(IF((Expenses!E$3:E$999="GBP")*(Expenses!A$3:A$999=DATE(2026,7,30)),ROW(Expenses!A$3:A$999)-2),1)),0)+IFERROR(INDEX(Income!C$3:C$502,SMALL(IF((Income!D$3:D$502="GBP")*(Income!A$3:A$502=DATE(2026,7,30)),ROW(Income!A$3:A$502)-2),1)),0)=0,"",IFERROR(-INDEX(Expenses!D$3:D$999,SMALL(IF((Expenses!E$3:E$999="GBP")*(Expenses!A$3:A$999=DATE(2026,7,30)),ROW(Expenses!A$3:A$999)-2),1)),0)+IFERROR(INDEX(Income!C$3:C$502,SMALL(IF((Income!D$3:D$502="GBP")*(Income!A$3:A$502=DATE(2026,7,30)),ROW(Income!A$3:A$502)-2),1)),0))</f>
        <v/>
      </c>
      <c r="J154" s="126">
        <f t="array" ref="J154">IF(IFERROR(INDEX(Expenses!B$3:B$999,SMALL(IF((Expenses!E$3:E$999="GBP")*(Expenses!A$3:A$999=DATE(2026,7,30)),ROW(Expenses!A$3:A$999)-2),1)),"")&lt;&gt;"",IFERROR(INDEX(Expenses!B$3:B$999,SMALL(IF((Expenses!E$3:E$999="GBP")*(Expenses!A$3:A$999=DATE(2026,7,30)),ROW(Expenses!A$3:A$999)-2),1)),""),IF(IFERROR(INDEX(Income!B$3:B$502,SMALL(IF((Income!D$3:D$502="GBP")*(Income!A$3:A$502=DATE(2026,7,30)),ROW(Income!A$3:A$502)-2),1)),"")&lt;&gt;"",IFERROR(INDEX(Income!B$3:B$502,SMALL(IF((Income!D$3:D$502="GBP")*(Income!A$3:A$502=DATE(2026,7,30)),ROW(Income!A$3:A$502)-2),1)),""),""))</f>
        <v/>
      </c>
      <c r="K154" s="152">
        <f t="array" ref="K154">IF(IFERROR(-INDEX(Expenses!D$3:D$999,SMALL(IF((Expenses!E$3:E$999="GBP")*(Expenses!A$3:A$999=DATE(2026,7,31)),ROW(Expenses!A$3:A$999)-2),1)),0)+IFERROR(INDEX(Income!C$3:C$502,SMALL(IF((Income!D$3:D$502="GBP")*(Income!A$3:A$502=DATE(2026,7,31)),ROW(Income!A$3:A$502)-2),1)),0)=0,"",IFERROR(-INDEX(Expenses!D$3:D$999,SMALL(IF((Expenses!E$3:E$999="GBP")*(Expenses!A$3:A$999=DATE(2026,7,31)),ROW(Expenses!A$3:A$999)-2),1)),0)+IFERROR(INDEX(Income!C$3:C$502,SMALL(IF((Income!D$3:D$502="GBP")*(Income!A$3:A$502=DATE(2026,7,31)),ROW(Income!A$3:A$502)-2),1)),0))</f>
        <v/>
      </c>
      <c r="L154" s="126">
        <f t="array" ref="L154">IF(IFERROR(INDEX(Expenses!B$3:B$999,SMALL(IF((Expenses!E$3:E$999="GBP")*(Expenses!A$3:A$999=DATE(2026,7,31)),ROW(Expenses!A$3:A$999)-2),1)),"")&lt;&gt;"",IFERROR(INDEX(Expenses!B$3:B$999,SMALL(IF((Expenses!E$3:E$999="GBP")*(Expenses!A$3:A$999=DATE(2026,7,31)),ROW(Expenses!A$3:A$999)-2),1)),""),IF(IFERROR(INDEX(Income!B$3:B$502,SMALL(IF((Income!D$3:D$502="GBP")*(Income!A$3:A$502=DATE(2026,7,31)),ROW(Income!A$3:A$502)-2),1)),"")&lt;&gt;"",IFERROR(INDEX(Income!B$3:B$502,SMALL(IF((Income!D$3:D$502="GBP")*(Income!A$3:A$502=DATE(2026,7,31)),ROW(Income!A$3:A$502)-2),1)),""),""))</f>
        <v/>
      </c>
      <c r="M154" s="152">
        <f t="array" ref="M154">IF(IFERROR(-INDEX(Expenses!D$3:D$999,SMALL(IF((Expenses!E$3:E$999="GBP")*(Expenses!A$3:A$999=DATE(2026,8,1)),ROW(Expenses!A$3:A$999)-2),1)),0)+IFERROR(INDEX(Income!C$3:C$502,SMALL(IF((Income!D$3:D$502="GBP")*(Income!A$3:A$502=DATE(2026,8,1)),ROW(Income!A$3:A$502)-2),1)),0)=0,"",IFERROR(-INDEX(Expenses!D$3:D$999,SMALL(IF((Expenses!E$3:E$999="GBP")*(Expenses!A$3:A$999=DATE(2026,8,1)),ROW(Expenses!A$3:A$999)-2),1)),0)+IFERROR(INDEX(Income!C$3:C$502,SMALL(IF((Income!D$3:D$502="GBP")*(Income!A$3:A$502=DATE(2026,8,1)),ROW(Income!A$3:A$502)-2),1)),0))</f>
        <v/>
      </c>
      <c r="N154" s="126">
        <f t="array" ref="N154">IF(IFERROR(INDEX(Expenses!B$3:B$999,SMALL(IF((Expenses!E$3:E$999="GBP")*(Expenses!A$3:A$999=DATE(2026,8,1)),ROW(Expenses!A$3:A$999)-2),1)),"")&lt;&gt;"",IFERROR(INDEX(Expenses!B$3:B$999,SMALL(IF((Expenses!E$3:E$999="GBP")*(Expenses!A$3:A$999=DATE(2026,8,1)),ROW(Expenses!A$3:A$999)-2),1)),""),IF(IFERROR(INDEX(Income!B$3:B$502,SMALL(IF((Income!D$3:D$502="GBP")*(Income!A$3:A$502=DATE(2026,8,1)),ROW(Income!A$3:A$502)-2),1)),"")&lt;&gt;"",IFERROR(INDEX(Income!B$3:B$502,SMALL(IF((Income!D$3:D$502="GBP")*(Income!A$3:A$502=DATE(2026,8,1)),ROW(Income!A$3:A$502)-2),1)),""),""))</f>
        <v/>
      </c>
      <c r="O154" s="152">
        <f t="array" ref="O154">IF(IFERROR(-INDEX(Expenses!D$3:D$999,SMALL(IF((Expenses!E$3:E$999="GBP")*(Expenses!A$3:A$999=DATE(2026,8,2)),ROW(Expenses!A$3:A$999)-2),1)),0)+IFERROR(INDEX(Income!C$3:C$502,SMALL(IF((Income!D$3:D$502="GBP")*(Income!A$3:A$502=DATE(2026,8,2)),ROW(Income!A$3:A$502)-2),1)),0)=0,"",IFERROR(-INDEX(Expenses!D$3:D$999,SMALL(IF((Expenses!E$3:E$999="GBP")*(Expenses!A$3:A$999=DATE(2026,8,2)),ROW(Expenses!A$3:A$999)-2),1)),0)+IFERROR(INDEX(Income!C$3:C$502,SMALL(IF((Income!D$3:D$502="GBP")*(Income!A$3:A$502=DATE(2026,8,2)),ROW(Income!A$3:A$502)-2),1)),0))</f>
        <v/>
      </c>
      <c r="P154" s="126">
        <f t="array" ref="P154">IF(IFERROR(INDEX(Expenses!B$3:B$999,SMALL(IF((Expenses!E$3:E$999="GBP")*(Expenses!A$3:A$999=DATE(2026,8,2)),ROW(Expenses!A$3:A$999)-2),1)),"")&lt;&gt;"",IFERROR(INDEX(Expenses!B$3:B$999,SMALL(IF((Expenses!E$3:E$999="GBP")*(Expenses!A$3:A$999=DATE(2026,8,2)),ROW(Expenses!A$3:A$999)-2),1)),""),IF(IFERROR(INDEX(Income!B$3:B$502,SMALL(IF((Income!D$3:D$502="GBP")*(Income!A$3:A$502=DATE(2026,8,2)),ROW(Income!A$3:A$502)-2),1)),"")&lt;&gt;"",IFERROR(INDEX(Income!B$3:B$502,SMALL(IF((Income!D$3:D$502="GBP")*(Income!A$3:A$502=DATE(2026,8,2)),ROW(Income!A$3:A$502)-2),1)),""),""))</f>
        <v/>
      </c>
      <c r="Q154" s="103" t="n">
        <v>31</v>
      </c>
      <c r="R154" s="134">
        <f>SUM(C154:C158)+SUM(E154:E158)+SUM(G154:G158)+SUM(I154:I158)+SUM(K154:K158)+SUM(M154:M158)+SUM(O154:O158)</f>
        <v/>
      </c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68">
      <c r="A155" s="9" t="n"/>
      <c r="B155" s="9" t="n"/>
      <c r="C155" s="152">
        <f t="array" ref="C155">IF(IFERROR(-INDEX(Expenses!D$3:D$999,SMALL(IF((Expenses!E$3:E$999="GBP")*(Expenses!A$3:A$999=DATE(2026,7,27)),ROW(Expenses!A$3:A$999)-2),2)),0)+IFERROR(INDEX(Income!C$3:C$502,SMALL(IF((Income!D$3:D$502="GBP")*(Income!A$3:A$502=DATE(2026,7,27)),ROW(Income!A$3:A$502)-2),2)),0)=0,"",IFERROR(-INDEX(Expenses!D$3:D$999,SMALL(IF((Expenses!E$3:E$999="GBP")*(Expenses!A$3:A$999=DATE(2026,7,27)),ROW(Expenses!A$3:A$999)-2),2)),0)+IFERROR(INDEX(Income!C$3:C$502,SMALL(IF((Income!D$3:D$502="GBP")*(Income!A$3:A$502=DATE(2026,7,27)),ROW(Income!A$3:A$502)-2),2)),0))</f>
        <v/>
      </c>
      <c r="D155" s="126">
        <f t="array" ref="D155">IF(IFERROR(INDEX(Expenses!B$3:B$999,SMALL(IF((Expenses!E$3:E$999="GBP")*(Expenses!A$3:A$999=DATE(2026,7,27)),ROW(Expenses!A$3:A$999)-2),2)),"")&lt;&gt;"",IFERROR(INDEX(Expenses!B$3:B$999,SMALL(IF((Expenses!E$3:E$999="GBP")*(Expenses!A$3:A$999=DATE(2026,7,27)),ROW(Expenses!A$3:A$999)-2),2)),""),IF(IFERROR(INDEX(Income!B$3:B$502,SMALL(IF((Income!D$3:D$502="GBP")*(Income!A$3:A$502=DATE(2026,7,27)),ROW(Income!A$3:A$502)-2),2)),"")&lt;&gt;"",IFERROR(INDEX(Income!B$3:B$502,SMALL(IF((Income!D$3:D$502="GBP")*(Income!A$3:A$502=DATE(2026,7,27)),ROW(Income!A$3:A$502)-2),2)),""),""))</f>
        <v/>
      </c>
      <c r="E155" s="152">
        <f t="array" ref="E155">IF(IFERROR(-INDEX(Expenses!D$3:D$999,SMALL(IF((Expenses!E$3:E$999="GBP")*(Expenses!A$3:A$999=DATE(2026,7,28)),ROW(Expenses!A$3:A$999)-2),2)),0)+IFERROR(INDEX(Income!C$3:C$502,SMALL(IF((Income!D$3:D$502="GBP")*(Income!A$3:A$502=DATE(2026,7,28)),ROW(Income!A$3:A$502)-2),2)),0)=0,"",IFERROR(-INDEX(Expenses!D$3:D$999,SMALL(IF((Expenses!E$3:E$999="GBP")*(Expenses!A$3:A$999=DATE(2026,7,28)),ROW(Expenses!A$3:A$999)-2),2)),0)+IFERROR(INDEX(Income!C$3:C$502,SMALL(IF((Income!D$3:D$502="GBP")*(Income!A$3:A$502=DATE(2026,7,28)),ROW(Income!A$3:A$502)-2),2)),0))</f>
        <v/>
      </c>
      <c r="F155" s="126">
        <f t="array" ref="F155">IF(IFERROR(INDEX(Expenses!B$3:B$999,SMALL(IF((Expenses!E$3:E$999="GBP")*(Expenses!A$3:A$999=DATE(2026,7,28)),ROW(Expenses!A$3:A$999)-2),2)),"")&lt;&gt;"",IFERROR(INDEX(Expenses!B$3:B$999,SMALL(IF((Expenses!E$3:E$999="GBP")*(Expenses!A$3:A$999=DATE(2026,7,28)),ROW(Expenses!A$3:A$999)-2),2)),""),IF(IFERROR(INDEX(Income!B$3:B$502,SMALL(IF((Income!D$3:D$502="GBP")*(Income!A$3:A$502=DATE(2026,7,28)),ROW(Income!A$3:A$502)-2),2)),"")&lt;&gt;"",IFERROR(INDEX(Income!B$3:B$502,SMALL(IF((Income!D$3:D$502="GBP")*(Income!A$3:A$502=DATE(2026,7,28)),ROW(Income!A$3:A$502)-2),2)),""),""))</f>
        <v/>
      </c>
      <c r="G155" s="152">
        <f t="array" ref="G155">IF(IFERROR(-INDEX(Expenses!D$3:D$999,SMALL(IF((Expenses!E$3:E$999="GBP")*(Expenses!A$3:A$999=DATE(2026,7,29)),ROW(Expenses!A$3:A$999)-2),2)),0)+IFERROR(INDEX(Income!C$3:C$502,SMALL(IF((Income!D$3:D$502="GBP")*(Income!A$3:A$502=DATE(2026,7,29)),ROW(Income!A$3:A$502)-2),2)),0)=0,"",IFERROR(-INDEX(Expenses!D$3:D$999,SMALL(IF((Expenses!E$3:E$999="GBP")*(Expenses!A$3:A$999=DATE(2026,7,29)),ROW(Expenses!A$3:A$999)-2),2)),0)+IFERROR(INDEX(Income!C$3:C$502,SMALL(IF((Income!D$3:D$502="GBP")*(Income!A$3:A$502=DATE(2026,7,29)),ROW(Income!A$3:A$502)-2),2)),0))</f>
        <v/>
      </c>
      <c r="H155" s="126">
        <f t="array" ref="H155">IF(IFERROR(INDEX(Expenses!B$3:B$999,SMALL(IF((Expenses!E$3:E$999="GBP")*(Expenses!A$3:A$999=DATE(2026,7,29)),ROW(Expenses!A$3:A$999)-2),2)),"")&lt;&gt;"",IFERROR(INDEX(Expenses!B$3:B$999,SMALL(IF((Expenses!E$3:E$999="GBP")*(Expenses!A$3:A$999=DATE(2026,7,29)),ROW(Expenses!A$3:A$999)-2),2)),""),IF(IFERROR(INDEX(Income!B$3:B$502,SMALL(IF((Income!D$3:D$502="GBP")*(Income!A$3:A$502=DATE(2026,7,29)),ROW(Income!A$3:A$502)-2),2)),"")&lt;&gt;"",IFERROR(INDEX(Income!B$3:B$502,SMALL(IF((Income!D$3:D$502="GBP")*(Income!A$3:A$502=DATE(2026,7,29)),ROW(Income!A$3:A$502)-2),2)),""),""))</f>
        <v/>
      </c>
      <c r="I155" s="152">
        <f t="array" ref="I155">IF(IFERROR(-INDEX(Expenses!D$3:D$999,SMALL(IF((Expenses!E$3:E$999="GBP")*(Expenses!A$3:A$999=DATE(2026,7,30)),ROW(Expenses!A$3:A$999)-2),2)),0)+IFERROR(INDEX(Income!C$3:C$502,SMALL(IF((Income!D$3:D$502="GBP")*(Income!A$3:A$502=DATE(2026,7,30)),ROW(Income!A$3:A$502)-2),2)),0)=0,"",IFERROR(-INDEX(Expenses!D$3:D$999,SMALL(IF((Expenses!E$3:E$999="GBP")*(Expenses!A$3:A$999=DATE(2026,7,30)),ROW(Expenses!A$3:A$999)-2),2)),0)+IFERROR(INDEX(Income!C$3:C$502,SMALL(IF((Income!D$3:D$502="GBP")*(Income!A$3:A$502=DATE(2026,7,30)),ROW(Income!A$3:A$502)-2),2)),0))</f>
        <v/>
      </c>
      <c r="J155" s="126">
        <f t="array" ref="J155">IF(IFERROR(INDEX(Expenses!B$3:B$999,SMALL(IF((Expenses!E$3:E$999="GBP")*(Expenses!A$3:A$999=DATE(2026,7,30)),ROW(Expenses!A$3:A$999)-2),2)),"")&lt;&gt;"",IFERROR(INDEX(Expenses!B$3:B$999,SMALL(IF((Expenses!E$3:E$999="GBP")*(Expenses!A$3:A$999=DATE(2026,7,30)),ROW(Expenses!A$3:A$999)-2),2)),""),IF(IFERROR(INDEX(Income!B$3:B$502,SMALL(IF((Income!D$3:D$502="GBP")*(Income!A$3:A$502=DATE(2026,7,30)),ROW(Income!A$3:A$502)-2),2)),"")&lt;&gt;"",IFERROR(INDEX(Income!B$3:B$502,SMALL(IF((Income!D$3:D$502="GBP")*(Income!A$3:A$502=DATE(2026,7,30)),ROW(Income!A$3:A$502)-2),2)),""),""))</f>
        <v/>
      </c>
      <c r="K155" s="152">
        <f t="array" ref="K155">IF(IFERROR(-INDEX(Expenses!D$3:D$999,SMALL(IF((Expenses!E$3:E$999="GBP")*(Expenses!A$3:A$999=DATE(2026,7,31)),ROW(Expenses!A$3:A$999)-2),2)),0)+IFERROR(INDEX(Income!C$3:C$502,SMALL(IF((Income!D$3:D$502="GBP")*(Income!A$3:A$502=DATE(2026,7,31)),ROW(Income!A$3:A$502)-2),2)),0)=0,"",IFERROR(-INDEX(Expenses!D$3:D$999,SMALL(IF((Expenses!E$3:E$999="GBP")*(Expenses!A$3:A$999=DATE(2026,7,31)),ROW(Expenses!A$3:A$999)-2),2)),0)+IFERROR(INDEX(Income!C$3:C$502,SMALL(IF((Income!D$3:D$502="GBP")*(Income!A$3:A$502=DATE(2026,7,31)),ROW(Income!A$3:A$502)-2),2)),0))</f>
        <v/>
      </c>
      <c r="L155" s="126">
        <f t="array" ref="L155">IF(IFERROR(INDEX(Expenses!B$3:B$999,SMALL(IF((Expenses!E$3:E$999="GBP")*(Expenses!A$3:A$999=DATE(2026,7,31)),ROW(Expenses!A$3:A$999)-2),2)),"")&lt;&gt;"",IFERROR(INDEX(Expenses!B$3:B$999,SMALL(IF((Expenses!E$3:E$999="GBP")*(Expenses!A$3:A$999=DATE(2026,7,31)),ROW(Expenses!A$3:A$999)-2),2)),""),IF(IFERROR(INDEX(Income!B$3:B$502,SMALL(IF((Income!D$3:D$502="GBP")*(Income!A$3:A$502=DATE(2026,7,31)),ROW(Income!A$3:A$502)-2),2)),"")&lt;&gt;"",IFERROR(INDEX(Income!B$3:B$502,SMALL(IF((Income!D$3:D$502="GBP")*(Income!A$3:A$502=DATE(2026,7,31)),ROW(Income!A$3:A$502)-2),2)),""),""))</f>
        <v/>
      </c>
      <c r="M155" s="152">
        <f t="array" ref="M155">IF(IFERROR(-INDEX(Expenses!D$3:D$999,SMALL(IF((Expenses!E$3:E$999="GBP")*(Expenses!A$3:A$999=DATE(2026,8,1)),ROW(Expenses!A$3:A$999)-2),2)),0)+IFERROR(INDEX(Income!C$3:C$502,SMALL(IF((Income!D$3:D$502="GBP")*(Income!A$3:A$502=DATE(2026,8,1)),ROW(Income!A$3:A$502)-2),2)),0)=0,"",IFERROR(-INDEX(Expenses!D$3:D$999,SMALL(IF((Expenses!E$3:E$999="GBP")*(Expenses!A$3:A$999=DATE(2026,8,1)),ROW(Expenses!A$3:A$999)-2),2)),0)+IFERROR(INDEX(Income!C$3:C$502,SMALL(IF((Income!D$3:D$502="GBP")*(Income!A$3:A$502=DATE(2026,8,1)),ROW(Income!A$3:A$502)-2),2)),0))</f>
        <v/>
      </c>
      <c r="N155" s="126">
        <f t="array" ref="N155">IF(IFERROR(INDEX(Expenses!B$3:B$999,SMALL(IF((Expenses!E$3:E$999="GBP")*(Expenses!A$3:A$999=DATE(2026,8,1)),ROW(Expenses!A$3:A$999)-2),2)),"")&lt;&gt;"",IFERROR(INDEX(Expenses!B$3:B$999,SMALL(IF((Expenses!E$3:E$999="GBP")*(Expenses!A$3:A$999=DATE(2026,8,1)),ROW(Expenses!A$3:A$999)-2),2)),""),IF(IFERROR(INDEX(Income!B$3:B$502,SMALL(IF((Income!D$3:D$502="GBP")*(Income!A$3:A$502=DATE(2026,8,1)),ROW(Income!A$3:A$502)-2),2)),"")&lt;&gt;"",IFERROR(INDEX(Income!B$3:B$502,SMALL(IF((Income!D$3:D$502="GBP")*(Income!A$3:A$502=DATE(2026,8,1)),ROW(Income!A$3:A$502)-2),2)),""),""))</f>
        <v/>
      </c>
      <c r="O155" s="152">
        <f t="array" ref="O155">IF(IFERROR(-INDEX(Expenses!D$3:D$999,SMALL(IF((Expenses!E$3:E$999="GBP")*(Expenses!A$3:A$999=DATE(2026,8,2)),ROW(Expenses!A$3:A$999)-2),2)),0)+IFERROR(INDEX(Income!C$3:C$502,SMALL(IF((Income!D$3:D$502="GBP")*(Income!A$3:A$502=DATE(2026,8,2)),ROW(Income!A$3:A$502)-2),2)),0)=0,"",IFERROR(-INDEX(Expenses!D$3:D$999,SMALL(IF((Expenses!E$3:E$999="GBP")*(Expenses!A$3:A$999=DATE(2026,8,2)),ROW(Expenses!A$3:A$999)-2),2)),0)+IFERROR(INDEX(Income!C$3:C$502,SMALL(IF((Income!D$3:D$502="GBP")*(Income!A$3:A$502=DATE(2026,8,2)),ROW(Income!A$3:A$502)-2),2)),0))</f>
        <v/>
      </c>
      <c r="P155" s="126">
        <f t="array" ref="P155">IF(IFERROR(INDEX(Expenses!B$3:B$999,SMALL(IF((Expenses!E$3:E$999="GBP")*(Expenses!A$3:A$999=DATE(2026,8,2)),ROW(Expenses!A$3:A$999)-2),2)),"")&lt;&gt;"",IFERROR(INDEX(Expenses!B$3:B$999,SMALL(IF((Expenses!E$3:E$999="GBP")*(Expenses!A$3:A$999=DATE(2026,8,2)),ROW(Expenses!A$3:A$999)-2),2)),""),IF(IFERROR(INDEX(Income!B$3:B$502,SMALL(IF((Income!D$3:D$502="GBP")*(Income!A$3:A$502=DATE(2026,8,2)),ROW(Income!A$3:A$502)-2),2)),"")&lt;&gt;"",IFERROR(INDEX(Income!B$3:B$502,SMALL(IF((Income!D$3:D$502="GBP")*(Income!A$3:A$502=DATE(2026,8,2)),ROW(Income!A$3:A$502)-2),2)),""),""))</f>
        <v/>
      </c>
      <c r="Q155" s="9" t="n"/>
      <c r="R155" s="9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68">
      <c r="A156" s="9" t="n"/>
      <c r="B156" s="9" t="n"/>
      <c r="C156" s="152">
        <f t="array" ref="C156">IF(IFERROR(-INDEX(Expenses!D$3:D$999,SMALL(IF((Expenses!E$3:E$999="GBP")*(Expenses!A$3:A$999=DATE(2026,7,27)),ROW(Expenses!A$3:A$999)-2),3)),0)+IFERROR(INDEX(Income!C$3:C$502,SMALL(IF((Income!D$3:D$502="GBP")*(Income!A$3:A$502=DATE(2026,7,27)),ROW(Income!A$3:A$502)-2),3)),0)=0,"",IFERROR(-INDEX(Expenses!D$3:D$999,SMALL(IF((Expenses!E$3:E$999="GBP")*(Expenses!A$3:A$999=DATE(2026,7,27)),ROW(Expenses!A$3:A$999)-2),3)),0)+IFERROR(INDEX(Income!C$3:C$502,SMALL(IF((Income!D$3:D$502="GBP")*(Income!A$3:A$502=DATE(2026,7,27)),ROW(Income!A$3:A$502)-2),3)),0))</f>
        <v/>
      </c>
      <c r="D156" s="126">
        <f t="array" ref="D156">IF(IFERROR(INDEX(Expenses!B$3:B$999,SMALL(IF((Expenses!E$3:E$999="GBP")*(Expenses!A$3:A$999=DATE(2026,7,27)),ROW(Expenses!A$3:A$999)-2),3)),"")&lt;&gt;"",IFERROR(INDEX(Expenses!B$3:B$999,SMALL(IF((Expenses!E$3:E$999="GBP")*(Expenses!A$3:A$999=DATE(2026,7,27)),ROW(Expenses!A$3:A$999)-2),3)),""),IF(IFERROR(INDEX(Income!B$3:B$502,SMALL(IF((Income!D$3:D$502="GBP")*(Income!A$3:A$502=DATE(2026,7,27)),ROW(Income!A$3:A$502)-2),3)),"")&lt;&gt;"",IFERROR(INDEX(Income!B$3:B$502,SMALL(IF((Income!D$3:D$502="GBP")*(Income!A$3:A$502=DATE(2026,7,27)),ROW(Income!A$3:A$502)-2),3)),""),""))</f>
        <v/>
      </c>
      <c r="E156" s="152">
        <f t="array" ref="E156">IF(IFERROR(-INDEX(Expenses!D$3:D$999,SMALL(IF((Expenses!E$3:E$999="GBP")*(Expenses!A$3:A$999=DATE(2026,7,28)),ROW(Expenses!A$3:A$999)-2),3)),0)+IFERROR(INDEX(Income!C$3:C$502,SMALL(IF((Income!D$3:D$502="GBP")*(Income!A$3:A$502=DATE(2026,7,28)),ROW(Income!A$3:A$502)-2),3)),0)=0,"",IFERROR(-INDEX(Expenses!D$3:D$999,SMALL(IF((Expenses!E$3:E$999="GBP")*(Expenses!A$3:A$999=DATE(2026,7,28)),ROW(Expenses!A$3:A$999)-2),3)),0)+IFERROR(INDEX(Income!C$3:C$502,SMALL(IF((Income!D$3:D$502="GBP")*(Income!A$3:A$502=DATE(2026,7,28)),ROW(Income!A$3:A$502)-2),3)),0))</f>
        <v/>
      </c>
      <c r="F156" s="126">
        <f t="array" ref="F156">IF(IFERROR(INDEX(Expenses!B$3:B$999,SMALL(IF((Expenses!E$3:E$999="GBP")*(Expenses!A$3:A$999=DATE(2026,7,28)),ROW(Expenses!A$3:A$999)-2),3)),"")&lt;&gt;"",IFERROR(INDEX(Expenses!B$3:B$999,SMALL(IF((Expenses!E$3:E$999="GBP")*(Expenses!A$3:A$999=DATE(2026,7,28)),ROW(Expenses!A$3:A$999)-2),3)),""),IF(IFERROR(INDEX(Income!B$3:B$502,SMALL(IF((Income!D$3:D$502="GBP")*(Income!A$3:A$502=DATE(2026,7,28)),ROW(Income!A$3:A$502)-2),3)),"")&lt;&gt;"",IFERROR(INDEX(Income!B$3:B$502,SMALL(IF((Income!D$3:D$502="GBP")*(Income!A$3:A$502=DATE(2026,7,28)),ROW(Income!A$3:A$502)-2),3)),""),""))</f>
        <v/>
      </c>
      <c r="G156" s="152">
        <f t="array" ref="G156">IF(IFERROR(-INDEX(Expenses!D$3:D$999,SMALL(IF((Expenses!E$3:E$999="GBP")*(Expenses!A$3:A$999=DATE(2026,7,29)),ROW(Expenses!A$3:A$999)-2),3)),0)+IFERROR(INDEX(Income!C$3:C$502,SMALL(IF((Income!D$3:D$502="GBP")*(Income!A$3:A$502=DATE(2026,7,29)),ROW(Income!A$3:A$502)-2),3)),0)=0,"",IFERROR(-INDEX(Expenses!D$3:D$999,SMALL(IF((Expenses!E$3:E$999="GBP")*(Expenses!A$3:A$999=DATE(2026,7,29)),ROW(Expenses!A$3:A$999)-2),3)),0)+IFERROR(INDEX(Income!C$3:C$502,SMALL(IF((Income!D$3:D$502="GBP")*(Income!A$3:A$502=DATE(2026,7,29)),ROW(Income!A$3:A$502)-2),3)),0))</f>
        <v/>
      </c>
      <c r="H156" s="126">
        <f t="array" ref="H156">IF(IFERROR(INDEX(Expenses!B$3:B$999,SMALL(IF((Expenses!E$3:E$999="GBP")*(Expenses!A$3:A$999=DATE(2026,7,29)),ROW(Expenses!A$3:A$999)-2),3)),"")&lt;&gt;"",IFERROR(INDEX(Expenses!B$3:B$999,SMALL(IF((Expenses!E$3:E$999="GBP")*(Expenses!A$3:A$999=DATE(2026,7,29)),ROW(Expenses!A$3:A$999)-2),3)),""),IF(IFERROR(INDEX(Income!B$3:B$502,SMALL(IF((Income!D$3:D$502="GBP")*(Income!A$3:A$502=DATE(2026,7,29)),ROW(Income!A$3:A$502)-2),3)),"")&lt;&gt;"",IFERROR(INDEX(Income!B$3:B$502,SMALL(IF((Income!D$3:D$502="GBP")*(Income!A$3:A$502=DATE(2026,7,29)),ROW(Income!A$3:A$502)-2),3)),""),""))</f>
        <v/>
      </c>
      <c r="I156" s="152">
        <f t="array" ref="I156">IF(IFERROR(-INDEX(Expenses!D$3:D$999,SMALL(IF((Expenses!E$3:E$999="GBP")*(Expenses!A$3:A$999=DATE(2026,7,30)),ROW(Expenses!A$3:A$999)-2),3)),0)+IFERROR(INDEX(Income!C$3:C$502,SMALL(IF((Income!D$3:D$502="GBP")*(Income!A$3:A$502=DATE(2026,7,30)),ROW(Income!A$3:A$502)-2),3)),0)=0,"",IFERROR(-INDEX(Expenses!D$3:D$999,SMALL(IF((Expenses!E$3:E$999="GBP")*(Expenses!A$3:A$999=DATE(2026,7,30)),ROW(Expenses!A$3:A$999)-2),3)),0)+IFERROR(INDEX(Income!C$3:C$502,SMALL(IF((Income!D$3:D$502="GBP")*(Income!A$3:A$502=DATE(2026,7,30)),ROW(Income!A$3:A$502)-2),3)),0))</f>
        <v/>
      </c>
      <c r="J156" s="126">
        <f t="array" ref="J156">IF(IFERROR(INDEX(Expenses!B$3:B$999,SMALL(IF((Expenses!E$3:E$999="GBP")*(Expenses!A$3:A$999=DATE(2026,7,30)),ROW(Expenses!A$3:A$999)-2),3)),"")&lt;&gt;"",IFERROR(INDEX(Expenses!B$3:B$999,SMALL(IF((Expenses!E$3:E$999="GBP")*(Expenses!A$3:A$999=DATE(2026,7,30)),ROW(Expenses!A$3:A$999)-2),3)),""),IF(IFERROR(INDEX(Income!B$3:B$502,SMALL(IF((Income!D$3:D$502="GBP")*(Income!A$3:A$502=DATE(2026,7,30)),ROW(Income!A$3:A$502)-2),3)),"")&lt;&gt;"",IFERROR(INDEX(Income!B$3:B$502,SMALL(IF((Income!D$3:D$502="GBP")*(Income!A$3:A$502=DATE(2026,7,30)),ROW(Income!A$3:A$502)-2),3)),""),""))</f>
        <v/>
      </c>
      <c r="K156" s="152">
        <f t="array" ref="K156">IF(IFERROR(-INDEX(Expenses!D$3:D$999,SMALL(IF((Expenses!E$3:E$999="GBP")*(Expenses!A$3:A$999=DATE(2026,7,31)),ROW(Expenses!A$3:A$999)-2),3)),0)+IFERROR(INDEX(Income!C$3:C$502,SMALL(IF((Income!D$3:D$502="GBP")*(Income!A$3:A$502=DATE(2026,7,31)),ROW(Income!A$3:A$502)-2),3)),0)=0,"",IFERROR(-INDEX(Expenses!D$3:D$999,SMALL(IF((Expenses!E$3:E$999="GBP")*(Expenses!A$3:A$999=DATE(2026,7,31)),ROW(Expenses!A$3:A$999)-2),3)),0)+IFERROR(INDEX(Income!C$3:C$502,SMALL(IF((Income!D$3:D$502="GBP")*(Income!A$3:A$502=DATE(2026,7,31)),ROW(Income!A$3:A$502)-2),3)),0))</f>
        <v/>
      </c>
      <c r="L156" s="126">
        <f t="array" ref="L156">IF(IFERROR(INDEX(Expenses!B$3:B$999,SMALL(IF((Expenses!E$3:E$999="GBP")*(Expenses!A$3:A$999=DATE(2026,7,31)),ROW(Expenses!A$3:A$999)-2),3)),"")&lt;&gt;"",IFERROR(INDEX(Expenses!B$3:B$999,SMALL(IF((Expenses!E$3:E$999="GBP")*(Expenses!A$3:A$999=DATE(2026,7,31)),ROW(Expenses!A$3:A$999)-2),3)),""),IF(IFERROR(INDEX(Income!B$3:B$502,SMALL(IF((Income!D$3:D$502="GBP")*(Income!A$3:A$502=DATE(2026,7,31)),ROW(Income!A$3:A$502)-2),3)),"")&lt;&gt;"",IFERROR(INDEX(Income!B$3:B$502,SMALL(IF((Income!D$3:D$502="GBP")*(Income!A$3:A$502=DATE(2026,7,31)),ROW(Income!A$3:A$502)-2),3)),""),""))</f>
        <v/>
      </c>
      <c r="M156" s="152">
        <f t="array" ref="M156">IF(IFERROR(-INDEX(Expenses!D$3:D$999,SMALL(IF((Expenses!E$3:E$999="GBP")*(Expenses!A$3:A$999=DATE(2026,8,1)),ROW(Expenses!A$3:A$999)-2),3)),0)+IFERROR(INDEX(Income!C$3:C$502,SMALL(IF((Income!D$3:D$502="GBP")*(Income!A$3:A$502=DATE(2026,8,1)),ROW(Income!A$3:A$502)-2),3)),0)=0,"",IFERROR(-INDEX(Expenses!D$3:D$999,SMALL(IF((Expenses!E$3:E$999="GBP")*(Expenses!A$3:A$999=DATE(2026,8,1)),ROW(Expenses!A$3:A$999)-2),3)),0)+IFERROR(INDEX(Income!C$3:C$502,SMALL(IF((Income!D$3:D$502="GBP")*(Income!A$3:A$502=DATE(2026,8,1)),ROW(Income!A$3:A$502)-2),3)),0))</f>
        <v/>
      </c>
      <c r="N156" s="126">
        <f t="array" ref="N156">IF(IFERROR(INDEX(Expenses!B$3:B$999,SMALL(IF((Expenses!E$3:E$999="GBP")*(Expenses!A$3:A$999=DATE(2026,8,1)),ROW(Expenses!A$3:A$999)-2),3)),"")&lt;&gt;"",IFERROR(INDEX(Expenses!B$3:B$999,SMALL(IF((Expenses!E$3:E$999="GBP")*(Expenses!A$3:A$999=DATE(2026,8,1)),ROW(Expenses!A$3:A$999)-2),3)),""),IF(IFERROR(INDEX(Income!B$3:B$502,SMALL(IF((Income!D$3:D$502="GBP")*(Income!A$3:A$502=DATE(2026,8,1)),ROW(Income!A$3:A$502)-2),3)),"")&lt;&gt;"",IFERROR(INDEX(Income!B$3:B$502,SMALL(IF((Income!D$3:D$502="GBP")*(Income!A$3:A$502=DATE(2026,8,1)),ROW(Income!A$3:A$502)-2),3)),""),""))</f>
        <v/>
      </c>
      <c r="O156" s="152">
        <f t="array" ref="O156">IF(IFERROR(-INDEX(Expenses!D$3:D$999,SMALL(IF((Expenses!E$3:E$999="GBP")*(Expenses!A$3:A$999=DATE(2026,8,2)),ROW(Expenses!A$3:A$999)-2),3)),0)+IFERROR(INDEX(Income!C$3:C$502,SMALL(IF((Income!D$3:D$502="GBP")*(Income!A$3:A$502=DATE(2026,8,2)),ROW(Income!A$3:A$502)-2),3)),0)=0,"",IFERROR(-INDEX(Expenses!D$3:D$999,SMALL(IF((Expenses!E$3:E$999="GBP")*(Expenses!A$3:A$999=DATE(2026,8,2)),ROW(Expenses!A$3:A$999)-2),3)),0)+IFERROR(INDEX(Income!C$3:C$502,SMALL(IF((Income!D$3:D$502="GBP")*(Income!A$3:A$502=DATE(2026,8,2)),ROW(Income!A$3:A$502)-2),3)),0))</f>
        <v/>
      </c>
      <c r="P156" s="126">
        <f t="array" ref="P156">IF(IFERROR(INDEX(Expenses!B$3:B$999,SMALL(IF((Expenses!E$3:E$999="GBP")*(Expenses!A$3:A$999=DATE(2026,8,2)),ROW(Expenses!A$3:A$999)-2),3)),"")&lt;&gt;"",IFERROR(INDEX(Expenses!B$3:B$999,SMALL(IF((Expenses!E$3:E$999="GBP")*(Expenses!A$3:A$999=DATE(2026,8,2)),ROW(Expenses!A$3:A$999)-2),3)),""),IF(IFERROR(INDEX(Income!B$3:B$502,SMALL(IF((Income!D$3:D$502="GBP")*(Income!A$3:A$502=DATE(2026,8,2)),ROW(Income!A$3:A$502)-2),3)),"")&lt;&gt;"",IFERROR(INDEX(Income!B$3:B$502,SMALL(IF((Income!D$3:D$502="GBP")*(Income!A$3:A$502=DATE(2026,8,2)),ROW(Income!A$3:A$502)-2),3)),""),""))</f>
        <v/>
      </c>
      <c r="Q156" s="9" t="n"/>
      <c r="R156" s="9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68">
      <c r="A157" s="9" t="n"/>
      <c r="B157" s="9" t="n"/>
      <c r="C157" s="152">
        <f t="array" ref="C157">IF(IFERROR(-INDEX(Expenses!D$3:D$999,SMALL(IF((Expenses!E$3:E$999="GBP")*(Expenses!A$3:A$999=DATE(2026,7,27)),ROW(Expenses!A$3:A$999)-2),4)),0)+IFERROR(INDEX(Income!C$3:C$502,SMALL(IF((Income!D$3:D$502="GBP")*(Income!A$3:A$502=DATE(2026,7,27)),ROW(Income!A$3:A$502)-2),4)),0)=0,"",IFERROR(-INDEX(Expenses!D$3:D$999,SMALL(IF((Expenses!E$3:E$999="GBP")*(Expenses!A$3:A$999=DATE(2026,7,27)),ROW(Expenses!A$3:A$999)-2),4)),0)+IFERROR(INDEX(Income!C$3:C$502,SMALL(IF((Income!D$3:D$502="GBP")*(Income!A$3:A$502=DATE(2026,7,27)),ROW(Income!A$3:A$502)-2),4)),0))</f>
        <v/>
      </c>
      <c r="D157" s="126">
        <f t="array" ref="D157">IF(IFERROR(INDEX(Expenses!B$3:B$999,SMALL(IF((Expenses!E$3:E$999="GBP")*(Expenses!A$3:A$999=DATE(2026,7,27)),ROW(Expenses!A$3:A$999)-2),4)),"")&lt;&gt;"",IFERROR(INDEX(Expenses!B$3:B$999,SMALL(IF((Expenses!E$3:E$999="GBP")*(Expenses!A$3:A$999=DATE(2026,7,27)),ROW(Expenses!A$3:A$999)-2),4)),""),IF(IFERROR(INDEX(Income!B$3:B$502,SMALL(IF((Income!D$3:D$502="GBP")*(Income!A$3:A$502=DATE(2026,7,27)),ROW(Income!A$3:A$502)-2),4)),"")&lt;&gt;"",IFERROR(INDEX(Income!B$3:B$502,SMALL(IF((Income!D$3:D$502="GBP")*(Income!A$3:A$502=DATE(2026,7,27)),ROW(Income!A$3:A$502)-2),4)),""),""))</f>
        <v/>
      </c>
      <c r="E157" s="152">
        <f t="array" ref="E157">IF(IFERROR(-INDEX(Expenses!D$3:D$999,SMALL(IF((Expenses!E$3:E$999="GBP")*(Expenses!A$3:A$999=DATE(2026,7,28)),ROW(Expenses!A$3:A$999)-2),4)),0)+IFERROR(INDEX(Income!C$3:C$502,SMALL(IF((Income!D$3:D$502="GBP")*(Income!A$3:A$502=DATE(2026,7,28)),ROW(Income!A$3:A$502)-2),4)),0)=0,"",IFERROR(-INDEX(Expenses!D$3:D$999,SMALL(IF((Expenses!E$3:E$999="GBP")*(Expenses!A$3:A$999=DATE(2026,7,28)),ROW(Expenses!A$3:A$999)-2),4)),0)+IFERROR(INDEX(Income!C$3:C$502,SMALL(IF((Income!D$3:D$502="GBP")*(Income!A$3:A$502=DATE(2026,7,28)),ROW(Income!A$3:A$502)-2),4)),0))</f>
        <v/>
      </c>
      <c r="F157" s="126">
        <f t="array" ref="F157">IF(IFERROR(INDEX(Expenses!B$3:B$999,SMALL(IF((Expenses!E$3:E$999="GBP")*(Expenses!A$3:A$999=DATE(2026,7,28)),ROW(Expenses!A$3:A$999)-2),4)),"")&lt;&gt;"",IFERROR(INDEX(Expenses!B$3:B$999,SMALL(IF((Expenses!E$3:E$999="GBP")*(Expenses!A$3:A$999=DATE(2026,7,28)),ROW(Expenses!A$3:A$999)-2),4)),""),IF(IFERROR(INDEX(Income!B$3:B$502,SMALL(IF((Income!D$3:D$502="GBP")*(Income!A$3:A$502=DATE(2026,7,28)),ROW(Income!A$3:A$502)-2),4)),"")&lt;&gt;"",IFERROR(INDEX(Income!B$3:B$502,SMALL(IF((Income!D$3:D$502="GBP")*(Income!A$3:A$502=DATE(2026,7,28)),ROW(Income!A$3:A$502)-2),4)),""),""))</f>
        <v/>
      </c>
      <c r="G157" s="152">
        <f t="array" ref="G157">IF(IFERROR(-INDEX(Expenses!D$3:D$999,SMALL(IF((Expenses!E$3:E$999="GBP")*(Expenses!A$3:A$999=DATE(2026,7,29)),ROW(Expenses!A$3:A$999)-2),4)),0)+IFERROR(INDEX(Income!C$3:C$502,SMALL(IF((Income!D$3:D$502="GBP")*(Income!A$3:A$502=DATE(2026,7,29)),ROW(Income!A$3:A$502)-2),4)),0)=0,"",IFERROR(-INDEX(Expenses!D$3:D$999,SMALL(IF((Expenses!E$3:E$999="GBP")*(Expenses!A$3:A$999=DATE(2026,7,29)),ROW(Expenses!A$3:A$999)-2),4)),0)+IFERROR(INDEX(Income!C$3:C$502,SMALL(IF((Income!D$3:D$502="GBP")*(Income!A$3:A$502=DATE(2026,7,29)),ROW(Income!A$3:A$502)-2),4)),0))</f>
        <v/>
      </c>
      <c r="H157" s="126">
        <f t="array" ref="H157">IF(IFERROR(INDEX(Expenses!B$3:B$999,SMALL(IF((Expenses!E$3:E$999="GBP")*(Expenses!A$3:A$999=DATE(2026,7,29)),ROW(Expenses!A$3:A$999)-2),4)),"")&lt;&gt;"",IFERROR(INDEX(Expenses!B$3:B$999,SMALL(IF((Expenses!E$3:E$999="GBP")*(Expenses!A$3:A$999=DATE(2026,7,29)),ROW(Expenses!A$3:A$999)-2),4)),""),IF(IFERROR(INDEX(Income!B$3:B$502,SMALL(IF((Income!D$3:D$502="GBP")*(Income!A$3:A$502=DATE(2026,7,29)),ROW(Income!A$3:A$502)-2),4)),"")&lt;&gt;"",IFERROR(INDEX(Income!B$3:B$502,SMALL(IF((Income!D$3:D$502="GBP")*(Income!A$3:A$502=DATE(2026,7,29)),ROW(Income!A$3:A$502)-2),4)),""),""))</f>
        <v/>
      </c>
      <c r="I157" s="152">
        <f t="array" ref="I157">IF(IFERROR(-INDEX(Expenses!D$3:D$999,SMALL(IF((Expenses!E$3:E$999="GBP")*(Expenses!A$3:A$999=DATE(2026,7,30)),ROW(Expenses!A$3:A$999)-2),4)),0)+IFERROR(INDEX(Income!C$3:C$502,SMALL(IF((Income!D$3:D$502="GBP")*(Income!A$3:A$502=DATE(2026,7,30)),ROW(Income!A$3:A$502)-2),4)),0)=0,"",IFERROR(-INDEX(Expenses!D$3:D$999,SMALL(IF((Expenses!E$3:E$999="GBP")*(Expenses!A$3:A$999=DATE(2026,7,30)),ROW(Expenses!A$3:A$999)-2),4)),0)+IFERROR(INDEX(Income!C$3:C$502,SMALL(IF((Income!D$3:D$502="GBP")*(Income!A$3:A$502=DATE(2026,7,30)),ROW(Income!A$3:A$502)-2),4)),0))</f>
        <v/>
      </c>
      <c r="J157" s="126">
        <f t="array" ref="J157">IF(IFERROR(INDEX(Expenses!B$3:B$999,SMALL(IF((Expenses!E$3:E$999="GBP")*(Expenses!A$3:A$999=DATE(2026,7,30)),ROW(Expenses!A$3:A$999)-2),4)),"")&lt;&gt;"",IFERROR(INDEX(Expenses!B$3:B$999,SMALL(IF((Expenses!E$3:E$999="GBP")*(Expenses!A$3:A$999=DATE(2026,7,30)),ROW(Expenses!A$3:A$999)-2),4)),""),IF(IFERROR(INDEX(Income!B$3:B$502,SMALL(IF((Income!D$3:D$502="GBP")*(Income!A$3:A$502=DATE(2026,7,30)),ROW(Income!A$3:A$502)-2),4)),"")&lt;&gt;"",IFERROR(INDEX(Income!B$3:B$502,SMALL(IF((Income!D$3:D$502="GBP")*(Income!A$3:A$502=DATE(2026,7,30)),ROW(Income!A$3:A$502)-2),4)),""),""))</f>
        <v/>
      </c>
      <c r="K157" s="152">
        <f t="array" ref="K157">IF(IFERROR(-INDEX(Expenses!D$3:D$999,SMALL(IF((Expenses!E$3:E$999="GBP")*(Expenses!A$3:A$999=DATE(2026,7,31)),ROW(Expenses!A$3:A$999)-2),4)),0)+IFERROR(INDEX(Income!C$3:C$502,SMALL(IF((Income!D$3:D$502="GBP")*(Income!A$3:A$502=DATE(2026,7,31)),ROW(Income!A$3:A$502)-2),4)),0)=0,"",IFERROR(-INDEX(Expenses!D$3:D$999,SMALL(IF((Expenses!E$3:E$999="GBP")*(Expenses!A$3:A$999=DATE(2026,7,31)),ROW(Expenses!A$3:A$999)-2),4)),0)+IFERROR(INDEX(Income!C$3:C$502,SMALL(IF((Income!D$3:D$502="GBP")*(Income!A$3:A$502=DATE(2026,7,31)),ROW(Income!A$3:A$502)-2),4)),0))</f>
        <v/>
      </c>
      <c r="L157" s="126">
        <f t="array" ref="L157">IF(IFERROR(INDEX(Expenses!B$3:B$999,SMALL(IF((Expenses!E$3:E$999="GBP")*(Expenses!A$3:A$999=DATE(2026,7,31)),ROW(Expenses!A$3:A$999)-2),4)),"")&lt;&gt;"",IFERROR(INDEX(Expenses!B$3:B$999,SMALL(IF((Expenses!E$3:E$999="GBP")*(Expenses!A$3:A$999=DATE(2026,7,31)),ROW(Expenses!A$3:A$999)-2),4)),""),IF(IFERROR(INDEX(Income!B$3:B$502,SMALL(IF((Income!D$3:D$502="GBP")*(Income!A$3:A$502=DATE(2026,7,31)),ROW(Income!A$3:A$502)-2),4)),"")&lt;&gt;"",IFERROR(INDEX(Income!B$3:B$502,SMALL(IF((Income!D$3:D$502="GBP")*(Income!A$3:A$502=DATE(2026,7,31)),ROW(Income!A$3:A$502)-2),4)),""),""))</f>
        <v/>
      </c>
      <c r="M157" s="152">
        <f t="array" ref="M157">IF(IFERROR(-INDEX(Expenses!D$3:D$999,SMALL(IF((Expenses!E$3:E$999="GBP")*(Expenses!A$3:A$999=DATE(2026,8,1)),ROW(Expenses!A$3:A$999)-2),4)),0)+IFERROR(INDEX(Income!C$3:C$502,SMALL(IF((Income!D$3:D$502="GBP")*(Income!A$3:A$502=DATE(2026,8,1)),ROW(Income!A$3:A$502)-2),4)),0)=0,"",IFERROR(-INDEX(Expenses!D$3:D$999,SMALL(IF((Expenses!E$3:E$999="GBP")*(Expenses!A$3:A$999=DATE(2026,8,1)),ROW(Expenses!A$3:A$999)-2),4)),0)+IFERROR(INDEX(Income!C$3:C$502,SMALL(IF((Income!D$3:D$502="GBP")*(Income!A$3:A$502=DATE(2026,8,1)),ROW(Income!A$3:A$502)-2),4)),0))</f>
        <v/>
      </c>
      <c r="N157" s="126">
        <f t="array" ref="N157">IF(IFERROR(INDEX(Expenses!B$3:B$999,SMALL(IF((Expenses!E$3:E$999="GBP")*(Expenses!A$3:A$999=DATE(2026,8,1)),ROW(Expenses!A$3:A$999)-2),4)),"")&lt;&gt;"",IFERROR(INDEX(Expenses!B$3:B$999,SMALL(IF((Expenses!E$3:E$999="GBP")*(Expenses!A$3:A$999=DATE(2026,8,1)),ROW(Expenses!A$3:A$999)-2),4)),""),IF(IFERROR(INDEX(Income!B$3:B$502,SMALL(IF((Income!D$3:D$502="GBP")*(Income!A$3:A$502=DATE(2026,8,1)),ROW(Income!A$3:A$502)-2),4)),"")&lt;&gt;"",IFERROR(INDEX(Income!B$3:B$502,SMALL(IF((Income!D$3:D$502="GBP")*(Income!A$3:A$502=DATE(2026,8,1)),ROW(Income!A$3:A$502)-2),4)),""),""))</f>
        <v/>
      </c>
      <c r="O157" s="152">
        <f t="array" ref="O157">IF(IFERROR(-INDEX(Expenses!D$3:D$999,SMALL(IF((Expenses!E$3:E$999="GBP")*(Expenses!A$3:A$999=DATE(2026,8,2)),ROW(Expenses!A$3:A$999)-2),4)),0)+IFERROR(INDEX(Income!C$3:C$502,SMALL(IF((Income!D$3:D$502="GBP")*(Income!A$3:A$502=DATE(2026,8,2)),ROW(Income!A$3:A$502)-2),4)),0)=0,"",IFERROR(-INDEX(Expenses!D$3:D$999,SMALL(IF((Expenses!E$3:E$999="GBP")*(Expenses!A$3:A$999=DATE(2026,8,2)),ROW(Expenses!A$3:A$999)-2),4)),0)+IFERROR(INDEX(Income!C$3:C$502,SMALL(IF((Income!D$3:D$502="GBP")*(Income!A$3:A$502=DATE(2026,8,2)),ROW(Income!A$3:A$502)-2),4)),0))</f>
        <v/>
      </c>
      <c r="P157" s="126">
        <f t="array" ref="P157">IF(IFERROR(INDEX(Expenses!B$3:B$999,SMALL(IF((Expenses!E$3:E$999="GBP")*(Expenses!A$3:A$999=DATE(2026,8,2)),ROW(Expenses!A$3:A$999)-2),4)),"")&lt;&gt;"",IFERROR(INDEX(Expenses!B$3:B$999,SMALL(IF((Expenses!E$3:E$999="GBP")*(Expenses!A$3:A$999=DATE(2026,8,2)),ROW(Expenses!A$3:A$999)-2),4)),""),IF(IFERROR(INDEX(Income!B$3:B$502,SMALL(IF((Income!D$3:D$502="GBP")*(Income!A$3:A$502=DATE(2026,8,2)),ROW(Income!A$3:A$502)-2),4)),"")&lt;&gt;"",IFERROR(INDEX(Income!B$3:B$502,SMALL(IF((Income!D$3:D$502="GBP")*(Income!A$3:A$502=DATE(2026,8,2)),ROW(Income!A$3:A$502)-2),4)),""),""))</f>
        <v/>
      </c>
      <c r="Q157" s="9" t="n"/>
      <c r="R157" s="9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68">
      <c r="A158" s="9" t="n"/>
      <c r="B158" s="9" t="n"/>
      <c r="C158" s="152">
        <f t="array" ref="C158">IF(IFERROR(-INDEX(Expenses!D$3:D$999,SMALL(IF((Expenses!E$3:E$999="GBP")*(Expenses!A$3:A$999=DATE(2026,7,27)),ROW(Expenses!A$3:A$999)-2),5)),0)+IFERROR(INDEX(Income!C$3:C$502,SMALL(IF((Income!D$3:D$502="GBP")*(Income!A$3:A$502=DATE(2026,7,27)),ROW(Income!A$3:A$502)-2),5)),0)=0,"",IFERROR(-INDEX(Expenses!D$3:D$999,SMALL(IF((Expenses!E$3:E$999="GBP")*(Expenses!A$3:A$999=DATE(2026,7,27)),ROW(Expenses!A$3:A$999)-2),5)),0)+IFERROR(INDEX(Income!C$3:C$502,SMALL(IF((Income!D$3:D$502="GBP")*(Income!A$3:A$502=DATE(2026,7,27)),ROW(Income!A$3:A$502)-2),5)),0))</f>
        <v/>
      </c>
      <c r="D158" s="126">
        <f t="array" ref="D158">IF(IFERROR(INDEX(Expenses!B$3:B$999,SMALL(IF((Expenses!E$3:E$999="GBP")*(Expenses!A$3:A$999=DATE(2026,7,27)),ROW(Expenses!A$3:A$999)-2),5)),"")&lt;&gt;"",IFERROR(INDEX(Expenses!B$3:B$999,SMALL(IF((Expenses!E$3:E$999="GBP")*(Expenses!A$3:A$999=DATE(2026,7,27)),ROW(Expenses!A$3:A$999)-2),5)),""),IF(IFERROR(INDEX(Income!B$3:B$502,SMALL(IF((Income!D$3:D$502="GBP")*(Income!A$3:A$502=DATE(2026,7,27)),ROW(Income!A$3:A$502)-2),5)),"")&lt;&gt;"",IFERROR(INDEX(Income!B$3:B$502,SMALL(IF((Income!D$3:D$502="GBP")*(Income!A$3:A$502=DATE(2026,7,27)),ROW(Income!A$3:A$502)-2),5)),""),""))</f>
        <v/>
      </c>
      <c r="E158" s="152">
        <f t="array" ref="E158">IF(IFERROR(-INDEX(Expenses!D$3:D$999,SMALL(IF((Expenses!E$3:E$999="GBP")*(Expenses!A$3:A$999=DATE(2026,7,28)),ROW(Expenses!A$3:A$999)-2),5)),0)+IFERROR(INDEX(Income!C$3:C$502,SMALL(IF((Income!D$3:D$502="GBP")*(Income!A$3:A$502=DATE(2026,7,28)),ROW(Income!A$3:A$502)-2),5)),0)=0,"",IFERROR(-INDEX(Expenses!D$3:D$999,SMALL(IF((Expenses!E$3:E$999="GBP")*(Expenses!A$3:A$999=DATE(2026,7,28)),ROW(Expenses!A$3:A$999)-2),5)),0)+IFERROR(INDEX(Income!C$3:C$502,SMALL(IF((Income!D$3:D$502="GBP")*(Income!A$3:A$502=DATE(2026,7,28)),ROW(Income!A$3:A$502)-2),5)),0))</f>
        <v/>
      </c>
      <c r="F158" s="126">
        <f t="array" ref="F158">IF(IFERROR(INDEX(Expenses!B$3:B$999,SMALL(IF((Expenses!E$3:E$999="GBP")*(Expenses!A$3:A$999=DATE(2026,7,28)),ROW(Expenses!A$3:A$999)-2),5)),"")&lt;&gt;"",IFERROR(INDEX(Expenses!B$3:B$999,SMALL(IF((Expenses!E$3:E$999="GBP")*(Expenses!A$3:A$999=DATE(2026,7,28)),ROW(Expenses!A$3:A$999)-2),5)),""),IF(IFERROR(INDEX(Income!B$3:B$502,SMALL(IF((Income!D$3:D$502="GBP")*(Income!A$3:A$502=DATE(2026,7,28)),ROW(Income!A$3:A$502)-2),5)),"")&lt;&gt;"",IFERROR(INDEX(Income!B$3:B$502,SMALL(IF((Income!D$3:D$502="GBP")*(Income!A$3:A$502=DATE(2026,7,28)),ROW(Income!A$3:A$502)-2),5)),""),""))</f>
        <v/>
      </c>
      <c r="G158" s="152">
        <f t="array" ref="G158">IF(IFERROR(-INDEX(Expenses!D$3:D$999,SMALL(IF((Expenses!E$3:E$999="GBP")*(Expenses!A$3:A$999=DATE(2026,7,29)),ROW(Expenses!A$3:A$999)-2),5)),0)+IFERROR(INDEX(Income!C$3:C$502,SMALL(IF((Income!D$3:D$502="GBP")*(Income!A$3:A$502=DATE(2026,7,29)),ROW(Income!A$3:A$502)-2),5)),0)=0,"",IFERROR(-INDEX(Expenses!D$3:D$999,SMALL(IF((Expenses!E$3:E$999="GBP")*(Expenses!A$3:A$999=DATE(2026,7,29)),ROW(Expenses!A$3:A$999)-2),5)),0)+IFERROR(INDEX(Income!C$3:C$502,SMALL(IF((Income!D$3:D$502="GBP")*(Income!A$3:A$502=DATE(2026,7,29)),ROW(Income!A$3:A$502)-2),5)),0))</f>
        <v/>
      </c>
      <c r="H158" s="126">
        <f t="array" ref="H158">IF(IFERROR(INDEX(Expenses!B$3:B$999,SMALL(IF((Expenses!E$3:E$999="GBP")*(Expenses!A$3:A$999=DATE(2026,7,29)),ROW(Expenses!A$3:A$999)-2),5)),"")&lt;&gt;"",IFERROR(INDEX(Expenses!B$3:B$999,SMALL(IF((Expenses!E$3:E$999="GBP")*(Expenses!A$3:A$999=DATE(2026,7,29)),ROW(Expenses!A$3:A$999)-2),5)),""),IF(IFERROR(INDEX(Income!B$3:B$502,SMALL(IF((Income!D$3:D$502="GBP")*(Income!A$3:A$502=DATE(2026,7,29)),ROW(Income!A$3:A$502)-2),5)),"")&lt;&gt;"",IFERROR(INDEX(Income!B$3:B$502,SMALL(IF((Income!D$3:D$502="GBP")*(Income!A$3:A$502=DATE(2026,7,29)),ROW(Income!A$3:A$502)-2),5)),""),""))</f>
        <v/>
      </c>
      <c r="I158" s="152">
        <f t="array" ref="I158">IF(IFERROR(-INDEX(Expenses!D$3:D$999,SMALL(IF((Expenses!E$3:E$999="GBP")*(Expenses!A$3:A$999=DATE(2026,7,30)),ROW(Expenses!A$3:A$999)-2),5)),0)+IFERROR(INDEX(Income!C$3:C$502,SMALL(IF((Income!D$3:D$502="GBP")*(Income!A$3:A$502=DATE(2026,7,30)),ROW(Income!A$3:A$502)-2),5)),0)=0,"",IFERROR(-INDEX(Expenses!D$3:D$999,SMALL(IF((Expenses!E$3:E$999="GBP")*(Expenses!A$3:A$999=DATE(2026,7,30)),ROW(Expenses!A$3:A$999)-2),5)),0)+IFERROR(INDEX(Income!C$3:C$502,SMALL(IF((Income!D$3:D$502="GBP")*(Income!A$3:A$502=DATE(2026,7,30)),ROW(Income!A$3:A$502)-2),5)),0))</f>
        <v/>
      </c>
      <c r="J158" s="126">
        <f t="array" ref="J158">IF(IFERROR(INDEX(Expenses!B$3:B$999,SMALL(IF((Expenses!E$3:E$999="GBP")*(Expenses!A$3:A$999=DATE(2026,7,30)),ROW(Expenses!A$3:A$999)-2),5)),"")&lt;&gt;"",IFERROR(INDEX(Expenses!B$3:B$999,SMALL(IF((Expenses!E$3:E$999="GBP")*(Expenses!A$3:A$999=DATE(2026,7,30)),ROW(Expenses!A$3:A$999)-2),5)),""),IF(IFERROR(INDEX(Income!B$3:B$502,SMALL(IF((Income!D$3:D$502="GBP")*(Income!A$3:A$502=DATE(2026,7,30)),ROW(Income!A$3:A$502)-2),5)),"")&lt;&gt;"",IFERROR(INDEX(Income!B$3:B$502,SMALL(IF((Income!D$3:D$502="GBP")*(Income!A$3:A$502=DATE(2026,7,30)),ROW(Income!A$3:A$502)-2),5)),""),""))</f>
        <v/>
      </c>
      <c r="K158" s="152">
        <f t="array" ref="K158">IF(IFERROR(-INDEX(Expenses!D$3:D$999,SMALL(IF((Expenses!E$3:E$999="GBP")*(Expenses!A$3:A$999=DATE(2026,7,31)),ROW(Expenses!A$3:A$999)-2),5)),0)+IFERROR(INDEX(Income!C$3:C$502,SMALL(IF((Income!D$3:D$502="GBP")*(Income!A$3:A$502=DATE(2026,7,31)),ROW(Income!A$3:A$502)-2),5)),0)=0,"",IFERROR(-INDEX(Expenses!D$3:D$999,SMALL(IF((Expenses!E$3:E$999="GBP")*(Expenses!A$3:A$999=DATE(2026,7,31)),ROW(Expenses!A$3:A$999)-2),5)),0)+IFERROR(INDEX(Income!C$3:C$502,SMALL(IF((Income!D$3:D$502="GBP")*(Income!A$3:A$502=DATE(2026,7,31)),ROW(Income!A$3:A$502)-2),5)),0))</f>
        <v/>
      </c>
      <c r="L158" s="126">
        <f t="array" ref="L158">IF(IFERROR(INDEX(Expenses!B$3:B$999,SMALL(IF((Expenses!E$3:E$999="GBP")*(Expenses!A$3:A$999=DATE(2026,7,31)),ROW(Expenses!A$3:A$999)-2),5)),"")&lt;&gt;"",IFERROR(INDEX(Expenses!B$3:B$999,SMALL(IF((Expenses!E$3:E$999="GBP")*(Expenses!A$3:A$999=DATE(2026,7,31)),ROW(Expenses!A$3:A$999)-2),5)),""),IF(IFERROR(INDEX(Income!B$3:B$502,SMALL(IF((Income!D$3:D$502="GBP")*(Income!A$3:A$502=DATE(2026,7,31)),ROW(Income!A$3:A$502)-2),5)),"")&lt;&gt;"",IFERROR(INDEX(Income!B$3:B$502,SMALL(IF((Income!D$3:D$502="GBP")*(Income!A$3:A$502=DATE(2026,7,31)),ROW(Income!A$3:A$502)-2),5)),""),""))</f>
        <v/>
      </c>
      <c r="M158" s="152">
        <f t="array" ref="M158">IF(IFERROR(-INDEX(Expenses!D$3:D$999,SMALL(IF((Expenses!E$3:E$999="GBP")*(Expenses!A$3:A$999=DATE(2026,8,1)),ROW(Expenses!A$3:A$999)-2),5)),0)+IFERROR(INDEX(Income!C$3:C$502,SMALL(IF((Income!D$3:D$502="GBP")*(Income!A$3:A$502=DATE(2026,8,1)),ROW(Income!A$3:A$502)-2),5)),0)=0,"",IFERROR(-INDEX(Expenses!D$3:D$999,SMALL(IF((Expenses!E$3:E$999="GBP")*(Expenses!A$3:A$999=DATE(2026,8,1)),ROW(Expenses!A$3:A$999)-2),5)),0)+IFERROR(INDEX(Income!C$3:C$502,SMALL(IF((Income!D$3:D$502="GBP")*(Income!A$3:A$502=DATE(2026,8,1)),ROW(Income!A$3:A$502)-2),5)),0))</f>
        <v/>
      </c>
      <c r="N158" s="126">
        <f t="array" ref="N158">IF(IFERROR(INDEX(Expenses!B$3:B$999,SMALL(IF((Expenses!E$3:E$999="GBP")*(Expenses!A$3:A$999=DATE(2026,8,1)),ROW(Expenses!A$3:A$999)-2),5)),"")&lt;&gt;"",IFERROR(INDEX(Expenses!B$3:B$999,SMALL(IF((Expenses!E$3:E$999="GBP")*(Expenses!A$3:A$999=DATE(2026,8,1)),ROW(Expenses!A$3:A$999)-2),5)),""),IF(IFERROR(INDEX(Income!B$3:B$502,SMALL(IF((Income!D$3:D$502="GBP")*(Income!A$3:A$502=DATE(2026,8,1)),ROW(Income!A$3:A$502)-2),5)),"")&lt;&gt;"",IFERROR(INDEX(Income!B$3:B$502,SMALL(IF((Income!D$3:D$502="GBP")*(Income!A$3:A$502=DATE(2026,8,1)),ROW(Income!A$3:A$502)-2),5)),""),""))</f>
        <v/>
      </c>
      <c r="O158" s="152">
        <f t="array" ref="O158">IF(IFERROR(-INDEX(Expenses!D$3:D$999,SMALL(IF((Expenses!E$3:E$999="GBP")*(Expenses!A$3:A$999=DATE(2026,8,2)),ROW(Expenses!A$3:A$999)-2),5)),0)+IFERROR(INDEX(Income!C$3:C$502,SMALL(IF((Income!D$3:D$502="GBP")*(Income!A$3:A$502=DATE(2026,8,2)),ROW(Income!A$3:A$502)-2),5)),0)=0,"",IFERROR(-INDEX(Expenses!D$3:D$999,SMALL(IF((Expenses!E$3:E$999="GBP")*(Expenses!A$3:A$999=DATE(2026,8,2)),ROW(Expenses!A$3:A$999)-2),5)),0)+IFERROR(INDEX(Income!C$3:C$502,SMALL(IF((Income!D$3:D$502="GBP")*(Income!A$3:A$502=DATE(2026,8,2)),ROW(Income!A$3:A$502)-2),5)),0))</f>
        <v/>
      </c>
      <c r="P158" s="126">
        <f t="array" ref="P158">IF(IFERROR(INDEX(Expenses!B$3:B$999,SMALL(IF((Expenses!E$3:E$999="GBP")*(Expenses!A$3:A$999=DATE(2026,8,2)),ROW(Expenses!A$3:A$999)-2),5)),"")&lt;&gt;"",IFERROR(INDEX(Expenses!B$3:B$999,SMALL(IF((Expenses!E$3:E$999="GBP")*(Expenses!A$3:A$999=DATE(2026,8,2)),ROW(Expenses!A$3:A$999)-2),5)),""),IF(IFERROR(INDEX(Income!B$3:B$502,SMALL(IF((Income!D$3:D$502="GBP")*(Income!A$3:A$502=DATE(2026,8,2)),ROW(Income!A$3:A$502)-2),5)),"")&lt;&gt;"",IFERROR(INDEX(Income!B$3:B$502,SMALL(IF((Income!D$3:D$502="GBP")*(Income!A$3:A$502=DATE(2026,8,2)),ROW(Income!A$3:A$502)-2),5)),""),""))</f>
        <v/>
      </c>
      <c r="Q158" s="9" t="n"/>
      <c r="R158" s="9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68">
      <c r="A159" s="151" t="n">
        <v>46237</v>
      </c>
      <c r="B159" s="103" t="n">
        <v>32</v>
      </c>
      <c r="C159" s="152">
        <f t="array" ref="C159">IF(IFERROR(-INDEX(Expenses!D$3:D$999,SMALL(IF((Expenses!E$3:E$999="GBP")*(Expenses!A$3:A$999=DATE(2026,8,3)),ROW(Expenses!A$3:A$999)-2),1)),0)+IFERROR(INDEX(Income!C$3:C$502,SMALL(IF((Income!D$3:D$502="GBP")*(Income!A$3:A$502=DATE(2026,8,3)),ROW(Income!A$3:A$502)-2),1)),0)=0,"",IFERROR(-INDEX(Expenses!D$3:D$999,SMALL(IF((Expenses!E$3:E$999="GBP")*(Expenses!A$3:A$999=DATE(2026,8,3)),ROW(Expenses!A$3:A$999)-2),1)),0)+IFERROR(INDEX(Income!C$3:C$502,SMALL(IF((Income!D$3:D$502="GBP")*(Income!A$3:A$502=DATE(2026,8,3)),ROW(Income!A$3:A$502)-2),1)),0))</f>
        <v/>
      </c>
      <c r="D159" s="126">
        <f t="array" ref="D159">IF(IFERROR(INDEX(Expenses!B$3:B$999,SMALL(IF((Expenses!E$3:E$999="GBP")*(Expenses!A$3:A$999=DATE(2026,8,3)),ROW(Expenses!A$3:A$999)-2),1)),"")&lt;&gt;"",IFERROR(INDEX(Expenses!B$3:B$999,SMALL(IF((Expenses!E$3:E$999="GBP")*(Expenses!A$3:A$999=DATE(2026,8,3)),ROW(Expenses!A$3:A$999)-2),1)),""),IF(IFERROR(INDEX(Income!B$3:B$502,SMALL(IF((Income!D$3:D$502="GBP")*(Income!A$3:A$502=DATE(2026,8,3)),ROW(Income!A$3:A$502)-2),1)),"")&lt;&gt;"",IFERROR(INDEX(Income!B$3:B$502,SMALL(IF((Income!D$3:D$502="GBP")*(Income!A$3:A$502=DATE(2026,8,3)),ROW(Income!A$3:A$502)-2),1)),""),""))</f>
        <v/>
      </c>
      <c r="E159" s="152">
        <f t="array" ref="E159">IF(IFERROR(-INDEX(Expenses!D$3:D$999,SMALL(IF((Expenses!E$3:E$999="GBP")*(Expenses!A$3:A$999=DATE(2026,8,4)),ROW(Expenses!A$3:A$999)-2),1)),0)+IFERROR(INDEX(Income!C$3:C$502,SMALL(IF((Income!D$3:D$502="GBP")*(Income!A$3:A$502=DATE(2026,8,4)),ROW(Income!A$3:A$502)-2),1)),0)=0,"",IFERROR(-INDEX(Expenses!D$3:D$999,SMALL(IF((Expenses!E$3:E$999="GBP")*(Expenses!A$3:A$999=DATE(2026,8,4)),ROW(Expenses!A$3:A$999)-2),1)),0)+IFERROR(INDEX(Income!C$3:C$502,SMALL(IF((Income!D$3:D$502="GBP")*(Income!A$3:A$502=DATE(2026,8,4)),ROW(Income!A$3:A$502)-2),1)),0))</f>
        <v/>
      </c>
      <c r="F159" s="126">
        <f t="array" ref="F159">IF(IFERROR(INDEX(Expenses!B$3:B$999,SMALL(IF((Expenses!E$3:E$999="GBP")*(Expenses!A$3:A$999=DATE(2026,8,4)),ROW(Expenses!A$3:A$999)-2),1)),"")&lt;&gt;"",IFERROR(INDEX(Expenses!B$3:B$999,SMALL(IF((Expenses!E$3:E$999="GBP")*(Expenses!A$3:A$999=DATE(2026,8,4)),ROW(Expenses!A$3:A$999)-2),1)),""),IF(IFERROR(INDEX(Income!B$3:B$502,SMALL(IF((Income!D$3:D$502="GBP")*(Income!A$3:A$502=DATE(2026,8,4)),ROW(Income!A$3:A$502)-2),1)),"")&lt;&gt;"",IFERROR(INDEX(Income!B$3:B$502,SMALL(IF((Income!D$3:D$502="GBP")*(Income!A$3:A$502=DATE(2026,8,4)),ROW(Income!A$3:A$502)-2),1)),""),""))</f>
        <v/>
      </c>
      <c r="G159" s="152">
        <f t="array" ref="G159">IF(IFERROR(-INDEX(Expenses!D$3:D$999,SMALL(IF((Expenses!E$3:E$999="GBP")*(Expenses!A$3:A$999=DATE(2026,8,5)),ROW(Expenses!A$3:A$999)-2),1)),0)+IFERROR(INDEX(Income!C$3:C$502,SMALL(IF((Income!D$3:D$502="GBP")*(Income!A$3:A$502=DATE(2026,8,5)),ROW(Income!A$3:A$502)-2),1)),0)=0,"",IFERROR(-INDEX(Expenses!D$3:D$999,SMALL(IF((Expenses!E$3:E$999="GBP")*(Expenses!A$3:A$999=DATE(2026,8,5)),ROW(Expenses!A$3:A$999)-2),1)),0)+IFERROR(INDEX(Income!C$3:C$502,SMALL(IF((Income!D$3:D$502="GBP")*(Income!A$3:A$502=DATE(2026,8,5)),ROW(Income!A$3:A$502)-2),1)),0))</f>
        <v/>
      </c>
      <c r="H159" s="126">
        <f t="array" ref="H159">IF(IFERROR(INDEX(Expenses!B$3:B$999,SMALL(IF((Expenses!E$3:E$999="GBP")*(Expenses!A$3:A$999=DATE(2026,8,5)),ROW(Expenses!A$3:A$999)-2),1)),"")&lt;&gt;"",IFERROR(INDEX(Expenses!B$3:B$999,SMALL(IF((Expenses!E$3:E$999="GBP")*(Expenses!A$3:A$999=DATE(2026,8,5)),ROW(Expenses!A$3:A$999)-2),1)),""),IF(IFERROR(INDEX(Income!B$3:B$502,SMALL(IF((Income!D$3:D$502="GBP")*(Income!A$3:A$502=DATE(2026,8,5)),ROW(Income!A$3:A$502)-2),1)),"")&lt;&gt;"",IFERROR(INDEX(Income!B$3:B$502,SMALL(IF((Income!D$3:D$502="GBP")*(Income!A$3:A$502=DATE(2026,8,5)),ROW(Income!A$3:A$502)-2),1)),""),""))</f>
        <v/>
      </c>
      <c r="I159" s="152">
        <f t="array" ref="I159">IF(IFERROR(-INDEX(Expenses!D$3:D$999,SMALL(IF((Expenses!E$3:E$999="GBP")*(Expenses!A$3:A$999=DATE(2026,8,6)),ROW(Expenses!A$3:A$999)-2),1)),0)+IFERROR(INDEX(Income!C$3:C$502,SMALL(IF((Income!D$3:D$502="GBP")*(Income!A$3:A$502=DATE(2026,8,6)),ROW(Income!A$3:A$502)-2),1)),0)=0,"",IFERROR(-INDEX(Expenses!D$3:D$999,SMALL(IF((Expenses!E$3:E$999="GBP")*(Expenses!A$3:A$999=DATE(2026,8,6)),ROW(Expenses!A$3:A$999)-2),1)),0)+IFERROR(INDEX(Income!C$3:C$502,SMALL(IF((Income!D$3:D$502="GBP")*(Income!A$3:A$502=DATE(2026,8,6)),ROW(Income!A$3:A$502)-2),1)),0))</f>
        <v/>
      </c>
      <c r="J159" s="126">
        <f t="array" ref="J159">IF(IFERROR(INDEX(Expenses!B$3:B$999,SMALL(IF((Expenses!E$3:E$999="GBP")*(Expenses!A$3:A$999=DATE(2026,8,6)),ROW(Expenses!A$3:A$999)-2),1)),"")&lt;&gt;"",IFERROR(INDEX(Expenses!B$3:B$999,SMALL(IF((Expenses!E$3:E$999="GBP")*(Expenses!A$3:A$999=DATE(2026,8,6)),ROW(Expenses!A$3:A$999)-2),1)),""),IF(IFERROR(INDEX(Income!B$3:B$502,SMALL(IF((Income!D$3:D$502="GBP")*(Income!A$3:A$502=DATE(2026,8,6)),ROW(Income!A$3:A$502)-2),1)),"")&lt;&gt;"",IFERROR(INDEX(Income!B$3:B$502,SMALL(IF((Income!D$3:D$502="GBP")*(Income!A$3:A$502=DATE(2026,8,6)),ROW(Income!A$3:A$502)-2),1)),""),""))</f>
        <v/>
      </c>
      <c r="K159" s="152">
        <f t="array" ref="K159">IF(IFERROR(-INDEX(Expenses!D$3:D$999,SMALL(IF((Expenses!E$3:E$999="GBP")*(Expenses!A$3:A$999=DATE(2026,8,7)),ROW(Expenses!A$3:A$999)-2),1)),0)+IFERROR(INDEX(Income!C$3:C$502,SMALL(IF((Income!D$3:D$502="GBP")*(Income!A$3:A$502=DATE(2026,8,7)),ROW(Income!A$3:A$502)-2),1)),0)=0,"",IFERROR(-INDEX(Expenses!D$3:D$999,SMALL(IF((Expenses!E$3:E$999="GBP")*(Expenses!A$3:A$999=DATE(2026,8,7)),ROW(Expenses!A$3:A$999)-2),1)),0)+IFERROR(INDEX(Income!C$3:C$502,SMALL(IF((Income!D$3:D$502="GBP")*(Income!A$3:A$502=DATE(2026,8,7)),ROW(Income!A$3:A$502)-2),1)),0))</f>
        <v/>
      </c>
      <c r="L159" s="126">
        <f t="array" ref="L159">IF(IFERROR(INDEX(Expenses!B$3:B$999,SMALL(IF((Expenses!E$3:E$999="GBP")*(Expenses!A$3:A$999=DATE(2026,8,7)),ROW(Expenses!A$3:A$999)-2),1)),"")&lt;&gt;"",IFERROR(INDEX(Expenses!B$3:B$999,SMALL(IF((Expenses!E$3:E$999="GBP")*(Expenses!A$3:A$999=DATE(2026,8,7)),ROW(Expenses!A$3:A$999)-2),1)),""),IF(IFERROR(INDEX(Income!B$3:B$502,SMALL(IF((Income!D$3:D$502="GBP")*(Income!A$3:A$502=DATE(2026,8,7)),ROW(Income!A$3:A$502)-2),1)),"")&lt;&gt;"",IFERROR(INDEX(Income!B$3:B$502,SMALL(IF((Income!D$3:D$502="GBP")*(Income!A$3:A$502=DATE(2026,8,7)),ROW(Income!A$3:A$502)-2),1)),""),""))</f>
        <v/>
      </c>
      <c r="M159" s="152">
        <f t="array" ref="M159">IF(IFERROR(-INDEX(Expenses!D$3:D$999,SMALL(IF((Expenses!E$3:E$999="GBP")*(Expenses!A$3:A$999=DATE(2026,8,8)),ROW(Expenses!A$3:A$999)-2),1)),0)+IFERROR(INDEX(Income!C$3:C$502,SMALL(IF((Income!D$3:D$502="GBP")*(Income!A$3:A$502=DATE(2026,8,8)),ROW(Income!A$3:A$502)-2),1)),0)=0,"",IFERROR(-INDEX(Expenses!D$3:D$999,SMALL(IF((Expenses!E$3:E$999="GBP")*(Expenses!A$3:A$999=DATE(2026,8,8)),ROW(Expenses!A$3:A$999)-2),1)),0)+IFERROR(INDEX(Income!C$3:C$502,SMALL(IF((Income!D$3:D$502="GBP")*(Income!A$3:A$502=DATE(2026,8,8)),ROW(Income!A$3:A$502)-2),1)),0))</f>
        <v/>
      </c>
      <c r="N159" s="126">
        <f t="array" ref="N159">IF(IFERROR(INDEX(Expenses!B$3:B$999,SMALL(IF((Expenses!E$3:E$999="GBP")*(Expenses!A$3:A$999=DATE(2026,8,8)),ROW(Expenses!A$3:A$999)-2),1)),"")&lt;&gt;"",IFERROR(INDEX(Expenses!B$3:B$999,SMALL(IF((Expenses!E$3:E$999="GBP")*(Expenses!A$3:A$999=DATE(2026,8,8)),ROW(Expenses!A$3:A$999)-2),1)),""),IF(IFERROR(INDEX(Income!B$3:B$502,SMALL(IF((Income!D$3:D$502="GBP")*(Income!A$3:A$502=DATE(2026,8,8)),ROW(Income!A$3:A$502)-2),1)),"")&lt;&gt;"",IFERROR(INDEX(Income!B$3:B$502,SMALL(IF((Income!D$3:D$502="GBP")*(Income!A$3:A$502=DATE(2026,8,8)),ROW(Income!A$3:A$502)-2),1)),""),""))</f>
        <v/>
      </c>
      <c r="O159" s="152">
        <f t="array" ref="O159">IF(IFERROR(-INDEX(Expenses!D$3:D$999,SMALL(IF((Expenses!E$3:E$999="GBP")*(Expenses!A$3:A$999=DATE(2026,8,9)),ROW(Expenses!A$3:A$999)-2),1)),0)+IFERROR(INDEX(Income!C$3:C$502,SMALL(IF((Income!D$3:D$502="GBP")*(Income!A$3:A$502=DATE(2026,8,9)),ROW(Income!A$3:A$502)-2),1)),0)=0,"",IFERROR(-INDEX(Expenses!D$3:D$999,SMALL(IF((Expenses!E$3:E$999="GBP")*(Expenses!A$3:A$999=DATE(2026,8,9)),ROW(Expenses!A$3:A$999)-2),1)),0)+IFERROR(INDEX(Income!C$3:C$502,SMALL(IF((Income!D$3:D$502="GBP")*(Income!A$3:A$502=DATE(2026,8,9)),ROW(Income!A$3:A$502)-2),1)),0))</f>
        <v/>
      </c>
      <c r="P159" s="126">
        <f t="array" ref="P159">IF(IFERROR(INDEX(Expenses!B$3:B$999,SMALL(IF((Expenses!E$3:E$999="GBP")*(Expenses!A$3:A$999=DATE(2026,8,9)),ROW(Expenses!A$3:A$999)-2),1)),"")&lt;&gt;"",IFERROR(INDEX(Expenses!B$3:B$999,SMALL(IF((Expenses!E$3:E$999="GBP")*(Expenses!A$3:A$999=DATE(2026,8,9)),ROW(Expenses!A$3:A$999)-2),1)),""),IF(IFERROR(INDEX(Income!B$3:B$502,SMALL(IF((Income!D$3:D$502="GBP")*(Income!A$3:A$502=DATE(2026,8,9)),ROW(Income!A$3:A$502)-2),1)),"")&lt;&gt;"",IFERROR(INDEX(Income!B$3:B$502,SMALL(IF((Income!D$3:D$502="GBP")*(Income!A$3:A$502=DATE(2026,8,9)),ROW(Income!A$3:A$502)-2),1)),""),""))</f>
        <v/>
      </c>
      <c r="Q159" s="103" t="n">
        <v>32</v>
      </c>
      <c r="R159" s="134">
        <f>SUM(C159:C163)+SUM(E159:E163)+SUM(G159:G163)+SUM(I159:I163)+SUM(K159:K163)+SUM(M159:M163)+SUM(O159:O163)</f>
        <v/>
      </c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68">
      <c r="A160" s="9" t="n"/>
      <c r="B160" s="9" t="n"/>
      <c r="C160" s="152">
        <f t="array" ref="C160">IF(IFERROR(-INDEX(Expenses!D$3:D$999,SMALL(IF((Expenses!E$3:E$999="GBP")*(Expenses!A$3:A$999=DATE(2026,8,3)),ROW(Expenses!A$3:A$999)-2),2)),0)+IFERROR(INDEX(Income!C$3:C$502,SMALL(IF((Income!D$3:D$502="GBP")*(Income!A$3:A$502=DATE(2026,8,3)),ROW(Income!A$3:A$502)-2),2)),0)=0,"",IFERROR(-INDEX(Expenses!D$3:D$999,SMALL(IF((Expenses!E$3:E$999="GBP")*(Expenses!A$3:A$999=DATE(2026,8,3)),ROW(Expenses!A$3:A$999)-2),2)),0)+IFERROR(INDEX(Income!C$3:C$502,SMALL(IF((Income!D$3:D$502="GBP")*(Income!A$3:A$502=DATE(2026,8,3)),ROW(Income!A$3:A$502)-2),2)),0))</f>
        <v/>
      </c>
      <c r="D160" s="126">
        <f t="array" ref="D160">IF(IFERROR(INDEX(Expenses!B$3:B$999,SMALL(IF((Expenses!E$3:E$999="GBP")*(Expenses!A$3:A$999=DATE(2026,8,3)),ROW(Expenses!A$3:A$999)-2),2)),"")&lt;&gt;"",IFERROR(INDEX(Expenses!B$3:B$999,SMALL(IF((Expenses!E$3:E$999="GBP")*(Expenses!A$3:A$999=DATE(2026,8,3)),ROW(Expenses!A$3:A$999)-2),2)),""),IF(IFERROR(INDEX(Income!B$3:B$502,SMALL(IF((Income!D$3:D$502="GBP")*(Income!A$3:A$502=DATE(2026,8,3)),ROW(Income!A$3:A$502)-2),2)),"")&lt;&gt;"",IFERROR(INDEX(Income!B$3:B$502,SMALL(IF((Income!D$3:D$502="GBP")*(Income!A$3:A$502=DATE(2026,8,3)),ROW(Income!A$3:A$502)-2),2)),""),""))</f>
        <v/>
      </c>
      <c r="E160" s="152">
        <f t="array" ref="E160">IF(IFERROR(-INDEX(Expenses!D$3:D$999,SMALL(IF((Expenses!E$3:E$999="GBP")*(Expenses!A$3:A$999=DATE(2026,8,4)),ROW(Expenses!A$3:A$999)-2),2)),0)+IFERROR(INDEX(Income!C$3:C$502,SMALL(IF((Income!D$3:D$502="GBP")*(Income!A$3:A$502=DATE(2026,8,4)),ROW(Income!A$3:A$502)-2),2)),0)=0,"",IFERROR(-INDEX(Expenses!D$3:D$999,SMALL(IF((Expenses!E$3:E$999="GBP")*(Expenses!A$3:A$999=DATE(2026,8,4)),ROW(Expenses!A$3:A$999)-2),2)),0)+IFERROR(INDEX(Income!C$3:C$502,SMALL(IF((Income!D$3:D$502="GBP")*(Income!A$3:A$502=DATE(2026,8,4)),ROW(Income!A$3:A$502)-2),2)),0))</f>
        <v/>
      </c>
      <c r="F160" s="126">
        <f t="array" ref="F160">IF(IFERROR(INDEX(Expenses!B$3:B$999,SMALL(IF((Expenses!E$3:E$999="GBP")*(Expenses!A$3:A$999=DATE(2026,8,4)),ROW(Expenses!A$3:A$999)-2),2)),"")&lt;&gt;"",IFERROR(INDEX(Expenses!B$3:B$999,SMALL(IF((Expenses!E$3:E$999="GBP")*(Expenses!A$3:A$999=DATE(2026,8,4)),ROW(Expenses!A$3:A$999)-2),2)),""),IF(IFERROR(INDEX(Income!B$3:B$502,SMALL(IF((Income!D$3:D$502="GBP")*(Income!A$3:A$502=DATE(2026,8,4)),ROW(Income!A$3:A$502)-2),2)),"")&lt;&gt;"",IFERROR(INDEX(Income!B$3:B$502,SMALL(IF((Income!D$3:D$502="GBP")*(Income!A$3:A$502=DATE(2026,8,4)),ROW(Income!A$3:A$502)-2),2)),""),""))</f>
        <v/>
      </c>
      <c r="G160" s="152">
        <f t="array" ref="G160">IF(IFERROR(-INDEX(Expenses!D$3:D$999,SMALL(IF((Expenses!E$3:E$999="GBP")*(Expenses!A$3:A$999=DATE(2026,8,5)),ROW(Expenses!A$3:A$999)-2),2)),0)+IFERROR(INDEX(Income!C$3:C$502,SMALL(IF((Income!D$3:D$502="GBP")*(Income!A$3:A$502=DATE(2026,8,5)),ROW(Income!A$3:A$502)-2),2)),0)=0,"",IFERROR(-INDEX(Expenses!D$3:D$999,SMALL(IF((Expenses!E$3:E$999="GBP")*(Expenses!A$3:A$999=DATE(2026,8,5)),ROW(Expenses!A$3:A$999)-2),2)),0)+IFERROR(INDEX(Income!C$3:C$502,SMALL(IF((Income!D$3:D$502="GBP")*(Income!A$3:A$502=DATE(2026,8,5)),ROW(Income!A$3:A$502)-2),2)),0))</f>
        <v/>
      </c>
      <c r="H160" s="126">
        <f t="array" ref="H160">IF(IFERROR(INDEX(Expenses!B$3:B$999,SMALL(IF((Expenses!E$3:E$999="GBP")*(Expenses!A$3:A$999=DATE(2026,8,5)),ROW(Expenses!A$3:A$999)-2),2)),"")&lt;&gt;"",IFERROR(INDEX(Expenses!B$3:B$999,SMALL(IF((Expenses!E$3:E$999="GBP")*(Expenses!A$3:A$999=DATE(2026,8,5)),ROW(Expenses!A$3:A$999)-2),2)),""),IF(IFERROR(INDEX(Income!B$3:B$502,SMALL(IF((Income!D$3:D$502="GBP")*(Income!A$3:A$502=DATE(2026,8,5)),ROW(Income!A$3:A$502)-2),2)),"")&lt;&gt;"",IFERROR(INDEX(Income!B$3:B$502,SMALL(IF((Income!D$3:D$502="GBP")*(Income!A$3:A$502=DATE(2026,8,5)),ROW(Income!A$3:A$502)-2),2)),""),""))</f>
        <v/>
      </c>
      <c r="I160" s="152">
        <f t="array" ref="I160">IF(IFERROR(-INDEX(Expenses!D$3:D$999,SMALL(IF((Expenses!E$3:E$999="GBP")*(Expenses!A$3:A$999=DATE(2026,8,6)),ROW(Expenses!A$3:A$999)-2),2)),0)+IFERROR(INDEX(Income!C$3:C$502,SMALL(IF((Income!D$3:D$502="GBP")*(Income!A$3:A$502=DATE(2026,8,6)),ROW(Income!A$3:A$502)-2),2)),0)=0,"",IFERROR(-INDEX(Expenses!D$3:D$999,SMALL(IF((Expenses!E$3:E$999="GBP")*(Expenses!A$3:A$999=DATE(2026,8,6)),ROW(Expenses!A$3:A$999)-2),2)),0)+IFERROR(INDEX(Income!C$3:C$502,SMALL(IF((Income!D$3:D$502="GBP")*(Income!A$3:A$502=DATE(2026,8,6)),ROW(Income!A$3:A$502)-2),2)),0))</f>
        <v/>
      </c>
      <c r="J160" s="126">
        <f t="array" ref="J160">IF(IFERROR(INDEX(Expenses!B$3:B$999,SMALL(IF((Expenses!E$3:E$999="GBP")*(Expenses!A$3:A$999=DATE(2026,8,6)),ROW(Expenses!A$3:A$999)-2),2)),"")&lt;&gt;"",IFERROR(INDEX(Expenses!B$3:B$999,SMALL(IF((Expenses!E$3:E$999="GBP")*(Expenses!A$3:A$999=DATE(2026,8,6)),ROW(Expenses!A$3:A$999)-2),2)),""),IF(IFERROR(INDEX(Income!B$3:B$502,SMALL(IF((Income!D$3:D$502="GBP")*(Income!A$3:A$502=DATE(2026,8,6)),ROW(Income!A$3:A$502)-2),2)),"")&lt;&gt;"",IFERROR(INDEX(Income!B$3:B$502,SMALL(IF((Income!D$3:D$502="GBP")*(Income!A$3:A$502=DATE(2026,8,6)),ROW(Income!A$3:A$502)-2),2)),""),""))</f>
        <v/>
      </c>
      <c r="K160" s="152">
        <f t="array" ref="K160">IF(IFERROR(-INDEX(Expenses!D$3:D$999,SMALL(IF((Expenses!E$3:E$999="GBP")*(Expenses!A$3:A$999=DATE(2026,8,7)),ROW(Expenses!A$3:A$999)-2),2)),0)+IFERROR(INDEX(Income!C$3:C$502,SMALL(IF((Income!D$3:D$502="GBP")*(Income!A$3:A$502=DATE(2026,8,7)),ROW(Income!A$3:A$502)-2),2)),0)=0,"",IFERROR(-INDEX(Expenses!D$3:D$999,SMALL(IF((Expenses!E$3:E$999="GBP")*(Expenses!A$3:A$999=DATE(2026,8,7)),ROW(Expenses!A$3:A$999)-2),2)),0)+IFERROR(INDEX(Income!C$3:C$502,SMALL(IF((Income!D$3:D$502="GBP")*(Income!A$3:A$502=DATE(2026,8,7)),ROW(Income!A$3:A$502)-2),2)),0))</f>
        <v/>
      </c>
      <c r="L160" s="126">
        <f t="array" ref="L160">IF(IFERROR(INDEX(Expenses!B$3:B$999,SMALL(IF((Expenses!E$3:E$999="GBP")*(Expenses!A$3:A$999=DATE(2026,8,7)),ROW(Expenses!A$3:A$999)-2),2)),"")&lt;&gt;"",IFERROR(INDEX(Expenses!B$3:B$999,SMALL(IF((Expenses!E$3:E$999="GBP")*(Expenses!A$3:A$999=DATE(2026,8,7)),ROW(Expenses!A$3:A$999)-2),2)),""),IF(IFERROR(INDEX(Income!B$3:B$502,SMALL(IF((Income!D$3:D$502="GBP")*(Income!A$3:A$502=DATE(2026,8,7)),ROW(Income!A$3:A$502)-2),2)),"")&lt;&gt;"",IFERROR(INDEX(Income!B$3:B$502,SMALL(IF((Income!D$3:D$502="GBP")*(Income!A$3:A$502=DATE(2026,8,7)),ROW(Income!A$3:A$502)-2),2)),""),""))</f>
        <v/>
      </c>
      <c r="M160" s="152">
        <f t="array" ref="M160">IF(IFERROR(-INDEX(Expenses!D$3:D$999,SMALL(IF((Expenses!E$3:E$999="GBP")*(Expenses!A$3:A$999=DATE(2026,8,8)),ROW(Expenses!A$3:A$999)-2),2)),0)+IFERROR(INDEX(Income!C$3:C$502,SMALL(IF((Income!D$3:D$502="GBP")*(Income!A$3:A$502=DATE(2026,8,8)),ROW(Income!A$3:A$502)-2),2)),0)=0,"",IFERROR(-INDEX(Expenses!D$3:D$999,SMALL(IF((Expenses!E$3:E$999="GBP")*(Expenses!A$3:A$999=DATE(2026,8,8)),ROW(Expenses!A$3:A$999)-2),2)),0)+IFERROR(INDEX(Income!C$3:C$502,SMALL(IF((Income!D$3:D$502="GBP")*(Income!A$3:A$502=DATE(2026,8,8)),ROW(Income!A$3:A$502)-2),2)),0))</f>
        <v/>
      </c>
      <c r="N160" s="126">
        <f t="array" ref="N160">IF(IFERROR(INDEX(Expenses!B$3:B$999,SMALL(IF((Expenses!E$3:E$999="GBP")*(Expenses!A$3:A$999=DATE(2026,8,8)),ROW(Expenses!A$3:A$999)-2),2)),"")&lt;&gt;"",IFERROR(INDEX(Expenses!B$3:B$999,SMALL(IF((Expenses!E$3:E$999="GBP")*(Expenses!A$3:A$999=DATE(2026,8,8)),ROW(Expenses!A$3:A$999)-2),2)),""),IF(IFERROR(INDEX(Income!B$3:B$502,SMALL(IF((Income!D$3:D$502="GBP")*(Income!A$3:A$502=DATE(2026,8,8)),ROW(Income!A$3:A$502)-2),2)),"")&lt;&gt;"",IFERROR(INDEX(Income!B$3:B$502,SMALL(IF((Income!D$3:D$502="GBP")*(Income!A$3:A$502=DATE(2026,8,8)),ROW(Income!A$3:A$502)-2),2)),""),""))</f>
        <v/>
      </c>
      <c r="O160" s="152">
        <f t="array" ref="O160">IF(IFERROR(-INDEX(Expenses!D$3:D$999,SMALL(IF((Expenses!E$3:E$999="GBP")*(Expenses!A$3:A$999=DATE(2026,8,9)),ROW(Expenses!A$3:A$999)-2),2)),0)+IFERROR(INDEX(Income!C$3:C$502,SMALL(IF((Income!D$3:D$502="GBP")*(Income!A$3:A$502=DATE(2026,8,9)),ROW(Income!A$3:A$502)-2),2)),0)=0,"",IFERROR(-INDEX(Expenses!D$3:D$999,SMALL(IF((Expenses!E$3:E$999="GBP")*(Expenses!A$3:A$999=DATE(2026,8,9)),ROW(Expenses!A$3:A$999)-2),2)),0)+IFERROR(INDEX(Income!C$3:C$502,SMALL(IF((Income!D$3:D$502="GBP")*(Income!A$3:A$502=DATE(2026,8,9)),ROW(Income!A$3:A$502)-2),2)),0))</f>
        <v/>
      </c>
      <c r="P160" s="126">
        <f t="array" ref="P160">IF(IFERROR(INDEX(Expenses!B$3:B$999,SMALL(IF((Expenses!E$3:E$999="GBP")*(Expenses!A$3:A$999=DATE(2026,8,9)),ROW(Expenses!A$3:A$999)-2),2)),"")&lt;&gt;"",IFERROR(INDEX(Expenses!B$3:B$999,SMALL(IF((Expenses!E$3:E$999="GBP")*(Expenses!A$3:A$999=DATE(2026,8,9)),ROW(Expenses!A$3:A$999)-2),2)),""),IF(IFERROR(INDEX(Income!B$3:B$502,SMALL(IF((Income!D$3:D$502="GBP")*(Income!A$3:A$502=DATE(2026,8,9)),ROW(Income!A$3:A$502)-2),2)),"")&lt;&gt;"",IFERROR(INDEX(Income!B$3:B$502,SMALL(IF((Income!D$3:D$502="GBP")*(Income!A$3:A$502=DATE(2026,8,9)),ROW(Income!A$3:A$502)-2),2)),""),""))</f>
        <v/>
      </c>
      <c r="Q160" s="9" t="n"/>
      <c r="R160" s="9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68">
      <c r="A161" s="9" t="n"/>
      <c r="B161" s="9" t="n"/>
      <c r="C161" s="152">
        <f t="array" ref="C161">IF(IFERROR(-INDEX(Expenses!D$3:D$999,SMALL(IF((Expenses!E$3:E$999="GBP")*(Expenses!A$3:A$999=DATE(2026,8,3)),ROW(Expenses!A$3:A$999)-2),3)),0)+IFERROR(INDEX(Income!C$3:C$502,SMALL(IF((Income!D$3:D$502="GBP")*(Income!A$3:A$502=DATE(2026,8,3)),ROW(Income!A$3:A$502)-2),3)),0)=0,"",IFERROR(-INDEX(Expenses!D$3:D$999,SMALL(IF((Expenses!E$3:E$999="GBP")*(Expenses!A$3:A$999=DATE(2026,8,3)),ROW(Expenses!A$3:A$999)-2),3)),0)+IFERROR(INDEX(Income!C$3:C$502,SMALL(IF((Income!D$3:D$502="GBP")*(Income!A$3:A$502=DATE(2026,8,3)),ROW(Income!A$3:A$502)-2),3)),0))</f>
        <v/>
      </c>
      <c r="D161" s="126">
        <f t="array" ref="D161">IF(IFERROR(INDEX(Expenses!B$3:B$999,SMALL(IF((Expenses!E$3:E$999="GBP")*(Expenses!A$3:A$999=DATE(2026,8,3)),ROW(Expenses!A$3:A$999)-2),3)),"")&lt;&gt;"",IFERROR(INDEX(Expenses!B$3:B$999,SMALL(IF((Expenses!E$3:E$999="GBP")*(Expenses!A$3:A$999=DATE(2026,8,3)),ROW(Expenses!A$3:A$999)-2),3)),""),IF(IFERROR(INDEX(Income!B$3:B$502,SMALL(IF((Income!D$3:D$502="GBP")*(Income!A$3:A$502=DATE(2026,8,3)),ROW(Income!A$3:A$502)-2),3)),"")&lt;&gt;"",IFERROR(INDEX(Income!B$3:B$502,SMALL(IF((Income!D$3:D$502="GBP")*(Income!A$3:A$502=DATE(2026,8,3)),ROW(Income!A$3:A$502)-2),3)),""),""))</f>
        <v/>
      </c>
      <c r="E161" s="152">
        <f t="array" ref="E161">IF(IFERROR(-INDEX(Expenses!D$3:D$999,SMALL(IF((Expenses!E$3:E$999="GBP")*(Expenses!A$3:A$999=DATE(2026,8,4)),ROW(Expenses!A$3:A$999)-2),3)),0)+IFERROR(INDEX(Income!C$3:C$502,SMALL(IF((Income!D$3:D$502="GBP")*(Income!A$3:A$502=DATE(2026,8,4)),ROW(Income!A$3:A$502)-2),3)),0)=0,"",IFERROR(-INDEX(Expenses!D$3:D$999,SMALL(IF((Expenses!E$3:E$999="GBP")*(Expenses!A$3:A$999=DATE(2026,8,4)),ROW(Expenses!A$3:A$999)-2),3)),0)+IFERROR(INDEX(Income!C$3:C$502,SMALL(IF((Income!D$3:D$502="GBP")*(Income!A$3:A$502=DATE(2026,8,4)),ROW(Income!A$3:A$502)-2),3)),0))</f>
        <v/>
      </c>
      <c r="F161" s="126">
        <f t="array" ref="F161">IF(IFERROR(INDEX(Expenses!B$3:B$999,SMALL(IF((Expenses!E$3:E$999="GBP")*(Expenses!A$3:A$999=DATE(2026,8,4)),ROW(Expenses!A$3:A$999)-2),3)),"")&lt;&gt;"",IFERROR(INDEX(Expenses!B$3:B$999,SMALL(IF((Expenses!E$3:E$999="GBP")*(Expenses!A$3:A$999=DATE(2026,8,4)),ROW(Expenses!A$3:A$999)-2),3)),""),IF(IFERROR(INDEX(Income!B$3:B$502,SMALL(IF((Income!D$3:D$502="GBP")*(Income!A$3:A$502=DATE(2026,8,4)),ROW(Income!A$3:A$502)-2),3)),"")&lt;&gt;"",IFERROR(INDEX(Income!B$3:B$502,SMALL(IF((Income!D$3:D$502="GBP")*(Income!A$3:A$502=DATE(2026,8,4)),ROW(Income!A$3:A$502)-2),3)),""),""))</f>
        <v/>
      </c>
      <c r="G161" s="152">
        <f t="array" ref="G161">IF(IFERROR(-INDEX(Expenses!D$3:D$999,SMALL(IF((Expenses!E$3:E$999="GBP")*(Expenses!A$3:A$999=DATE(2026,8,5)),ROW(Expenses!A$3:A$999)-2),3)),0)+IFERROR(INDEX(Income!C$3:C$502,SMALL(IF((Income!D$3:D$502="GBP")*(Income!A$3:A$502=DATE(2026,8,5)),ROW(Income!A$3:A$502)-2),3)),0)=0,"",IFERROR(-INDEX(Expenses!D$3:D$999,SMALL(IF((Expenses!E$3:E$999="GBP")*(Expenses!A$3:A$999=DATE(2026,8,5)),ROW(Expenses!A$3:A$999)-2),3)),0)+IFERROR(INDEX(Income!C$3:C$502,SMALL(IF((Income!D$3:D$502="GBP")*(Income!A$3:A$502=DATE(2026,8,5)),ROW(Income!A$3:A$502)-2),3)),0))</f>
        <v/>
      </c>
      <c r="H161" s="126">
        <f t="array" ref="H161">IF(IFERROR(INDEX(Expenses!B$3:B$999,SMALL(IF((Expenses!E$3:E$999="GBP")*(Expenses!A$3:A$999=DATE(2026,8,5)),ROW(Expenses!A$3:A$999)-2),3)),"")&lt;&gt;"",IFERROR(INDEX(Expenses!B$3:B$999,SMALL(IF((Expenses!E$3:E$999="GBP")*(Expenses!A$3:A$999=DATE(2026,8,5)),ROW(Expenses!A$3:A$999)-2),3)),""),IF(IFERROR(INDEX(Income!B$3:B$502,SMALL(IF((Income!D$3:D$502="GBP")*(Income!A$3:A$502=DATE(2026,8,5)),ROW(Income!A$3:A$502)-2),3)),"")&lt;&gt;"",IFERROR(INDEX(Income!B$3:B$502,SMALL(IF((Income!D$3:D$502="GBP")*(Income!A$3:A$502=DATE(2026,8,5)),ROW(Income!A$3:A$502)-2),3)),""),""))</f>
        <v/>
      </c>
      <c r="I161" s="152">
        <f t="array" ref="I161">IF(IFERROR(-INDEX(Expenses!D$3:D$999,SMALL(IF((Expenses!E$3:E$999="GBP")*(Expenses!A$3:A$999=DATE(2026,8,6)),ROW(Expenses!A$3:A$999)-2),3)),0)+IFERROR(INDEX(Income!C$3:C$502,SMALL(IF((Income!D$3:D$502="GBP")*(Income!A$3:A$502=DATE(2026,8,6)),ROW(Income!A$3:A$502)-2),3)),0)=0,"",IFERROR(-INDEX(Expenses!D$3:D$999,SMALL(IF((Expenses!E$3:E$999="GBP")*(Expenses!A$3:A$999=DATE(2026,8,6)),ROW(Expenses!A$3:A$999)-2),3)),0)+IFERROR(INDEX(Income!C$3:C$502,SMALL(IF((Income!D$3:D$502="GBP")*(Income!A$3:A$502=DATE(2026,8,6)),ROW(Income!A$3:A$502)-2),3)),0))</f>
        <v/>
      </c>
      <c r="J161" s="126">
        <f t="array" ref="J161">IF(IFERROR(INDEX(Expenses!B$3:B$999,SMALL(IF((Expenses!E$3:E$999="GBP")*(Expenses!A$3:A$999=DATE(2026,8,6)),ROW(Expenses!A$3:A$999)-2),3)),"")&lt;&gt;"",IFERROR(INDEX(Expenses!B$3:B$999,SMALL(IF((Expenses!E$3:E$999="GBP")*(Expenses!A$3:A$999=DATE(2026,8,6)),ROW(Expenses!A$3:A$999)-2),3)),""),IF(IFERROR(INDEX(Income!B$3:B$502,SMALL(IF((Income!D$3:D$502="GBP")*(Income!A$3:A$502=DATE(2026,8,6)),ROW(Income!A$3:A$502)-2),3)),"")&lt;&gt;"",IFERROR(INDEX(Income!B$3:B$502,SMALL(IF((Income!D$3:D$502="GBP")*(Income!A$3:A$502=DATE(2026,8,6)),ROW(Income!A$3:A$502)-2),3)),""),""))</f>
        <v/>
      </c>
      <c r="K161" s="152">
        <f t="array" ref="K161">IF(IFERROR(-INDEX(Expenses!D$3:D$999,SMALL(IF((Expenses!E$3:E$999="GBP")*(Expenses!A$3:A$999=DATE(2026,8,7)),ROW(Expenses!A$3:A$999)-2),3)),0)+IFERROR(INDEX(Income!C$3:C$502,SMALL(IF((Income!D$3:D$502="GBP")*(Income!A$3:A$502=DATE(2026,8,7)),ROW(Income!A$3:A$502)-2),3)),0)=0,"",IFERROR(-INDEX(Expenses!D$3:D$999,SMALL(IF((Expenses!E$3:E$999="GBP")*(Expenses!A$3:A$999=DATE(2026,8,7)),ROW(Expenses!A$3:A$999)-2),3)),0)+IFERROR(INDEX(Income!C$3:C$502,SMALL(IF((Income!D$3:D$502="GBP")*(Income!A$3:A$502=DATE(2026,8,7)),ROW(Income!A$3:A$502)-2),3)),0))</f>
        <v/>
      </c>
      <c r="L161" s="126">
        <f t="array" ref="L161">IF(IFERROR(INDEX(Expenses!B$3:B$999,SMALL(IF((Expenses!E$3:E$999="GBP")*(Expenses!A$3:A$999=DATE(2026,8,7)),ROW(Expenses!A$3:A$999)-2),3)),"")&lt;&gt;"",IFERROR(INDEX(Expenses!B$3:B$999,SMALL(IF((Expenses!E$3:E$999="GBP")*(Expenses!A$3:A$999=DATE(2026,8,7)),ROW(Expenses!A$3:A$999)-2),3)),""),IF(IFERROR(INDEX(Income!B$3:B$502,SMALL(IF((Income!D$3:D$502="GBP")*(Income!A$3:A$502=DATE(2026,8,7)),ROW(Income!A$3:A$502)-2),3)),"")&lt;&gt;"",IFERROR(INDEX(Income!B$3:B$502,SMALL(IF((Income!D$3:D$502="GBP")*(Income!A$3:A$502=DATE(2026,8,7)),ROW(Income!A$3:A$502)-2),3)),""),""))</f>
        <v/>
      </c>
      <c r="M161" s="152">
        <f t="array" ref="M161">IF(IFERROR(-INDEX(Expenses!D$3:D$999,SMALL(IF((Expenses!E$3:E$999="GBP")*(Expenses!A$3:A$999=DATE(2026,8,8)),ROW(Expenses!A$3:A$999)-2),3)),0)+IFERROR(INDEX(Income!C$3:C$502,SMALL(IF((Income!D$3:D$502="GBP")*(Income!A$3:A$502=DATE(2026,8,8)),ROW(Income!A$3:A$502)-2),3)),0)=0,"",IFERROR(-INDEX(Expenses!D$3:D$999,SMALL(IF((Expenses!E$3:E$999="GBP")*(Expenses!A$3:A$999=DATE(2026,8,8)),ROW(Expenses!A$3:A$999)-2),3)),0)+IFERROR(INDEX(Income!C$3:C$502,SMALL(IF((Income!D$3:D$502="GBP")*(Income!A$3:A$502=DATE(2026,8,8)),ROW(Income!A$3:A$502)-2),3)),0))</f>
        <v/>
      </c>
      <c r="N161" s="126">
        <f t="array" ref="N161">IF(IFERROR(INDEX(Expenses!B$3:B$999,SMALL(IF((Expenses!E$3:E$999="GBP")*(Expenses!A$3:A$999=DATE(2026,8,8)),ROW(Expenses!A$3:A$999)-2),3)),"")&lt;&gt;"",IFERROR(INDEX(Expenses!B$3:B$999,SMALL(IF((Expenses!E$3:E$999="GBP")*(Expenses!A$3:A$999=DATE(2026,8,8)),ROW(Expenses!A$3:A$999)-2),3)),""),IF(IFERROR(INDEX(Income!B$3:B$502,SMALL(IF((Income!D$3:D$502="GBP")*(Income!A$3:A$502=DATE(2026,8,8)),ROW(Income!A$3:A$502)-2),3)),"")&lt;&gt;"",IFERROR(INDEX(Income!B$3:B$502,SMALL(IF((Income!D$3:D$502="GBP")*(Income!A$3:A$502=DATE(2026,8,8)),ROW(Income!A$3:A$502)-2),3)),""),""))</f>
        <v/>
      </c>
      <c r="O161" s="152">
        <f t="array" ref="O161">IF(IFERROR(-INDEX(Expenses!D$3:D$999,SMALL(IF((Expenses!E$3:E$999="GBP")*(Expenses!A$3:A$999=DATE(2026,8,9)),ROW(Expenses!A$3:A$999)-2),3)),0)+IFERROR(INDEX(Income!C$3:C$502,SMALL(IF((Income!D$3:D$502="GBP")*(Income!A$3:A$502=DATE(2026,8,9)),ROW(Income!A$3:A$502)-2),3)),0)=0,"",IFERROR(-INDEX(Expenses!D$3:D$999,SMALL(IF((Expenses!E$3:E$999="GBP")*(Expenses!A$3:A$999=DATE(2026,8,9)),ROW(Expenses!A$3:A$999)-2),3)),0)+IFERROR(INDEX(Income!C$3:C$502,SMALL(IF((Income!D$3:D$502="GBP")*(Income!A$3:A$502=DATE(2026,8,9)),ROW(Income!A$3:A$502)-2),3)),0))</f>
        <v/>
      </c>
      <c r="P161" s="126">
        <f t="array" ref="P161">IF(IFERROR(INDEX(Expenses!B$3:B$999,SMALL(IF((Expenses!E$3:E$999="GBP")*(Expenses!A$3:A$999=DATE(2026,8,9)),ROW(Expenses!A$3:A$999)-2),3)),"")&lt;&gt;"",IFERROR(INDEX(Expenses!B$3:B$999,SMALL(IF((Expenses!E$3:E$999="GBP")*(Expenses!A$3:A$999=DATE(2026,8,9)),ROW(Expenses!A$3:A$999)-2),3)),""),IF(IFERROR(INDEX(Income!B$3:B$502,SMALL(IF((Income!D$3:D$502="GBP")*(Income!A$3:A$502=DATE(2026,8,9)),ROW(Income!A$3:A$502)-2),3)),"")&lt;&gt;"",IFERROR(INDEX(Income!B$3:B$502,SMALL(IF((Income!D$3:D$502="GBP")*(Income!A$3:A$502=DATE(2026,8,9)),ROW(Income!A$3:A$502)-2),3)),""),""))</f>
        <v/>
      </c>
      <c r="Q161" s="9" t="n"/>
      <c r="R161" s="9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68">
      <c r="A162" s="9" t="n"/>
      <c r="B162" s="9" t="n"/>
      <c r="C162" s="152">
        <f t="array" ref="C162">IF(IFERROR(-INDEX(Expenses!D$3:D$999,SMALL(IF((Expenses!E$3:E$999="GBP")*(Expenses!A$3:A$999=DATE(2026,8,3)),ROW(Expenses!A$3:A$999)-2),4)),0)+IFERROR(INDEX(Income!C$3:C$502,SMALL(IF((Income!D$3:D$502="GBP")*(Income!A$3:A$502=DATE(2026,8,3)),ROW(Income!A$3:A$502)-2),4)),0)=0,"",IFERROR(-INDEX(Expenses!D$3:D$999,SMALL(IF((Expenses!E$3:E$999="GBP")*(Expenses!A$3:A$999=DATE(2026,8,3)),ROW(Expenses!A$3:A$999)-2),4)),0)+IFERROR(INDEX(Income!C$3:C$502,SMALL(IF((Income!D$3:D$502="GBP")*(Income!A$3:A$502=DATE(2026,8,3)),ROW(Income!A$3:A$502)-2),4)),0))</f>
        <v/>
      </c>
      <c r="D162" s="126">
        <f t="array" ref="D162">IF(IFERROR(INDEX(Expenses!B$3:B$999,SMALL(IF((Expenses!E$3:E$999="GBP")*(Expenses!A$3:A$999=DATE(2026,8,3)),ROW(Expenses!A$3:A$999)-2),4)),"")&lt;&gt;"",IFERROR(INDEX(Expenses!B$3:B$999,SMALL(IF((Expenses!E$3:E$999="GBP")*(Expenses!A$3:A$999=DATE(2026,8,3)),ROW(Expenses!A$3:A$999)-2),4)),""),IF(IFERROR(INDEX(Income!B$3:B$502,SMALL(IF((Income!D$3:D$502="GBP")*(Income!A$3:A$502=DATE(2026,8,3)),ROW(Income!A$3:A$502)-2),4)),"")&lt;&gt;"",IFERROR(INDEX(Income!B$3:B$502,SMALL(IF((Income!D$3:D$502="GBP")*(Income!A$3:A$502=DATE(2026,8,3)),ROW(Income!A$3:A$502)-2),4)),""),""))</f>
        <v/>
      </c>
      <c r="E162" s="152">
        <f t="array" ref="E162">IF(IFERROR(-INDEX(Expenses!D$3:D$999,SMALL(IF((Expenses!E$3:E$999="GBP")*(Expenses!A$3:A$999=DATE(2026,8,4)),ROW(Expenses!A$3:A$999)-2),4)),0)+IFERROR(INDEX(Income!C$3:C$502,SMALL(IF((Income!D$3:D$502="GBP")*(Income!A$3:A$502=DATE(2026,8,4)),ROW(Income!A$3:A$502)-2),4)),0)=0,"",IFERROR(-INDEX(Expenses!D$3:D$999,SMALL(IF((Expenses!E$3:E$999="GBP")*(Expenses!A$3:A$999=DATE(2026,8,4)),ROW(Expenses!A$3:A$999)-2),4)),0)+IFERROR(INDEX(Income!C$3:C$502,SMALL(IF((Income!D$3:D$502="GBP")*(Income!A$3:A$502=DATE(2026,8,4)),ROW(Income!A$3:A$502)-2),4)),0))</f>
        <v/>
      </c>
      <c r="F162" s="126">
        <f t="array" ref="F162">IF(IFERROR(INDEX(Expenses!B$3:B$999,SMALL(IF((Expenses!E$3:E$999="GBP")*(Expenses!A$3:A$999=DATE(2026,8,4)),ROW(Expenses!A$3:A$999)-2),4)),"")&lt;&gt;"",IFERROR(INDEX(Expenses!B$3:B$999,SMALL(IF((Expenses!E$3:E$999="GBP")*(Expenses!A$3:A$999=DATE(2026,8,4)),ROW(Expenses!A$3:A$999)-2),4)),""),IF(IFERROR(INDEX(Income!B$3:B$502,SMALL(IF((Income!D$3:D$502="GBP")*(Income!A$3:A$502=DATE(2026,8,4)),ROW(Income!A$3:A$502)-2),4)),"")&lt;&gt;"",IFERROR(INDEX(Income!B$3:B$502,SMALL(IF((Income!D$3:D$502="GBP")*(Income!A$3:A$502=DATE(2026,8,4)),ROW(Income!A$3:A$502)-2),4)),""),""))</f>
        <v/>
      </c>
      <c r="G162" s="152">
        <f t="array" ref="G162">IF(IFERROR(-INDEX(Expenses!D$3:D$999,SMALL(IF((Expenses!E$3:E$999="GBP")*(Expenses!A$3:A$999=DATE(2026,8,5)),ROW(Expenses!A$3:A$999)-2),4)),0)+IFERROR(INDEX(Income!C$3:C$502,SMALL(IF((Income!D$3:D$502="GBP")*(Income!A$3:A$502=DATE(2026,8,5)),ROW(Income!A$3:A$502)-2),4)),0)=0,"",IFERROR(-INDEX(Expenses!D$3:D$999,SMALL(IF((Expenses!E$3:E$999="GBP")*(Expenses!A$3:A$999=DATE(2026,8,5)),ROW(Expenses!A$3:A$999)-2),4)),0)+IFERROR(INDEX(Income!C$3:C$502,SMALL(IF((Income!D$3:D$502="GBP")*(Income!A$3:A$502=DATE(2026,8,5)),ROW(Income!A$3:A$502)-2),4)),0))</f>
        <v/>
      </c>
      <c r="H162" s="126">
        <f t="array" ref="H162">IF(IFERROR(INDEX(Expenses!B$3:B$999,SMALL(IF((Expenses!E$3:E$999="GBP")*(Expenses!A$3:A$999=DATE(2026,8,5)),ROW(Expenses!A$3:A$999)-2),4)),"")&lt;&gt;"",IFERROR(INDEX(Expenses!B$3:B$999,SMALL(IF((Expenses!E$3:E$999="GBP")*(Expenses!A$3:A$999=DATE(2026,8,5)),ROW(Expenses!A$3:A$999)-2),4)),""),IF(IFERROR(INDEX(Income!B$3:B$502,SMALL(IF((Income!D$3:D$502="GBP")*(Income!A$3:A$502=DATE(2026,8,5)),ROW(Income!A$3:A$502)-2),4)),"")&lt;&gt;"",IFERROR(INDEX(Income!B$3:B$502,SMALL(IF((Income!D$3:D$502="GBP")*(Income!A$3:A$502=DATE(2026,8,5)),ROW(Income!A$3:A$502)-2),4)),""),""))</f>
        <v/>
      </c>
      <c r="I162" s="152">
        <f t="array" ref="I162">IF(IFERROR(-INDEX(Expenses!D$3:D$999,SMALL(IF((Expenses!E$3:E$999="GBP")*(Expenses!A$3:A$999=DATE(2026,8,6)),ROW(Expenses!A$3:A$999)-2),4)),0)+IFERROR(INDEX(Income!C$3:C$502,SMALL(IF((Income!D$3:D$502="GBP")*(Income!A$3:A$502=DATE(2026,8,6)),ROW(Income!A$3:A$502)-2),4)),0)=0,"",IFERROR(-INDEX(Expenses!D$3:D$999,SMALL(IF((Expenses!E$3:E$999="GBP")*(Expenses!A$3:A$999=DATE(2026,8,6)),ROW(Expenses!A$3:A$999)-2),4)),0)+IFERROR(INDEX(Income!C$3:C$502,SMALL(IF((Income!D$3:D$502="GBP")*(Income!A$3:A$502=DATE(2026,8,6)),ROW(Income!A$3:A$502)-2),4)),0))</f>
        <v/>
      </c>
      <c r="J162" s="126">
        <f t="array" ref="J162">IF(IFERROR(INDEX(Expenses!B$3:B$999,SMALL(IF((Expenses!E$3:E$999="GBP")*(Expenses!A$3:A$999=DATE(2026,8,6)),ROW(Expenses!A$3:A$999)-2),4)),"")&lt;&gt;"",IFERROR(INDEX(Expenses!B$3:B$999,SMALL(IF((Expenses!E$3:E$999="GBP")*(Expenses!A$3:A$999=DATE(2026,8,6)),ROW(Expenses!A$3:A$999)-2),4)),""),IF(IFERROR(INDEX(Income!B$3:B$502,SMALL(IF((Income!D$3:D$502="GBP")*(Income!A$3:A$502=DATE(2026,8,6)),ROW(Income!A$3:A$502)-2),4)),"")&lt;&gt;"",IFERROR(INDEX(Income!B$3:B$502,SMALL(IF((Income!D$3:D$502="GBP")*(Income!A$3:A$502=DATE(2026,8,6)),ROW(Income!A$3:A$502)-2),4)),""),""))</f>
        <v/>
      </c>
      <c r="K162" s="152">
        <f t="array" ref="K162">IF(IFERROR(-INDEX(Expenses!D$3:D$999,SMALL(IF((Expenses!E$3:E$999="GBP")*(Expenses!A$3:A$999=DATE(2026,8,7)),ROW(Expenses!A$3:A$999)-2),4)),0)+IFERROR(INDEX(Income!C$3:C$502,SMALL(IF((Income!D$3:D$502="GBP")*(Income!A$3:A$502=DATE(2026,8,7)),ROW(Income!A$3:A$502)-2),4)),0)=0,"",IFERROR(-INDEX(Expenses!D$3:D$999,SMALL(IF((Expenses!E$3:E$999="GBP")*(Expenses!A$3:A$999=DATE(2026,8,7)),ROW(Expenses!A$3:A$999)-2),4)),0)+IFERROR(INDEX(Income!C$3:C$502,SMALL(IF((Income!D$3:D$502="GBP")*(Income!A$3:A$502=DATE(2026,8,7)),ROW(Income!A$3:A$502)-2),4)),0))</f>
        <v/>
      </c>
      <c r="L162" s="126">
        <f t="array" ref="L162">IF(IFERROR(INDEX(Expenses!B$3:B$999,SMALL(IF((Expenses!E$3:E$999="GBP")*(Expenses!A$3:A$999=DATE(2026,8,7)),ROW(Expenses!A$3:A$999)-2),4)),"")&lt;&gt;"",IFERROR(INDEX(Expenses!B$3:B$999,SMALL(IF((Expenses!E$3:E$999="GBP")*(Expenses!A$3:A$999=DATE(2026,8,7)),ROW(Expenses!A$3:A$999)-2),4)),""),IF(IFERROR(INDEX(Income!B$3:B$502,SMALL(IF((Income!D$3:D$502="GBP")*(Income!A$3:A$502=DATE(2026,8,7)),ROW(Income!A$3:A$502)-2),4)),"")&lt;&gt;"",IFERROR(INDEX(Income!B$3:B$502,SMALL(IF((Income!D$3:D$502="GBP")*(Income!A$3:A$502=DATE(2026,8,7)),ROW(Income!A$3:A$502)-2),4)),""),""))</f>
        <v/>
      </c>
      <c r="M162" s="152">
        <f t="array" ref="M162">IF(IFERROR(-INDEX(Expenses!D$3:D$999,SMALL(IF((Expenses!E$3:E$999="GBP")*(Expenses!A$3:A$999=DATE(2026,8,8)),ROW(Expenses!A$3:A$999)-2),4)),0)+IFERROR(INDEX(Income!C$3:C$502,SMALL(IF((Income!D$3:D$502="GBP")*(Income!A$3:A$502=DATE(2026,8,8)),ROW(Income!A$3:A$502)-2),4)),0)=0,"",IFERROR(-INDEX(Expenses!D$3:D$999,SMALL(IF((Expenses!E$3:E$999="GBP")*(Expenses!A$3:A$999=DATE(2026,8,8)),ROW(Expenses!A$3:A$999)-2),4)),0)+IFERROR(INDEX(Income!C$3:C$502,SMALL(IF((Income!D$3:D$502="GBP")*(Income!A$3:A$502=DATE(2026,8,8)),ROW(Income!A$3:A$502)-2),4)),0))</f>
        <v/>
      </c>
      <c r="N162" s="126">
        <f t="array" ref="N162">IF(IFERROR(INDEX(Expenses!B$3:B$999,SMALL(IF((Expenses!E$3:E$999="GBP")*(Expenses!A$3:A$999=DATE(2026,8,8)),ROW(Expenses!A$3:A$999)-2),4)),"")&lt;&gt;"",IFERROR(INDEX(Expenses!B$3:B$999,SMALL(IF((Expenses!E$3:E$999="GBP")*(Expenses!A$3:A$999=DATE(2026,8,8)),ROW(Expenses!A$3:A$999)-2),4)),""),IF(IFERROR(INDEX(Income!B$3:B$502,SMALL(IF((Income!D$3:D$502="GBP")*(Income!A$3:A$502=DATE(2026,8,8)),ROW(Income!A$3:A$502)-2),4)),"")&lt;&gt;"",IFERROR(INDEX(Income!B$3:B$502,SMALL(IF((Income!D$3:D$502="GBP")*(Income!A$3:A$502=DATE(2026,8,8)),ROW(Income!A$3:A$502)-2),4)),""),""))</f>
        <v/>
      </c>
      <c r="O162" s="152">
        <f t="array" ref="O162">IF(IFERROR(-INDEX(Expenses!D$3:D$999,SMALL(IF((Expenses!E$3:E$999="GBP")*(Expenses!A$3:A$999=DATE(2026,8,9)),ROW(Expenses!A$3:A$999)-2),4)),0)+IFERROR(INDEX(Income!C$3:C$502,SMALL(IF((Income!D$3:D$502="GBP")*(Income!A$3:A$502=DATE(2026,8,9)),ROW(Income!A$3:A$502)-2),4)),0)=0,"",IFERROR(-INDEX(Expenses!D$3:D$999,SMALL(IF((Expenses!E$3:E$999="GBP")*(Expenses!A$3:A$999=DATE(2026,8,9)),ROW(Expenses!A$3:A$999)-2),4)),0)+IFERROR(INDEX(Income!C$3:C$502,SMALL(IF((Income!D$3:D$502="GBP")*(Income!A$3:A$502=DATE(2026,8,9)),ROW(Income!A$3:A$502)-2),4)),0))</f>
        <v/>
      </c>
      <c r="P162" s="126">
        <f t="array" ref="P162">IF(IFERROR(INDEX(Expenses!B$3:B$999,SMALL(IF((Expenses!E$3:E$999="GBP")*(Expenses!A$3:A$999=DATE(2026,8,9)),ROW(Expenses!A$3:A$999)-2),4)),"")&lt;&gt;"",IFERROR(INDEX(Expenses!B$3:B$999,SMALL(IF((Expenses!E$3:E$999="GBP")*(Expenses!A$3:A$999=DATE(2026,8,9)),ROW(Expenses!A$3:A$999)-2),4)),""),IF(IFERROR(INDEX(Income!B$3:B$502,SMALL(IF((Income!D$3:D$502="GBP")*(Income!A$3:A$502=DATE(2026,8,9)),ROW(Income!A$3:A$502)-2),4)),"")&lt;&gt;"",IFERROR(INDEX(Income!B$3:B$502,SMALL(IF((Income!D$3:D$502="GBP")*(Income!A$3:A$502=DATE(2026,8,9)),ROW(Income!A$3:A$502)-2),4)),""),""))</f>
        <v/>
      </c>
      <c r="Q162" s="9" t="n"/>
      <c r="R162" s="9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68">
      <c r="A163" s="9" t="n"/>
      <c r="B163" s="9" t="n"/>
      <c r="C163" s="152">
        <f t="array" ref="C163">IF(IFERROR(-INDEX(Expenses!D$3:D$999,SMALL(IF((Expenses!E$3:E$999="GBP")*(Expenses!A$3:A$999=DATE(2026,8,3)),ROW(Expenses!A$3:A$999)-2),5)),0)+IFERROR(INDEX(Income!C$3:C$502,SMALL(IF((Income!D$3:D$502="GBP")*(Income!A$3:A$502=DATE(2026,8,3)),ROW(Income!A$3:A$502)-2),5)),0)=0,"",IFERROR(-INDEX(Expenses!D$3:D$999,SMALL(IF((Expenses!E$3:E$999="GBP")*(Expenses!A$3:A$999=DATE(2026,8,3)),ROW(Expenses!A$3:A$999)-2),5)),0)+IFERROR(INDEX(Income!C$3:C$502,SMALL(IF((Income!D$3:D$502="GBP")*(Income!A$3:A$502=DATE(2026,8,3)),ROW(Income!A$3:A$502)-2),5)),0))</f>
        <v/>
      </c>
      <c r="D163" s="126">
        <f t="array" ref="D163">IF(IFERROR(INDEX(Expenses!B$3:B$999,SMALL(IF((Expenses!E$3:E$999="GBP")*(Expenses!A$3:A$999=DATE(2026,8,3)),ROW(Expenses!A$3:A$999)-2),5)),"")&lt;&gt;"",IFERROR(INDEX(Expenses!B$3:B$999,SMALL(IF((Expenses!E$3:E$999="GBP")*(Expenses!A$3:A$999=DATE(2026,8,3)),ROW(Expenses!A$3:A$999)-2),5)),""),IF(IFERROR(INDEX(Income!B$3:B$502,SMALL(IF((Income!D$3:D$502="GBP")*(Income!A$3:A$502=DATE(2026,8,3)),ROW(Income!A$3:A$502)-2),5)),"")&lt;&gt;"",IFERROR(INDEX(Income!B$3:B$502,SMALL(IF((Income!D$3:D$502="GBP")*(Income!A$3:A$502=DATE(2026,8,3)),ROW(Income!A$3:A$502)-2),5)),""),""))</f>
        <v/>
      </c>
      <c r="E163" s="152">
        <f t="array" ref="E163">IF(IFERROR(-INDEX(Expenses!D$3:D$999,SMALL(IF((Expenses!E$3:E$999="GBP")*(Expenses!A$3:A$999=DATE(2026,8,4)),ROW(Expenses!A$3:A$999)-2),5)),0)+IFERROR(INDEX(Income!C$3:C$502,SMALL(IF((Income!D$3:D$502="GBP")*(Income!A$3:A$502=DATE(2026,8,4)),ROW(Income!A$3:A$502)-2),5)),0)=0,"",IFERROR(-INDEX(Expenses!D$3:D$999,SMALL(IF((Expenses!E$3:E$999="GBP")*(Expenses!A$3:A$999=DATE(2026,8,4)),ROW(Expenses!A$3:A$999)-2),5)),0)+IFERROR(INDEX(Income!C$3:C$502,SMALL(IF((Income!D$3:D$502="GBP")*(Income!A$3:A$502=DATE(2026,8,4)),ROW(Income!A$3:A$502)-2),5)),0))</f>
        <v/>
      </c>
      <c r="F163" s="126">
        <f t="array" ref="F163">IF(IFERROR(INDEX(Expenses!B$3:B$999,SMALL(IF((Expenses!E$3:E$999="GBP")*(Expenses!A$3:A$999=DATE(2026,8,4)),ROW(Expenses!A$3:A$999)-2),5)),"")&lt;&gt;"",IFERROR(INDEX(Expenses!B$3:B$999,SMALL(IF((Expenses!E$3:E$999="GBP")*(Expenses!A$3:A$999=DATE(2026,8,4)),ROW(Expenses!A$3:A$999)-2),5)),""),IF(IFERROR(INDEX(Income!B$3:B$502,SMALL(IF((Income!D$3:D$502="GBP")*(Income!A$3:A$502=DATE(2026,8,4)),ROW(Income!A$3:A$502)-2),5)),"")&lt;&gt;"",IFERROR(INDEX(Income!B$3:B$502,SMALL(IF((Income!D$3:D$502="GBP")*(Income!A$3:A$502=DATE(2026,8,4)),ROW(Income!A$3:A$502)-2),5)),""),""))</f>
        <v/>
      </c>
      <c r="G163" s="152">
        <f t="array" ref="G163">IF(IFERROR(-INDEX(Expenses!D$3:D$999,SMALL(IF((Expenses!E$3:E$999="GBP")*(Expenses!A$3:A$999=DATE(2026,8,5)),ROW(Expenses!A$3:A$999)-2),5)),0)+IFERROR(INDEX(Income!C$3:C$502,SMALL(IF((Income!D$3:D$502="GBP")*(Income!A$3:A$502=DATE(2026,8,5)),ROW(Income!A$3:A$502)-2),5)),0)=0,"",IFERROR(-INDEX(Expenses!D$3:D$999,SMALL(IF((Expenses!E$3:E$999="GBP")*(Expenses!A$3:A$999=DATE(2026,8,5)),ROW(Expenses!A$3:A$999)-2),5)),0)+IFERROR(INDEX(Income!C$3:C$502,SMALL(IF((Income!D$3:D$502="GBP")*(Income!A$3:A$502=DATE(2026,8,5)),ROW(Income!A$3:A$502)-2),5)),0))</f>
        <v/>
      </c>
      <c r="H163" s="126">
        <f t="array" ref="H163">IF(IFERROR(INDEX(Expenses!B$3:B$999,SMALL(IF((Expenses!E$3:E$999="GBP")*(Expenses!A$3:A$999=DATE(2026,8,5)),ROW(Expenses!A$3:A$999)-2),5)),"")&lt;&gt;"",IFERROR(INDEX(Expenses!B$3:B$999,SMALL(IF((Expenses!E$3:E$999="GBP")*(Expenses!A$3:A$999=DATE(2026,8,5)),ROW(Expenses!A$3:A$999)-2),5)),""),IF(IFERROR(INDEX(Income!B$3:B$502,SMALL(IF((Income!D$3:D$502="GBP")*(Income!A$3:A$502=DATE(2026,8,5)),ROW(Income!A$3:A$502)-2),5)),"")&lt;&gt;"",IFERROR(INDEX(Income!B$3:B$502,SMALL(IF((Income!D$3:D$502="GBP")*(Income!A$3:A$502=DATE(2026,8,5)),ROW(Income!A$3:A$502)-2),5)),""),""))</f>
        <v/>
      </c>
      <c r="I163" s="152">
        <f t="array" ref="I163">IF(IFERROR(-INDEX(Expenses!D$3:D$999,SMALL(IF((Expenses!E$3:E$999="GBP")*(Expenses!A$3:A$999=DATE(2026,8,6)),ROW(Expenses!A$3:A$999)-2),5)),0)+IFERROR(INDEX(Income!C$3:C$502,SMALL(IF((Income!D$3:D$502="GBP")*(Income!A$3:A$502=DATE(2026,8,6)),ROW(Income!A$3:A$502)-2),5)),0)=0,"",IFERROR(-INDEX(Expenses!D$3:D$999,SMALL(IF((Expenses!E$3:E$999="GBP")*(Expenses!A$3:A$999=DATE(2026,8,6)),ROW(Expenses!A$3:A$999)-2),5)),0)+IFERROR(INDEX(Income!C$3:C$502,SMALL(IF((Income!D$3:D$502="GBP")*(Income!A$3:A$502=DATE(2026,8,6)),ROW(Income!A$3:A$502)-2),5)),0))</f>
        <v/>
      </c>
      <c r="J163" s="126">
        <f t="array" ref="J163">IF(IFERROR(INDEX(Expenses!B$3:B$999,SMALL(IF((Expenses!E$3:E$999="GBP")*(Expenses!A$3:A$999=DATE(2026,8,6)),ROW(Expenses!A$3:A$999)-2),5)),"")&lt;&gt;"",IFERROR(INDEX(Expenses!B$3:B$999,SMALL(IF((Expenses!E$3:E$999="GBP")*(Expenses!A$3:A$999=DATE(2026,8,6)),ROW(Expenses!A$3:A$999)-2),5)),""),IF(IFERROR(INDEX(Income!B$3:B$502,SMALL(IF((Income!D$3:D$502="GBP")*(Income!A$3:A$502=DATE(2026,8,6)),ROW(Income!A$3:A$502)-2),5)),"")&lt;&gt;"",IFERROR(INDEX(Income!B$3:B$502,SMALL(IF((Income!D$3:D$502="GBP")*(Income!A$3:A$502=DATE(2026,8,6)),ROW(Income!A$3:A$502)-2),5)),""),""))</f>
        <v/>
      </c>
      <c r="K163" s="152">
        <f t="array" ref="K163">IF(IFERROR(-INDEX(Expenses!D$3:D$999,SMALL(IF((Expenses!E$3:E$999="GBP")*(Expenses!A$3:A$999=DATE(2026,8,7)),ROW(Expenses!A$3:A$999)-2),5)),0)+IFERROR(INDEX(Income!C$3:C$502,SMALL(IF((Income!D$3:D$502="GBP")*(Income!A$3:A$502=DATE(2026,8,7)),ROW(Income!A$3:A$502)-2),5)),0)=0,"",IFERROR(-INDEX(Expenses!D$3:D$999,SMALL(IF((Expenses!E$3:E$999="GBP")*(Expenses!A$3:A$999=DATE(2026,8,7)),ROW(Expenses!A$3:A$999)-2),5)),0)+IFERROR(INDEX(Income!C$3:C$502,SMALL(IF((Income!D$3:D$502="GBP")*(Income!A$3:A$502=DATE(2026,8,7)),ROW(Income!A$3:A$502)-2),5)),0))</f>
        <v/>
      </c>
      <c r="L163" s="126">
        <f t="array" ref="L163">IF(IFERROR(INDEX(Expenses!B$3:B$999,SMALL(IF((Expenses!E$3:E$999="GBP")*(Expenses!A$3:A$999=DATE(2026,8,7)),ROW(Expenses!A$3:A$999)-2),5)),"")&lt;&gt;"",IFERROR(INDEX(Expenses!B$3:B$999,SMALL(IF((Expenses!E$3:E$999="GBP")*(Expenses!A$3:A$999=DATE(2026,8,7)),ROW(Expenses!A$3:A$999)-2),5)),""),IF(IFERROR(INDEX(Income!B$3:B$502,SMALL(IF((Income!D$3:D$502="GBP")*(Income!A$3:A$502=DATE(2026,8,7)),ROW(Income!A$3:A$502)-2),5)),"")&lt;&gt;"",IFERROR(INDEX(Income!B$3:B$502,SMALL(IF((Income!D$3:D$502="GBP")*(Income!A$3:A$502=DATE(2026,8,7)),ROW(Income!A$3:A$502)-2),5)),""),""))</f>
        <v/>
      </c>
      <c r="M163" s="152">
        <f t="array" ref="M163">IF(IFERROR(-INDEX(Expenses!D$3:D$999,SMALL(IF((Expenses!E$3:E$999="GBP")*(Expenses!A$3:A$999=DATE(2026,8,8)),ROW(Expenses!A$3:A$999)-2),5)),0)+IFERROR(INDEX(Income!C$3:C$502,SMALL(IF((Income!D$3:D$502="GBP")*(Income!A$3:A$502=DATE(2026,8,8)),ROW(Income!A$3:A$502)-2),5)),0)=0,"",IFERROR(-INDEX(Expenses!D$3:D$999,SMALL(IF((Expenses!E$3:E$999="GBP")*(Expenses!A$3:A$999=DATE(2026,8,8)),ROW(Expenses!A$3:A$999)-2),5)),0)+IFERROR(INDEX(Income!C$3:C$502,SMALL(IF((Income!D$3:D$502="GBP")*(Income!A$3:A$502=DATE(2026,8,8)),ROW(Income!A$3:A$502)-2),5)),0))</f>
        <v/>
      </c>
      <c r="N163" s="126">
        <f t="array" ref="N163">IF(IFERROR(INDEX(Expenses!B$3:B$999,SMALL(IF((Expenses!E$3:E$999="GBP")*(Expenses!A$3:A$999=DATE(2026,8,8)),ROW(Expenses!A$3:A$999)-2),5)),"")&lt;&gt;"",IFERROR(INDEX(Expenses!B$3:B$999,SMALL(IF((Expenses!E$3:E$999="GBP")*(Expenses!A$3:A$999=DATE(2026,8,8)),ROW(Expenses!A$3:A$999)-2),5)),""),IF(IFERROR(INDEX(Income!B$3:B$502,SMALL(IF((Income!D$3:D$502="GBP")*(Income!A$3:A$502=DATE(2026,8,8)),ROW(Income!A$3:A$502)-2),5)),"")&lt;&gt;"",IFERROR(INDEX(Income!B$3:B$502,SMALL(IF((Income!D$3:D$502="GBP")*(Income!A$3:A$502=DATE(2026,8,8)),ROW(Income!A$3:A$502)-2),5)),""),""))</f>
        <v/>
      </c>
      <c r="O163" s="152">
        <f t="array" ref="O163">IF(IFERROR(-INDEX(Expenses!D$3:D$999,SMALL(IF((Expenses!E$3:E$999="GBP")*(Expenses!A$3:A$999=DATE(2026,8,9)),ROW(Expenses!A$3:A$999)-2),5)),0)+IFERROR(INDEX(Income!C$3:C$502,SMALL(IF((Income!D$3:D$502="GBP")*(Income!A$3:A$502=DATE(2026,8,9)),ROW(Income!A$3:A$502)-2),5)),0)=0,"",IFERROR(-INDEX(Expenses!D$3:D$999,SMALL(IF((Expenses!E$3:E$999="GBP")*(Expenses!A$3:A$999=DATE(2026,8,9)),ROW(Expenses!A$3:A$999)-2),5)),0)+IFERROR(INDEX(Income!C$3:C$502,SMALL(IF((Income!D$3:D$502="GBP")*(Income!A$3:A$502=DATE(2026,8,9)),ROW(Income!A$3:A$502)-2),5)),0))</f>
        <v/>
      </c>
      <c r="P163" s="126">
        <f t="array" ref="P163">IF(IFERROR(INDEX(Expenses!B$3:B$999,SMALL(IF((Expenses!E$3:E$999="GBP")*(Expenses!A$3:A$999=DATE(2026,8,9)),ROW(Expenses!A$3:A$999)-2),5)),"")&lt;&gt;"",IFERROR(INDEX(Expenses!B$3:B$999,SMALL(IF((Expenses!E$3:E$999="GBP")*(Expenses!A$3:A$999=DATE(2026,8,9)),ROW(Expenses!A$3:A$999)-2),5)),""),IF(IFERROR(INDEX(Income!B$3:B$502,SMALL(IF((Income!D$3:D$502="GBP")*(Income!A$3:A$502=DATE(2026,8,9)),ROW(Income!A$3:A$502)-2),5)),"")&lt;&gt;"",IFERROR(INDEX(Income!B$3:B$502,SMALL(IF((Income!D$3:D$502="GBP")*(Income!A$3:A$502=DATE(2026,8,9)),ROW(Income!A$3:A$502)-2),5)),""),""))</f>
        <v/>
      </c>
      <c r="Q163" s="9" t="n"/>
      <c r="R163" s="9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68">
      <c r="A164" s="151" t="n">
        <v>46244</v>
      </c>
      <c r="B164" s="103" t="n">
        <v>33</v>
      </c>
      <c r="C164" s="152">
        <f t="array" ref="C164">IF(IFERROR(-INDEX(Expenses!D$3:D$999,SMALL(IF((Expenses!E$3:E$999="GBP")*(Expenses!A$3:A$999=DATE(2026,8,10)),ROW(Expenses!A$3:A$999)-2),1)),0)+IFERROR(INDEX(Income!C$3:C$502,SMALL(IF((Income!D$3:D$502="GBP")*(Income!A$3:A$502=DATE(2026,8,10)),ROW(Income!A$3:A$502)-2),1)),0)=0,"",IFERROR(-INDEX(Expenses!D$3:D$999,SMALL(IF((Expenses!E$3:E$999="GBP")*(Expenses!A$3:A$999=DATE(2026,8,10)),ROW(Expenses!A$3:A$999)-2),1)),0)+IFERROR(INDEX(Income!C$3:C$502,SMALL(IF((Income!D$3:D$502="GBP")*(Income!A$3:A$502=DATE(2026,8,10)),ROW(Income!A$3:A$502)-2),1)),0))</f>
        <v/>
      </c>
      <c r="D164" s="126">
        <f t="array" ref="D164">IF(IFERROR(INDEX(Expenses!B$3:B$999,SMALL(IF((Expenses!E$3:E$999="GBP")*(Expenses!A$3:A$999=DATE(2026,8,10)),ROW(Expenses!A$3:A$999)-2),1)),"")&lt;&gt;"",IFERROR(INDEX(Expenses!B$3:B$999,SMALL(IF((Expenses!E$3:E$999="GBP")*(Expenses!A$3:A$999=DATE(2026,8,10)),ROW(Expenses!A$3:A$999)-2),1)),""),IF(IFERROR(INDEX(Income!B$3:B$502,SMALL(IF((Income!D$3:D$502="GBP")*(Income!A$3:A$502=DATE(2026,8,10)),ROW(Income!A$3:A$502)-2),1)),"")&lt;&gt;"",IFERROR(INDEX(Income!B$3:B$502,SMALL(IF((Income!D$3:D$502="GBP")*(Income!A$3:A$502=DATE(2026,8,10)),ROW(Income!A$3:A$502)-2),1)),""),""))</f>
        <v/>
      </c>
      <c r="E164" s="152">
        <f t="array" ref="E164">IF(IFERROR(-INDEX(Expenses!D$3:D$999,SMALL(IF((Expenses!E$3:E$999="GBP")*(Expenses!A$3:A$999=DATE(2026,8,11)),ROW(Expenses!A$3:A$999)-2),1)),0)+IFERROR(INDEX(Income!C$3:C$502,SMALL(IF((Income!D$3:D$502="GBP")*(Income!A$3:A$502=DATE(2026,8,11)),ROW(Income!A$3:A$502)-2),1)),0)=0,"",IFERROR(-INDEX(Expenses!D$3:D$999,SMALL(IF((Expenses!E$3:E$999="GBP")*(Expenses!A$3:A$999=DATE(2026,8,11)),ROW(Expenses!A$3:A$999)-2),1)),0)+IFERROR(INDEX(Income!C$3:C$502,SMALL(IF((Income!D$3:D$502="GBP")*(Income!A$3:A$502=DATE(2026,8,11)),ROW(Income!A$3:A$502)-2),1)),0))</f>
        <v/>
      </c>
      <c r="F164" s="126">
        <f t="array" ref="F164">IF(IFERROR(INDEX(Expenses!B$3:B$999,SMALL(IF((Expenses!E$3:E$999="GBP")*(Expenses!A$3:A$999=DATE(2026,8,11)),ROW(Expenses!A$3:A$999)-2),1)),"")&lt;&gt;"",IFERROR(INDEX(Expenses!B$3:B$999,SMALL(IF((Expenses!E$3:E$999="GBP")*(Expenses!A$3:A$999=DATE(2026,8,11)),ROW(Expenses!A$3:A$999)-2),1)),""),IF(IFERROR(INDEX(Income!B$3:B$502,SMALL(IF((Income!D$3:D$502="GBP")*(Income!A$3:A$502=DATE(2026,8,11)),ROW(Income!A$3:A$502)-2),1)),"")&lt;&gt;"",IFERROR(INDEX(Income!B$3:B$502,SMALL(IF((Income!D$3:D$502="GBP")*(Income!A$3:A$502=DATE(2026,8,11)),ROW(Income!A$3:A$502)-2),1)),""),""))</f>
        <v/>
      </c>
      <c r="G164" s="152">
        <f t="array" ref="G164">IF(IFERROR(-INDEX(Expenses!D$3:D$999,SMALL(IF((Expenses!E$3:E$999="GBP")*(Expenses!A$3:A$999=DATE(2026,8,12)),ROW(Expenses!A$3:A$999)-2),1)),0)+IFERROR(INDEX(Income!C$3:C$502,SMALL(IF((Income!D$3:D$502="GBP")*(Income!A$3:A$502=DATE(2026,8,12)),ROW(Income!A$3:A$502)-2),1)),0)=0,"",IFERROR(-INDEX(Expenses!D$3:D$999,SMALL(IF((Expenses!E$3:E$999="GBP")*(Expenses!A$3:A$999=DATE(2026,8,12)),ROW(Expenses!A$3:A$999)-2),1)),0)+IFERROR(INDEX(Income!C$3:C$502,SMALL(IF((Income!D$3:D$502="GBP")*(Income!A$3:A$502=DATE(2026,8,12)),ROW(Income!A$3:A$502)-2),1)),0))</f>
        <v/>
      </c>
      <c r="H164" s="126">
        <f t="array" ref="H164">IF(IFERROR(INDEX(Expenses!B$3:B$999,SMALL(IF((Expenses!E$3:E$999="GBP")*(Expenses!A$3:A$999=DATE(2026,8,12)),ROW(Expenses!A$3:A$999)-2),1)),"")&lt;&gt;"",IFERROR(INDEX(Expenses!B$3:B$999,SMALL(IF((Expenses!E$3:E$999="GBP")*(Expenses!A$3:A$999=DATE(2026,8,12)),ROW(Expenses!A$3:A$999)-2),1)),""),IF(IFERROR(INDEX(Income!B$3:B$502,SMALL(IF((Income!D$3:D$502="GBP")*(Income!A$3:A$502=DATE(2026,8,12)),ROW(Income!A$3:A$502)-2),1)),"")&lt;&gt;"",IFERROR(INDEX(Income!B$3:B$502,SMALL(IF((Income!D$3:D$502="GBP")*(Income!A$3:A$502=DATE(2026,8,12)),ROW(Income!A$3:A$502)-2),1)),""),""))</f>
        <v/>
      </c>
      <c r="I164" s="152">
        <f t="array" ref="I164">IF(IFERROR(-INDEX(Expenses!D$3:D$999,SMALL(IF((Expenses!E$3:E$999="GBP")*(Expenses!A$3:A$999=DATE(2026,8,13)),ROW(Expenses!A$3:A$999)-2),1)),0)+IFERROR(INDEX(Income!C$3:C$502,SMALL(IF((Income!D$3:D$502="GBP")*(Income!A$3:A$502=DATE(2026,8,13)),ROW(Income!A$3:A$502)-2),1)),0)=0,"",IFERROR(-INDEX(Expenses!D$3:D$999,SMALL(IF((Expenses!E$3:E$999="GBP")*(Expenses!A$3:A$999=DATE(2026,8,13)),ROW(Expenses!A$3:A$999)-2),1)),0)+IFERROR(INDEX(Income!C$3:C$502,SMALL(IF((Income!D$3:D$502="GBP")*(Income!A$3:A$502=DATE(2026,8,13)),ROW(Income!A$3:A$502)-2),1)),0))</f>
        <v/>
      </c>
      <c r="J164" s="126">
        <f t="array" ref="J164">IF(IFERROR(INDEX(Expenses!B$3:B$999,SMALL(IF((Expenses!E$3:E$999="GBP")*(Expenses!A$3:A$999=DATE(2026,8,13)),ROW(Expenses!A$3:A$999)-2),1)),"")&lt;&gt;"",IFERROR(INDEX(Expenses!B$3:B$999,SMALL(IF((Expenses!E$3:E$999="GBP")*(Expenses!A$3:A$999=DATE(2026,8,13)),ROW(Expenses!A$3:A$999)-2),1)),""),IF(IFERROR(INDEX(Income!B$3:B$502,SMALL(IF((Income!D$3:D$502="GBP")*(Income!A$3:A$502=DATE(2026,8,13)),ROW(Income!A$3:A$502)-2),1)),"")&lt;&gt;"",IFERROR(INDEX(Income!B$3:B$502,SMALL(IF((Income!D$3:D$502="GBP")*(Income!A$3:A$502=DATE(2026,8,13)),ROW(Income!A$3:A$502)-2),1)),""),""))</f>
        <v/>
      </c>
      <c r="K164" s="152">
        <f t="array" ref="K164">IF(IFERROR(-INDEX(Expenses!D$3:D$999,SMALL(IF((Expenses!E$3:E$999="GBP")*(Expenses!A$3:A$999=DATE(2026,8,14)),ROW(Expenses!A$3:A$999)-2),1)),0)+IFERROR(INDEX(Income!C$3:C$502,SMALL(IF((Income!D$3:D$502="GBP")*(Income!A$3:A$502=DATE(2026,8,14)),ROW(Income!A$3:A$502)-2),1)),0)=0,"",IFERROR(-INDEX(Expenses!D$3:D$999,SMALL(IF((Expenses!E$3:E$999="GBP")*(Expenses!A$3:A$999=DATE(2026,8,14)),ROW(Expenses!A$3:A$999)-2),1)),0)+IFERROR(INDEX(Income!C$3:C$502,SMALL(IF((Income!D$3:D$502="GBP")*(Income!A$3:A$502=DATE(2026,8,14)),ROW(Income!A$3:A$502)-2),1)),0))</f>
        <v/>
      </c>
      <c r="L164" s="126">
        <f t="array" ref="L164">IF(IFERROR(INDEX(Expenses!B$3:B$999,SMALL(IF((Expenses!E$3:E$999="GBP")*(Expenses!A$3:A$999=DATE(2026,8,14)),ROW(Expenses!A$3:A$999)-2),1)),"")&lt;&gt;"",IFERROR(INDEX(Expenses!B$3:B$999,SMALL(IF((Expenses!E$3:E$999="GBP")*(Expenses!A$3:A$999=DATE(2026,8,14)),ROW(Expenses!A$3:A$999)-2),1)),""),IF(IFERROR(INDEX(Income!B$3:B$502,SMALL(IF((Income!D$3:D$502="GBP")*(Income!A$3:A$502=DATE(2026,8,14)),ROW(Income!A$3:A$502)-2),1)),"")&lt;&gt;"",IFERROR(INDEX(Income!B$3:B$502,SMALL(IF((Income!D$3:D$502="GBP")*(Income!A$3:A$502=DATE(2026,8,14)),ROW(Income!A$3:A$502)-2),1)),""),""))</f>
        <v/>
      </c>
      <c r="M164" s="152">
        <f t="array" ref="M164">IF(IFERROR(-INDEX(Expenses!D$3:D$999,SMALL(IF((Expenses!E$3:E$999="GBP")*(Expenses!A$3:A$999=DATE(2026,8,15)),ROW(Expenses!A$3:A$999)-2),1)),0)+IFERROR(INDEX(Income!C$3:C$502,SMALL(IF((Income!D$3:D$502="GBP")*(Income!A$3:A$502=DATE(2026,8,15)),ROW(Income!A$3:A$502)-2),1)),0)=0,"",IFERROR(-INDEX(Expenses!D$3:D$999,SMALL(IF((Expenses!E$3:E$999="GBP")*(Expenses!A$3:A$999=DATE(2026,8,15)),ROW(Expenses!A$3:A$999)-2),1)),0)+IFERROR(INDEX(Income!C$3:C$502,SMALL(IF((Income!D$3:D$502="GBP")*(Income!A$3:A$502=DATE(2026,8,15)),ROW(Income!A$3:A$502)-2),1)),0))</f>
        <v/>
      </c>
      <c r="N164" s="126">
        <f t="array" ref="N164">IF(IFERROR(INDEX(Expenses!B$3:B$999,SMALL(IF((Expenses!E$3:E$999="GBP")*(Expenses!A$3:A$999=DATE(2026,8,15)),ROW(Expenses!A$3:A$999)-2),1)),"")&lt;&gt;"",IFERROR(INDEX(Expenses!B$3:B$999,SMALL(IF((Expenses!E$3:E$999="GBP")*(Expenses!A$3:A$999=DATE(2026,8,15)),ROW(Expenses!A$3:A$999)-2),1)),""),IF(IFERROR(INDEX(Income!B$3:B$502,SMALL(IF((Income!D$3:D$502="GBP")*(Income!A$3:A$502=DATE(2026,8,15)),ROW(Income!A$3:A$502)-2),1)),"")&lt;&gt;"",IFERROR(INDEX(Income!B$3:B$502,SMALL(IF((Income!D$3:D$502="GBP")*(Income!A$3:A$502=DATE(2026,8,15)),ROW(Income!A$3:A$502)-2),1)),""),""))</f>
        <v/>
      </c>
      <c r="O164" s="152">
        <f t="array" ref="O164">IF(IFERROR(-INDEX(Expenses!D$3:D$999,SMALL(IF((Expenses!E$3:E$999="GBP")*(Expenses!A$3:A$999=DATE(2026,8,16)),ROW(Expenses!A$3:A$999)-2),1)),0)+IFERROR(INDEX(Income!C$3:C$502,SMALL(IF((Income!D$3:D$502="GBP")*(Income!A$3:A$502=DATE(2026,8,16)),ROW(Income!A$3:A$502)-2),1)),0)=0,"",IFERROR(-INDEX(Expenses!D$3:D$999,SMALL(IF((Expenses!E$3:E$999="GBP")*(Expenses!A$3:A$999=DATE(2026,8,16)),ROW(Expenses!A$3:A$999)-2),1)),0)+IFERROR(INDEX(Income!C$3:C$502,SMALL(IF((Income!D$3:D$502="GBP")*(Income!A$3:A$502=DATE(2026,8,16)),ROW(Income!A$3:A$502)-2),1)),0))</f>
        <v/>
      </c>
      <c r="P164" s="126">
        <f t="array" ref="P164">IF(IFERROR(INDEX(Expenses!B$3:B$999,SMALL(IF((Expenses!E$3:E$999="GBP")*(Expenses!A$3:A$999=DATE(2026,8,16)),ROW(Expenses!A$3:A$999)-2),1)),"")&lt;&gt;"",IFERROR(INDEX(Expenses!B$3:B$999,SMALL(IF((Expenses!E$3:E$999="GBP")*(Expenses!A$3:A$999=DATE(2026,8,16)),ROW(Expenses!A$3:A$999)-2),1)),""),IF(IFERROR(INDEX(Income!B$3:B$502,SMALL(IF((Income!D$3:D$502="GBP")*(Income!A$3:A$502=DATE(2026,8,16)),ROW(Income!A$3:A$502)-2),1)),"")&lt;&gt;"",IFERROR(INDEX(Income!B$3:B$502,SMALL(IF((Income!D$3:D$502="GBP")*(Income!A$3:A$502=DATE(2026,8,16)),ROW(Income!A$3:A$502)-2),1)),""),""))</f>
        <v/>
      </c>
      <c r="Q164" s="103" t="n">
        <v>33</v>
      </c>
      <c r="R164" s="134">
        <f>SUM(C164:C168)+SUM(E164:E168)+SUM(G164:G168)+SUM(I164:I168)+SUM(K164:K168)+SUM(M164:M168)+SUM(O164:O168)</f>
        <v/>
      </c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68">
      <c r="A165" s="9" t="n"/>
      <c r="B165" s="9" t="n"/>
      <c r="C165" s="152">
        <f t="array" ref="C165">IF(IFERROR(-INDEX(Expenses!D$3:D$999,SMALL(IF((Expenses!E$3:E$999="GBP")*(Expenses!A$3:A$999=DATE(2026,8,10)),ROW(Expenses!A$3:A$999)-2),2)),0)+IFERROR(INDEX(Income!C$3:C$502,SMALL(IF((Income!D$3:D$502="GBP")*(Income!A$3:A$502=DATE(2026,8,10)),ROW(Income!A$3:A$502)-2),2)),0)=0,"",IFERROR(-INDEX(Expenses!D$3:D$999,SMALL(IF((Expenses!E$3:E$999="GBP")*(Expenses!A$3:A$999=DATE(2026,8,10)),ROW(Expenses!A$3:A$999)-2),2)),0)+IFERROR(INDEX(Income!C$3:C$502,SMALL(IF((Income!D$3:D$502="GBP")*(Income!A$3:A$502=DATE(2026,8,10)),ROW(Income!A$3:A$502)-2),2)),0))</f>
        <v/>
      </c>
      <c r="D165" s="126">
        <f t="array" ref="D165">IF(IFERROR(INDEX(Expenses!B$3:B$999,SMALL(IF((Expenses!E$3:E$999="GBP")*(Expenses!A$3:A$999=DATE(2026,8,10)),ROW(Expenses!A$3:A$999)-2),2)),"")&lt;&gt;"",IFERROR(INDEX(Expenses!B$3:B$999,SMALL(IF((Expenses!E$3:E$999="GBP")*(Expenses!A$3:A$999=DATE(2026,8,10)),ROW(Expenses!A$3:A$999)-2),2)),""),IF(IFERROR(INDEX(Income!B$3:B$502,SMALL(IF((Income!D$3:D$502="GBP")*(Income!A$3:A$502=DATE(2026,8,10)),ROW(Income!A$3:A$502)-2),2)),"")&lt;&gt;"",IFERROR(INDEX(Income!B$3:B$502,SMALL(IF((Income!D$3:D$502="GBP")*(Income!A$3:A$502=DATE(2026,8,10)),ROW(Income!A$3:A$502)-2),2)),""),""))</f>
        <v/>
      </c>
      <c r="E165" s="152">
        <f t="array" ref="E165">IF(IFERROR(-INDEX(Expenses!D$3:D$999,SMALL(IF((Expenses!E$3:E$999="GBP")*(Expenses!A$3:A$999=DATE(2026,8,11)),ROW(Expenses!A$3:A$999)-2),2)),0)+IFERROR(INDEX(Income!C$3:C$502,SMALL(IF((Income!D$3:D$502="GBP")*(Income!A$3:A$502=DATE(2026,8,11)),ROW(Income!A$3:A$502)-2),2)),0)=0,"",IFERROR(-INDEX(Expenses!D$3:D$999,SMALL(IF((Expenses!E$3:E$999="GBP")*(Expenses!A$3:A$999=DATE(2026,8,11)),ROW(Expenses!A$3:A$999)-2),2)),0)+IFERROR(INDEX(Income!C$3:C$502,SMALL(IF((Income!D$3:D$502="GBP")*(Income!A$3:A$502=DATE(2026,8,11)),ROW(Income!A$3:A$502)-2),2)),0))</f>
        <v/>
      </c>
      <c r="F165" s="126">
        <f t="array" ref="F165">IF(IFERROR(INDEX(Expenses!B$3:B$999,SMALL(IF((Expenses!E$3:E$999="GBP")*(Expenses!A$3:A$999=DATE(2026,8,11)),ROW(Expenses!A$3:A$999)-2),2)),"")&lt;&gt;"",IFERROR(INDEX(Expenses!B$3:B$999,SMALL(IF((Expenses!E$3:E$999="GBP")*(Expenses!A$3:A$999=DATE(2026,8,11)),ROW(Expenses!A$3:A$999)-2),2)),""),IF(IFERROR(INDEX(Income!B$3:B$502,SMALL(IF((Income!D$3:D$502="GBP")*(Income!A$3:A$502=DATE(2026,8,11)),ROW(Income!A$3:A$502)-2),2)),"")&lt;&gt;"",IFERROR(INDEX(Income!B$3:B$502,SMALL(IF((Income!D$3:D$502="GBP")*(Income!A$3:A$502=DATE(2026,8,11)),ROW(Income!A$3:A$502)-2),2)),""),""))</f>
        <v/>
      </c>
      <c r="G165" s="152">
        <f t="array" ref="G165">IF(IFERROR(-INDEX(Expenses!D$3:D$999,SMALL(IF((Expenses!E$3:E$999="GBP")*(Expenses!A$3:A$999=DATE(2026,8,12)),ROW(Expenses!A$3:A$999)-2),2)),0)+IFERROR(INDEX(Income!C$3:C$502,SMALL(IF((Income!D$3:D$502="GBP")*(Income!A$3:A$502=DATE(2026,8,12)),ROW(Income!A$3:A$502)-2),2)),0)=0,"",IFERROR(-INDEX(Expenses!D$3:D$999,SMALL(IF((Expenses!E$3:E$999="GBP")*(Expenses!A$3:A$999=DATE(2026,8,12)),ROW(Expenses!A$3:A$999)-2),2)),0)+IFERROR(INDEX(Income!C$3:C$502,SMALL(IF((Income!D$3:D$502="GBP")*(Income!A$3:A$502=DATE(2026,8,12)),ROW(Income!A$3:A$502)-2),2)),0))</f>
        <v/>
      </c>
      <c r="H165" s="126">
        <f t="array" ref="H165">IF(IFERROR(INDEX(Expenses!B$3:B$999,SMALL(IF((Expenses!E$3:E$999="GBP")*(Expenses!A$3:A$999=DATE(2026,8,12)),ROW(Expenses!A$3:A$999)-2),2)),"")&lt;&gt;"",IFERROR(INDEX(Expenses!B$3:B$999,SMALL(IF((Expenses!E$3:E$999="GBP")*(Expenses!A$3:A$999=DATE(2026,8,12)),ROW(Expenses!A$3:A$999)-2),2)),""),IF(IFERROR(INDEX(Income!B$3:B$502,SMALL(IF((Income!D$3:D$502="GBP")*(Income!A$3:A$502=DATE(2026,8,12)),ROW(Income!A$3:A$502)-2),2)),"")&lt;&gt;"",IFERROR(INDEX(Income!B$3:B$502,SMALL(IF((Income!D$3:D$502="GBP")*(Income!A$3:A$502=DATE(2026,8,12)),ROW(Income!A$3:A$502)-2),2)),""),""))</f>
        <v/>
      </c>
      <c r="I165" s="152">
        <f t="array" ref="I165">IF(IFERROR(-INDEX(Expenses!D$3:D$999,SMALL(IF((Expenses!E$3:E$999="GBP")*(Expenses!A$3:A$999=DATE(2026,8,13)),ROW(Expenses!A$3:A$999)-2),2)),0)+IFERROR(INDEX(Income!C$3:C$502,SMALL(IF((Income!D$3:D$502="GBP")*(Income!A$3:A$502=DATE(2026,8,13)),ROW(Income!A$3:A$502)-2),2)),0)=0,"",IFERROR(-INDEX(Expenses!D$3:D$999,SMALL(IF((Expenses!E$3:E$999="GBP")*(Expenses!A$3:A$999=DATE(2026,8,13)),ROW(Expenses!A$3:A$999)-2),2)),0)+IFERROR(INDEX(Income!C$3:C$502,SMALL(IF((Income!D$3:D$502="GBP")*(Income!A$3:A$502=DATE(2026,8,13)),ROW(Income!A$3:A$502)-2),2)),0))</f>
        <v/>
      </c>
      <c r="J165" s="126">
        <f t="array" ref="J165">IF(IFERROR(INDEX(Expenses!B$3:B$999,SMALL(IF((Expenses!E$3:E$999="GBP")*(Expenses!A$3:A$999=DATE(2026,8,13)),ROW(Expenses!A$3:A$999)-2),2)),"")&lt;&gt;"",IFERROR(INDEX(Expenses!B$3:B$999,SMALL(IF((Expenses!E$3:E$999="GBP")*(Expenses!A$3:A$999=DATE(2026,8,13)),ROW(Expenses!A$3:A$999)-2),2)),""),IF(IFERROR(INDEX(Income!B$3:B$502,SMALL(IF((Income!D$3:D$502="GBP")*(Income!A$3:A$502=DATE(2026,8,13)),ROW(Income!A$3:A$502)-2),2)),"")&lt;&gt;"",IFERROR(INDEX(Income!B$3:B$502,SMALL(IF((Income!D$3:D$502="GBP")*(Income!A$3:A$502=DATE(2026,8,13)),ROW(Income!A$3:A$502)-2),2)),""),""))</f>
        <v/>
      </c>
      <c r="K165" s="152">
        <f t="array" ref="K165">IF(IFERROR(-INDEX(Expenses!D$3:D$999,SMALL(IF((Expenses!E$3:E$999="GBP")*(Expenses!A$3:A$999=DATE(2026,8,14)),ROW(Expenses!A$3:A$999)-2),2)),0)+IFERROR(INDEX(Income!C$3:C$502,SMALL(IF((Income!D$3:D$502="GBP")*(Income!A$3:A$502=DATE(2026,8,14)),ROW(Income!A$3:A$502)-2),2)),0)=0,"",IFERROR(-INDEX(Expenses!D$3:D$999,SMALL(IF((Expenses!E$3:E$999="GBP")*(Expenses!A$3:A$999=DATE(2026,8,14)),ROW(Expenses!A$3:A$999)-2),2)),0)+IFERROR(INDEX(Income!C$3:C$502,SMALL(IF((Income!D$3:D$502="GBP")*(Income!A$3:A$502=DATE(2026,8,14)),ROW(Income!A$3:A$502)-2),2)),0))</f>
        <v/>
      </c>
      <c r="L165" s="126">
        <f t="array" ref="L165">IF(IFERROR(INDEX(Expenses!B$3:B$999,SMALL(IF((Expenses!E$3:E$999="GBP")*(Expenses!A$3:A$999=DATE(2026,8,14)),ROW(Expenses!A$3:A$999)-2),2)),"")&lt;&gt;"",IFERROR(INDEX(Expenses!B$3:B$999,SMALL(IF((Expenses!E$3:E$999="GBP")*(Expenses!A$3:A$999=DATE(2026,8,14)),ROW(Expenses!A$3:A$999)-2),2)),""),IF(IFERROR(INDEX(Income!B$3:B$502,SMALL(IF((Income!D$3:D$502="GBP")*(Income!A$3:A$502=DATE(2026,8,14)),ROW(Income!A$3:A$502)-2),2)),"")&lt;&gt;"",IFERROR(INDEX(Income!B$3:B$502,SMALL(IF((Income!D$3:D$502="GBP")*(Income!A$3:A$502=DATE(2026,8,14)),ROW(Income!A$3:A$502)-2),2)),""),""))</f>
        <v/>
      </c>
      <c r="M165" s="152">
        <f t="array" ref="M165">IF(IFERROR(-INDEX(Expenses!D$3:D$999,SMALL(IF((Expenses!E$3:E$999="GBP")*(Expenses!A$3:A$999=DATE(2026,8,15)),ROW(Expenses!A$3:A$999)-2),2)),0)+IFERROR(INDEX(Income!C$3:C$502,SMALL(IF((Income!D$3:D$502="GBP")*(Income!A$3:A$502=DATE(2026,8,15)),ROW(Income!A$3:A$502)-2),2)),0)=0,"",IFERROR(-INDEX(Expenses!D$3:D$999,SMALL(IF((Expenses!E$3:E$999="GBP")*(Expenses!A$3:A$999=DATE(2026,8,15)),ROW(Expenses!A$3:A$999)-2),2)),0)+IFERROR(INDEX(Income!C$3:C$502,SMALL(IF((Income!D$3:D$502="GBP")*(Income!A$3:A$502=DATE(2026,8,15)),ROW(Income!A$3:A$502)-2),2)),0))</f>
        <v/>
      </c>
      <c r="N165" s="126">
        <f t="array" ref="N165">IF(IFERROR(INDEX(Expenses!B$3:B$999,SMALL(IF((Expenses!E$3:E$999="GBP")*(Expenses!A$3:A$999=DATE(2026,8,15)),ROW(Expenses!A$3:A$999)-2),2)),"")&lt;&gt;"",IFERROR(INDEX(Expenses!B$3:B$999,SMALL(IF((Expenses!E$3:E$999="GBP")*(Expenses!A$3:A$999=DATE(2026,8,15)),ROW(Expenses!A$3:A$999)-2),2)),""),IF(IFERROR(INDEX(Income!B$3:B$502,SMALL(IF((Income!D$3:D$502="GBP")*(Income!A$3:A$502=DATE(2026,8,15)),ROW(Income!A$3:A$502)-2),2)),"")&lt;&gt;"",IFERROR(INDEX(Income!B$3:B$502,SMALL(IF((Income!D$3:D$502="GBP")*(Income!A$3:A$502=DATE(2026,8,15)),ROW(Income!A$3:A$502)-2),2)),""),""))</f>
        <v/>
      </c>
      <c r="O165" s="152">
        <f t="array" ref="O165">IF(IFERROR(-INDEX(Expenses!D$3:D$999,SMALL(IF((Expenses!E$3:E$999="GBP")*(Expenses!A$3:A$999=DATE(2026,8,16)),ROW(Expenses!A$3:A$999)-2),2)),0)+IFERROR(INDEX(Income!C$3:C$502,SMALL(IF((Income!D$3:D$502="GBP")*(Income!A$3:A$502=DATE(2026,8,16)),ROW(Income!A$3:A$502)-2),2)),0)=0,"",IFERROR(-INDEX(Expenses!D$3:D$999,SMALL(IF((Expenses!E$3:E$999="GBP")*(Expenses!A$3:A$999=DATE(2026,8,16)),ROW(Expenses!A$3:A$999)-2),2)),0)+IFERROR(INDEX(Income!C$3:C$502,SMALL(IF((Income!D$3:D$502="GBP")*(Income!A$3:A$502=DATE(2026,8,16)),ROW(Income!A$3:A$502)-2),2)),0))</f>
        <v/>
      </c>
      <c r="P165" s="126">
        <f t="array" ref="P165">IF(IFERROR(INDEX(Expenses!B$3:B$999,SMALL(IF((Expenses!E$3:E$999="GBP")*(Expenses!A$3:A$999=DATE(2026,8,16)),ROW(Expenses!A$3:A$999)-2),2)),"")&lt;&gt;"",IFERROR(INDEX(Expenses!B$3:B$999,SMALL(IF((Expenses!E$3:E$999="GBP")*(Expenses!A$3:A$999=DATE(2026,8,16)),ROW(Expenses!A$3:A$999)-2),2)),""),IF(IFERROR(INDEX(Income!B$3:B$502,SMALL(IF((Income!D$3:D$502="GBP")*(Income!A$3:A$502=DATE(2026,8,16)),ROW(Income!A$3:A$502)-2),2)),"")&lt;&gt;"",IFERROR(INDEX(Income!B$3:B$502,SMALL(IF((Income!D$3:D$502="GBP")*(Income!A$3:A$502=DATE(2026,8,16)),ROW(Income!A$3:A$502)-2),2)),""),""))</f>
        <v/>
      </c>
      <c r="Q165" s="9" t="n"/>
      <c r="R165" s="9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68">
      <c r="A166" s="9" t="n"/>
      <c r="B166" s="9" t="n"/>
      <c r="C166" s="152">
        <f t="array" ref="C166">IF(IFERROR(-INDEX(Expenses!D$3:D$999,SMALL(IF((Expenses!E$3:E$999="GBP")*(Expenses!A$3:A$999=DATE(2026,8,10)),ROW(Expenses!A$3:A$999)-2),3)),0)+IFERROR(INDEX(Income!C$3:C$502,SMALL(IF((Income!D$3:D$502="GBP")*(Income!A$3:A$502=DATE(2026,8,10)),ROW(Income!A$3:A$502)-2),3)),0)=0,"",IFERROR(-INDEX(Expenses!D$3:D$999,SMALL(IF((Expenses!E$3:E$999="GBP")*(Expenses!A$3:A$999=DATE(2026,8,10)),ROW(Expenses!A$3:A$999)-2),3)),0)+IFERROR(INDEX(Income!C$3:C$502,SMALL(IF((Income!D$3:D$502="GBP")*(Income!A$3:A$502=DATE(2026,8,10)),ROW(Income!A$3:A$502)-2),3)),0))</f>
        <v/>
      </c>
      <c r="D166" s="126">
        <f t="array" ref="D166">IF(IFERROR(INDEX(Expenses!B$3:B$999,SMALL(IF((Expenses!E$3:E$999="GBP")*(Expenses!A$3:A$999=DATE(2026,8,10)),ROW(Expenses!A$3:A$999)-2),3)),"")&lt;&gt;"",IFERROR(INDEX(Expenses!B$3:B$999,SMALL(IF((Expenses!E$3:E$999="GBP")*(Expenses!A$3:A$999=DATE(2026,8,10)),ROW(Expenses!A$3:A$999)-2),3)),""),IF(IFERROR(INDEX(Income!B$3:B$502,SMALL(IF((Income!D$3:D$502="GBP")*(Income!A$3:A$502=DATE(2026,8,10)),ROW(Income!A$3:A$502)-2),3)),"")&lt;&gt;"",IFERROR(INDEX(Income!B$3:B$502,SMALL(IF((Income!D$3:D$502="GBP")*(Income!A$3:A$502=DATE(2026,8,10)),ROW(Income!A$3:A$502)-2),3)),""),""))</f>
        <v/>
      </c>
      <c r="E166" s="152">
        <f t="array" ref="E166">IF(IFERROR(-INDEX(Expenses!D$3:D$999,SMALL(IF((Expenses!E$3:E$999="GBP")*(Expenses!A$3:A$999=DATE(2026,8,11)),ROW(Expenses!A$3:A$999)-2),3)),0)+IFERROR(INDEX(Income!C$3:C$502,SMALL(IF((Income!D$3:D$502="GBP")*(Income!A$3:A$502=DATE(2026,8,11)),ROW(Income!A$3:A$502)-2),3)),0)=0,"",IFERROR(-INDEX(Expenses!D$3:D$999,SMALL(IF((Expenses!E$3:E$999="GBP")*(Expenses!A$3:A$999=DATE(2026,8,11)),ROW(Expenses!A$3:A$999)-2),3)),0)+IFERROR(INDEX(Income!C$3:C$502,SMALL(IF((Income!D$3:D$502="GBP")*(Income!A$3:A$502=DATE(2026,8,11)),ROW(Income!A$3:A$502)-2),3)),0))</f>
        <v/>
      </c>
      <c r="F166" s="126">
        <f t="array" ref="F166">IF(IFERROR(INDEX(Expenses!B$3:B$999,SMALL(IF((Expenses!E$3:E$999="GBP")*(Expenses!A$3:A$999=DATE(2026,8,11)),ROW(Expenses!A$3:A$999)-2),3)),"")&lt;&gt;"",IFERROR(INDEX(Expenses!B$3:B$999,SMALL(IF((Expenses!E$3:E$999="GBP")*(Expenses!A$3:A$999=DATE(2026,8,11)),ROW(Expenses!A$3:A$999)-2),3)),""),IF(IFERROR(INDEX(Income!B$3:B$502,SMALL(IF((Income!D$3:D$502="GBP")*(Income!A$3:A$502=DATE(2026,8,11)),ROW(Income!A$3:A$502)-2),3)),"")&lt;&gt;"",IFERROR(INDEX(Income!B$3:B$502,SMALL(IF((Income!D$3:D$502="GBP")*(Income!A$3:A$502=DATE(2026,8,11)),ROW(Income!A$3:A$502)-2),3)),""),""))</f>
        <v/>
      </c>
      <c r="G166" s="152">
        <f t="array" ref="G166">IF(IFERROR(-INDEX(Expenses!D$3:D$999,SMALL(IF((Expenses!E$3:E$999="GBP")*(Expenses!A$3:A$999=DATE(2026,8,12)),ROW(Expenses!A$3:A$999)-2),3)),0)+IFERROR(INDEX(Income!C$3:C$502,SMALL(IF((Income!D$3:D$502="GBP")*(Income!A$3:A$502=DATE(2026,8,12)),ROW(Income!A$3:A$502)-2),3)),0)=0,"",IFERROR(-INDEX(Expenses!D$3:D$999,SMALL(IF((Expenses!E$3:E$999="GBP")*(Expenses!A$3:A$999=DATE(2026,8,12)),ROW(Expenses!A$3:A$999)-2),3)),0)+IFERROR(INDEX(Income!C$3:C$502,SMALL(IF((Income!D$3:D$502="GBP")*(Income!A$3:A$502=DATE(2026,8,12)),ROW(Income!A$3:A$502)-2),3)),0))</f>
        <v/>
      </c>
      <c r="H166" s="126">
        <f t="array" ref="H166">IF(IFERROR(INDEX(Expenses!B$3:B$999,SMALL(IF((Expenses!E$3:E$999="GBP")*(Expenses!A$3:A$999=DATE(2026,8,12)),ROW(Expenses!A$3:A$999)-2),3)),"")&lt;&gt;"",IFERROR(INDEX(Expenses!B$3:B$999,SMALL(IF((Expenses!E$3:E$999="GBP")*(Expenses!A$3:A$999=DATE(2026,8,12)),ROW(Expenses!A$3:A$999)-2),3)),""),IF(IFERROR(INDEX(Income!B$3:B$502,SMALL(IF((Income!D$3:D$502="GBP")*(Income!A$3:A$502=DATE(2026,8,12)),ROW(Income!A$3:A$502)-2),3)),"")&lt;&gt;"",IFERROR(INDEX(Income!B$3:B$502,SMALL(IF((Income!D$3:D$502="GBP")*(Income!A$3:A$502=DATE(2026,8,12)),ROW(Income!A$3:A$502)-2),3)),""),""))</f>
        <v/>
      </c>
      <c r="I166" s="152">
        <f t="array" ref="I166">IF(IFERROR(-INDEX(Expenses!D$3:D$999,SMALL(IF((Expenses!E$3:E$999="GBP")*(Expenses!A$3:A$999=DATE(2026,8,13)),ROW(Expenses!A$3:A$999)-2),3)),0)+IFERROR(INDEX(Income!C$3:C$502,SMALL(IF((Income!D$3:D$502="GBP")*(Income!A$3:A$502=DATE(2026,8,13)),ROW(Income!A$3:A$502)-2),3)),0)=0,"",IFERROR(-INDEX(Expenses!D$3:D$999,SMALL(IF((Expenses!E$3:E$999="GBP")*(Expenses!A$3:A$999=DATE(2026,8,13)),ROW(Expenses!A$3:A$999)-2),3)),0)+IFERROR(INDEX(Income!C$3:C$502,SMALL(IF((Income!D$3:D$502="GBP")*(Income!A$3:A$502=DATE(2026,8,13)),ROW(Income!A$3:A$502)-2),3)),0))</f>
        <v/>
      </c>
      <c r="J166" s="126">
        <f t="array" ref="J166">IF(IFERROR(INDEX(Expenses!B$3:B$999,SMALL(IF((Expenses!E$3:E$999="GBP")*(Expenses!A$3:A$999=DATE(2026,8,13)),ROW(Expenses!A$3:A$999)-2),3)),"")&lt;&gt;"",IFERROR(INDEX(Expenses!B$3:B$999,SMALL(IF((Expenses!E$3:E$999="GBP")*(Expenses!A$3:A$999=DATE(2026,8,13)),ROW(Expenses!A$3:A$999)-2),3)),""),IF(IFERROR(INDEX(Income!B$3:B$502,SMALL(IF((Income!D$3:D$502="GBP")*(Income!A$3:A$502=DATE(2026,8,13)),ROW(Income!A$3:A$502)-2),3)),"")&lt;&gt;"",IFERROR(INDEX(Income!B$3:B$502,SMALL(IF((Income!D$3:D$502="GBP")*(Income!A$3:A$502=DATE(2026,8,13)),ROW(Income!A$3:A$502)-2),3)),""),""))</f>
        <v/>
      </c>
      <c r="K166" s="152">
        <f t="array" ref="K166">IF(IFERROR(-INDEX(Expenses!D$3:D$999,SMALL(IF((Expenses!E$3:E$999="GBP")*(Expenses!A$3:A$999=DATE(2026,8,14)),ROW(Expenses!A$3:A$999)-2),3)),0)+IFERROR(INDEX(Income!C$3:C$502,SMALL(IF((Income!D$3:D$502="GBP")*(Income!A$3:A$502=DATE(2026,8,14)),ROW(Income!A$3:A$502)-2),3)),0)=0,"",IFERROR(-INDEX(Expenses!D$3:D$999,SMALL(IF((Expenses!E$3:E$999="GBP")*(Expenses!A$3:A$999=DATE(2026,8,14)),ROW(Expenses!A$3:A$999)-2),3)),0)+IFERROR(INDEX(Income!C$3:C$502,SMALL(IF((Income!D$3:D$502="GBP")*(Income!A$3:A$502=DATE(2026,8,14)),ROW(Income!A$3:A$502)-2),3)),0))</f>
        <v/>
      </c>
      <c r="L166" s="126">
        <f t="array" ref="L166">IF(IFERROR(INDEX(Expenses!B$3:B$999,SMALL(IF((Expenses!E$3:E$999="GBP")*(Expenses!A$3:A$999=DATE(2026,8,14)),ROW(Expenses!A$3:A$999)-2),3)),"")&lt;&gt;"",IFERROR(INDEX(Expenses!B$3:B$999,SMALL(IF((Expenses!E$3:E$999="GBP")*(Expenses!A$3:A$999=DATE(2026,8,14)),ROW(Expenses!A$3:A$999)-2),3)),""),IF(IFERROR(INDEX(Income!B$3:B$502,SMALL(IF((Income!D$3:D$502="GBP")*(Income!A$3:A$502=DATE(2026,8,14)),ROW(Income!A$3:A$502)-2),3)),"")&lt;&gt;"",IFERROR(INDEX(Income!B$3:B$502,SMALL(IF((Income!D$3:D$502="GBP")*(Income!A$3:A$502=DATE(2026,8,14)),ROW(Income!A$3:A$502)-2),3)),""),""))</f>
        <v/>
      </c>
      <c r="M166" s="152">
        <f t="array" ref="M166">IF(IFERROR(-INDEX(Expenses!D$3:D$999,SMALL(IF((Expenses!E$3:E$999="GBP")*(Expenses!A$3:A$999=DATE(2026,8,15)),ROW(Expenses!A$3:A$999)-2),3)),0)+IFERROR(INDEX(Income!C$3:C$502,SMALL(IF((Income!D$3:D$502="GBP")*(Income!A$3:A$502=DATE(2026,8,15)),ROW(Income!A$3:A$502)-2),3)),0)=0,"",IFERROR(-INDEX(Expenses!D$3:D$999,SMALL(IF((Expenses!E$3:E$999="GBP")*(Expenses!A$3:A$999=DATE(2026,8,15)),ROW(Expenses!A$3:A$999)-2),3)),0)+IFERROR(INDEX(Income!C$3:C$502,SMALL(IF((Income!D$3:D$502="GBP")*(Income!A$3:A$502=DATE(2026,8,15)),ROW(Income!A$3:A$502)-2),3)),0))</f>
        <v/>
      </c>
      <c r="N166" s="126">
        <f t="array" ref="N166">IF(IFERROR(INDEX(Expenses!B$3:B$999,SMALL(IF((Expenses!E$3:E$999="GBP")*(Expenses!A$3:A$999=DATE(2026,8,15)),ROW(Expenses!A$3:A$999)-2),3)),"")&lt;&gt;"",IFERROR(INDEX(Expenses!B$3:B$999,SMALL(IF((Expenses!E$3:E$999="GBP")*(Expenses!A$3:A$999=DATE(2026,8,15)),ROW(Expenses!A$3:A$999)-2),3)),""),IF(IFERROR(INDEX(Income!B$3:B$502,SMALL(IF((Income!D$3:D$502="GBP")*(Income!A$3:A$502=DATE(2026,8,15)),ROW(Income!A$3:A$502)-2),3)),"")&lt;&gt;"",IFERROR(INDEX(Income!B$3:B$502,SMALL(IF((Income!D$3:D$502="GBP")*(Income!A$3:A$502=DATE(2026,8,15)),ROW(Income!A$3:A$502)-2),3)),""),""))</f>
        <v/>
      </c>
      <c r="O166" s="152">
        <f t="array" ref="O166">IF(IFERROR(-INDEX(Expenses!D$3:D$999,SMALL(IF((Expenses!E$3:E$999="GBP")*(Expenses!A$3:A$999=DATE(2026,8,16)),ROW(Expenses!A$3:A$999)-2),3)),0)+IFERROR(INDEX(Income!C$3:C$502,SMALL(IF((Income!D$3:D$502="GBP")*(Income!A$3:A$502=DATE(2026,8,16)),ROW(Income!A$3:A$502)-2),3)),0)=0,"",IFERROR(-INDEX(Expenses!D$3:D$999,SMALL(IF((Expenses!E$3:E$999="GBP")*(Expenses!A$3:A$999=DATE(2026,8,16)),ROW(Expenses!A$3:A$999)-2),3)),0)+IFERROR(INDEX(Income!C$3:C$502,SMALL(IF((Income!D$3:D$502="GBP")*(Income!A$3:A$502=DATE(2026,8,16)),ROW(Income!A$3:A$502)-2),3)),0))</f>
        <v/>
      </c>
      <c r="P166" s="126">
        <f t="array" ref="P166">IF(IFERROR(INDEX(Expenses!B$3:B$999,SMALL(IF((Expenses!E$3:E$999="GBP")*(Expenses!A$3:A$999=DATE(2026,8,16)),ROW(Expenses!A$3:A$999)-2),3)),"")&lt;&gt;"",IFERROR(INDEX(Expenses!B$3:B$999,SMALL(IF((Expenses!E$3:E$999="GBP")*(Expenses!A$3:A$999=DATE(2026,8,16)),ROW(Expenses!A$3:A$999)-2),3)),""),IF(IFERROR(INDEX(Income!B$3:B$502,SMALL(IF((Income!D$3:D$502="GBP")*(Income!A$3:A$502=DATE(2026,8,16)),ROW(Income!A$3:A$502)-2),3)),"")&lt;&gt;"",IFERROR(INDEX(Income!B$3:B$502,SMALL(IF((Income!D$3:D$502="GBP")*(Income!A$3:A$502=DATE(2026,8,16)),ROW(Income!A$3:A$502)-2),3)),""),""))</f>
        <v/>
      </c>
      <c r="Q166" s="9" t="n"/>
      <c r="R166" s="9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68">
      <c r="A167" s="9" t="n"/>
      <c r="B167" s="9" t="n"/>
      <c r="C167" s="152">
        <f t="array" ref="C167">IF(IFERROR(-INDEX(Expenses!D$3:D$999,SMALL(IF((Expenses!E$3:E$999="GBP")*(Expenses!A$3:A$999=DATE(2026,8,10)),ROW(Expenses!A$3:A$999)-2),4)),0)+IFERROR(INDEX(Income!C$3:C$502,SMALL(IF((Income!D$3:D$502="GBP")*(Income!A$3:A$502=DATE(2026,8,10)),ROW(Income!A$3:A$502)-2),4)),0)=0,"",IFERROR(-INDEX(Expenses!D$3:D$999,SMALL(IF((Expenses!E$3:E$999="GBP")*(Expenses!A$3:A$999=DATE(2026,8,10)),ROW(Expenses!A$3:A$999)-2),4)),0)+IFERROR(INDEX(Income!C$3:C$502,SMALL(IF((Income!D$3:D$502="GBP")*(Income!A$3:A$502=DATE(2026,8,10)),ROW(Income!A$3:A$502)-2),4)),0))</f>
        <v/>
      </c>
      <c r="D167" s="126">
        <f t="array" ref="D167">IF(IFERROR(INDEX(Expenses!B$3:B$999,SMALL(IF((Expenses!E$3:E$999="GBP")*(Expenses!A$3:A$999=DATE(2026,8,10)),ROW(Expenses!A$3:A$999)-2),4)),"")&lt;&gt;"",IFERROR(INDEX(Expenses!B$3:B$999,SMALL(IF((Expenses!E$3:E$999="GBP")*(Expenses!A$3:A$999=DATE(2026,8,10)),ROW(Expenses!A$3:A$999)-2),4)),""),IF(IFERROR(INDEX(Income!B$3:B$502,SMALL(IF((Income!D$3:D$502="GBP")*(Income!A$3:A$502=DATE(2026,8,10)),ROW(Income!A$3:A$502)-2),4)),"")&lt;&gt;"",IFERROR(INDEX(Income!B$3:B$502,SMALL(IF((Income!D$3:D$502="GBP")*(Income!A$3:A$502=DATE(2026,8,10)),ROW(Income!A$3:A$502)-2),4)),""),""))</f>
        <v/>
      </c>
      <c r="E167" s="152">
        <f t="array" ref="E167">IF(IFERROR(-INDEX(Expenses!D$3:D$999,SMALL(IF((Expenses!E$3:E$999="GBP")*(Expenses!A$3:A$999=DATE(2026,8,11)),ROW(Expenses!A$3:A$999)-2),4)),0)+IFERROR(INDEX(Income!C$3:C$502,SMALL(IF((Income!D$3:D$502="GBP")*(Income!A$3:A$502=DATE(2026,8,11)),ROW(Income!A$3:A$502)-2),4)),0)=0,"",IFERROR(-INDEX(Expenses!D$3:D$999,SMALL(IF((Expenses!E$3:E$999="GBP")*(Expenses!A$3:A$999=DATE(2026,8,11)),ROW(Expenses!A$3:A$999)-2),4)),0)+IFERROR(INDEX(Income!C$3:C$502,SMALL(IF((Income!D$3:D$502="GBP")*(Income!A$3:A$502=DATE(2026,8,11)),ROW(Income!A$3:A$502)-2),4)),0))</f>
        <v/>
      </c>
      <c r="F167" s="126">
        <f t="array" ref="F167">IF(IFERROR(INDEX(Expenses!B$3:B$999,SMALL(IF((Expenses!E$3:E$999="GBP")*(Expenses!A$3:A$999=DATE(2026,8,11)),ROW(Expenses!A$3:A$999)-2),4)),"")&lt;&gt;"",IFERROR(INDEX(Expenses!B$3:B$999,SMALL(IF((Expenses!E$3:E$999="GBP")*(Expenses!A$3:A$999=DATE(2026,8,11)),ROW(Expenses!A$3:A$999)-2),4)),""),IF(IFERROR(INDEX(Income!B$3:B$502,SMALL(IF((Income!D$3:D$502="GBP")*(Income!A$3:A$502=DATE(2026,8,11)),ROW(Income!A$3:A$502)-2),4)),"")&lt;&gt;"",IFERROR(INDEX(Income!B$3:B$502,SMALL(IF((Income!D$3:D$502="GBP")*(Income!A$3:A$502=DATE(2026,8,11)),ROW(Income!A$3:A$502)-2),4)),""),""))</f>
        <v/>
      </c>
      <c r="G167" s="152">
        <f t="array" ref="G167">IF(IFERROR(-INDEX(Expenses!D$3:D$999,SMALL(IF((Expenses!E$3:E$999="GBP")*(Expenses!A$3:A$999=DATE(2026,8,12)),ROW(Expenses!A$3:A$999)-2),4)),0)+IFERROR(INDEX(Income!C$3:C$502,SMALL(IF((Income!D$3:D$502="GBP")*(Income!A$3:A$502=DATE(2026,8,12)),ROW(Income!A$3:A$502)-2),4)),0)=0,"",IFERROR(-INDEX(Expenses!D$3:D$999,SMALL(IF((Expenses!E$3:E$999="GBP")*(Expenses!A$3:A$999=DATE(2026,8,12)),ROW(Expenses!A$3:A$999)-2),4)),0)+IFERROR(INDEX(Income!C$3:C$502,SMALL(IF((Income!D$3:D$502="GBP")*(Income!A$3:A$502=DATE(2026,8,12)),ROW(Income!A$3:A$502)-2),4)),0))</f>
        <v/>
      </c>
      <c r="H167" s="126">
        <f t="array" ref="H167">IF(IFERROR(INDEX(Expenses!B$3:B$999,SMALL(IF((Expenses!E$3:E$999="GBP")*(Expenses!A$3:A$999=DATE(2026,8,12)),ROW(Expenses!A$3:A$999)-2),4)),"")&lt;&gt;"",IFERROR(INDEX(Expenses!B$3:B$999,SMALL(IF((Expenses!E$3:E$999="GBP")*(Expenses!A$3:A$999=DATE(2026,8,12)),ROW(Expenses!A$3:A$999)-2),4)),""),IF(IFERROR(INDEX(Income!B$3:B$502,SMALL(IF((Income!D$3:D$502="GBP")*(Income!A$3:A$502=DATE(2026,8,12)),ROW(Income!A$3:A$502)-2),4)),"")&lt;&gt;"",IFERROR(INDEX(Income!B$3:B$502,SMALL(IF((Income!D$3:D$502="GBP")*(Income!A$3:A$502=DATE(2026,8,12)),ROW(Income!A$3:A$502)-2),4)),""),""))</f>
        <v/>
      </c>
      <c r="I167" s="152">
        <f t="array" ref="I167">IF(IFERROR(-INDEX(Expenses!D$3:D$999,SMALL(IF((Expenses!E$3:E$999="GBP")*(Expenses!A$3:A$999=DATE(2026,8,13)),ROW(Expenses!A$3:A$999)-2),4)),0)+IFERROR(INDEX(Income!C$3:C$502,SMALL(IF((Income!D$3:D$502="GBP")*(Income!A$3:A$502=DATE(2026,8,13)),ROW(Income!A$3:A$502)-2),4)),0)=0,"",IFERROR(-INDEX(Expenses!D$3:D$999,SMALL(IF((Expenses!E$3:E$999="GBP")*(Expenses!A$3:A$999=DATE(2026,8,13)),ROW(Expenses!A$3:A$999)-2),4)),0)+IFERROR(INDEX(Income!C$3:C$502,SMALL(IF((Income!D$3:D$502="GBP")*(Income!A$3:A$502=DATE(2026,8,13)),ROW(Income!A$3:A$502)-2),4)),0))</f>
        <v/>
      </c>
      <c r="J167" s="126">
        <f t="array" ref="J167">IF(IFERROR(INDEX(Expenses!B$3:B$999,SMALL(IF((Expenses!E$3:E$999="GBP")*(Expenses!A$3:A$999=DATE(2026,8,13)),ROW(Expenses!A$3:A$999)-2),4)),"")&lt;&gt;"",IFERROR(INDEX(Expenses!B$3:B$999,SMALL(IF((Expenses!E$3:E$999="GBP")*(Expenses!A$3:A$999=DATE(2026,8,13)),ROW(Expenses!A$3:A$999)-2),4)),""),IF(IFERROR(INDEX(Income!B$3:B$502,SMALL(IF((Income!D$3:D$502="GBP")*(Income!A$3:A$502=DATE(2026,8,13)),ROW(Income!A$3:A$502)-2),4)),"")&lt;&gt;"",IFERROR(INDEX(Income!B$3:B$502,SMALL(IF((Income!D$3:D$502="GBP")*(Income!A$3:A$502=DATE(2026,8,13)),ROW(Income!A$3:A$502)-2),4)),""),""))</f>
        <v/>
      </c>
      <c r="K167" s="152">
        <f t="array" ref="K167">IF(IFERROR(-INDEX(Expenses!D$3:D$999,SMALL(IF((Expenses!E$3:E$999="GBP")*(Expenses!A$3:A$999=DATE(2026,8,14)),ROW(Expenses!A$3:A$999)-2),4)),0)+IFERROR(INDEX(Income!C$3:C$502,SMALL(IF((Income!D$3:D$502="GBP")*(Income!A$3:A$502=DATE(2026,8,14)),ROW(Income!A$3:A$502)-2),4)),0)=0,"",IFERROR(-INDEX(Expenses!D$3:D$999,SMALL(IF((Expenses!E$3:E$999="GBP")*(Expenses!A$3:A$999=DATE(2026,8,14)),ROW(Expenses!A$3:A$999)-2),4)),0)+IFERROR(INDEX(Income!C$3:C$502,SMALL(IF((Income!D$3:D$502="GBP")*(Income!A$3:A$502=DATE(2026,8,14)),ROW(Income!A$3:A$502)-2),4)),0))</f>
        <v/>
      </c>
      <c r="L167" s="126">
        <f t="array" ref="L167">IF(IFERROR(INDEX(Expenses!B$3:B$999,SMALL(IF((Expenses!E$3:E$999="GBP")*(Expenses!A$3:A$999=DATE(2026,8,14)),ROW(Expenses!A$3:A$999)-2),4)),"")&lt;&gt;"",IFERROR(INDEX(Expenses!B$3:B$999,SMALL(IF((Expenses!E$3:E$999="GBP")*(Expenses!A$3:A$999=DATE(2026,8,14)),ROW(Expenses!A$3:A$999)-2),4)),""),IF(IFERROR(INDEX(Income!B$3:B$502,SMALL(IF((Income!D$3:D$502="GBP")*(Income!A$3:A$502=DATE(2026,8,14)),ROW(Income!A$3:A$502)-2),4)),"")&lt;&gt;"",IFERROR(INDEX(Income!B$3:B$502,SMALL(IF((Income!D$3:D$502="GBP")*(Income!A$3:A$502=DATE(2026,8,14)),ROW(Income!A$3:A$502)-2),4)),""),""))</f>
        <v/>
      </c>
      <c r="M167" s="152">
        <f t="array" ref="M167">IF(IFERROR(-INDEX(Expenses!D$3:D$999,SMALL(IF((Expenses!E$3:E$999="GBP")*(Expenses!A$3:A$999=DATE(2026,8,15)),ROW(Expenses!A$3:A$999)-2),4)),0)+IFERROR(INDEX(Income!C$3:C$502,SMALL(IF((Income!D$3:D$502="GBP")*(Income!A$3:A$502=DATE(2026,8,15)),ROW(Income!A$3:A$502)-2),4)),0)=0,"",IFERROR(-INDEX(Expenses!D$3:D$999,SMALL(IF((Expenses!E$3:E$999="GBP")*(Expenses!A$3:A$999=DATE(2026,8,15)),ROW(Expenses!A$3:A$999)-2),4)),0)+IFERROR(INDEX(Income!C$3:C$502,SMALL(IF((Income!D$3:D$502="GBP")*(Income!A$3:A$502=DATE(2026,8,15)),ROW(Income!A$3:A$502)-2),4)),0))</f>
        <v/>
      </c>
      <c r="N167" s="126">
        <f t="array" ref="N167">IF(IFERROR(INDEX(Expenses!B$3:B$999,SMALL(IF((Expenses!E$3:E$999="GBP")*(Expenses!A$3:A$999=DATE(2026,8,15)),ROW(Expenses!A$3:A$999)-2),4)),"")&lt;&gt;"",IFERROR(INDEX(Expenses!B$3:B$999,SMALL(IF((Expenses!E$3:E$999="GBP")*(Expenses!A$3:A$999=DATE(2026,8,15)),ROW(Expenses!A$3:A$999)-2),4)),""),IF(IFERROR(INDEX(Income!B$3:B$502,SMALL(IF((Income!D$3:D$502="GBP")*(Income!A$3:A$502=DATE(2026,8,15)),ROW(Income!A$3:A$502)-2),4)),"")&lt;&gt;"",IFERROR(INDEX(Income!B$3:B$502,SMALL(IF((Income!D$3:D$502="GBP")*(Income!A$3:A$502=DATE(2026,8,15)),ROW(Income!A$3:A$502)-2),4)),""),""))</f>
        <v/>
      </c>
      <c r="O167" s="152">
        <f t="array" ref="O167">IF(IFERROR(-INDEX(Expenses!D$3:D$999,SMALL(IF((Expenses!E$3:E$999="GBP")*(Expenses!A$3:A$999=DATE(2026,8,16)),ROW(Expenses!A$3:A$999)-2),4)),0)+IFERROR(INDEX(Income!C$3:C$502,SMALL(IF((Income!D$3:D$502="GBP")*(Income!A$3:A$502=DATE(2026,8,16)),ROW(Income!A$3:A$502)-2),4)),0)=0,"",IFERROR(-INDEX(Expenses!D$3:D$999,SMALL(IF((Expenses!E$3:E$999="GBP")*(Expenses!A$3:A$999=DATE(2026,8,16)),ROW(Expenses!A$3:A$999)-2),4)),0)+IFERROR(INDEX(Income!C$3:C$502,SMALL(IF((Income!D$3:D$502="GBP")*(Income!A$3:A$502=DATE(2026,8,16)),ROW(Income!A$3:A$502)-2),4)),0))</f>
        <v/>
      </c>
      <c r="P167" s="126">
        <f t="array" ref="P167">IF(IFERROR(INDEX(Expenses!B$3:B$999,SMALL(IF((Expenses!E$3:E$999="GBP")*(Expenses!A$3:A$999=DATE(2026,8,16)),ROW(Expenses!A$3:A$999)-2),4)),"")&lt;&gt;"",IFERROR(INDEX(Expenses!B$3:B$999,SMALL(IF((Expenses!E$3:E$999="GBP")*(Expenses!A$3:A$999=DATE(2026,8,16)),ROW(Expenses!A$3:A$999)-2),4)),""),IF(IFERROR(INDEX(Income!B$3:B$502,SMALL(IF((Income!D$3:D$502="GBP")*(Income!A$3:A$502=DATE(2026,8,16)),ROW(Income!A$3:A$502)-2),4)),"")&lt;&gt;"",IFERROR(INDEX(Income!B$3:B$502,SMALL(IF((Income!D$3:D$502="GBP")*(Income!A$3:A$502=DATE(2026,8,16)),ROW(Income!A$3:A$502)-2),4)),""),""))</f>
        <v/>
      </c>
      <c r="Q167" s="9" t="n"/>
      <c r="R167" s="9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68">
      <c r="A168" s="9" t="n"/>
      <c r="B168" s="9" t="n"/>
      <c r="C168" s="152">
        <f t="array" ref="C168">IF(IFERROR(-INDEX(Expenses!D$3:D$999,SMALL(IF((Expenses!E$3:E$999="GBP")*(Expenses!A$3:A$999=DATE(2026,8,10)),ROW(Expenses!A$3:A$999)-2),5)),0)+IFERROR(INDEX(Income!C$3:C$502,SMALL(IF((Income!D$3:D$502="GBP")*(Income!A$3:A$502=DATE(2026,8,10)),ROW(Income!A$3:A$502)-2),5)),0)=0,"",IFERROR(-INDEX(Expenses!D$3:D$999,SMALL(IF((Expenses!E$3:E$999="GBP")*(Expenses!A$3:A$999=DATE(2026,8,10)),ROW(Expenses!A$3:A$999)-2),5)),0)+IFERROR(INDEX(Income!C$3:C$502,SMALL(IF((Income!D$3:D$502="GBP")*(Income!A$3:A$502=DATE(2026,8,10)),ROW(Income!A$3:A$502)-2),5)),0))</f>
        <v/>
      </c>
      <c r="D168" s="126">
        <f t="array" ref="D168">IF(IFERROR(INDEX(Expenses!B$3:B$999,SMALL(IF((Expenses!E$3:E$999="GBP")*(Expenses!A$3:A$999=DATE(2026,8,10)),ROW(Expenses!A$3:A$999)-2),5)),"")&lt;&gt;"",IFERROR(INDEX(Expenses!B$3:B$999,SMALL(IF((Expenses!E$3:E$999="GBP")*(Expenses!A$3:A$999=DATE(2026,8,10)),ROW(Expenses!A$3:A$999)-2),5)),""),IF(IFERROR(INDEX(Income!B$3:B$502,SMALL(IF((Income!D$3:D$502="GBP")*(Income!A$3:A$502=DATE(2026,8,10)),ROW(Income!A$3:A$502)-2),5)),"")&lt;&gt;"",IFERROR(INDEX(Income!B$3:B$502,SMALL(IF((Income!D$3:D$502="GBP")*(Income!A$3:A$502=DATE(2026,8,10)),ROW(Income!A$3:A$502)-2),5)),""),""))</f>
        <v/>
      </c>
      <c r="E168" s="152">
        <f t="array" ref="E168">IF(IFERROR(-INDEX(Expenses!D$3:D$999,SMALL(IF((Expenses!E$3:E$999="GBP")*(Expenses!A$3:A$999=DATE(2026,8,11)),ROW(Expenses!A$3:A$999)-2),5)),0)+IFERROR(INDEX(Income!C$3:C$502,SMALL(IF((Income!D$3:D$502="GBP")*(Income!A$3:A$502=DATE(2026,8,11)),ROW(Income!A$3:A$502)-2),5)),0)=0,"",IFERROR(-INDEX(Expenses!D$3:D$999,SMALL(IF((Expenses!E$3:E$999="GBP")*(Expenses!A$3:A$999=DATE(2026,8,11)),ROW(Expenses!A$3:A$999)-2),5)),0)+IFERROR(INDEX(Income!C$3:C$502,SMALL(IF((Income!D$3:D$502="GBP")*(Income!A$3:A$502=DATE(2026,8,11)),ROW(Income!A$3:A$502)-2),5)),0))</f>
        <v/>
      </c>
      <c r="F168" s="126">
        <f t="array" ref="F168">IF(IFERROR(INDEX(Expenses!B$3:B$999,SMALL(IF((Expenses!E$3:E$999="GBP")*(Expenses!A$3:A$999=DATE(2026,8,11)),ROW(Expenses!A$3:A$999)-2),5)),"")&lt;&gt;"",IFERROR(INDEX(Expenses!B$3:B$999,SMALL(IF((Expenses!E$3:E$999="GBP")*(Expenses!A$3:A$999=DATE(2026,8,11)),ROW(Expenses!A$3:A$999)-2),5)),""),IF(IFERROR(INDEX(Income!B$3:B$502,SMALL(IF((Income!D$3:D$502="GBP")*(Income!A$3:A$502=DATE(2026,8,11)),ROW(Income!A$3:A$502)-2),5)),"")&lt;&gt;"",IFERROR(INDEX(Income!B$3:B$502,SMALL(IF((Income!D$3:D$502="GBP")*(Income!A$3:A$502=DATE(2026,8,11)),ROW(Income!A$3:A$502)-2),5)),""),""))</f>
        <v/>
      </c>
      <c r="G168" s="152">
        <f t="array" ref="G168">IF(IFERROR(-INDEX(Expenses!D$3:D$999,SMALL(IF((Expenses!E$3:E$999="GBP")*(Expenses!A$3:A$999=DATE(2026,8,12)),ROW(Expenses!A$3:A$999)-2),5)),0)+IFERROR(INDEX(Income!C$3:C$502,SMALL(IF((Income!D$3:D$502="GBP")*(Income!A$3:A$502=DATE(2026,8,12)),ROW(Income!A$3:A$502)-2),5)),0)=0,"",IFERROR(-INDEX(Expenses!D$3:D$999,SMALL(IF((Expenses!E$3:E$999="GBP")*(Expenses!A$3:A$999=DATE(2026,8,12)),ROW(Expenses!A$3:A$999)-2),5)),0)+IFERROR(INDEX(Income!C$3:C$502,SMALL(IF((Income!D$3:D$502="GBP")*(Income!A$3:A$502=DATE(2026,8,12)),ROW(Income!A$3:A$502)-2),5)),0))</f>
        <v/>
      </c>
      <c r="H168" s="126">
        <f t="array" ref="H168">IF(IFERROR(INDEX(Expenses!B$3:B$999,SMALL(IF((Expenses!E$3:E$999="GBP")*(Expenses!A$3:A$999=DATE(2026,8,12)),ROW(Expenses!A$3:A$999)-2),5)),"")&lt;&gt;"",IFERROR(INDEX(Expenses!B$3:B$999,SMALL(IF((Expenses!E$3:E$999="GBP")*(Expenses!A$3:A$999=DATE(2026,8,12)),ROW(Expenses!A$3:A$999)-2),5)),""),IF(IFERROR(INDEX(Income!B$3:B$502,SMALL(IF((Income!D$3:D$502="GBP")*(Income!A$3:A$502=DATE(2026,8,12)),ROW(Income!A$3:A$502)-2),5)),"")&lt;&gt;"",IFERROR(INDEX(Income!B$3:B$502,SMALL(IF((Income!D$3:D$502="GBP")*(Income!A$3:A$502=DATE(2026,8,12)),ROW(Income!A$3:A$502)-2),5)),""),""))</f>
        <v/>
      </c>
      <c r="I168" s="152">
        <f t="array" ref="I168">IF(IFERROR(-INDEX(Expenses!D$3:D$999,SMALL(IF((Expenses!E$3:E$999="GBP")*(Expenses!A$3:A$999=DATE(2026,8,13)),ROW(Expenses!A$3:A$999)-2),5)),0)+IFERROR(INDEX(Income!C$3:C$502,SMALL(IF((Income!D$3:D$502="GBP")*(Income!A$3:A$502=DATE(2026,8,13)),ROW(Income!A$3:A$502)-2),5)),0)=0,"",IFERROR(-INDEX(Expenses!D$3:D$999,SMALL(IF((Expenses!E$3:E$999="GBP")*(Expenses!A$3:A$999=DATE(2026,8,13)),ROW(Expenses!A$3:A$999)-2),5)),0)+IFERROR(INDEX(Income!C$3:C$502,SMALL(IF((Income!D$3:D$502="GBP")*(Income!A$3:A$502=DATE(2026,8,13)),ROW(Income!A$3:A$502)-2),5)),0))</f>
        <v/>
      </c>
      <c r="J168" s="126">
        <f t="array" ref="J168">IF(IFERROR(INDEX(Expenses!B$3:B$999,SMALL(IF((Expenses!E$3:E$999="GBP")*(Expenses!A$3:A$999=DATE(2026,8,13)),ROW(Expenses!A$3:A$999)-2),5)),"")&lt;&gt;"",IFERROR(INDEX(Expenses!B$3:B$999,SMALL(IF((Expenses!E$3:E$999="GBP")*(Expenses!A$3:A$999=DATE(2026,8,13)),ROW(Expenses!A$3:A$999)-2),5)),""),IF(IFERROR(INDEX(Income!B$3:B$502,SMALL(IF((Income!D$3:D$502="GBP")*(Income!A$3:A$502=DATE(2026,8,13)),ROW(Income!A$3:A$502)-2),5)),"")&lt;&gt;"",IFERROR(INDEX(Income!B$3:B$502,SMALL(IF((Income!D$3:D$502="GBP")*(Income!A$3:A$502=DATE(2026,8,13)),ROW(Income!A$3:A$502)-2),5)),""),""))</f>
        <v/>
      </c>
      <c r="K168" s="152">
        <f t="array" ref="K168">IF(IFERROR(-INDEX(Expenses!D$3:D$999,SMALL(IF((Expenses!E$3:E$999="GBP")*(Expenses!A$3:A$999=DATE(2026,8,14)),ROW(Expenses!A$3:A$999)-2),5)),0)+IFERROR(INDEX(Income!C$3:C$502,SMALL(IF((Income!D$3:D$502="GBP")*(Income!A$3:A$502=DATE(2026,8,14)),ROW(Income!A$3:A$502)-2),5)),0)=0,"",IFERROR(-INDEX(Expenses!D$3:D$999,SMALL(IF((Expenses!E$3:E$999="GBP")*(Expenses!A$3:A$999=DATE(2026,8,14)),ROW(Expenses!A$3:A$999)-2),5)),0)+IFERROR(INDEX(Income!C$3:C$502,SMALL(IF((Income!D$3:D$502="GBP")*(Income!A$3:A$502=DATE(2026,8,14)),ROW(Income!A$3:A$502)-2),5)),0))</f>
        <v/>
      </c>
      <c r="L168" s="126">
        <f t="array" ref="L168">IF(IFERROR(INDEX(Expenses!B$3:B$999,SMALL(IF((Expenses!E$3:E$999="GBP")*(Expenses!A$3:A$999=DATE(2026,8,14)),ROW(Expenses!A$3:A$999)-2),5)),"")&lt;&gt;"",IFERROR(INDEX(Expenses!B$3:B$999,SMALL(IF((Expenses!E$3:E$999="GBP")*(Expenses!A$3:A$999=DATE(2026,8,14)),ROW(Expenses!A$3:A$999)-2),5)),""),IF(IFERROR(INDEX(Income!B$3:B$502,SMALL(IF((Income!D$3:D$502="GBP")*(Income!A$3:A$502=DATE(2026,8,14)),ROW(Income!A$3:A$502)-2),5)),"")&lt;&gt;"",IFERROR(INDEX(Income!B$3:B$502,SMALL(IF((Income!D$3:D$502="GBP")*(Income!A$3:A$502=DATE(2026,8,14)),ROW(Income!A$3:A$502)-2),5)),""),""))</f>
        <v/>
      </c>
      <c r="M168" s="152">
        <f t="array" ref="M168">IF(IFERROR(-INDEX(Expenses!D$3:D$999,SMALL(IF((Expenses!E$3:E$999="GBP")*(Expenses!A$3:A$999=DATE(2026,8,15)),ROW(Expenses!A$3:A$999)-2),5)),0)+IFERROR(INDEX(Income!C$3:C$502,SMALL(IF((Income!D$3:D$502="GBP")*(Income!A$3:A$502=DATE(2026,8,15)),ROW(Income!A$3:A$502)-2),5)),0)=0,"",IFERROR(-INDEX(Expenses!D$3:D$999,SMALL(IF((Expenses!E$3:E$999="GBP")*(Expenses!A$3:A$999=DATE(2026,8,15)),ROW(Expenses!A$3:A$999)-2),5)),0)+IFERROR(INDEX(Income!C$3:C$502,SMALL(IF((Income!D$3:D$502="GBP")*(Income!A$3:A$502=DATE(2026,8,15)),ROW(Income!A$3:A$502)-2),5)),0))</f>
        <v/>
      </c>
      <c r="N168" s="126">
        <f t="array" ref="N168">IF(IFERROR(INDEX(Expenses!B$3:B$999,SMALL(IF((Expenses!E$3:E$999="GBP")*(Expenses!A$3:A$999=DATE(2026,8,15)),ROW(Expenses!A$3:A$999)-2),5)),"")&lt;&gt;"",IFERROR(INDEX(Expenses!B$3:B$999,SMALL(IF((Expenses!E$3:E$999="GBP")*(Expenses!A$3:A$999=DATE(2026,8,15)),ROW(Expenses!A$3:A$999)-2),5)),""),IF(IFERROR(INDEX(Income!B$3:B$502,SMALL(IF((Income!D$3:D$502="GBP")*(Income!A$3:A$502=DATE(2026,8,15)),ROW(Income!A$3:A$502)-2),5)),"")&lt;&gt;"",IFERROR(INDEX(Income!B$3:B$502,SMALL(IF((Income!D$3:D$502="GBP")*(Income!A$3:A$502=DATE(2026,8,15)),ROW(Income!A$3:A$502)-2),5)),""),""))</f>
        <v/>
      </c>
      <c r="O168" s="152">
        <f t="array" ref="O168">IF(IFERROR(-INDEX(Expenses!D$3:D$999,SMALL(IF((Expenses!E$3:E$999="GBP")*(Expenses!A$3:A$999=DATE(2026,8,16)),ROW(Expenses!A$3:A$999)-2),5)),0)+IFERROR(INDEX(Income!C$3:C$502,SMALL(IF((Income!D$3:D$502="GBP")*(Income!A$3:A$502=DATE(2026,8,16)),ROW(Income!A$3:A$502)-2),5)),0)=0,"",IFERROR(-INDEX(Expenses!D$3:D$999,SMALL(IF((Expenses!E$3:E$999="GBP")*(Expenses!A$3:A$999=DATE(2026,8,16)),ROW(Expenses!A$3:A$999)-2),5)),0)+IFERROR(INDEX(Income!C$3:C$502,SMALL(IF((Income!D$3:D$502="GBP")*(Income!A$3:A$502=DATE(2026,8,16)),ROW(Income!A$3:A$502)-2),5)),0))</f>
        <v/>
      </c>
      <c r="P168" s="126">
        <f t="array" ref="P168">IF(IFERROR(INDEX(Expenses!B$3:B$999,SMALL(IF((Expenses!E$3:E$999="GBP")*(Expenses!A$3:A$999=DATE(2026,8,16)),ROW(Expenses!A$3:A$999)-2),5)),"")&lt;&gt;"",IFERROR(INDEX(Expenses!B$3:B$999,SMALL(IF((Expenses!E$3:E$999="GBP")*(Expenses!A$3:A$999=DATE(2026,8,16)),ROW(Expenses!A$3:A$999)-2),5)),""),IF(IFERROR(INDEX(Income!B$3:B$502,SMALL(IF((Income!D$3:D$502="GBP")*(Income!A$3:A$502=DATE(2026,8,16)),ROW(Income!A$3:A$502)-2),5)),"")&lt;&gt;"",IFERROR(INDEX(Income!B$3:B$502,SMALL(IF((Income!D$3:D$502="GBP")*(Income!A$3:A$502=DATE(2026,8,16)),ROW(Income!A$3:A$502)-2),5)),""),""))</f>
        <v/>
      </c>
      <c r="Q168" s="9" t="n"/>
      <c r="R168" s="9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68">
      <c r="A169" s="151" t="n">
        <v>46251</v>
      </c>
      <c r="B169" s="103" t="n">
        <v>34</v>
      </c>
      <c r="C169" s="152">
        <f t="array" ref="C169">IF(IFERROR(-INDEX(Expenses!D$3:D$999,SMALL(IF((Expenses!E$3:E$999="GBP")*(Expenses!A$3:A$999=DATE(2026,8,17)),ROW(Expenses!A$3:A$999)-2),1)),0)+IFERROR(INDEX(Income!C$3:C$502,SMALL(IF((Income!D$3:D$502="GBP")*(Income!A$3:A$502=DATE(2026,8,17)),ROW(Income!A$3:A$502)-2),1)),0)=0,"",IFERROR(-INDEX(Expenses!D$3:D$999,SMALL(IF((Expenses!E$3:E$999="GBP")*(Expenses!A$3:A$999=DATE(2026,8,17)),ROW(Expenses!A$3:A$999)-2),1)),0)+IFERROR(INDEX(Income!C$3:C$502,SMALL(IF((Income!D$3:D$502="GBP")*(Income!A$3:A$502=DATE(2026,8,17)),ROW(Income!A$3:A$502)-2),1)),0))</f>
        <v/>
      </c>
      <c r="D169" s="126">
        <f t="array" ref="D169">IF(IFERROR(INDEX(Expenses!B$3:B$999,SMALL(IF((Expenses!E$3:E$999="GBP")*(Expenses!A$3:A$999=DATE(2026,8,17)),ROW(Expenses!A$3:A$999)-2),1)),"")&lt;&gt;"",IFERROR(INDEX(Expenses!B$3:B$999,SMALL(IF((Expenses!E$3:E$999="GBP")*(Expenses!A$3:A$999=DATE(2026,8,17)),ROW(Expenses!A$3:A$999)-2),1)),""),IF(IFERROR(INDEX(Income!B$3:B$502,SMALL(IF((Income!D$3:D$502="GBP")*(Income!A$3:A$502=DATE(2026,8,17)),ROW(Income!A$3:A$502)-2),1)),"")&lt;&gt;"",IFERROR(INDEX(Income!B$3:B$502,SMALL(IF((Income!D$3:D$502="GBP")*(Income!A$3:A$502=DATE(2026,8,17)),ROW(Income!A$3:A$502)-2),1)),""),""))</f>
        <v/>
      </c>
      <c r="E169" s="152">
        <f t="array" ref="E169">IF(IFERROR(-INDEX(Expenses!D$3:D$999,SMALL(IF((Expenses!E$3:E$999="GBP")*(Expenses!A$3:A$999=DATE(2026,8,18)),ROW(Expenses!A$3:A$999)-2),1)),0)+IFERROR(INDEX(Income!C$3:C$502,SMALL(IF((Income!D$3:D$502="GBP")*(Income!A$3:A$502=DATE(2026,8,18)),ROW(Income!A$3:A$502)-2),1)),0)=0,"",IFERROR(-INDEX(Expenses!D$3:D$999,SMALL(IF((Expenses!E$3:E$999="GBP")*(Expenses!A$3:A$999=DATE(2026,8,18)),ROW(Expenses!A$3:A$999)-2),1)),0)+IFERROR(INDEX(Income!C$3:C$502,SMALL(IF((Income!D$3:D$502="GBP")*(Income!A$3:A$502=DATE(2026,8,18)),ROW(Income!A$3:A$502)-2),1)),0))</f>
        <v/>
      </c>
      <c r="F169" s="126">
        <f t="array" ref="F169">IF(IFERROR(INDEX(Expenses!B$3:B$999,SMALL(IF((Expenses!E$3:E$999="GBP")*(Expenses!A$3:A$999=DATE(2026,8,18)),ROW(Expenses!A$3:A$999)-2),1)),"")&lt;&gt;"",IFERROR(INDEX(Expenses!B$3:B$999,SMALL(IF((Expenses!E$3:E$999="GBP")*(Expenses!A$3:A$999=DATE(2026,8,18)),ROW(Expenses!A$3:A$999)-2),1)),""),IF(IFERROR(INDEX(Income!B$3:B$502,SMALL(IF((Income!D$3:D$502="GBP")*(Income!A$3:A$502=DATE(2026,8,18)),ROW(Income!A$3:A$502)-2),1)),"")&lt;&gt;"",IFERROR(INDEX(Income!B$3:B$502,SMALL(IF((Income!D$3:D$502="GBP")*(Income!A$3:A$502=DATE(2026,8,18)),ROW(Income!A$3:A$502)-2),1)),""),""))</f>
        <v/>
      </c>
      <c r="G169" s="152">
        <f t="array" ref="G169">IF(IFERROR(-INDEX(Expenses!D$3:D$999,SMALL(IF((Expenses!E$3:E$999="GBP")*(Expenses!A$3:A$999=DATE(2026,8,19)),ROW(Expenses!A$3:A$999)-2),1)),0)+IFERROR(INDEX(Income!C$3:C$502,SMALL(IF((Income!D$3:D$502="GBP")*(Income!A$3:A$502=DATE(2026,8,19)),ROW(Income!A$3:A$502)-2),1)),0)=0,"",IFERROR(-INDEX(Expenses!D$3:D$999,SMALL(IF((Expenses!E$3:E$999="GBP")*(Expenses!A$3:A$999=DATE(2026,8,19)),ROW(Expenses!A$3:A$999)-2),1)),0)+IFERROR(INDEX(Income!C$3:C$502,SMALL(IF((Income!D$3:D$502="GBP")*(Income!A$3:A$502=DATE(2026,8,19)),ROW(Income!A$3:A$502)-2),1)),0))</f>
        <v/>
      </c>
      <c r="H169" s="126">
        <f t="array" ref="H169">IF(IFERROR(INDEX(Expenses!B$3:B$999,SMALL(IF((Expenses!E$3:E$999="GBP")*(Expenses!A$3:A$999=DATE(2026,8,19)),ROW(Expenses!A$3:A$999)-2),1)),"")&lt;&gt;"",IFERROR(INDEX(Expenses!B$3:B$999,SMALL(IF((Expenses!E$3:E$999="GBP")*(Expenses!A$3:A$999=DATE(2026,8,19)),ROW(Expenses!A$3:A$999)-2),1)),""),IF(IFERROR(INDEX(Income!B$3:B$502,SMALL(IF((Income!D$3:D$502="GBP")*(Income!A$3:A$502=DATE(2026,8,19)),ROW(Income!A$3:A$502)-2),1)),"")&lt;&gt;"",IFERROR(INDEX(Income!B$3:B$502,SMALL(IF((Income!D$3:D$502="GBP")*(Income!A$3:A$502=DATE(2026,8,19)),ROW(Income!A$3:A$502)-2),1)),""),""))</f>
        <v/>
      </c>
      <c r="I169" s="152">
        <f t="array" ref="I169">IF(IFERROR(-INDEX(Expenses!D$3:D$999,SMALL(IF((Expenses!E$3:E$999="GBP")*(Expenses!A$3:A$999=DATE(2026,8,20)),ROW(Expenses!A$3:A$999)-2),1)),0)+IFERROR(INDEX(Income!C$3:C$502,SMALL(IF((Income!D$3:D$502="GBP")*(Income!A$3:A$502=DATE(2026,8,20)),ROW(Income!A$3:A$502)-2),1)),0)=0,"",IFERROR(-INDEX(Expenses!D$3:D$999,SMALL(IF((Expenses!E$3:E$999="GBP")*(Expenses!A$3:A$999=DATE(2026,8,20)),ROW(Expenses!A$3:A$999)-2),1)),0)+IFERROR(INDEX(Income!C$3:C$502,SMALL(IF((Income!D$3:D$502="GBP")*(Income!A$3:A$502=DATE(2026,8,20)),ROW(Income!A$3:A$502)-2),1)),0))</f>
        <v/>
      </c>
      <c r="J169" s="126">
        <f t="array" ref="J169">IF(IFERROR(INDEX(Expenses!B$3:B$999,SMALL(IF((Expenses!E$3:E$999="GBP")*(Expenses!A$3:A$999=DATE(2026,8,20)),ROW(Expenses!A$3:A$999)-2),1)),"")&lt;&gt;"",IFERROR(INDEX(Expenses!B$3:B$999,SMALL(IF((Expenses!E$3:E$999="GBP")*(Expenses!A$3:A$999=DATE(2026,8,20)),ROW(Expenses!A$3:A$999)-2),1)),""),IF(IFERROR(INDEX(Income!B$3:B$502,SMALL(IF((Income!D$3:D$502="GBP")*(Income!A$3:A$502=DATE(2026,8,20)),ROW(Income!A$3:A$502)-2),1)),"")&lt;&gt;"",IFERROR(INDEX(Income!B$3:B$502,SMALL(IF((Income!D$3:D$502="GBP")*(Income!A$3:A$502=DATE(2026,8,20)),ROW(Income!A$3:A$502)-2),1)),""),""))</f>
        <v/>
      </c>
      <c r="K169" s="152">
        <f t="array" ref="K169">IF(IFERROR(-INDEX(Expenses!D$3:D$999,SMALL(IF((Expenses!E$3:E$999="GBP")*(Expenses!A$3:A$999=DATE(2026,8,21)),ROW(Expenses!A$3:A$999)-2),1)),0)+IFERROR(INDEX(Income!C$3:C$502,SMALL(IF((Income!D$3:D$502="GBP")*(Income!A$3:A$502=DATE(2026,8,21)),ROW(Income!A$3:A$502)-2),1)),0)=0,"",IFERROR(-INDEX(Expenses!D$3:D$999,SMALL(IF((Expenses!E$3:E$999="GBP")*(Expenses!A$3:A$999=DATE(2026,8,21)),ROW(Expenses!A$3:A$999)-2),1)),0)+IFERROR(INDEX(Income!C$3:C$502,SMALL(IF((Income!D$3:D$502="GBP")*(Income!A$3:A$502=DATE(2026,8,21)),ROW(Income!A$3:A$502)-2),1)),0))</f>
        <v/>
      </c>
      <c r="L169" s="126">
        <f t="array" ref="L169">IF(IFERROR(INDEX(Expenses!B$3:B$999,SMALL(IF((Expenses!E$3:E$999="GBP")*(Expenses!A$3:A$999=DATE(2026,8,21)),ROW(Expenses!A$3:A$999)-2),1)),"")&lt;&gt;"",IFERROR(INDEX(Expenses!B$3:B$999,SMALL(IF((Expenses!E$3:E$999="GBP")*(Expenses!A$3:A$999=DATE(2026,8,21)),ROW(Expenses!A$3:A$999)-2),1)),""),IF(IFERROR(INDEX(Income!B$3:B$502,SMALL(IF((Income!D$3:D$502="GBP")*(Income!A$3:A$502=DATE(2026,8,21)),ROW(Income!A$3:A$502)-2),1)),"")&lt;&gt;"",IFERROR(INDEX(Income!B$3:B$502,SMALL(IF((Income!D$3:D$502="GBP")*(Income!A$3:A$502=DATE(2026,8,21)),ROW(Income!A$3:A$502)-2),1)),""),""))</f>
        <v/>
      </c>
      <c r="M169" s="152">
        <f t="array" ref="M169">IF(IFERROR(-INDEX(Expenses!D$3:D$999,SMALL(IF((Expenses!E$3:E$999="GBP")*(Expenses!A$3:A$999=DATE(2026,8,22)),ROW(Expenses!A$3:A$999)-2),1)),0)+IFERROR(INDEX(Income!C$3:C$502,SMALL(IF((Income!D$3:D$502="GBP")*(Income!A$3:A$502=DATE(2026,8,22)),ROW(Income!A$3:A$502)-2),1)),0)=0,"",IFERROR(-INDEX(Expenses!D$3:D$999,SMALL(IF((Expenses!E$3:E$999="GBP")*(Expenses!A$3:A$999=DATE(2026,8,22)),ROW(Expenses!A$3:A$999)-2),1)),0)+IFERROR(INDEX(Income!C$3:C$502,SMALL(IF((Income!D$3:D$502="GBP")*(Income!A$3:A$502=DATE(2026,8,22)),ROW(Income!A$3:A$502)-2),1)),0))</f>
        <v/>
      </c>
      <c r="N169" s="126">
        <f t="array" ref="N169">IF(IFERROR(INDEX(Expenses!B$3:B$999,SMALL(IF((Expenses!E$3:E$999="GBP")*(Expenses!A$3:A$999=DATE(2026,8,22)),ROW(Expenses!A$3:A$999)-2),1)),"")&lt;&gt;"",IFERROR(INDEX(Expenses!B$3:B$999,SMALL(IF((Expenses!E$3:E$999="GBP")*(Expenses!A$3:A$999=DATE(2026,8,22)),ROW(Expenses!A$3:A$999)-2),1)),""),IF(IFERROR(INDEX(Income!B$3:B$502,SMALL(IF((Income!D$3:D$502="GBP")*(Income!A$3:A$502=DATE(2026,8,22)),ROW(Income!A$3:A$502)-2),1)),"")&lt;&gt;"",IFERROR(INDEX(Income!B$3:B$502,SMALL(IF((Income!D$3:D$502="GBP")*(Income!A$3:A$502=DATE(2026,8,22)),ROW(Income!A$3:A$502)-2),1)),""),""))</f>
        <v/>
      </c>
      <c r="O169" s="152">
        <f t="array" ref="O169">IF(IFERROR(-INDEX(Expenses!D$3:D$999,SMALL(IF((Expenses!E$3:E$999="GBP")*(Expenses!A$3:A$999=DATE(2026,8,23)),ROW(Expenses!A$3:A$999)-2),1)),0)+IFERROR(INDEX(Income!C$3:C$502,SMALL(IF((Income!D$3:D$502="GBP")*(Income!A$3:A$502=DATE(2026,8,23)),ROW(Income!A$3:A$502)-2),1)),0)=0,"",IFERROR(-INDEX(Expenses!D$3:D$999,SMALL(IF((Expenses!E$3:E$999="GBP")*(Expenses!A$3:A$999=DATE(2026,8,23)),ROW(Expenses!A$3:A$999)-2),1)),0)+IFERROR(INDEX(Income!C$3:C$502,SMALL(IF((Income!D$3:D$502="GBP")*(Income!A$3:A$502=DATE(2026,8,23)),ROW(Income!A$3:A$502)-2),1)),0))</f>
        <v/>
      </c>
      <c r="P169" s="126">
        <f t="array" ref="P169">IF(IFERROR(INDEX(Expenses!B$3:B$999,SMALL(IF((Expenses!E$3:E$999="GBP")*(Expenses!A$3:A$999=DATE(2026,8,23)),ROW(Expenses!A$3:A$999)-2),1)),"")&lt;&gt;"",IFERROR(INDEX(Expenses!B$3:B$999,SMALL(IF((Expenses!E$3:E$999="GBP")*(Expenses!A$3:A$999=DATE(2026,8,23)),ROW(Expenses!A$3:A$999)-2),1)),""),IF(IFERROR(INDEX(Income!B$3:B$502,SMALL(IF((Income!D$3:D$502="GBP")*(Income!A$3:A$502=DATE(2026,8,23)),ROW(Income!A$3:A$502)-2),1)),"")&lt;&gt;"",IFERROR(INDEX(Income!B$3:B$502,SMALL(IF((Income!D$3:D$502="GBP")*(Income!A$3:A$502=DATE(2026,8,23)),ROW(Income!A$3:A$502)-2),1)),""),""))</f>
        <v/>
      </c>
      <c r="Q169" s="103" t="n">
        <v>34</v>
      </c>
      <c r="R169" s="134">
        <f>SUM(C169:C173)+SUM(E169:E173)+SUM(G169:G173)+SUM(I169:I173)+SUM(K169:K173)+SUM(M169:M173)+SUM(O169:O173)</f>
        <v/>
      </c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68">
      <c r="A170" s="9" t="n"/>
      <c r="B170" s="9" t="n"/>
      <c r="C170" s="152">
        <f t="array" ref="C170">IF(IFERROR(-INDEX(Expenses!D$3:D$999,SMALL(IF((Expenses!E$3:E$999="GBP")*(Expenses!A$3:A$999=DATE(2026,8,17)),ROW(Expenses!A$3:A$999)-2),2)),0)+IFERROR(INDEX(Income!C$3:C$502,SMALL(IF((Income!D$3:D$502="GBP")*(Income!A$3:A$502=DATE(2026,8,17)),ROW(Income!A$3:A$502)-2),2)),0)=0,"",IFERROR(-INDEX(Expenses!D$3:D$999,SMALL(IF((Expenses!E$3:E$999="GBP")*(Expenses!A$3:A$999=DATE(2026,8,17)),ROW(Expenses!A$3:A$999)-2),2)),0)+IFERROR(INDEX(Income!C$3:C$502,SMALL(IF((Income!D$3:D$502="GBP")*(Income!A$3:A$502=DATE(2026,8,17)),ROW(Income!A$3:A$502)-2),2)),0))</f>
        <v/>
      </c>
      <c r="D170" s="126">
        <f t="array" ref="D170">IF(IFERROR(INDEX(Expenses!B$3:B$999,SMALL(IF((Expenses!E$3:E$999="GBP")*(Expenses!A$3:A$999=DATE(2026,8,17)),ROW(Expenses!A$3:A$999)-2),2)),"")&lt;&gt;"",IFERROR(INDEX(Expenses!B$3:B$999,SMALL(IF((Expenses!E$3:E$999="GBP")*(Expenses!A$3:A$999=DATE(2026,8,17)),ROW(Expenses!A$3:A$999)-2),2)),""),IF(IFERROR(INDEX(Income!B$3:B$502,SMALL(IF((Income!D$3:D$502="GBP")*(Income!A$3:A$502=DATE(2026,8,17)),ROW(Income!A$3:A$502)-2),2)),"")&lt;&gt;"",IFERROR(INDEX(Income!B$3:B$502,SMALL(IF((Income!D$3:D$502="GBP")*(Income!A$3:A$502=DATE(2026,8,17)),ROW(Income!A$3:A$502)-2),2)),""),""))</f>
        <v/>
      </c>
      <c r="E170" s="152">
        <f t="array" ref="E170">IF(IFERROR(-INDEX(Expenses!D$3:D$999,SMALL(IF((Expenses!E$3:E$999="GBP")*(Expenses!A$3:A$999=DATE(2026,8,18)),ROW(Expenses!A$3:A$999)-2),2)),0)+IFERROR(INDEX(Income!C$3:C$502,SMALL(IF((Income!D$3:D$502="GBP")*(Income!A$3:A$502=DATE(2026,8,18)),ROW(Income!A$3:A$502)-2),2)),0)=0,"",IFERROR(-INDEX(Expenses!D$3:D$999,SMALL(IF((Expenses!E$3:E$999="GBP")*(Expenses!A$3:A$999=DATE(2026,8,18)),ROW(Expenses!A$3:A$999)-2),2)),0)+IFERROR(INDEX(Income!C$3:C$502,SMALL(IF((Income!D$3:D$502="GBP")*(Income!A$3:A$502=DATE(2026,8,18)),ROW(Income!A$3:A$502)-2),2)),0))</f>
        <v/>
      </c>
      <c r="F170" s="126">
        <f t="array" ref="F170">IF(IFERROR(INDEX(Expenses!B$3:B$999,SMALL(IF((Expenses!E$3:E$999="GBP")*(Expenses!A$3:A$999=DATE(2026,8,18)),ROW(Expenses!A$3:A$999)-2),2)),"")&lt;&gt;"",IFERROR(INDEX(Expenses!B$3:B$999,SMALL(IF((Expenses!E$3:E$999="GBP")*(Expenses!A$3:A$999=DATE(2026,8,18)),ROW(Expenses!A$3:A$999)-2),2)),""),IF(IFERROR(INDEX(Income!B$3:B$502,SMALL(IF((Income!D$3:D$502="GBP")*(Income!A$3:A$502=DATE(2026,8,18)),ROW(Income!A$3:A$502)-2),2)),"")&lt;&gt;"",IFERROR(INDEX(Income!B$3:B$502,SMALL(IF((Income!D$3:D$502="GBP")*(Income!A$3:A$502=DATE(2026,8,18)),ROW(Income!A$3:A$502)-2),2)),""),""))</f>
        <v/>
      </c>
      <c r="G170" s="152">
        <f t="array" ref="G170">IF(IFERROR(-INDEX(Expenses!D$3:D$999,SMALL(IF((Expenses!E$3:E$999="GBP")*(Expenses!A$3:A$999=DATE(2026,8,19)),ROW(Expenses!A$3:A$999)-2),2)),0)+IFERROR(INDEX(Income!C$3:C$502,SMALL(IF((Income!D$3:D$502="GBP")*(Income!A$3:A$502=DATE(2026,8,19)),ROW(Income!A$3:A$502)-2),2)),0)=0,"",IFERROR(-INDEX(Expenses!D$3:D$999,SMALL(IF((Expenses!E$3:E$999="GBP")*(Expenses!A$3:A$999=DATE(2026,8,19)),ROW(Expenses!A$3:A$999)-2),2)),0)+IFERROR(INDEX(Income!C$3:C$502,SMALL(IF((Income!D$3:D$502="GBP")*(Income!A$3:A$502=DATE(2026,8,19)),ROW(Income!A$3:A$502)-2),2)),0))</f>
        <v/>
      </c>
      <c r="H170" s="126">
        <f t="array" ref="H170">IF(IFERROR(INDEX(Expenses!B$3:B$999,SMALL(IF((Expenses!E$3:E$999="GBP")*(Expenses!A$3:A$999=DATE(2026,8,19)),ROW(Expenses!A$3:A$999)-2),2)),"")&lt;&gt;"",IFERROR(INDEX(Expenses!B$3:B$999,SMALL(IF((Expenses!E$3:E$999="GBP")*(Expenses!A$3:A$999=DATE(2026,8,19)),ROW(Expenses!A$3:A$999)-2),2)),""),IF(IFERROR(INDEX(Income!B$3:B$502,SMALL(IF((Income!D$3:D$502="GBP")*(Income!A$3:A$502=DATE(2026,8,19)),ROW(Income!A$3:A$502)-2),2)),"")&lt;&gt;"",IFERROR(INDEX(Income!B$3:B$502,SMALL(IF((Income!D$3:D$502="GBP")*(Income!A$3:A$502=DATE(2026,8,19)),ROW(Income!A$3:A$502)-2),2)),""),""))</f>
        <v/>
      </c>
      <c r="I170" s="152">
        <f t="array" ref="I170">IF(IFERROR(-INDEX(Expenses!D$3:D$999,SMALL(IF((Expenses!E$3:E$999="GBP")*(Expenses!A$3:A$999=DATE(2026,8,20)),ROW(Expenses!A$3:A$999)-2),2)),0)+IFERROR(INDEX(Income!C$3:C$502,SMALL(IF((Income!D$3:D$502="GBP")*(Income!A$3:A$502=DATE(2026,8,20)),ROW(Income!A$3:A$502)-2),2)),0)=0,"",IFERROR(-INDEX(Expenses!D$3:D$999,SMALL(IF((Expenses!E$3:E$999="GBP")*(Expenses!A$3:A$999=DATE(2026,8,20)),ROW(Expenses!A$3:A$999)-2),2)),0)+IFERROR(INDEX(Income!C$3:C$502,SMALL(IF((Income!D$3:D$502="GBP")*(Income!A$3:A$502=DATE(2026,8,20)),ROW(Income!A$3:A$502)-2),2)),0))</f>
        <v/>
      </c>
      <c r="J170" s="126">
        <f t="array" ref="J170">IF(IFERROR(INDEX(Expenses!B$3:B$999,SMALL(IF((Expenses!E$3:E$999="GBP")*(Expenses!A$3:A$999=DATE(2026,8,20)),ROW(Expenses!A$3:A$999)-2),2)),"")&lt;&gt;"",IFERROR(INDEX(Expenses!B$3:B$999,SMALL(IF((Expenses!E$3:E$999="GBP")*(Expenses!A$3:A$999=DATE(2026,8,20)),ROW(Expenses!A$3:A$999)-2),2)),""),IF(IFERROR(INDEX(Income!B$3:B$502,SMALL(IF((Income!D$3:D$502="GBP")*(Income!A$3:A$502=DATE(2026,8,20)),ROW(Income!A$3:A$502)-2),2)),"")&lt;&gt;"",IFERROR(INDEX(Income!B$3:B$502,SMALL(IF((Income!D$3:D$502="GBP")*(Income!A$3:A$502=DATE(2026,8,20)),ROW(Income!A$3:A$502)-2),2)),""),""))</f>
        <v/>
      </c>
      <c r="K170" s="152">
        <f t="array" ref="K170">IF(IFERROR(-INDEX(Expenses!D$3:D$999,SMALL(IF((Expenses!E$3:E$999="GBP")*(Expenses!A$3:A$999=DATE(2026,8,21)),ROW(Expenses!A$3:A$999)-2),2)),0)+IFERROR(INDEX(Income!C$3:C$502,SMALL(IF((Income!D$3:D$502="GBP")*(Income!A$3:A$502=DATE(2026,8,21)),ROW(Income!A$3:A$502)-2),2)),0)=0,"",IFERROR(-INDEX(Expenses!D$3:D$999,SMALL(IF((Expenses!E$3:E$999="GBP")*(Expenses!A$3:A$999=DATE(2026,8,21)),ROW(Expenses!A$3:A$999)-2),2)),0)+IFERROR(INDEX(Income!C$3:C$502,SMALL(IF((Income!D$3:D$502="GBP")*(Income!A$3:A$502=DATE(2026,8,21)),ROW(Income!A$3:A$502)-2),2)),0))</f>
        <v/>
      </c>
      <c r="L170" s="126">
        <f t="array" ref="L170">IF(IFERROR(INDEX(Expenses!B$3:B$999,SMALL(IF((Expenses!E$3:E$999="GBP")*(Expenses!A$3:A$999=DATE(2026,8,21)),ROW(Expenses!A$3:A$999)-2),2)),"")&lt;&gt;"",IFERROR(INDEX(Expenses!B$3:B$999,SMALL(IF((Expenses!E$3:E$999="GBP")*(Expenses!A$3:A$999=DATE(2026,8,21)),ROW(Expenses!A$3:A$999)-2),2)),""),IF(IFERROR(INDEX(Income!B$3:B$502,SMALL(IF((Income!D$3:D$502="GBP")*(Income!A$3:A$502=DATE(2026,8,21)),ROW(Income!A$3:A$502)-2),2)),"")&lt;&gt;"",IFERROR(INDEX(Income!B$3:B$502,SMALL(IF((Income!D$3:D$502="GBP")*(Income!A$3:A$502=DATE(2026,8,21)),ROW(Income!A$3:A$502)-2),2)),""),""))</f>
        <v/>
      </c>
      <c r="M170" s="152">
        <f t="array" ref="M170">IF(IFERROR(-INDEX(Expenses!D$3:D$999,SMALL(IF((Expenses!E$3:E$999="GBP")*(Expenses!A$3:A$999=DATE(2026,8,22)),ROW(Expenses!A$3:A$999)-2),2)),0)+IFERROR(INDEX(Income!C$3:C$502,SMALL(IF((Income!D$3:D$502="GBP")*(Income!A$3:A$502=DATE(2026,8,22)),ROW(Income!A$3:A$502)-2),2)),0)=0,"",IFERROR(-INDEX(Expenses!D$3:D$999,SMALL(IF((Expenses!E$3:E$999="GBP")*(Expenses!A$3:A$999=DATE(2026,8,22)),ROW(Expenses!A$3:A$999)-2),2)),0)+IFERROR(INDEX(Income!C$3:C$502,SMALL(IF((Income!D$3:D$502="GBP")*(Income!A$3:A$502=DATE(2026,8,22)),ROW(Income!A$3:A$502)-2),2)),0))</f>
        <v/>
      </c>
      <c r="N170" s="126">
        <f t="array" ref="N170">IF(IFERROR(INDEX(Expenses!B$3:B$999,SMALL(IF((Expenses!E$3:E$999="GBP")*(Expenses!A$3:A$999=DATE(2026,8,22)),ROW(Expenses!A$3:A$999)-2),2)),"")&lt;&gt;"",IFERROR(INDEX(Expenses!B$3:B$999,SMALL(IF((Expenses!E$3:E$999="GBP")*(Expenses!A$3:A$999=DATE(2026,8,22)),ROW(Expenses!A$3:A$999)-2),2)),""),IF(IFERROR(INDEX(Income!B$3:B$502,SMALL(IF((Income!D$3:D$502="GBP")*(Income!A$3:A$502=DATE(2026,8,22)),ROW(Income!A$3:A$502)-2),2)),"")&lt;&gt;"",IFERROR(INDEX(Income!B$3:B$502,SMALL(IF((Income!D$3:D$502="GBP")*(Income!A$3:A$502=DATE(2026,8,22)),ROW(Income!A$3:A$502)-2),2)),""),""))</f>
        <v/>
      </c>
      <c r="O170" s="152">
        <f t="array" ref="O170">IF(IFERROR(-INDEX(Expenses!D$3:D$999,SMALL(IF((Expenses!E$3:E$999="GBP")*(Expenses!A$3:A$999=DATE(2026,8,23)),ROW(Expenses!A$3:A$999)-2),2)),0)+IFERROR(INDEX(Income!C$3:C$502,SMALL(IF((Income!D$3:D$502="GBP")*(Income!A$3:A$502=DATE(2026,8,23)),ROW(Income!A$3:A$502)-2),2)),0)=0,"",IFERROR(-INDEX(Expenses!D$3:D$999,SMALL(IF((Expenses!E$3:E$999="GBP")*(Expenses!A$3:A$999=DATE(2026,8,23)),ROW(Expenses!A$3:A$999)-2),2)),0)+IFERROR(INDEX(Income!C$3:C$502,SMALL(IF((Income!D$3:D$502="GBP")*(Income!A$3:A$502=DATE(2026,8,23)),ROW(Income!A$3:A$502)-2),2)),0))</f>
        <v/>
      </c>
      <c r="P170" s="126">
        <f t="array" ref="P170">IF(IFERROR(INDEX(Expenses!B$3:B$999,SMALL(IF((Expenses!E$3:E$999="GBP")*(Expenses!A$3:A$999=DATE(2026,8,23)),ROW(Expenses!A$3:A$999)-2),2)),"")&lt;&gt;"",IFERROR(INDEX(Expenses!B$3:B$999,SMALL(IF((Expenses!E$3:E$999="GBP")*(Expenses!A$3:A$999=DATE(2026,8,23)),ROW(Expenses!A$3:A$999)-2),2)),""),IF(IFERROR(INDEX(Income!B$3:B$502,SMALL(IF((Income!D$3:D$502="GBP")*(Income!A$3:A$502=DATE(2026,8,23)),ROW(Income!A$3:A$502)-2),2)),"")&lt;&gt;"",IFERROR(INDEX(Income!B$3:B$502,SMALL(IF((Income!D$3:D$502="GBP")*(Income!A$3:A$502=DATE(2026,8,23)),ROW(Income!A$3:A$502)-2),2)),""),""))</f>
        <v/>
      </c>
      <c r="Q170" s="9" t="n"/>
      <c r="R170" s="9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68">
      <c r="A171" s="9" t="n"/>
      <c r="B171" s="9" t="n"/>
      <c r="C171" s="152">
        <f t="array" ref="C171">IF(IFERROR(-INDEX(Expenses!D$3:D$999,SMALL(IF((Expenses!E$3:E$999="GBP")*(Expenses!A$3:A$999=DATE(2026,8,17)),ROW(Expenses!A$3:A$999)-2),3)),0)+IFERROR(INDEX(Income!C$3:C$502,SMALL(IF((Income!D$3:D$502="GBP")*(Income!A$3:A$502=DATE(2026,8,17)),ROW(Income!A$3:A$502)-2),3)),0)=0,"",IFERROR(-INDEX(Expenses!D$3:D$999,SMALL(IF((Expenses!E$3:E$999="GBP")*(Expenses!A$3:A$999=DATE(2026,8,17)),ROW(Expenses!A$3:A$999)-2),3)),0)+IFERROR(INDEX(Income!C$3:C$502,SMALL(IF((Income!D$3:D$502="GBP")*(Income!A$3:A$502=DATE(2026,8,17)),ROW(Income!A$3:A$502)-2),3)),0))</f>
        <v/>
      </c>
      <c r="D171" s="126">
        <f t="array" ref="D171">IF(IFERROR(INDEX(Expenses!B$3:B$999,SMALL(IF((Expenses!E$3:E$999="GBP")*(Expenses!A$3:A$999=DATE(2026,8,17)),ROW(Expenses!A$3:A$999)-2),3)),"")&lt;&gt;"",IFERROR(INDEX(Expenses!B$3:B$999,SMALL(IF((Expenses!E$3:E$999="GBP")*(Expenses!A$3:A$999=DATE(2026,8,17)),ROW(Expenses!A$3:A$999)-2),3)),""),IF(IFERROR(INDEX(Income!B$3:B$502,SMALL(IF((Income!D$3:D$502="GBP")*(Income!A$3:A$502=DATE(2026,8,17)),ROW(Income!A$3:A$502)-2),3)),"")&lt;&gt;"",IFERROR(INDEX(Income!B$3:B$502,SMALL(IF((Income!D$3:D$502="GBP")*(Income!A$3:A$502=DATE(2026,8,17)),ROW(Income!A$3:A$502)-2),3)),""),""))</f>
        <v/>
      </c>
      <c r="E171" s="152">
        <f t="array" ref="E171">IF(IFERROR(-INDEX(Expenses!D$3:D$999,SMALL(IF((Expenses!E$3:E$999="GBP")*(Expenses!A$3:A$999=DATE(2026,8,18)),ROW(Expenses!A$3:A$999)-2),3)),0)+IFERROR(INDEX(Income!C$3:C$502,SMALL(IF((Income!D$3:D$502="GBP")*(Income!A$3:A$502=DATE(2026,8,18)),ROW(Income!A$3:A$502)-2),3)),0)=0,"",IFERROR(-INDEX(Expenses!D$3:D$999,SMALL(IF((Expenses!E$3:E$999="GBP")*(Expenses!A$3:A$999=DATE(2026,8,18)),ROW(Expenses!A$3:A$999)-2),3)),0)+IFERROR(INDEX(Income!C$3:C$502,SMALL(IF((Income!D$3:D$502="GBP")*(Income!A$3:A$502=DATE(2026,8,18)),ROW(Income!A$3:A$502)-2),3)),0))</f>
        <v/>
      </c>
      <c r="F171" s="126">
        <f t="array" ref="F171">IF(IFERROR(INDEX(Expenses!B$3:B$999,SMALL(IF((Expenses!E$3:E$999="GBP")*(Expenses!A$3:A$999=DATE(2026,8,18)),ROW(Expenses!A$3:A$999)-2),3)),"")&lt;&gt;"",IFERROR(INDEX(Expenses!B$3:B$999,SMALL(IF((Expenses!E$3:E$999="GBP")*(Expenses!A$3:A$999=DATE(2026,8,18)),ROW(Expenses!A$3:A$999)-2),3)),""),IF(IFERROR(INDEX(Income!B$3:B$502,SMALL(IF((Income!D$3:D$502="GBP")*(Income!A$3:A$502=DATE(2026,8,18)),ROW(Income!A$3:A$502)-2),3)),"")&lt;&gt;"",IFERROR(INDEX(Income!B$3:B$502,SMALL(IF((Income!D$3:D$502="GBP")*(Income!A$3:A$502=DATE(2026,8,18)),ROW(Income!A$3:A$502)-2),3)),""),""))</f>
        <v/>
      </c>
      <c r="G171" s="152">
        <f t="array" ref="G171">IF(IFERROR(-INDEX(Expenses!D$3:D$999,SMALL(IF((Expenses!E$3:E$999="GBP")*(Expenses!A$3:A$999=DATE(2026,8,19)),ROW(Expenses!A$3:A$999)-2),3)),0)+IFERROR(INDEX(Income!C$3:C$502,SMALL(IF((Income!D$3:D$502="GBP")*(Income!A$3:A$502=DATE(2026,8,19)),ROW(Income!A$3:A$502)-2),3)),0)=0,"",IFERROR(-INDEX(Expenses!D$3:D$999,SMALL(IF((Expenses!E$3:E$999="GBP")*(Expenses!A$3:A$999=DATE(2026,8,19)),ROW(Expenses!A$3:A$999)-2),3)),0)+IFERROR(INDEX(Income!C$3:C$502,SMALL(IF((Income!D$3:D$502="GBP")*(Income!A$3:A$502=DATE(2026,8,19)),ROW(Income!A$3:A$502)-2),3)),0))</f>
        <v/>
      </c>
      <c r="H171" s="126">
        <f t="array" ref="H171">IF(IFERROR(INDEX(Expenses!B$3:B$999,SMALL(IF((Expenses!E$3:E$999="GBP")*(Expenses!A$3:A$999=DATE(2026,8,19)),ROW(Expenses!A$3:A$999)-2),3)),"")&lt;&gt;"",IFERROR(INDEX(Expenses!B$3:B$999,SMALL(IF((Expenses!E$3:E$999="GBP")*(Expenses!A$3:A$999=DATE(2026,8,19)),ROW(Expenses!A$3:A$999)-2),3)),""),IF(IFERROR(INDEX(Income!B$3:B$502,SMALL(IF((Income!D$3:D$502="GBP")*(Income!A$3:A$502=DATE(2026,8,19)),ROW(Income!A$3:A$502)-2),3)),"")&lt;&gt;"",IFERROR(INDEX(Income!B$3:B$502,SMALL(IF((Income!D$3:D$502="GBP")*(Income!A$3:A$502=DATE(2026,8,19)),ROW(Income!A$3:A$502)-2),3)),""),""))</f>
        <v/>
      </c>
      <c r="I171" s="152">
        <f t="array" ref="I171">IF(IFERROR(-INDEX(Expenses!D$3:D$999,SMALL(IF((Expenses!E$3:E$999="GBP")*(Expenses!A$3:A$999=DATE(2026,8,20)),ROW(Expenses!A$3:A$999)-2),3)),0)+IFERROR(INDEX(Income!C$3:C$502,SMALL(IF((Income!D$3:D$502="GBP")*(Income!A$3:A$502=DATE(2026,8,20)),ROW(Income!A$3:A$502)-2),3)),0)=0,"",IFERROR(-INDEX(Expenses!D$3:D$999,SMALL(IF((Expenses!E$3:E$999="GBP")*(Expenses!A$3:A$999=DATE(2026,8,20)),ROW(Expenses!A$3:A$999)-2),3)),0)+IFERROR(INDEX(Income!C$3:C$502,SMALL(IF((Income!D$3:D$502="GBP")*(Income!A$3:A$502=DATE(2026,8,20)),ROW(Income!A$3:A$502)-2),3)),0))</f>
        <v/>
      </c>
      <c r="J171" s="126">
        <f t="array" ref="J171">IF(IFERROR(INDEX(Expenses!B$3:B$999,SMALL(IF((Expenses!E$3:E$999="GBP")*(Expenses!A$3:A$999=DATE(2026,8,20)),ROW(Expenses!A$3:A$999)-2),3)),"")&lt;&gt;"",IFERROR(INDEX(Expenses!B$3:B$999,SMALL(IF((Expenses!E$3:E$999="GBP")*(Expenses!A$3:A$999=DATE(2026,8,20)),ROW(Expenses!A$3:A$999)-2),3)),""),IF(IFERROR(INDEX(Income!B$3:B$502,SMALL(IF((Income!D$3:D$502="GBP")*(Income!A$3:A$502=DATE(2026,8,20)),ROW(Income!A$3:A$502)-2),3)),"")&lt;&gt;"",IFERROR(INDEX(Income!B$3:B$502,SMALL(IF((Income!D$3:D$502="GBP")*(Income!A$3:A$502=DATE(2026,8,20)),ROW(Income!A$3:A$502)-2),3)),""),""))</f>
        <v/>
      </c>
      <c r="K171" s="152">
        <f t="array" ref="K171">IF(IFERROR(-INDEX(Expenses!D$3:D$999,SMALL(IF((Expenses!E$3:E$999="GBP")*(Expenses!A$3:A$999=DATE(2026,8,21)),ROW(Expenses!A$3:A$999)-2),3)),0)+IFERROR(INDEX(Income!C$3:C$502,SMALL(IF((Income!D$3:D$502="GBP")*(Income!A$3:A$502=DATE(2026,8,21)),ROW(Income!A$3:A$502)-2),3)),0)=0,"",IFERROR(-INDEX(Expenses!D$3:D$999,SMALL(IF((Expenses!E$3:E$999="GBP")*(Expenses!A$3:A$999=DATE(2026,8,21)),ROW(Expenses!A$3:A$999)-2),3)),0)+IFERROR(INDEX(Income!C$3:C$502,SMALL(IF((Income!D$3:D$502="GBP")*(Income!A$3:A$502=DATE(2026,8,21)),ROW(Income!A$3:A$502)-2),3)),0))</f>
        <v/>
      </c>
      <c r="L171" s="126">
        <f t="array" ref="L171">IF(IFERROR(INDEX(Expenses!B$3:B$999,SMALL(IF((Expenses!E$3:E$999="GBP")*(Expenses!A$3:A$999=DATE(2026,8,21)),ROW(Expenses!A$3:A$999)-2),3)),"")&lt;&gt;"",IFERROR(INDEX(Expenses!B$3:B$999,SMALL(IF((Expenses!E$3:E$999="GBP")*(Expenses!A$3:A$999=DATE(2026,8,21)),ROW(Expenses!A$3:A$999)-2),3)),""),IF(IFERROR(INDEX(Income!B$3:B$502,SMALL(IF((Income!D$3:D$502="GBP")*(Income!A$3:A$502=DATE(2026,8,21)),ROW(Income!A$3:A$502)-2),3)),"")&lt;&gt;"",IFERROR(INDEX(Income!B$3:B$502,SMALL(IF((Income!D$3:D$502="GBP")*(Income!A$3:A$502=DATE(2026,8,21)),ROW(Income!A$3:A$502)-2),3)),""),""))</f>
        <v/>
      </c>
      <c r="M171" s="152">
        <f t="array" ref="M171">IF(IFERROR(-INDEX(Expenses!D$3:D$999,SMALL(IF((Expenses!E$3:E$999="GBP")*(Expenses!A$3:A$999=DATE(2026,8,22)),ROW(Expenses!A$3:A$999)-2),3)),0)+IFERROR(INDEX(Income!C$3:C$502,SMALL(IF((Income!D$3:D$502="GBP")*(Income!A$3:A$502=DATE(2026,8,22)),ROW(Income!A$3:A$502)-2),3)),0)=0,"",IFERROR(-INDEX(Expenses!D$3:D$999,SMALL(IF((Expenses!E$3:E$999="GBP")*(Expenses!A$3:A$999=DATE(2026,8,22)),ROW(Expenses!A$3:A$999)-2),3)),0)+IFERROR(INDEX(Income!C$3:C$502,SMALL(IF((Income!D$3:D$502="GBP")*(Income!A$3:A$502=DATE(2026,8,22)),ROW(Income!A$3:A$502)-2),3)),0))</f>
        <v/>
      </c>
      <c r="N171" s="126">
        <f t="array" ref="N171">IF(IFERROR(INDEX(Expenses!B$3:B$999,SMALL(IF((Expenses!E$3:E$999="GBP")*(Expenses!A$3:A$999=DATE(2026,8,22)),ROW(Expenses!A$3:A$999)-2),3)),"")&lt;&gt;"",IFERROR(INDEX(Expenses!B$3:B$999,SMALL(IF((Expenses!E$3:E$999="GBP")*(Expenses!A$3:A$999=DATE(2026,8,22)),ROW(Expenses!A$3:A$999)-2),3)),""),IF(IFERROR(INDEX(Income!B$3:B$502,SMALL(IF((Income!D$3:D$502="GBP")*(Income!A$3:A$502=DATE(2026,8,22)),ROW(Income!A$3:A$502)-2),3)),"")&lt;&gt;"",IFERROR(INDEX(Income!B$3:B$502,SMALL(IF((Income!D$3:D$502="GBP")*(Income!A$3:A$502=DATE(2026,8,22)),ROW(Income!A$3:A$502)-2),3)),""),""))</f>
        <v/>
      </c>
      <c r="O171" s="152">
        <f t="array" ref="O171">IF(IFERROR(-INDEX(Expenses!D$3:D$999,SMALL(IF((Expenses!E$3:E$999="GBP")*(Expenses!A$3:A$999=DATE(2026,8,23)),ROW(Expenses!A$3:A$999)-2),3)),0)+IFERROR(INDEX(Income!C$3:C$502,SMALL(IF((Income!D$3:D$502="GBP")*(Income!A$3:A$502=DATE(2026,8,23)),ROW(Income!A$3:A$502)-2),3)),0)=0,"",IFERROR(-INDEX(Expenses!D$3:D$999,SMALL(IF((Expenses!E$3:E$999="GBP")*(Expenses!A$3:A$999=DATE(2026,8,23)),ROW(Expenses!A$3:A$999)-2),3)),0)+IFERROR(INDEX(Income!C$3:C$502,SMALL(IF((Income!D$3:D$502="GBP")*(Income!A$3:A$502=DATE(2026,8,23)),ROW(Income!A$3:A$502)-2),3)),0))</f>
        <v/>
      </c>
      <c r="P171" s="126">
        <f t="array" ref="P171">IF(IFERROR(INDEX(Expenses!B$3:B$999,SMALL(IF((Expenses!E$3:E$999="GBP")*(Expenses!A$3:A$999=DATE(2026,8,23)),ROW(Expenses!A$3:A$999)-2),3)),"")&lt;&gt;"",IFERROR(INDEX(Expenses!B$3:B$999,SMALL(IF((Expenses!E$3:E$999="GBP")*(Expenses!A$3:A$999=DATE(2026,8,23)),ROW(Expenses!A$3:A$999)-2),3)),""),IF(IFERROR(INDEX(Income!B$3:B$502,SMALL(IF((Income!D$3:D$502="GBP")*(Income!A$3:A$502=DATE(2026,8,23)),ROW(Income!A$3:A$502)-2),3)),"")&lt;&gt;"",IFERROR(INDEX(Income!B$3:B$502,SMALL(IF((Income!D$3:D$502="GBP")*(Income!A$3:A$502=DATE(2026,8,23)),ROW(Income!A$3:A$502)-2),3)),""),""))</f>
        <v/>
      </c>
      <c r="Q171" s="9" t="n"/>
      <c r="R171" s="9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68">
      <c r="A172" s="9" t="n"/>
      <c r="B172" s="9" t="n"/>
      <c r="C172" s="152">
        <f t="array" ref="C172">IF(IFERROR(-INDEX(Expenses!D$3:D$999,SMALL(IF((Expenses!E$3:E$999="GBP")*(Expenses!A$3:A$999=DATE(2026,8,17)),ROW(Expenses!A$3:A$999)-2),4)),0)+IFERROR(INDEX(Income!C$3:C$502,SMALL(IF((Income!D$3:D$502="GBP")*(Income!A$3:A$502=DATE(2026,8,17)),ROW(Income!A$3:A$502)-2),4)),0)=0,"",IFERROR(-INDEX(Expenses!D$3:D$999,SMALL(IF((Expenses!E$3:E$999="GBP")*(Expenses!A$3:A$999=DATE(2026,8,17)),ROW(Expenses!A$3:A$999)-2),4)),0)+IFERROR(INDEX(Income!C$3:C$502,SMALL(IF((Income!D$3:D$502="GBP")*(Income!A$3:A$502=DATE(2026,8,17)),ROW(Income!A$3:A$502)-2),4)),0))</f>
        <v/>
      </c>
      <c r="D172" s="126">
        <f t="array" ref="D172">IF(IFERROR(INDEX(Expenses!B$3:B$999,SMALL(IF((Expenses!E$3:E$999="GBP")*(Expenses!A$3:A$999=DATE(2026,8,17)),ROW(Expenses!A$3:A$999)-2),4)),"")&lt;&gt;"",IFERROR(INDEX(Expenses!B$3:B$999,SMALL(IF((Expenses!E$3:E$999="GBP")*(Expenses!A$3:A$999=DATE(2026,8,17)),ROW(Expenses!A$3:A$999)-2),4)),""),IF(IFERROR(INDEX(Income!B$3:B$502,SMALL(IF((Income!D$3:D$502="GBP")*(Income!A$3:A$502=DATE(2026,8,17)),ROW(Income!A$3:A$502)-2),4)),"")&lt;&gt;"",IFERROR(INDEX(Income!B$3:B$502,SMALL(IF((Income!D$3:D$502="GBP")*(Income!A$3:A$502=DATE(2026,8,17)),ROW(Income!A$3:A$502)-2),4)),""),""))</f>
        <v/>
      </c>
      <c r="E172" s="152">
        <f t="array" ref="E172">IF(IFERROR(-INDEX(Expenses!D$3:D$999,SMALL(IF((Expenses!E$3:E$999="GBP")*(Expenses!A$3:A$999=DATE(2026,8,18)),ROW(Expenses!A$3:A$999)-2),4)),0)+IFERROR(INDEX(Income!C$3:C$502,SMALL(IF((Income!D$3:D$502="GBP")*(Income!A$3:A$502=DATE(2026,8,18)),ROW(Income!A$3:A$502)-2),4)),0)=0,"",IFERROR(-INDEX(Expenses!D$3:D$999,SMALL(IF((Expenses!E$3:E$999="GBP")*(Expenses!A$3:A$999=DATE(2026,8,18)),ROW(Expenses!A$3:A$999)-2),4)),0)+IFERROR(INDEX(Income!C$3:C$502,SMALL(IF((Income!D$3:D$502="GBP")*(Income!A$3:A$502=DATE(2026,8,18)),ROW(Income!A$3:A$502)-2),4)),0))</f>
        <v/>
      </c>
      <c r="F172" s="126">
        <f t="array" ref="F172">IF(IFERROR(INDEX(Expenses!B$3:B$999,SMALL(IF((Expenses!E$3:E$999="GBP")*(Expenses!A$3:A$999=DATE(2026,8,18)),ROW(Expenses!A$3:A$999)-2),4)),"")&lt;&gt;"",IFERROR(INDEX(Expenses!B$3:B$999,SMALL(IF((Expenses!E$3:E$999="GBP")*(Expenses!A$3:A$999=DATE(2026,8,18)),ROW(Expenses!A$3:A$999)-2),4)),""),IF(IFERROR(INDEX(Income!B$3:B$502,SMALL(IF((Income!D$3:D$502="GBP")*(Income!A$3:A$502=DATE(2026,8,18)),ROW(Income!A$3:A$502)-2),4)),"")&lt;&gt;"",IFERROR(INDEX(Income!B$3:B$502,SMALL(IF((Income!D$3:D$502="GBP")*(Income!A$3:A$502=DATE(2026,8,18)),ROW(Income!A$3:A$502)-2),4)),""),""))</f>
        <v/>
      </c>
      <c r="G172" s="152">
        <f t="array" ref="G172">IF(IFERROR(-INDEX(Expenses!D$3:D$999,SMALL(IF((Expenses!E$3:E$999="GBP")*(Expenses!A$3:A$999=DATE(2026,8,19)),ROW(Expenses!A$3:A$999)-2),4)),0)+IFERROR(INDEX(Income!C$3:C$502,SMALL(IF((Income!D$3:D$502="GBP")*(Income!A$3:A$502=DATE(2026,8,19)),ROW(Income!A$3:A$502)-2),4)),0)=0,"",IFERROR(-INDEX(Expenses!D$3:D$999,SMALL(IF((Expenses!E$3:E$999="GBP")*(Expenses!A$3:A$999=DATE(2026,8,19)),ROW(Expenses!A$3:A$999)-2),4)),0)+IFERROR(INDEX(Income!C$3:C$502,SMALL(IF((Income!D$3:D$502="GBP")*(Income!A$3:A$502=DATE(2026,8,19)),ROW(Income!A$3:A$502)-2),4)),0))</f>
        <v/>
      </c>
      <c r="H172" s="126">
        <f t="array" ref="H172">IF(IFERROR(INDEX(Expenses!B$3:B$999,SMALL(IF((Expenses!E$3:E$999="GBP")*(Expenses!A$3:A$999=DATE(2026,8,19)),ROW(Expenses!A$3:A$999)-2),4)),"")&lt;&gt;"",IFERROR(INDEX(Expenses!B$3:B$999,SMALL(IF((Expenses!E$3:E$999="GBP")*(Expenses!A$3:A$999=DATE(2026,8,19)),ROW(Expenses!A$3:A$999)-2),4)),""),IF(IFERROR(INDEX(Income!B$3:B$502,SMALL(IF((Income!D$3:D$502="GBP")*(Income!A$3:A$502=DATE(2026,8,19)),ROW(Income!A$3:A$502)-2),4)),"")&lt;&gt;"",IFERROR(INDEX(Income!B$3:B$502,SMALL(IF((Income!D$3:D$502="GBP")*(Income!A$3:A$502=DATE(2026,8,19)),ROW(Income!A$3:A$502)-2),4)),""),""))</f>
        <v/>
      </c>
      <c r="I172" s="152">
        <f t="array" ref="I172">IF(IFERROR(-INDEX(Expenses!D$3:D$999,SMALL(IF((Expenses!E$3:E$999="GBP")*(Expenses!A$3:A$999=DATE(2026,8,20)),ROW(Expenses!A$3:A$999)-2),4)),0)+IFERROR(INDEX(Income!C$3:C$502,SMALL(IF((Income!D$3:D$502="GBP")*(Income!A$3:A$502=DATE(2026,8,20)),ROW(Income!A$3:A$502)-2),4)),0)=0,"",IFERROR(-INDEX(Expenses!D$3:D$999,SMALL(IF((Expenses!E$3:E$999="GBP")*(Expenses!A$3:A$999=DATE(2026,8,20)),ROW(Expenses!A$3:A$999)-2),4)),0)+IFERROR(INDEX(Income!C$3:C$502,SMALL(IF((Income!D$3:D$502="GBP")*(Income!A$3:A$502=DATE(2026,8,20)),ROW(Income!A$3:A$502)-2),4)),0))</f>
        <v/>
      </c>
      <c r="J172" s="126">
        <f t="array" ref="J172">IF(IFERROR(INDEX(Expenses!B$3:B$999,SMALL(IF((Expenses!E$3:E$999="GBP")*(Expenses!A$3:A$999=DATE(2026,8,20)),ROW(Expenses!A$3:A$999)-2),4)),"")&lt;&gt;"",IFERROR(INDEX(Expenses!B$3:B$999,SMALL(IF((Expenses!E$3:E$999="GBP")*(Expenses!A$3:A$999=DATE(2026,8,20)),ROW(Expenses!A$3:A$999)-2),4)),""),IF(IFERROR(INDEX(Income!B$3:B$502,SMALL(IF((Income!D$3:D$502="GBP")*(Income!A$3:A$502=DATE(2026,8,20)),ROW(Income!A$3:A$502)-2),4)),"")&lt;&gt;"",IFERROR(INDEX(Income!B$3:B$502,SMALL(IF((Income!D$3:D$502="GBP")*(Income!A$3:A$502=DATE(2026,8,20)),ROW(Income!A$3:A$502)-2),4)),""),""))</f>
        <v/>
      </c>
      <c r="K172" s="152">
        <f t="array" ref="K172">IF(IFERROR(-INDEX(Expenses!D$3:D$999,SMALL(IF((Expenses!E$3:E$999="GBP")*(Expenses!A$3:A$999=DATE(2026,8,21)),ROW(Expenses!A$3:A$999)-2),4)),0)+IFERROR(INDEX(Income!C$3:C$502,SMALL(IF((Income!D$3:D$502="GBP")*(Income!A$3:A$502=DATE(2026,8,21)),ROW(Income!A$3:A$502)-2),4)),0)=0,"",IFERROR(-INDEX(Expenses!D$3:D$999,SMALL(IF((Expenses!E$3:E$999="GBP")*(Expenses!A$3:A$999=DATE(2026,8,21)),ROW(Expenses!A$3:A$999)-2),4)),0)+IFERROR(INDEX(Income!C$3:C$502,SMALL(IF((Income!D$3:D$502="GBP")*(Income!A$3:A$502=DATE(2026,8,21)),ROW(Income!A$3:A$502)-2),4)),0))</f>
        <v/>
      </c>
      <c r="L172" s="126">
        <f t="array" ref="L172">IF(IFERROR(INDEX(Expenses!B$3:B$999,SMALL(IF((Expenses!E$3:E$999="GBP")*(Expenses!A$3:A$999=DATE(2026,8,21)),ROW(Expenses!A$3:A$999)-2),4)),"")&lt;&gt;"",IFERROR(INDEX(Expenses!B$3:B$999,SMALL(IF((Expenses!E$3:E$999="GBP")*(Expenses!A$3:A$999=DATE(2026,8,21)),ROW(Expenses!A$3:A$999)-2),4)),""),IF(IFERROR(INDEX(Income!B$3:B$502,SMALL(IF((Income!D$3:D$502="GBP")*(Income!A$3:A$502=DATE(2026,8,21)),ROW(Income!A$3:A$502)-2),4)),"")&lt;&gt;"",IFERROR(INDEX(Income!B$3:B$502,SMALL(IF((Income!D$3:D$502="GBP")*(Income!A$3:A$502=DATE(2026,8,21)),ROW(Income!A$3:A$502)-2),4)),""),""))</f>
        <v/>
      </c>
      <c r="M172" s="152">
        <f t="array" ref="M172">IF(IFERROR(-INDEX(Expenses!D$3:D$999,SMALL(IF((Expenses!E$3:E$999="GBP")*(Expenses!A$3:A$999=DATE(2026,8,22)),ROW(Expenses!A$3:A$999)-2),4)),0)+IFERROR(INDEX(Income!C$3:C$502,SMALL(IF((Income!D$3:D$502="GBP")*(Income!A$3:A$502=DATE(2026,8,22)),ROW(Income!A$3:A$502)-2),4)),0)=0,"",IFERROR(-INDEX(Expenses!D$3:D$999,SMALL(IF((Expenses!E$3:E$999="GBP")*(Expenses!A$3:A$999=DATE(2026,8,22)),ROW(Expenses!A$3:A$999)-2),4)),0)+IFERROR(INDEX(Income!C$3:C$502,SMALL(IF((Income!D$3:D$502="GBP")*(Income!A$3:A$502=DATE(2026,8,22)),ROW(Income!A$3:A$502)-2),4)),0))</f>
        <v/>
      </c>
      <c r="N172" s="126">
        <f t="array" ref="N172">IF(IFERROR(INDEX(Expenses!B$3:B$999,SMALL(IF((Expenses!E$3:E$999="GBP")*(Expenses!A$3:A$999=DATE(2026,8,22)),ROW(Expenses!A$3:A$999)-2),4)),"")&lt;&gt;"",IFERROR(INDEX(Expenses!B$3:B$999,SMALL(IF((Expenses!E$3:E$999="GBP")*(Expenses!A$3:A$999=DATE(2026,8,22)),ROW(Expenses!A$3:A$999)-2),4)),""),IF(IFERROR(INDEX(Income!B$3:B$502,SMALL(IF((Income!D$3:D$502="GBP")*(Income!A$3:A$502=DATE(2026,8,22)),ROW(Income!A$3:A$502)-2),4)),"")&lt;&gt;"",IFERROR(INDEX(Income!B$3:B$502,SMALL(IF((Income!D$3:D$502="GBP")*(Income!A$3:A$502=DATE(2026,8,22)),ROW(Income!A$3:A$502)-2),4)),""),""))</f>
        <v/>
      </c>
      <c r="O172" s="152">
        <f t="array" ref="O172">IF(IFERROR(-INDEX(Expenses!D$3:D$999,SMALL(IF((Expenses!E$3:E$999="GBP")*(Expenses!A$3:A$999=DATE(2026,8,23)),ROW(Expenses!A$3:A$999)-2),4)),0)+IFERROR(INDEX(Income!C$3:C$502,SMALL(IF((Income!D$3:D$502="GBP")*(Income!A$3:A$502=DATE(2026,8,23)),ROW(Income!A$3:A$502)-2),4)),0)=0,"",IFERROR(-INDEX(Expenses!D$3:D$999,SMALL(IF((Expenses!E$3:E$999="GBP")*(Expenses!A$3:A$999=DATE(2026,8,23)),ROW(Expenses!A$3:A$999)-2),4)),0)+IFERROR(INDEX(Income!C$3:C$502,SMALL(IF((Income!D$3:D$502="GBP")*(Income!A$3:A$502=DATE(2026,8,23)),ROW(Income!A$3:A$502)-2),4)),0))</f>
        <v/>
      </c>
      <c r="P172" s="126">
        <f t="array" ref="P172">IF(IFERROR(INDEX(Expenses!B$3:B$999,SMALL(IF((Expenses!E$3:E$999="GBP")*(Expenses!A$3:A$999=DATE(2026,8,23)),ROW(Expenses!A$3:A$999)-2),4)),"")&lt;&gt;"",IFERROR(INDEX(Expenses!B$3:B$999,SMALL(IF((Expenses!E$3:E$999="GBP")*(Expenses!A$3:A$999=DATE(2026,8,23)),ROW(Expenses!A$3:A$999)-2),4)),""),IF(IFERROR(INDEX(Income!B$3:B$502,SMALL(IF((Income!D$3:D$502="GBP")*(Income!A$3:A$502=DATE(2026,8,23)),ROW(Income!A$3:A$502)-2),4)),"")&lt;&gt;"",IFERROR(INDEX(Income!B$3:B$502,SMALL(IF((Income!D$3:D$502="GBP")*(Income!A$3:A$502=DATE(2026,8,23)),ROW(Income!A$3:A$502)-2),4)),""),""))</f>
        <v/>
      </c>
      <c r="Q172" s="9" t="n"/>
      <c r="R172" s="9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68">
      <c r="A173" s="9" t="n"/>
      <c r="B173" s="9" t="n"/>
      <c r="C173" s="152">
        <f t="array" ref="C173">IF(IFERROR(-INDEX(Expenses!D$3:D$999,SMALL(IF((Expenses!E$3:E$999="GBP")*(Expenses!A$3:A$999=DATE(2026,8,17)),ROW(Expenses!A$3:A$999)-2),5)),0)+IFERROR(INDEX(Income!C$3:C$502,SMALL(IF((Income!D$3:D$502="GBP")*(Income!A$3:A$502=DATE(2026,8,17)),ROW(Income!A$3:A$502)-2),5)),0)=0,"",IFERROR(-INDEX(Expenses!D$3:D$999,SMALL(IF((Expenses!E$3:E$999="GBP")*(Expenses!A$3:A$999=DATE(2026,8,17)),ROW(Expenses!A$3:A$999)-2),5)),0)+IFERROR(INDEX(Income!C$3:C$502,SMALL(IF((Income!D$3:D$502="GBP")*(Income!A$3:A$502=DATE(2026,8,17)),ROW(Income!A$3:A$502)-2),5)),0))</f>
        <v/>
      </c>
      <c r="D173" s="126">
        <f t="array" ref="D173">IF(IFERROR(INDEX(Expenses!B$3:B$999,SMALL(IF((Expenses!E$3:E$999="GBP")*(Expenses!A$3:A$999=DATE(2026,8,17)),ROW(Expenses!A$3:A$999)-2),5)),"")&lt;&gt;"",IFERROR(INDEX(Expenses!B$3:B$999,SMALL(IF((Expenses!E$3:E$999="GBP")*(Expenses!A$3:A$999=DATE(2026,8,17)),ROW(Expenses!A$3:A$999)-2),5)),""),IF(IFERROR(INDEX(Income!B$3:B$502,SMALL(IF((Income!D$3:D$502="GBP")*(Income!A$3:A$502=DATE(2026,8,17)),ROW(Income!A$3:A$502)-2),5)),"")&lt;&gt;"",IFERROR(INDEX(Income!B$3:B$502,SMALL(IF((Income!D$3:D$502="GBP")*(Income!A$3:A$502=DATE(2026,8,17)),ROW(Income!A$3:A$502)-2),5)),""),""))</f>
        <v/>
      </c>
      <c r="E173" s="152">
        <f t="array" ref="E173">IF(IFERROR(-INDEX(Expenses!D$3:D$999,SMALL(IF((Expenses!E$3:E$999="GBP")*(Expenses!A$3:A$999=DATE(2026,8,18)),ROW(Expenses!A$3:A$999)-2),5)),0)+IFERROR(INDEX(Income!C$3:C$502,SMALL(IF((Income!D$3:D$502="GBP")*(Income!A$3:A$502=DATE(2026,8,18)),ROW(Income!A$3:A$502)-2),5)),0)=0,"",IFERROR(-INDEX(Expenses!D$3:D$999,SMALL(IF((Expenses!E$3:E$999="GBP")*(Expenses!A$3:A$999=DATE(2026,8,18)),ROW(Expenses!A$3:A$999)-2),5)),0)+IFERROR(INDEX(Income!C$3:C$502,SMALL(IF((Income!D$3:D$502="GBP")*(Income!A$3:A$502=DATE(2026,8,18)),ROW(Income!A$3:A$502)-2),5)),0))</f>
        <v/>
      </c>
      <c r="F173" s="126">
        <f t="array" ref="F173">IF(IFERROR(INDEX(Expenses!B$3:B$999,SMALL(IF((Expenses!E$3:E$999="GBP")*(Expenses!A$3:A$999=DATE(2026,8,18)),ROW(Expenses!A$3:A$999)-2),5)),"")&lt;&gt;"",IFERROR(INDEX(Expenses!B$3:B$999,SMALL(IF((Expenses!E$3:E$999="GBP")*(Expenses!A$3:A$999=DATE(2026,8,18)),ROW(Expenses!A$3:A$999)-2),5)),""),IF(IFERROR(INDEX(Income!B$3:B$502,SMALL(IF((Income!D$3:D$502="GBP")*(Income!A$3:A$502=DATE(2026,8,18)),ROW(Income!A$3:A$502)-2),5)),"")&lt;&gt;"",IFERROR(INDEX(Income!B$3:B$502,SMALL(IF((Income!D$3:D$502="GBP")*(Income!A$3:A$502=DATE(2026,8,18)),ROW(Income!A$3:A$502)-2),5)),""),""))</f>
        <v/>
      </c>
      <c r="G173" s="152">
        <f t="array" ref="G173">IF(IFERROR(-INDEX(Expenses!D$3:D$999,SMALL(IF((Expenses!E$3:E$999="GBP")*(Expenses!A$3:A$999=DATE(2026,8,19)),ROW(Expenses!A$3:A$999)-2),5)),0)+IFERROR(INDEX(Income!C$3:C$502,SMALL(IF((Income!D$3:D$502="GBP")*(Income!A$3:A$502=DATE(2026,8,19)),ROW(Income!A$3:A$502)-2),5)),0)=0,"",IFERROR(-INDEX(Expenses!D$3:D$999,SMALL(IF((Expenses!E$3:E$999="GBP")*(Expenses!A$3:A$999=DATE(2026,8,19)),ROW(Expenses!A$3:A$999)-2),5)),0)+IFERROR(INDEX(Income!C$3:C$502,SMALL(IF((Income!D$3:D$502="GBP")*(Income!A$3:A$502=DATE(2026,8,19)),ROW(Income!A$3:A$502)-2),5)),0))</f>
        <v/>
      </c>
      <c r="H173" s="126">
        <f t="array" ref="H173">IF(IFERROR(INDEX(Expenses!B$3:B$999,SMALL(IF((Expenses!E$3:E$999="GBP")*(Expenses!A$3:A$999=DATE(2026,8,19)),ROW(Expenses!A$3:A$999)-2),5)),"")&lt;&gt;"",IFERROR(INDEX(Expenses!B$3:B$999,SMALL(IF((Expenses!E$3:E$999="GBP")*(Expenses!A$3:A$999=DATE(2026,8,19)),ROW(Expenses!A$3:A$999)-2),5)),""),IF(IFERROR(INDEX(Income!B$3:B$502,SMALL(IF((Income!D$3:D$502="GBP")*(Income!A$3:A$502=DATE(2026,8,19)),ROW(Income!A$3:A$502)-2),5)),"")&lt;&gt;"",IFERROR(INDEX(Income!B$3:B$502,SMALL(IF((Income!D$3:D$502="GBP")*(Income!A$3:A$502=DATE(2026,8,19)),ROW(Income!A$3:A$502)-2),5)),""),""))</f>
        <v/>
      </c>
      <c r="I173" s="152">
        <f t="array" ref="I173">IF(IFERROR(-INDEX(Expenses!D$3:D$999,SMALL(IF((Expenses!E$3:E$999="GBP")*(Expenses!A$3:A$999=DATE(2026,8,20)),ROW(Expenses!A$3:A$999)-2),5)),0)+IFERROR(INDEX(Income!C$3:C$502,SMALL(IF((Income!D$3:D$502="GBP")*(Income!A$3:A$502=DATE(2026,8,20)),ROW(Income!A$3:A$502)-2),5)),0)=0,"",IFERROR(-INDEX(Expenses!D$3:D$999,SMALL(IF((Expenses!E$3:E$999="GBP")*(Expenses!A$3:A$999=DATE(2026,8,20)),ROW(Expenses!A$3:A$999)-2),5)),0)+IFERROR(INDEX(Income!C$3:C$502,SMALL(IF((Income!D$3:D$502="GBP")*(Income!A$3:A$502=DATE(2026,8,20)),ROW(Income!A$3:A$502)-2),5)),0))</f>
        <v/>
      </c>
      <c r="J173" s="126">
        <f t="array" ref="J173">IF(IFERROR(INDEX(Expenses!B$3:B$999,SMALL(IF((Expenses!E$3:E$999="GBP")*(Expenses!A$3:A$999=DATE(2026,8,20)),ROW(Expenses!A$3:A$999)-2),5)),"")&lt;&gt;"",IFERROR(INDEX(Expenses!B$3:B$999,SMALL(IF((Expenses!E$3:E$999="GBP")*(Expenses!A$3:A$999=DATE(2026,8,20)),ROW(Expenses!A$3:A$999)-2),5)),""),IF(IFERROR(INDEX(Income!B$3:B$502,SMALL(IF((Income!D$3:D$502="GBP")*(Income!A$3:A$502=DATE(2026,8,20)),ROW(Income!A$3:A$502)-2),5)),"")&lt;&gt;"",IFERROR(INDEX(Income!B$3:B$502,SMALL(IF((Income!D$3:D$502="GBP")*(Income!A$3:A$502=DATE(2026,8,20)),ROW(Income!A$3:A$502)-2),5)),""),""))</f>
        <v/>
      </c>
      <c r="K173" s="152">
        <f t="array" ref="K173">IF(IFERROR(-INDEX(Expenses!D$3:D$999,SMALL(IF((Expenses!E$3:E$999="GBP")*(Expenses!A$3:A$999=DATE(2026,8,21)),ROW(Expenses!A$3:A$999)-2),5)),0)+IFERROR(INDEX(Income!C$3:C$502,SMALL(IF((Income!D$3:D$502="GBP")*(Income!A$3:A$502=DATE(2026,8,21)),ROW(Income!A$3:A$502)-2),5)),0)=0,"",IFERROR(-INDEX(Expenses!D$3:D$999,SMALL(IF((Expenses!E$3:E$999="GBP")*(Expenses!A$3:A$999=DATE(2026,8,21)),ROW(Expenses!A$3:A$999)-2),5)),0)+IFERROR(INDEX(Income!C$3:C$502,SMALL(IF((Income!D$3:D$502="GBP")*(Income!A$3:A$502=DATE(2026,8,21)),ROW(Income!A$3:A$502)-2),5)),0))</f>
        <v/>
      </c>
      <c r="L173" s="126">
        <f t="array" ref="L173">IF(IFERROR(INDEX(Expenses!B$3:B$999,SMALL(IF((Expenses!E$3:E$999="GBP")*(Expenses!A$3:A$999=DATE(2026,8,21)),ROW(Expenses!A$3:A$999)-2),5)),"")&lt;&gt;"",IFERROR(INDEX(Expenses!B$3:B$999,SMALL(IF((Expenses!E$3:E$999="GBP")*(Expenses!A$3:A$999=DATE(2026,8,21)),ROW(Expenses!A$3:A$999)-2),5)),""),IF(IFERROR(INDEX(Income!B$3:B$502,SMALL(IF((Income!D$3:D$502="GBP")*(Income!A$3:A$502=DATE(2026,8,21)),ROW(Income!A$3:A$502)-2),5)),"")&lt;&gt;"",IFERROR(INDEX(Income!B$3:B$502,SMALL(IF((Income!D$3:D$502="GBP")*(Income!A$3:A$502=DATE(2026,8,21)),ROW(Income!A$3:A$502)-2),5)),""),""))</f>
        <v/>
      </c>
      <c r="M173" s="152">
        <f t="array" ref="M173">IF(IFERROR(-INDEX(Expenses!D$3:D$999,SMALL(IF((Expenses!E$3:E$999="GBP")*(Expenses!A$3:A$999=DATE(2026,8,22)),ROW(Expenses!A$3:A$999)-2),5)),0)+IFERROR(INDEX(Income!C$3:C$502,SMALL(IF((Income!D$3:D$502="GBP")*(Income!A$3:A$502=DATE(2026,8,22)),ROW(Income!A$3:A$502)-2),5)),0)=0,"",IFERROR(-INDEX(Expenses!D$3:D$999,SMALL(IF((Expenses!E$3:E$999="GBP")*(Expenses!A$3:A$999=DATE(2026,8,22)),ROW(Expenses!A$3:A$999)-2),5)),0)+IFERROR(INDEX(Income!C$3:C$502,SMALL(IF((Income!D$3:D$502="GBP")*(Income!A$3:A$502=DATE(2026,8,22)),ROW(Income!A$3:A$502)-2),5)),0))</f>
        <v/>
      </c>
      <c r="N173" s="126">
        <f t="array" ref="N173">IF(IFERROR(INDEX(Expenses!B$3:B$999,SMALL(IF((Expenses!E$3:E$999="GBP")*(Expenses!A$3:A$999=DATE(2026,8,22)),ROW(Expenses!A$3:A$999)-2),5)),"")&lt;&gt;"",IFERROR(INDEX(Expenses!B$3:B$999,SMALL(IF((Expenses!E$3:E$999="GBP")*(Expenses!A$3:A$999=DATE(2026,8,22)),ROW(Expenses!A$3:A$999)-2),5)),""),IF(IFERROR(INDEX(Income!B$3:B$502,SMALL(IF((Income!D$3:D$502="GBP")*(Income!A$3:A$502=DATE(2026,8,22)),ROW(Income!A$3:A$502)-2),5)),"")&lt;&gt;"",IFERROR(INDEX(Income!B$3:B$502,SMALL(IF((Income!D$3:D$502="GBP")*(Income!A$3:A$502=DATE(2026,8,22)),ROW(Income!A$3:A$502)-2),5)),""),""))</f>
        <v/>
      </c>
      <c r="O173" s="152">
        <f t="array" ref="O173">IF(IFERROR(-INDEX(Expenses!D$3:D$999,SMALL(IF((Expenses!E$3:E$999="GBP")*(Expenses!A$3:A$999=DATE(2026,8,23)),ROW(Expenses!A$3:A$999)-2),5)),0)+IFERROR(INDEX(Income!C$3:C$502,SMALL(IF((Income!D$3:D$502="GBP")*(Income!A$3:A$502=DATE(2026,8,23)),ROW(Income!A$3:A$502)-2),5)),0)=0,"",IFERROR(-INDEX(Expenses!D$3:D$999,SMALL(IF((Expenses!E$3:E$999="GBP")*(Expenses!A$3:A$999=DATE(2026,8,23)),ROW(Expenses!A$3:A$999)-2),5)),0)+IFERROR(INDEX(Income!C$3:C$502,SMALL(IF((Income!D$3:D$502="GBP")*(Income!A$3:A$502=DATE(2026,8,23)),ROW(Income!A$3:A$502)-2),5)),0))</f>
        <v/>
      </c>
      <c r="P173" s="126">
        <f t="array" ref="P173">IF(IFERROR(INDEX(Expenses!B$3:B$999,SMALL(IF((Expenses!E$3:E$999="GBP")*(Expenses!A$3:A$999=DATE(2026,8,23)),ROW(Expenses!A$3:A$999)-2),5)),"")&lt;&gt;"",IFERROR(INDEX(Expenses!B$3:B$999,SMALL(IF((Expenses!E$3:E$999="GBP")*(Expenses!A$3:A$999=DATE(2026,8,23)),ROW(Expenses!A$3:A$999)-2),5)),""),IF(IFERROR(INDEX(Income!B$3:B$502,SMALL(IF((Income!D$3:D$502="GBP")*(Income!A$3:A$502=DATE(2026,8,23)),ROW(Income!A$3:A$502)-2),5)),"")&lt;&gt;"",IFERROR(INDEX(Income!B$3:B$502,SMALL(IF((Income!D$3:D$502="GBP")*(Income!A$3:A$502=DATE(2026,8,23)),ROW(Income!A$3:A$502)-2),5)),""),""))</f>
        <v/>
      </c>
      <c r="Q173" s="9" t="n"/>
      <c r="R173" s="9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68">
      <c r="A174" s="151" t="n">
        <v>46258</v>
      </c>
      <c r="B174" s="103" t="n">
        <v>35</v>
      </c>
      <c r="C174" s="152">
        <f t="array" ref="C174">IF(IFERROR(-INDEX(Expenses!D$3:D$999,SMALL(IF((Expenses!E$3:E$999="GBP")*(Expenses!A$3:A$999=DATE(2026,8,24)),ROW(Expenses!A$3:A$999)-2),1)),0)+IFERROR(INDEX(Income!C$3:C$502,SMALL(IF((Income!D$3:D$502="GBP")*(Income!A$3:A$502=DATE(2026,8,24)),ROW(Income!A$3:A$502)-2),1)),0)=0,"",IFERROR(-INDEX(Expenses!D$3:D$999,SMALL(IF((Expenses!E$3:E$999="GBP")*(Expenses!A$3:A$999=DATE(2026,8,24)),ROW(Expenses!A$3:A$999)-2),1)),0)+IFERROR(INDEX(Income!C$3:C$502,SMALL(IF((Income!D$3:D$502="GBP")*(Income!A$3:A$502=DATE(2026,8,24)),ROW(Income!A$3:A$502)-2),1)),0))</f>
        <v/>
      </c>
      <c r="D174" s="126">
        <f t="array" ref="D174">IF(IFERROR(INDEX(Expenses!B$3:B$999,SMALL(IF((Expenses!E$3:E$999="GBP")*(Expenses!A$3:A$999=DATE(2026,8,24)),ROW(Expenses!A$3:A$999)-2),1)),"")&lt;&gt;"",IFERROR(INDEX(Expenses!B$3:B$999,SMALL(IF((Expenses!E$3:E$999="GBP")*(Expenses!A$3:A$999=DATE(2026,8,24)),ROW(Expenses!A$3:A$999)-2),1)),""),IF(IFERROR(INDEX(Income!B$3:B$502,SMALL(IF((Income!D$3:D$502="GBP")*(Income!A$3:A$502=DATE(2026,8,24)),ROW(Income!A$3:A$502)-2),1)),"")&lt;&gt;"",IFERROR(INDEX(Income!B$3:B$502,SMALL(IF((Income!D$3:D$502="GBP")*(Income!A$3:A$502=DATE(2026,8,24)),ROW(Income!A$3:A$502)-2),1)),""),""))</f>
        <v/>
      </c>
      <c r="E174" s="152">
        <f t="array" ref="E174">IF(IFERROR(-INDEX(Expenses!D$3:D$999,SMALL(IF((Expenses!E$3:E$999="GBP")*(Expenses!A$3:A$999=DATE(2026,8,25)),ROW(Expenses!A$3:A$999)-2),1)),0)+IFERROR(INDEX(Income!C$3:C$502,SMALL(IF((Income!D$3:D$502="GBP")*(Income!A$3:A$502=DATE(2026,8,25)),ROW(Income!A$3:A$502)-2),1)),0)=0,"",IFERROR(-INDEX(Expenses!D$3:D$999,SMALL(IF((Expenses!E$3:E$999="GBP")*(Expenses!A$3:A$999=DATE(2026,8,25)),ROW(Expenses!A$3:A$999)-2),1)),0)+IFERROR(INDEX(Income!C$3:C$502,SMALL(IF((Income!D$3:D$502="GBP")*(Income!A$3:A$502=DATE(2026,8,25)),ROW(Income!A$3:A$502)-2),1)),0))</f>
        <v/>
      </c>
      <c r="F174" s="126">
        <f t="array" ref="F174">IF(IFERROR(INDEX(Expenses!B$3:B$999,SMALL(IF((Expenses!E$3:E$999="GBP")*(Expenses!A$3:A$999=DATE(2026,8,25)),ROW(Expenses!A$3:A$999)-2),1)),"")&lt;&gt;"",IFERROR(INDEX(Expenses!B$3:B$999,SMALL(IF((Expenses!E$3:E$999="GBP")*(Expenses!A$3:A$999=DATE(2026,8,25)),ROW(Expenses!A$3:A$999)-2),1)),""),IF(IFERROR(INDEX(Income!B$3:B$502,SMALL(IF((Income!D$3:D$502="GBP")*(Income!A$3:A$502=DATE(2026,8,25)),ROW(Income!A$3:A$502)-2),1)),"")&lt;&gt;"",IFERROR(INDEX(Income!B$3:B$502,SMALL(IF((Income!D$3:D$502="GBP")*(Income!A$3:A$502=DATE(2026,8,25)),ROW(Income!A$3:A$502)-2),1)),""),""))</f>
        <v/>
      </c>
      <c r="G174" s="152">
        <f t="array" ref="G174">IF(IFERROR(-INDEX(Expenses!D$3:D$999,SMALL(IF((Expenses!E$3:E$999="GBP")*(Expenses!A$3:A$999=DATE(2026,8,26)),ROW(Expenses!A$3:A$999)-2),1)),0)+IFERROR(INDEX(Income!C$3:C$502,SMALL(IF((Income!D$3:D$502="GBP")*(Income!A$3:A$502=DATE(2026,8,26)),ROW(Income!A$3:A$502)-2),1)),0)=0,"",IFERROR(-INDEX(Expenses!D$3:D$999,SMALL(IF((Expenses!E$3:E$999="GBP")*(Expenses!A$3:A$999=DATE(2026,8,26)),ROW(Expenses!A$3:A$999)-2),1)),0)+IFERROR(INDEX(Income!C$3:C$502,SMALL(IF((Income!D$3:D$502="GBP")*(Income!A$3:A$502=DATE(2026,8,26)),ROW(Income!A$3:A$502)-2),1)),0))</f>
        <v/>
      </c>
      <c r="H174" s="126">
        <f t="array" ref="H174">IF(IFERROR(INDEX(Expenses!B$3:B$999,SMALL(IF((Expenses!E$3:E$999="GBP")*(Expenses!A$3:A$999=DATE(2026,8,26)),ROW(Expenses!A$3:A$999)-2),1)),"")&lt;&gt;"",IFERROR(INDEX(Expenses!B$3:B$999,SMALL(IF((Expenses!E$3:E$999="GBP")*(Expenses!A$3:A$999=DATE(2026,8,26)),ROW(Expenses!A$3:A$999)-2),1)),""),IF(IFERROR(INDEX(Income!B$3:B$502,SMALL(IF((Income!D$3:D$502="GBP")*(Income!A$3:A$502=DATE(2026,8,26)),ROW(Income!A$3:A$502)-2),1)),"")&lt;&gt;"",IFERROR(INDEX(Income!B$3:B$502,SMALL(IF((Income!D$3:D$502="GBP")*(Income!A$3:A$502=DATE(2026,8,26)),ROW(Income!A$3:A$502)-2),1)),""),""))</f>
        <v/>
      </c>
      <c r="I174" s="152">
        <f t="array" ref="I174">IF(IFERROR(-INDEX(Expenses!D$3:D$999,SMALL(IF((Expenses!E$3:E$999="GBP")*(Expenses!A$3:A$999=DATE(2026,8,27)),ROW(Expenses!A$3:A$999)-2),1)),0)+IFERROR(INDEX(Income!C$3:C$502,SMALL(IF((Income!D$3:D$502="GBP")*(Income!A$3:A$502=DATE(2026,8,27)),ROW(Income!A$3:A$502)-2),1)),0)=0,"",IFERROR(-INDEX(Expenses!D$3:D$999,SMALL(IF((Expenses!E$3:E$999="GBP")*(Expenses!A$3:A$999=DATE(2026,8,27)),ROW(Expenses!A$3:A$999)-2),1)),0)+IFERROR(INDEX(Income!C$3:C$502,SMALL(IF((Income!D$3:D$502="GBP")*(Income!A$3:A$502=DATE(2026,8,27)),ROW(Income!A$3:A$502)-2),1)),0))</f>
        <v/>
      </c>
      <c r="J174" s="126">
        <f t="array" ref="J174">IF(IFERROR(INDEX(Expenses!B$3:B$999,SMALL(IF((Expenses!E$3:E$999="GBP")*(Expenses!A$3:A$999=DATE(2026,8,27)),ROW(Expenses!A$3:A$999)-2),1)),"")&lt;&gt;"",IFERROR(INDEX(Expenses!B$3:B$999,SMALL(IF((Expenses!E$3:E$999="GBP")*(Expenses!A$3:A$999=DATE(2026,8,27)),ROW(Expenses!A$3:A$999)-2),1)),""),IF(IFERROR(INDEX(Income!B$3:B$502,SMALL(IF((Income!D$3:D$502="GBP")*(Income!A$3:A$502=DATE(2026,8,27)),ROW(Income!A$3:A$502)-2),1)),"")&lt;&gt;"",IFERROR(INDEX(Income!B$3:B$502,SMALL(IF((Income!D$3:D$502="GBP")*(Income!A$3:A$502=DATE(2026,8,27)),ROW(Income!A$3:A$502)-2),1)),""),""))</f>
        <v/>
      </c>
      <c r="K174" s="152">
        <f t="array" ref="K174">IF(IFERROR(-INDEX(Expenses!D$3:D$999,SMALL(IF((Expenses!E$3:E$999="GBP")*(Expenses!A$3:A$999=DATE(2026,8,28)),ROW(Expenses!A$3:A$999)-2),1)),0)+IFERROR(INDEX(Income!C$3:C$502,SMALL(IF((Income!D$3:D$502="GBP")*(Income!A$3:A$502=DATE(2026,8,28)),ROW(Income!A$3:A$502)-2),1)),0)=0,"",IFERROR(-INDEX(Expenses!D$3:D$999,SMALL(IF((Expenses!E$3:E$999="GBP")*(Expenses!A$3:A$999=DATE(2026,8,28)),ROW(Expenses!A$3:A$999)-2),1)),0)+IFERROR(INDEX(Income!C$3:C$502,SMALL(IF((Income!D$3:D$502="GBP")*(Income!A$3:A$502=DATE(2026,8,28)),ROW(Income!A$3:A$502)-2),1)),0))</f>
        <v/>
      </c>
      <c r="L174" s="126">
        <f t="array" ref="L174">IF(IFERROR(INDEX(Expenses!B$3:B$999,SMALL(IF((Expenses!E$3:E$999="GBP")*(Expenses!A$3:A$999=DATE(2026,8,28)),ROW(Expenses!A$3:A$999)-2),1)),"")&lt;&gt;"",IFERROR(INDEX(Expenses!B$3:B$999,SMALL(IF((Expenses!E$3:E$999="GBP")*(Expenses!A$3:A$999=DATE(2026,8,28)),ROW(Expenses!A$3:A$999)-2),1)),""),IF(IFERROR(INDEX(Income!B$3:B$502,SMALL(IF((Income!D$3:D$502="GBP")*(Income!A$3:A$502=DATE(2026,8,28)),ROW(Income!A$3:A$502)-2),1)),"")&lt;&gt;"",IFERROR(INDEX(Income!B$3:B$502,SMALL(IF((Income!D$3:D$502="GBP")*(Income!A$3:A$502=DATE(2026,8,28)),ROW(Income!A$3:A$502)-2),1)),""),""))</f>
        <v/>
      </c>
      <c r="M174" s="152">
        <f t="array" ref="M174">IF(IFERROR(-INDEX(Expenses!D$3:D$999,SMALL(IF((Expenses!E$3:E$999="GBP")*(Expenses!A$3:A$999=DATE(2026,8,29)),ROW(Expenses!A$3:A$999)-2),1)),0)+IFERROR(INDEX(Income!C$3:C$502,SMALL(IF((Income!D$3:D$502="GBP")*(Income!A$3:A$502=DATE(2026,8,29)),ROW(Income!A$3:A$502)-2),1)),0)=0,"",IFERROR(-INDEX(Expenses!D$3:D$999,SMALL(IF((Expenses!E$3:E$999="GBP")*(Expenses!A$3:A$999=DATE(2026,8,29)),ROW(Expenses!A$3:A$999)-2),1)),0)+IFERROR(INDEX(Income!C$3:C$502,SMALL(IF((Income!D$3:D$502="GBP")*(Income!A$3:A$502=DATE(2026,8,29)),ROW(Income!A$3:A$502)-2),1)),0))</f>
        <v/>
      </c>
      <c r="N174" s="126">
        <f t="array" ref="N174">IF(IFERROR(INDEX(Expenses!B$3:B$999,SMALL(IF((Expenses!E$3:E$999="GBP")*(Expenses!A$3:A$999=DATE(2026,8,29)),ROW(Expenses!A$3:A$999)-2),1)),"")&lt;&gt;"",IFERROR(INDEX(Expenses!B$3:B$999,SMALL(IF((Expenses!E$3:E$999="GBP")*(Expenses!A$3:A$999=DATE(2026,8,29)),ROW(Expenses!A$3:A$999)-2),1)),""),IF(IFERROR(INDEX(Income!B$3:B$502,SMALL(IF((Income!D$3:D$502="GBP")*(Income!A$3:A$502=DATE(2026,8,29)),ROW(Income!A$3:A$502)-2),1)),"")&lt;&gt;"",IFERROR(INDEX(Income!B$3:B$502,SMALL(IF((Income!D$3:D$502="GBP")*(Income!A$3:A$502=DATE(2026,8,29)),ROW(Income!A$3:A$502)-2),1)),""),""))</f>
        <v/>
      </c>
      <c r="O174" s="152">
        <f t="array" ref="O174">IF(IFERROR(-INDEX(Expenses!D$3:D$999,SMALL(IF((Expenses!E$3:E$999="GBP")*(Expenses!A$3:A$999=DATE(2026,8,30)),ROW(Expenses!A$3:A$999)-2),1)),0)+IFERROR(INDEX(Income!C$3:C$502,SMALL(IF((Income!D$3:D$502="GBP")*(Income!A$3:A$502=DATE(2026,8,30)),ROW(Income!A$3:A$502)-2),1)),0)=0,"",IFERROR(-INDEX(Expenses!D$3:D$999,SMALL(IF((Expenses!E$3:E$999="GBP")*(Expenses!A$3:A$999=DATE(2026,8,30)),ROW(Expenses!A$3:A$999)-2),1)),0)+IFERROR(INDEX(Income!C$3:C$502,SMALL(IF((Income!D$3:D$502="GBP")*(Income!A$3:A$502=DATE(2026,8,30)),ROW(Income!A$3:A$502)-2),1)),0))</f>
        <v/>
      </c>
      <c r="P174" s="126">
        <f t="array" ref="P174">IF(IFERROR(INDEX(Expenses!B$3:B$999,SMALL(IF((Expenses!E$3:E$999="GBP")*(Expenses!A$3:A$999=DATE(2026,8,30)),ROW(Expenses!A$3:A$999)-2),1)),"")&lt;&gt;"",IFERROR(INDEX(Expenses!B$3:B$999,SMALL(IF((Expenses!E$3:E$999="GBP")*(Expenses!A$3:A$999=DATE(2026,8,30)),ROW(Expenses!A$3:A$999)-2),1)),""),IF(IFERROR(INDEX(Income!B$3:B$502,SMALL(IF((Income!D$3:D$502="GBP")*(Income!A$3:A$502=DATE(2026,8,30)),ROW(Income!A$3:A$502)-2),1)),"")&lt;&gt;"",IFERROR(INDEX(Income!B$3:B$502,SMALL(IF((Income!D$3:D$502="GBP")*(Income!A$3:A$502=DATE(2026,8,30)),ROW(Income!A$3:A$502)-2),1)),""),""))</f>
        <v/>
      </c>
      <c r="Q174" s="103" t="n">
        <v>35</v>
      </c>
      <c r="R174" s="134">
        <f>SUM(C174:C178)+SUM(E174:E178)+SUM(G174:G178)+SUM(I174:I178)+SUM(K174:K178)+SUM(M174:M178)+SUM(O174:O178)</f>
        <v/>
      </c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68">
      <c r="A175" s="9" t="n"/>
      <c r="B175" s="9" t="n"/>
      <c r="C175" s="152">
        <f t="array" ref="C175">IF(IFERROR(-INDEX(Expenses!D$3:D$999,SMALL(IF((Expenses!E$3:E$999="GBP")*(Expenses!A$3:A$999=DATE(2026,8,24)),ROW(Expenses!A$3:A$999)-2),2)),0)+IFERROR(INDEX(Income!C$3:C$502,SMALL(IF((Income!D$3:D$502="GBP")*(Income!A$3:A$502=DATE(2026,8,24)),ROW(Income!A$3:A$502)-2),2)),0)=0,"",IFERROR(-INDEX(Expenses!D$3:D$999,SMALL(IF((Expenses!E$3:E$999="GBP")*(Expenses!A$3:A$999=DATE(2026,8,24)),ROW(Expenses!A$3:A$999)-2),2)),0)+IFERROR(INDEX(Income!C$3:C$502,SMALL(IF((Income!D$3:D$502="GBP")*(Income!A$3:A$502=DATE(2026,8,24)),ROW(Income!A$3:A$502)-2),2)),0))</f>
        <v/>
      </c>
      <c r="D175" s="126">
        <f t="array" ref="D175">IF(IFERROR(INDEX(Expenses!B$3:B$999,SMALL(IF((Expenses!E$3:E$999="GBP")*(Expenses!A$3:A$999=DATE(2026,8,24)),ROW(Expenses!A$3:A$999)-2),2)),"")&lt;&gt;"",IFERROR(INDEX(Expenses!B$3:B$999,SMALL(IF((Expenses!E$3:E$999="GBP")*(Expenses!A$3:A$999=DATE(2026,8,24)),ROW(Expenses!A$3:A$999)-2),2)),""),IF(IFERROR(INDEX(Income!B$3:B$502,SMALL(IF((Income!D$3:D$502="GBP")*(Income!A$3:A$502=DATE(2026,8,24)),ROW(Income!A$3:A$502)-2),2)),"")&lt;&gt;"",IFERROR(INDEX(Income!B$3:B$502,SMALL(IF((Income!D$3:D$502="GBP")*(Income!A$3:A$502=DATE(2026,8,24)),ROW(Income!A$3:A$502)-2),2)),""),""))</f>
        <v/>
      </c>
      <c r="E175" s="152">
        <f t="array" ref="E175">IF(IFERROR(-INDEX(Expenses!D$3:D$999,SMALL(IF((Expenses!E$3:E$999="GBP")*(Expenses!A$3:A$999=DATE(2026,8,25)),ROW(Expenses!A$3:A$999)-2),2)),0)+IFERROR(INDEX(Income!C$3:C$502,SMALL(IF((Income!D$3:D$502="GBP")*(Income!A$3:A$502=DATE(2026,8,25)),ROW(Income!A$3:A$502)-2),2)),0)=0,"",IFERROR(-INDEX(Expenses!D$3:D$999,SMALL(IF((Expenses!E$3:E$999="GBP")*(Expenses!A$3:A$999=DATE(2026,8,25)),ROW(Expenses!A$3:A$999)-2),2)),0)+IFERROR(INDEX(Income!C$3:C$502,SMALL(IF((Income!D$3:D$502="GBP")*(Income!A$3:A$502=DATE(2026,8,25)),ROW(Income!A$3:A$502)-2),2)),0))</f>
        <v/>
      </c>
      <c r="F175" s="126">
        <f t="array" ref="F175">IF(IFERROR(INDEX(Expenses!B$3:B$999,SMALL(IF((Expenses!E$3:E$999="GBP")*(Expenses!A$3:A$999=DATE(2026,8,25)),ROW(Expenses!A$3:A$999)-2),2)),"")&lt;&gt;"",IFERROR(INDEX(Expenses!B$3:B$999,SMALL(IF((Expenses!E$3:E$999="GBP")*(Expenses!A$3:A$999=DATE(2026,8,25)),ROW(Expenses!A$3:A$999)-2),2)),""),IF(IFERROR(INDEX(Income!B$3:B$502,SMALL(IF((Income!D$3:D$502="GBP")*(Income!A$3:A$502=DATE(2026,8,25)),ROW(Income!A$3:A$502)-2),2)),"")&lt;&gt;"",IFERROR(INDEX(Income!B$3:B$502,SMALL(IF((Income!D$3:D$502="GBP")*(Income!A$3:A$502=DATE(2026,8,25)),ROW(Income!A$3:A$502)-2),2)),""),""))</f>
        <v/>
      </c>
      <c r="G175" s="152">
        <f t="array" ref="G175">IF(IFERROR(-INDEX(Expenses!D$3:D$999,SMALL(IF((Expenses!E$3:E$999="GBP")*(Expenses!A$3:A$999=DATE(2026,8,26)),ROW(Expenses!A$3:A$999)-2),2)),0)+IFERROR(INDEX(Income!C$3:C$502,SMALL(IF((Income!D$3:D$502="GBP")*(Income!A$3:A$502=DATE(2026,8,26)),ROW(Income!A$3:A$502)-2),2)),0)=0,"",IFERROR(-INDEX(Expenses!D$3:D$999,SMALL(IF((Expenses!E$3:E$999="GBP")*(Expenses!A$3:A$999=DATE(2026,8,26)),ROW(Expenses!A$3:A$999)-2),2)),0)+IFERROR(INDEX(Income!C$3:C$502,SMALL(IF((Income!D$3:D$502="GBP")*(Income!A$3:A$502=DATE(2026,8,26)),ROW(Income!A$3:A$502)-2),2)),0))</f>
        <v/>
      </c>
      <c r="H175" s="126">
        <f t="array" ref="H175">IF(IFERROR(INDEX(Expenses!B$3:B$999,SMALL(IF((Expenses!E$3:E$999="GBP")*(Expenses!A$3:A$999=DATE(2026,8,26)),ROW(Expenses!A$3:A$999)-2),2)),"")&lt;&gt;"",IFERROR(INDEX(Expenses!B$3:B$999,SMALL(IF((Expenses!E$3:E$999="GBP")*(Expenses!A$3:A$999=DATE(2026,8,26)),ROW(Expenses!A$3:A$999)-2),2)),""),IF(IFERROR(INDEX(Income!B$3:B$502,SMALL(IF((Income!D$3:D$502="GBP")*(Income!A$3:A$502=DATE(2026,8,26)),ROW(Income!A$3:A$502)-2),2)),"")&lt;&gt;"",IFERROR(INDEX(Income!B$3:B$502,SMALL(IF((Income!D$3:D$502="GBP")*(Income!A$3:A$502=DATE(2026,8,26)),ROW(Income!A$3:A$502)-2),2)),""),""))</f>
        <v/>
      </c>
      <c r="I175" s="152">
        <f t="array" ref="I175">IF(IFERROR(-INDEX(Expenses!D$3:D$999,SMALL(IF((Expenses!E$3:E$999="GBP")*(Expenses!A$3:A$999=DATE(2026,8,27)),ROW(Expenses!A$3:A$999)-2),2)),0)+IFERROR(INDEX(Income!C$3:C$502,SMALL(IF((Income!D$3:D$502="GBP")*(Income!A$3:A$502=DATE(2026,8,27)),ROW(Income!A$3:A$502)-2),2)),0)=0,"",IFERROR(-INDEX(Expenses!D$3:D$999,SMALL(IF((Expenses!E$3:E$999="GBP")*(Expenses!A$3:A$999=DATE(2026,8,27)),ROW(Expenses!A$3:A$999)-2),2)),0)+IFERROR(INDEX(Income!C$3:C$502,SMALL(IF((Income!D$3:D$502="GBP")*(Income!A$3:A$502=DATE(2026,8,27)),ROW(Income!A$3:A$502)-2),2)),0))</f>
        <v/>
      </c>
      <c r="J175" s="126">
        <f t="array" ref="J175">IF(IFERROR(INDEX(Expenses!B$3:B$999,SMALL(IF((Expenses!E$3:E$999="GBP")*(Expenses!A$3:A$999=DATE(2026,8,27)),ROW(Expenses!A$3:A$999)-2),2)),"")&lt;&gt;"",IFERROR(INDEX(Expenses!B$3:B$999,SMALL(IF((Expenses!E$3:E$999="GBP")*(Expenses!A$3:A$999=DATE(2026,8,27)),ROW(Expenses!A$3:A$999)-2),2)),""),IF(IFERROR(INDEX(Income!B$3:B$502,SMALL(IF((Income!D$3:D$502="GBP")*(Income!A$3:A$502=DATE(2026,8,27)),ROW(Income!A$3:A$502)-2),2)),"")&lt;&gt;"",IFERROR(INDEX(Income!B$3:B$502,SMALL(IF((Income!D$3:D$502="GBP")*(Income!A$3:A$502=DATE(2026,8,27)),ROW(Income!A$3:A$502)-2),2)),""),""))</f>
        <v/>
      </c>
      <c r="K175" s="152">
        <f t="array" ref="K175">IF(IFERROR(-INDEX(Expenses!D$3:D$999,SMALL(IF((Expenses!E$3:E$999="GBP")*(Expenses!A$3:A$999=DATE(2026,8,28)),ROW(Expenses!A$3:A$999)-2),2)),0)+IFERROR(INDEX(Income!C$3:C$502,SMALL(IF((Income!D$3:D$502="GBP")*(Income!A$3:A$502=DATE(2026,8,28)),ROW(Income!A$3:A$502)-2),2)),0)=0,"",IFERROR(-INDEX(Expenses!D$3:D$999,SMALL(IF((Expenses!E$3:E$999="GBP")*(Expenses!A$3:A$999=DATE(2026,8,28)),ROW(Expenses!A$3:A$999)-2),2)),0)+IFERROR(INDEX(Income!C$3:C$502,SMALL(IF((Income!D$3:D$502="GBP")*(Income!A$3:A$502=DATE(2026,8,28)),ROW(Income!A$3:A$502)-2),2)),0))</f>
        <v/>
      </c>
      <c r="L175" s="126">
        <f t="array" ref="L175">IF(IFERROR(INDEX(Expenses!B$3:B$999,SMALL(IF((Expenses!E$3:E$999="GBP")*(Expenses!A$3:A$999=DATE(2026,8,28)),ROW(Expenses!A$3:A$999)-2),2)),"")&lt;&gt;"",IFERROR(INDEX(Expenses!B$3:B$999,SMALL(IF((Expenses!E$3:E$999="GBP")*(Expenses!A$3:A$999=DATE(2026,8,28)),ROW(Expenses!A$3:A$999)-2),2)),""),IF(IFERROR(INDEX(Income!B$3:B$502,SMALL(IF((Income!D$3:D$502="GBP")*(Income!A$3:A$502=DATE(2026,8,28)),ROW(Income!A$3:A$502)-2),2)),"")&lt;&gt;"",IFERROR(INDEX(Income!B$3:B$502,SMALL(IF((Income!D$3:D$502="GBP")*(Income!A$3:A$502=DATE(2026,8,28)),ROW(Income!A$3:A$502)-2),2)),""),""))</f>
        <v/>
      </c>
      <c r="M175" s="152">
        <f t="array" ref="M175">IF(IFERROR(-INDEX(Expenses!D$3:D$999,SMALL(IF((Expenses!E$3:E$999="GBP")*(Expenses!A$3:A$999=DATE(2026,8,29)),ROW(Expenses!A$3:A$999)-2),2)),0)+IFERROR(INDEX(Income!C$3:C$502,SMALL(IF((Income!D$3:D$502="GBP")*(Income!A$3:A$502=DATE(2026,8,29)),ROW(Income!A$3:A$502)-2),2)),0)=0,"",IFERROR(-INDEX(Expenses!D$3:D$999,SMALL(IF((Expenses!E$3:E$999="GBP")*(Expenses!A$3:A$999=DATE(2026,8,29)),ROW(Expenses!A$3:A$999)-2),2)),0)+IFERROR(INDEX(Income!C$3:C$502,SMALL(IF((Income!D$3:D$502="GBP")*(Income!A$3:A$502=DATE(2026,8,29)),ROW(Income!A$3:A$502)-2),2)),0))</f>
        <v/>
      </c>
      <c r="N175" s="126">
        <f t="array" ref="N175">IF(IFERROR(INDEX(Expenses!B$3:B$999,SMALL(IF((Expenses!E$3:E$999="GBP")*(Expenses!A$3:A$999=DATE(2026,8,29)),ROW(Expenses!A$3:A$999)-2),2)),"")&lt;&gt;"",IFERROR(INDEX(Expenses!B$3:B$999,SMALL(IF((Expenses!E$3:E$999="GBP")*(Expenses!A$3:A$999=DATE(2026,8,29)),ROW(Expenses!A$3:A$999)-2),2)),""),IF(IFERROR(INDEX(Income!B$3:B$502,SMALL(IF((Income!D$3:D$502="GBP")*(Income!A$3:A$502=DATE(2026,8,29)),ROW(Income!A$3:A$502)-2),2)),"")&lt;&gt;"",IFERROR(INDEX(Income!B$3:B$502,SMALL(IF((Income!D$3:D$502="GBP")*(Income!A$3:A$502=DATE(2026,8,29)),ROW(Income!A$3:A$502)-2),2)),""),""))</f>
        <v/>
      </c>
      <c r="O175" s="152">
        <f t="array" ref="O175">IF(IFERROR(-INDEX(Expenses!D$3:D$999,SMALL(IF((Expenses!E$3:E$999="GBP")*(Expenses!A$3:A$999=DATE(2026,8,30)),ROW(Expenses!A$3:A$999)-2),2)),0)+IFERROR(INDEX(Income!C$3:C$502,SMALL(IF((Income!D$3:D$502="GBP")*(Income!A$3:A$502=DATE(2026,8,30)),ROW(Income!A$3:A$502)-2),2)),0)=0,"",IFERROR(-INDEX(Expenses!D$3:D$999,SMALL(IF((Expenses!E$3:E$999="GBP")*(Expenses!A$3:A$999=DATE(2026,8,30)),ROW(Expenses!A$3:A$999)-2),2)),0)+IFERROR(INDEX(Income!C$3:C$502,SMALL(IF((Income!D$3:D$502="GBP")*(Income!A$3:A$502=DATE(2026,8,30)),ROW(Income!A$3:A$502)-2),2)),0))</f>
        <v/>
      </c>
      <c r="P175" s="126">
        <f t="array" ref="P175">IF(IFERROR(INDEX(Expenses!B$3:B$999,SMALL(IF((Expenses!E$3:E$999="GBP")*(Expenses!A$3:A$999=DATE(2026,8,30)),ROW(Expenses!A$3:A$999)-2),2)),"")&lt;&gt;"",IFERROR(INDEX(Expenses!B$3:B$999,SMALL(IF((Expenses!E$3:E$999="GBP")*(Expenses!A$3:A$999=DATE(2026,8,30)),ROW(Expenses!A$3:A$999)-2),2)),""),IF(IFERROR(INDEX(Income!B$3:B$502,SMALL(IF((Income!D$3:D$502="GBP")*(Income!A$3:A$502=DATE(2026,8,30)),ROW(Income!A$3:A$502)-2),2)),"")&lt;&gt;"",IFERROR(INDEX(Income!B$3:B$502,SMALL(IF((Income!D$3:D$502="GBP")*(Income!A$3:A$502=DATE(2026,8,30)),ROW(Income!A$3:A$502)-2),2)),""),""))</f>
        <v/>
      </c>
      <c r="Q175" s="9" t="n"/>
      <c r="R175" s="9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68">
      <c r="A176" s="9" t="n"/>
      <c r="B176" s="9" t="n"/>
      <c r="C176" s="152">
        <f t="array" ref="C176">IF(IFERROR(-INDEX(Expenses!D$3:D$999,SMALL(IF((Expenses!E$3:E$999="GBP")*(Expenses!A$3:A$999=DATE(2026,8,24)),ROW(Expenses!A$3:A$999)-2),3)),0)+IFERROR(INDEX(Income!C$3:C$502,SMALL(IF((Income!D$3:D$502="GBP")*(Income!A$3:A$502=DATE(2026,8,24)),ROW(Income!A$3:A$502)-2),3)),0)=0,"",IFERROR(-INDEX(Expenses!D$3:D$999,SMALL(IF((Expenses!E$3:E$999="GBP")*(Expenses!A$3:A$999=DATE(2026,8,24)),ROW(Expenses!A$3:A$999)-2),3)),0)+IFERROR(INDEX(Income!C$3:C$502,SMALL(IF((Income!D$3:D$502="GBP")*(Income!A$3:A$502=DATE(2026,8,24)),ROW(Income!A$3:A$502)-2),3)),0))</f>
        <v/>
      </c>
      <c r="D176" s="126">
        <f t="array" ref="D176">IF(IFERROR(INDEX(Expenses!B$3:B$999,SMALL(IF((Expenses!E$3:E$999="GBP")*(Expenses!A$3:A$999=DATE(2026,8,24)),ROW(Expenses!A$3:A$999)-2),3)),"")&lt;&gt;"",IFERROR(INDEX(Expenses!B$3:B$999,SMALL(IF((Expenses!E$3:E$999="GBP")*(Expenses!A$3:A$999=DATE(2026,8,24)),ROW(Expenses!A$3:A$999)-2),3)),""),IF(IFERROR(INDEX(Income!B$3:B$502,SMALL(IF((Income!D$3:D$502="GBP")*(Income!A$3:A$502=DATE(2026,8,24)),ROW(Income!A$3:A$502)-2),3)),"")&lt;&gt;"",IFERROR(INDEX(Income!B$3:B$502,SMALL(IF((Income!D$3:D$502="GBP")*(Income!A$3:A$502=DATE(2026,8,24)),ROW(Income!A$3:A$502)-2),3)),""),""))</f>
        <v/>
      </c>
      <c r="E176" s="152">
        <f t="array" ref="E176">IF(IFERROR(-INDEX(Expenses!D$3:D$999,SMALL(IF((Expenses!E$3:E$999="GBP")*(Expenses!A$3:A$999=DATE(2026,8,25)),ROW(Expenses!A$3:A$999)-2),3)),0)+IFERROR(INDEX(Income!C$3:C$502,SMALL(IF((Income!D$3:D$502="GBP")*(Income!A$3:A$502=DATE(2026,8,25)),ROW(Income!A$3:A$502)-2),3)),0)=0,"",IFERROR(-INDEX(Expenses!D$3:D$999,SMALL(IF((Expenses!E$3:E$999="GBP")*(Expenses!A$3:A$999=DATE(2026,8,25)),ROW(Expenses!A$3:A$999)-2),3)),0)+IFERROR(INDEX(Income!C$3:C$502,SMALL(IF((Income!D$3:D$502="GBP")*(Income!A$3:A$502=DATE(2026,8,25)),ROW(Income!A$3:A$502)-2),3)),0))</f>
        <v/>
      </c>
      <c r="F176" s="126">
        <f t="array" ref="F176">IF(IFERROR(INDEX(Expenses!B$3:B$999,SMALL(IF((Expenses!E$3:E$999="GBP")*(Expenses!A$3:A$999=DATE(2026,8,25)),ROW(Expenses!A$3:A$999)-2),3)),"")&lt;&gt;"",IFERROR(INDEX(Expenses!B$3:B$999,SMALL(IF((Expenses!E$3:E$999="GBP")*(Expenses!A$3:A$999=DATE(2026,8,25)),ROW(Expenses!A$3:A$999)-2),3)),""),IF(IFERROR(INDEX(Income!B$3:B$502,SMALL(IF((Income!D$3:D$502="GBP")*(Income!A$3:A$502=DATE(2026,8,25)),ROW(Income!A$3:A$502)-2),3)),"")&lt;&gt;"",IFERROR(INDEX(Income!B$3:B$502,SMALL(IF((Income!D$3:D$502="GBP")*(Income!A$3:A$502=DATE(2026,8,25)),ROW(Income!A$3:A$502)-2),3)),""),""))</f>
        <v/>
      </c>
      <c r="G176" s="152">
        <f t="array" ref="G176">IF(IFERROR(-INDEX(Expenses!D$3:D$999,SMALL(IF((Expenses!E$3:E$999="GBP")*(Expenses!A$3:A$999=DATE(2026,8,26)),ROW(Expenses!A$3:A$999)-2),3)),0)+IFERROR(INDEX(Income!C$3:C$502,SMALL(IF((Income!D$3:D$502="GBP")*(Income!A$3:A$502=DATE(2026,8,26)),ROW(Income!A$3:A$502)-2),3)),0)=0,"",IFERROR(-INDEX(Expenses!D$3:D$999,SMALL(IF((Expenses!E$3:E$999="GBP")*(Expenses!A$3:A$999=DATE(2026,8,26)),ROW(Expenses!A$3:A$999)-2),3)),0)+IFERROR(INDEX(Income!C$3:C$502,SMALL(IF((Income!D$3:D$502="GBP")*(Income!A$3:A$502=DATE(2026,8,26)),ROW(Income!A$3:A$502)-2),3)),0))</f>
        <v/>
      </c>
      <c r="H176" s="126">
        <f t="array" ref="H176">IF(IFERROR(INDEX(Expenses!B$3:B$999,SMALL(IF((Expenses!E$3:E$999="GBP")*(Expenses!A$3:A$999=DATE(2026,8,26)),ROW(Expenses!A$3:A$999)-2),3)),"")&lt;&gt;"",IFERROR(INDEX(Expenses!B$3:B$999,SMALL(IF((Expenses!E$3:E$999="GBP")*(Expenses!A$3:A$999=DATE(2026,8,26)),ROW(Expenses!A$3:A$999)-2),3)),""),IF(IFERROR(INDEX(Income!B$3:B$502,SMALL(IF((Income!D$3:D$502="GBP")*(Income!A$3:A$502=DATE(2026,8,26)),ROW(Income!A$3:A$502)-2),3)),"")&lt;&gt;"",IFERROR(INDEX(Income!B$3:B$502,SMALL(IF((Income!D$3:D$502="GBP")*(Income!A$3:A$502=DATE(2026,8,26)),ROW(Income!A$3:A$502)-2),3)),""),""))</f>
        <v/>
      </c>
      <c r="I176" s="152">
        <f t="array" ref="I176">IF(IFERROR(-INDEX(Expenses!D$3:D$999,SMALL(IF((Expenses!E$3:E$999="GBP")*(Expenses!A$3:A$999=DATE(2026,8,27)),ROW(Expenses!A$3:A$999)-2),3)),0)+IFERROR(INDEX(Income!C$3:C$502,SMALL(IF((Income!D$3:D$502="GBP")*(Income!A$3:A$502=DATE(2026,8,27)),ROW(Income!A$3:A$502)-2),3)),0)=0,"",IFERROR(-INDEX(Expenses!D$3:D$999,SMALL(IF((Expenses!E$3:E$999="GBP")*(Expenses!A$3:A$999=DATE(2026,8,27)),ROW(Expenses!A$3:A$999)-2),3)),0)+IFERROR(INDEX(Income!C$3:C$502,SMALL(IF((Income!D$3:D$502="GBP")*(Income!A$3:A$502=DATE(2026,8,27)),ROW(Income!A$3:A$502)-2),3)),0))</f>
        <v/>
      </c>
      <c r="J176" s="126">
        <f t="array" ref="J176">IF(IFERROR(INDEX(Expenses!B$3:B$999,SMALL(IF((Expenses!E$3:E$999="GBP")*(Expenses!A$3:A$999=DATE(2026,8,27)),ROW(Expenses!A$3:A$999)-2),3)),"")&lt;&gt;"",IFERROR(INDEX(Expenses!B$3:B$999,SMALL(IF((Expenses!E$3:E$999="GBP")*(Expenses!A$3:A$999=DATE(2026,8,27)),ROW(Expenses!A$3:A$999)-2),3)),""),IF(IFERROR(INDEX(Income!B$3:B$502,SMALL(IF((Income!D$3:D$502="GBP")*(Income!A$3:A$502=DATE(2026,8,27)),ROW(Income!A$3:A$502)-2),3)),"")&lt;&gt;"",IFERROR(INDEX(Income!B$3:B$502,SMALL(IF((Income!D$3:D$502="GBP")*(Income!A$3:A$502=DATE(2026,8,27)),ROW(Income!A$3:A$502)-2),3)),""),""))</f>
        <v/>
      </c>
      <c r="K176" s="152">
        <f t="array" ref="K176">IF(IFERROR(-INDEX(Expenses!D$3:D$999,SMALL(IF((Expenses!E$3:E$999="GBP")*(Expenses!A$3:A$999=DATE(2026,8,28)),ROW(Expenses!A$3:A$999)-2),3)),0)+IFERROR(INDEX(Income!C$3:C$502,SMALL(IF((Income!D$3:D$502="GBP")*(Income!A$3:A$502=DATE(2026,8,28)),ROW(Income!A$3:A$502)-2),3)),0)=0,"",IFERROR(-INDEX(Expenses!D$3:D$999,SMALL(IF((Expenses!E$3:E$999="GBP")*(Expenses!A$3:A$999=DATE(2026,8,28)),ROW(Expenses!A$3:A$999)-2),3)),0)+IFERROR(INDEX(Income!C$3:C$502,SMALL(IF((Income!D$3:D$502="GBP")*(Income!A$3:A$502=DATE(2026,8,28)),ROW(Income!A$3:A$502)-2),3)),0))</f>
        <v/>
      </c>
      <c r="L176" s="126">
        <f t="array" ref="L176">IF(IFERROR(INDEX(Expenses!B$3:B$999,SMALL(IF((Expenses!E$3:E$999="GBP")*(Expenses!A$3:A$999=DATE(2026,8,28)),ROW(Expenses!A$3:A$999)-2),3)),"")&lt;&gt;"",IFERROR(INDEX(Expenses!B$3:B$999,SMALL(IF((Expenses!E$3:E$999="GBP")*(Expenses!A$3:A$999=DATE(2026,8,28)),ROW(Expenses!A$3:A$999)-2),3)),""),IF(IFERROR(INDEX(Income!B$3:B$502,SMALL(IF((Income!D$3:D$502="GBP")*(Income!A$3:A$502=DATE(2026,8,28)),ROW(Income!A$3:A$502)-2),3)),"")&lt;&gt;"",IFERROR(INDEX(Income!B$3:B$502,SMALL(IF((Income!D$3:D$502="GBP")*(Income!A$3:A$502=DATE(2026,8,28)),ROW(Income!A$3:A$502)-2),3)),""),""))</f>
        <v/>
      </c>
      <c r="M176" s="152">
        <f t="array" ref="M176">IF(IFERROR(-INDEX(Expenses!D$3:D$999,SMALL(IF((Expenses!E$3:E$999="GBP")*(Expenses!A$3:A$999=DATE(2026,8,29)),ROW(Expenses!A$3:A$999)-2),3)),0)+IFERROR(INDEX(Income!C$3:C$502,SMALL(IF((Income!D$3:D$502="GBP")*(Income!A$3:A$502=DATE(2026,8,29)),ROW(Income!A$3:A$502)-2),3)),0)=0,"",IFERROR(-INDEX(Expenses!D$3:D$999,SMALL(IF((Expenses!E$3:E$999="GBP")*(Expenses!A$3:A$999=DATE(2026,8,29)),ROW(Expenses!A$3:A$999)-2),3)),0)+IFERROR(INDEX(Income!C$3:C$502,SMALL(IF((Income!D$3:D$502="GBP")*(Income!A$3:A$502=DATE(2026,8,29)),ROW(Income!A$3:A$502)-2),3)),0))</f>
        <v/>
      </c>
      <c r="N176" s="126">
        <f t="array" ref="N176">IF(IFERROR(INDEX(Expenses!B$3:B$999,SMALL(IF((Expenses!E$3:E$999="GBP")*(Expenses!A$3:A$999=DATE(2026,8,29)),ROW(Expenses!A$3:A$999)-2),3)),"")&lt;&gt;"",IFERROR(INDEX(Expenses!B$3:B$999,SMALL(IF((Expenses!E$3:E$999="GBP")*(Expenses!A$3:A$999=DATE(2026,8,29)),ROW(Expenses!A$3:A$999)-2),3)),""),IF(IFERROR(INDEX(Income!B$3:B$502,SMALL(IF((Income!D$3:D$502="GBP")*(Income!A$3:A$502=DATE(2026,8,29)),ROW(Income!A$3:A$502)-2),3)),"")&lt;&gt;"",IFERROR(INDEX(Income!B$3:B$502,SMALL(IF((Income!D$3:D$502="GBP")*(Income!A$3:A$502=DATE(2026,8,29)),ROW(Income!A$3:A$502)-2),3)),""),""))</f>
        <v/>
      </c>
      <c r="O176" s="152">
        <f t="array" ref="O176">IF(IFERROR(-INDEX(Expenses!D$3:D$999,SMALL(IF((Expenses!E$3:E$999="GBP")*(Expenses!A$3:A$999=DATE(2026,8,30)),ROW(Expenses!A$3:A$999)-2),3)),0)+IFERROR(INDEX(Income!C$3:C$502,SMALL(IF((Income!D$3:D$502="GBP")*(Income!A$3:A$502=DATE(2026,8,30)),ROW(Income!A$3:A$502)-2),3)),0)=0,"",IFERROR(-INDEX(Expenses!D$3:D$999,SMALL(IF((Expenses!E$3:E$999="GBP")*(Expenses!A$3:A$999=DATE(2026,8,30)),ROW(Expenses!A$3:A$999)-2),3)),0)+IFERROR(INDEX(Income!C$3:C$502,SMALL(IF((Income!D$3:D$502="GBP")*(Income!A$3:A$502=DATE(2026,8,30)),ROW(Income!A$3:A$502)-2),3)),0))</f>
        <v/>
      </c>
      <c r="P176" s="126">
        <f t="array" ref="P176">IF(IFERROR(INDEX(Expenses!B$3:B$999,SMALL(IF((Expenses!E$3:E$999="GBP")*(Expenses!A$3:A$999=DATE(2026,8,30)),ROW(Expenses!A$3:A$999)-2),3)),"")&lt;&gt;"",IFERROR(INDEX(Expenses!B$3:B$999,SMALL(IF((Expenses!E$3:E$999="GBP")*(Expenses!A$3:A$999=DATE(2026,8,30)),ROW(Expenses!A$3:A$999)-2),3)),""),IF(IFERROR(INDEX(Income!B$3:B$502,SMALL(IF((Income!D$3:D$502="GBP")*(Income!A$3:A$502=DATE(2026,8,30)),ROW(Income!A$3:A$502)-2),3)),"")&lt;&gt;"",IFERROR(INDEX(Income!B$3:B$502,SMALL(IF((Income!D$3:D$502="GBP")*(Income!A$3:A$502=DATE(2026,8,30)),ROW(Income!A$3:A$502)-2),3)),""),""))</f>
        <v/>
      </c>
      <c r="Q176" s="9" t="n"/>
      <c r="R176" s="9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68">
      <c r="A177" s="9" t="n"/>
      <c r="B177" s="9" t="n"/>
      <c r="C177" s="152">
        <f t="array" ref="C177">IF(IFERROR(-INDEX(Expenses!D$3:D$999,SMALL(IF((Expenses!E$3:E$999="GBP")*(Expenses!A$3:A$999=DATE(2026,8,24)),ROW(Expenses!A$3:A$999)-2),4)),0)+IFERROR(INDEX(Income!C$3:C$502,SMALL(IF((Income!D$3:D$502="GBP")*(Income!A$3:A$502=DATE(2026,8,24)),ROW(Income!A$3:A$502)-2),4)),0)=0,"",IFERROR(-INDEX(Expenses!D$3:D$999,SMALL(IF((Expenses!E$3:E$999="GBP")*(Expenses!A$3:A$999=DATE(2026,8,24)),ROW(Expenses!A$3:A$999)-2),4)),0)+IFERROR(INDEX(Income!C$3:C$502,SMALL(IF((Income!D$3:D$502="GBP")*(Income!A$3:A$502=DATE(2026,8,24)),ROW(Income!A$3:A$502)-2),4)),0))</f>
        <v/>
      </c>
      <c r="D177" s="126">
        <f t="array" ref="D177">IF(IFERROR(INDEX(Expenses!B$3:B$999,SMALL(IF((Expenses!E$3:E$999="GBP")*(Expenses!A$3:A$999=DATE(2026,8,24)),ROW(Expenses!A$3:A$999)-2),4)),"")&lt;&gt;"",IFERROR(INDEX(Expenses!B$3:B$999,SMALL(IF((Expenses!E$3:E$999="GBP")*(Expenses!A$3:A$999=DATE(2026,8,24)),ROW(Expenses!A$3:A$999)-2),4)),""),IF(IFERROR(INDEX(Income!B$3:B$502,SMALL(IF((Income!D$3:D$502="GBP")*(Income!A$3:A$502=DATE(2026,8,24)),ROW(Income!A$3:A$502)-2),4)),"")&lt;&gt;"",IFERROR(INDEX(Income!B$3:B$502,SMALL(IF((Income!D$3:D$502="GBP")*(Income!A$3:A$502=DATE(2026,8,24)),ROW(Income!A$3:A$502)-2),4)),""),""))</f>
        <v/>
      </c>
      <c r="E177" s="152">
        <f t="array" ref="E177">IF(IFERROR(-INDEX(Expenses!D$3:D$999,SMALL(IF((Expenses!E$3:E$999="GBP")*(Expenses!A$3:A$999=DATE(2026,8,25)),ROW(Expenses!A$3:A$999)-2),4)),0)+IFERROR(INDEX(Income!C$3:C$502,SMALL(IF((Income!D$3:D$502="GBP")*(Income!A$3:A$502=DATE(2026,8,25)),ROW(Income!A$3:A$502)-2),4)),0)=0,"",IFERROR(-INDEX(Expenses!D$3:D$999,SMALL(IF((Expenses!E$3:E$999="GBP")*(Expenses!A$3:A$999=DATE(2026,8,25)),ROW(Expenses!A$3:A$999)-2),4)),0)+IFERROR(INDEX(Income!C$3:C$502,SMALL(IF((Income!D$3:D$502="GBP")*(Income!A$3:A$502=DATE(2026,8,25)),ROW(Income!A$3:A$502)-2),4)),0))</f>
        <v/>
      </c>
      <c r="F177" s="126">
        <f t="array" ref="F177">IF(IFERROR(INDEX(Expenses!B$3:B$999,SMALL(IF((Expenses!E$3:E$999="GBP")*(Expenses!A$3:A$999=DATE(2026,8,25)),ROW(Expenses!A$3:A$999)-2),4)),"")&lt;&gt;"",IFERROR(INDEX(Expenses!B$3:B$999,SMALL(IF((Expenses!E$3:E$999="GBP")*(Expenses!A$3:A$999=DATE(2026,8,25)),ROW(Expenses!A$3:A$999)-2),4)),""),IF(IFERROR(INDEX(Income!B$3:B$502,SMALL(IF((Income!D$3:D$502="GBP")*(Income!A$3:A$502=DATE(2026,8,25)),ROW(Income!A$3:A$502)-2),4)),"")&lt;&gt;"",IFERROR(INDEX(Income!B$3:B$502,SMALL(IF((Income!D$3:D$502="GBP")*(Income!A$3:A$502=DATE(2026,8,25)),ROW(Income!A$3:A$502)-2),4)),""),""))</f>
        <v/>
      </c>
      <c r="G177" s="152">
        <f t="array" ref="G177">IF(IFERROR(-INDEX(Expenses!D$3:D$999,SMALL(IF((Expenses!E$3:E$999="GBP")*(Expenses!A$3:A$999=DATE(2026,8,26)),ROW(Expenses!A$3:A$999)-2),4)),0)+IFERROR(INDEX(Income!C$3:C$502,SMALL(IF((Income!D$3:D$502="GBP")*(Income!A$3:A$502=DATE(2026,8,26)),ROW(Income!A$3:A$502)-2),4)),0)=0,"",IFERROR(-INDEX(Expenses!D$3:D$999,SMALL(IF((Expenses!E$3:E$999="GBP")*(Expenses!A$3:A$999=DATE(2026,8,26)),ROW(Expenses!A$3:A$999)-2),4)),0)+IFERROR(INDEX(Income!C$3:C$502,SMALL(IF((Income!D$3:D$502="GBP")*(Income!A$3:A$502=DATE(2026,8,26)),ROW(Income!A$3:A$502)-2),4)),0))</f>
        <v/>
      </c>
      <c r="H177" s="126">
        <f t="array" ref="H177">IF(IFERROR(INDEX(Expenses!B$3:B$999,SMALL(IF((Expenses!E$3:E$999="GBP")*(Expenses!A$3:A$999=DATE(2026,8,26)),ROW(Expenses!A$3:A$999)-2),4)),"")&lt;&gt;"",IFERROR(INDEX(Expenses!B$3:B$999,SMALL(IF((Expenses!E$3:E$999="GBP")*(Expenses!A$3:A$999=DATE(2026,8,26)),ROW(Expenses!A$3:A$999)-2),4)),""),IF(IFERROR(INDEX(Income!B$3:B$502,SMALL(IF((Income!D$3:D$502="GBP")*(Income!A$3:A$502=DATE(2026,8,26)),ROW(Income!A$3:A$502)-2),4)),"")&lt;&gt;"",IFERROR(INDEX(Income!B$3:B$502,SMALL(IF((Income!D$3:D$502="GBP")*(Income!A$3:A$502=DATE(2026,8,26)),ROW(Income!A$3:A$502)-2),4)),""),""))</f>
        <v/>
      </c>
      <c r="I177" s="152">
        <f t="array" ref="I177">IF(IFERROR(-INDEX(Expenses!D$3:D$999,SMALL(IF((Expenses!E$3:E$999="GBP")*(Expenses!A$3:A$999=DATE(2026,8,27)),ROW(Expenses!A$3:A$999)-2),4)),0)+IFERROR(INDEX(Income!C$3:C$502,SMALL(IF((Income!D$3:D$502="GBP")*(Income!A$3:A$502=DATE(2026,8,27)),ROW(Income!A$3:A$502)-2),4)),0)=0,"",IFERROR(-INDEX(Expenses!D$3:D$999,SMALL(IF((Expenses!E$3:E$999="GBP")*(Expenses!A$3:A$999=DATE(2026,8,27)),ROW(Expenses!A$3:A$999)-2),4)),0)+IFERROR(INDEX(Income!C$3:C$502,SMALL(IF((Income!D$3:D$502="GBP")*(Income!A$3:A$502=DATE(2026,8,27)),ROW(Income!A$3:A$502)-2),4)),0))</f>
        <v/>
      </c>
      <c r="J177" s="126">
        <f t="array" ref="J177">IF(IFERROR(INDEX(Expenses!B$3:B$999,SMALL(IF((Expenses!E$3:E$999="GBP")*(Expenses!A$3:A$999=DATE(2026,8,27)),ROW(Expenses!A$3:A$999)-2),4)),"")&lt;&gt;"",IFERROR(INDEX(Expenses!B$3:B$999,SMALL(IF((Expenses!E$3:E$999="GBP")*(Expenses!A$3:A$999=DATE(2026,8,27)),ROW(Expenses!A$3:A$999)-2),4)),""),IF(IFERROR(INDEX(Income!B$3:B$502,SMALL(IF((Income!D$3:D$502="GBP")*(Income!A$3:A$502=DATE(2026,8,27)),ROW(Income!A$3:A$502)-2),4)),"")&lt;&gt;"",IFERROR(INDEX(Income!B$3:B$502,SMALL(IF((Income!D$3:D$502="GBP")*(Income!A$3:A$502=DATE(2026,8,27)),ROW(Income!A$3:A$502)-2),4)),""),""))</f>
        <v/>
      </c>
      <c r="K177" s="152">
        <f t="array" ref="K177">IF(IFERROR(-INDEX(Expenses!D$3:D$999,SMALL(IF((Expenses!E$3:E$999="GBP")*(Expenses!A$3:A$999=DATE(2026,8,28)),ROW(Expenses!A$3:A$999)-2),4)),0)+IFERROR(INDEX(Income!C$3:C$502,SMALL(IF((Income!D$3:D$502="GBP")*(Income!A$3:A$502=DATE(2026,8,28)),ROW(Income!A$3:A$502)-2),4)),0)=0,"",IFERROR(-INDEX(Expenses!D$3:D$999,SMALL(IF((Expenses!E$3:E$999="GBP")*(Expenses!A$3:A$999=DATE(2026,8,28)),ROW(Expenses!A$3:A$999)-2),4)),0)+IFERROR(INDEX(Income!C$3:C$502,SMALL(IF((Income!D$3:D$502="GBP")*(Income!A$3:A$502=DATE(2026,8,28)),ROW(Income!A$3:A$502)-2),4)),0))</f>
        <v/>
      </c>
      <c r="L177" s="126">
        <f t="array" ref="L177">IF(IFERROR(INDEX(Expenses!B$3:B$999,SMALL(IF((Expenses!E$3:E$999="GBP")*(Expenses!A$3:A$999=DATE(2026,8,28)),ROW(Expenses!A$3:A$999)-2),4)),"")&lt;&gt;"",IFERROR(INDEX(Expenses!B$3:B$999,SMALL(IF((Expenses!E$3:E$999="GBP")*(Expenses!A$3:A$999=DATE(2026,8,28)),ROW(Expenses!A$3:A$999)-2),4)),""),IF(IFERROR(INDEX(Income!B$3:B$502,SMALL(IF((Income!D$3:D$502="GBP")*(Income!A$3:A$502=DATE(2026,8,28)),ROW(Income!A$3:A$502)-2),4)),"")&lt;&gt;"",IFERROR(INDEX(Income!B$3:B$502,SMALL(IF((Income!D$3:D$502="GBP")*(Income!A$3:A$502=DATE(2026,8,28)),ROW(Income!A$3:A$502)-2),4)),""),""))</f>
        <v/>
      </c>
      <c r="M177" s="152">
        <f t="array" ref="M177">IF(IFERROR(-INDEX(Expenses!D$3:D$999,SMALL(IF((Expenses!E$3:E$999="GBP")*(Expenses!A$3:A$999=DATE(2026,8,29)),ROW(Expenses!A$3:A$999)-2),4)),0)+IFERROR(INDEX(Income!C$3:C$502,SMALL(IF((Income!D$3:D$502="GBP")*(Income!A$3:A$502=DATE(2026,8,29)),ROW(Income!A$3:A$502)-2),4)),0)=0,"",IFERROR(-INDEX(Expenses!D$3:D$999,SMALL(IF((Expenses!E$3:E$999="GBP")*(Expenses!A$3:A$999=DATE(2026,8,29)),ROW(Expenses!A$3:A$999)-2),4)),0)+IFERROR(INDEX(Income!C$3:C$502,SMALL(IF((Income!D$3:D$502="GBP")*(Income!A$3:A$502=DATE(2026,8,29)),ROW(Income!A$3:A$502)-2),4)),0))</f>
        <v/>
      </c>
      <c r="N177" s="126">
        <f t="array" ref="N177">IF(IFERROR(INDEX(Expenses!B$3:B$999,SMALL(IF((Expenses!E$3:E$999="GBP")*(Expenses!A$3:A$999=DATE(2026,8,29)),ROW(Expenses!A$3:A$999)-2),4)),"")&lt;&gt;"",IFERROR(INDEX(Expenses!B$3:B$999,SMALL(IF((Expenses!E$3:E$999="GBP")*(Expenses!A$3:A$999=DATE(2026,8,29)),ROW(Expenses!A$3:A$999)-2),4)),""),IF(IFERROR(INDEX(Income!B$3:B$502,SMALL(IF((Income!D$3:D$502="GBP")*(Income!A$3:A$502=DATE(2026,8,29)),ROW(Income!A$3:A$502)-2),4)),"")&lt;&gt;"",IFERROR(INDEX(Income!B$3:B$502,SMALL(IF((Income!D$3:D$502="GBP")*(Income!A$3:A$502=DATE(2026,8,29)),ROW(Income!A$3:A$502)-2),4)),""),""))</f>
        <v/>
      </c>
      <c r="O177" s="152">
        <f t="array" ref="O177">IF(IFERROR(-INDEX(Expenses!D$3:D$999,SMALL(IF((Expenses!E$3:E$999="GBP")*(Expenses!A$3:A$999=DATE(2026,8,30)),ROW(Expenses!A$3:A$999)-2),4)),0)+IFERROR(INDEX(Income!C$3:C$502,SMALL(IF((Income!D$3:D$502="GBP")*(Income!A$3:A$502=DATE(2026,8,30)),ROW(Income!A$3:A$502)-2),4)),0)=0,"",IFERROR(-INDEX(Expenses!D$3:D$999,SMALL(IF((Expenses!E$3:E$999="GBP")*(Expenses!A$3:A$999=DATE(2026,8,30)),ROW(Expenses!A$3:A$999)-2),4)),0)+IFERROR(INDEX(Income!C$3:C$502,SMALL(IF((Income!D$3:D$502="GBP")*(Income!A$3:A$502=DATE(2026,8,30)),ROW(Income!A$3:A$502)-2),4)),0))</f>
        <v/>
      </c>
      <c r="P177" s="126">
        <f t="array" ref="P177">IF(IFERROR(INDEX(Expenses!B$3:B$999,SMALL(IF((Expenses!E$3:E$999="GBP")*(Expenses!A$3:A$999=DATE(2026,8,30)),ROW(Expenses!A$3:A$999)-2),4)),"")&lt;&gt;"",IFERROR(INDEX(Expenses!B$3:B$999,SMALL(IF((Expenses!E$3:E$999="GBP")*(Expenses!A$3:A$999=DATE(2026,8,30)),ROW(Expenses!A$3:A$999)-2),4)),""),IF(IFERROR(INDEX(Income!B$3:B$502,SMALL(IF((Income!D$3:D$502="GBP")*(Income!A$3:A$502=DATE(2026,8,30)),ROW(Income!A$3:A$502)-2),4)),"")&lt;&gt;"",IFERROR(INDEX(Income!B$3:B$502,SMALL(IF((Income!D$3:D$502="GBP")*(Income!A$3:A$502=DATE(2026,8,30)),ROW(Income!A$3:A$502)-2),4)),""),""))</f>
        <v/>
      </c>
      <c r="Q177" s="9" t="n"/>
      <c r="R177" s="9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68">
      <c r="A178" s="9" t="n"/>
      <c r="B178" s="9" t="n"/>
      <c r="C178" s="152">
        <f t="array" ref="C178">IF(IFERROR(-INDEX(Expenses!D$3:D$999,SMALL(IF((Expenses!E$3:E$999="GBP")*(Expenses!A$3:A$999=DATE(2026,8,24)),ROW(Expenses!A$3:A$999)-2),5)),0)+IFERROR(INDEX(Income!C$3:C$502,SMALL(IF((Income!D$3:D$502="GBP")*(Income!A$3:A$502=DATE(2026,8,24)),ROW(Income!A$3:A$502)-2),5)),0)=0,"",IFERROR(-INDEX(Expenses!D$3:D$999,SMALL(IF((Expenses!E$3:E$999="GBP")*(Expenses!A$3:A$999=DATE(2026,8,24)),ROW(Expenses!A$3:A$999)-2),5)),0)+IFERROR(INDEX(Income!C$3:C$502,SMALL(IF((Income!D$3:D$502="GBP")*(Income!A$3:A$502=DATE(2026,8,24)),ROW(Income!A$3:A$502)-2),5)),0))</f>
        <v/>
      </c>
      <c r="D178" s="126">
        <f t="array" ref="D178">IF(IFERROR(INDEX(Expenses!B$3:B$999,SMALL(IF((Expenses!E$3:E$999="GBP")*(Expenses!A$3:A$999=DATE(2026,8,24)),ROW(Expenses!A$3:A$999)-2),5)),"")&lt;&gt;"",IFERROR(INDEX(Expenses!B$3:B$999,SMALL(IF((Expenses!E$3:E$999="GBP")*(Expenses!A$3:A$999=DATE(2026,8,24)),ROW(Expenses!A$3:A$999)-2),5)),""),IF(IFERROR(INDEX(Income!B$3:B$502,SMALL(IF((Income!D$3:D$502="GBP")*(Income!A$3:A$502=DATE(2026,8,24)),ROW(Income!A$3:A$502)-2),5)),"")&lt;&gt;"",IFERROR(INDEX(Income!B$3:B$502,SMALL(IF((Income!D$3:D$502="GBP")*(Income!A$3:A$502=DATE(2026,8,24)),ROW(Income!A$3:A$502)-2),5)),""),""))</f>
        <v/>
      </c>
      <c r="E178" s="152">
        <f t="array" ref="E178">IF(IFERROR(-INDEX(Expenses!D$3:D$999,SMALL(IF((Expenses!E$3:E$999="GBP")*(Expenses!A$3:A$999=DATE(2026,8,25)),ROW(Expenses!A$3:A$999)-2),5)),0)+IFERROR(INDEX(Income!C$3:C$502,SMALL(IF((Income!D$3:D$502="GBP")*(Income!A$3:A$502=DATE(2026,8,25)),ROW(Income!A$3:A$502)-2),5)),0)=0,"",IFERROR(-INDEX(Expenses!D$3:D$999,SMALL(IF((Expenses!E$3:E$999="GBP")*(Expenses!A$3:A$999=DATE(2026,8,25)),ROW(Expenses!A$3:A$999)-2),5)),0)+IFERROR(INDEX(Income!C$3:C$502,SMALL(IF((Income!D$3:D$502="GBP")*(Income!A$3:A$502=DATE(2026,8,25)),ROW(Income!A$3:A$502)-2),5)),0))</f>
        <v/>
      </c>
      <c r="F178" s="126">
        <f t="array" ref="F178">IF(IFERROR(INDEX(Expenses!B$3:B$999,SMALL(IF((Expenses!E$3:E$999="GBP")*(Expenses!A$3:A$999=DATE(2026,8,25)),ROW(Expenses!A$3:A$999)-2),5)),"")&lt;&gt;"",IFERROR(INDEX(Expenses!B$3:B$999,SMALL(IF((Expenses!E$3:E$999="GBP")*(Expenses!A$3:A$999=DATE(2026,8,25)),ROW(Expenses!A$3:A$999)-2),5)),""),IF(IFERROR(INDEX(Income!B$3:B$502,SMALL(IF((Income!D$3:D$502="GBP")*(Income!A$3:A$502=DATE(2026,8,25)),ROW(Income!A$3:A$502)-2),5)),"")&lt;&gt;"",IFERROR(INDEX(Income!B$3:B$502,SMALL(IF((Income!D$3:D$502="GBP")*(Income!A$3:A$502=DATE(2026,8,25)),ROW(Income!A$3:A$502)-2),5)),""),""))</f>
        <v/>
      </c>
      <c r="G178" s="152">
        <f t="array" ref="G178">IF(IFERROR(-INDEX(Expenses!D$3:D$999,SMALL(IF((Expenses!E$3:E$999="GBP")*(Expenses!A$3:A$999=DATE(2026,8,26)),ROW(Expenses!A$3:A$999)-2),5)),0)+IFERROR(INDEX(Income!C$3:C$502,SMALL(IF((Income!D$3:D$502="GBP")*(Income!A$3:A$502=DATE(2026,8,26)),ROW(Income!A$3:A$502)-2),5)),0)=0,"",IFERROR(-INDEX(Expenses!D$3:D$999,SMALL(IF((Expenses!E$3:E$999="GBP")*(Expenses!A$3:A$999=DATE(2026,8,26)),ROW(Expenses!A$3:A$999)-2),5)),0)+IFERROR(INDEX(Income!C$3:C$502,SMALL(IF((Income!D$3:D$502="GBP")*(Income!A$3:A$502=DATE(2026,8,26)),ROW(Income!A$3:A$502)-2),5)),0))</f>
        <v/>
      </c>
      <c r="H178" s="126">
        <f t="array" ref="H178">IF(IFERROR(INDEX(Expenses!B$3:B$999,SMALL(IF((Expenses!E$3:E$999="GBP")*(Expenses!A$3:A$999=DATE(2026,8,26)),ROW(Expenses!A$3:A$999)-2),5)),"")&lt;&gt;"",IFERROR(INDEX(Expenses!B$3:B$999,SMALL(IF((Expenses!E$3:E$999="GBP")*(Expenses!A$3:A$999=DATE(2026,8,26)),ROW(Expenses!A$3:A$999)-2),5)),""),IF(IFERROR(INDEX(Income!B$3:B$502,SMALL(IF((Income!D$3:D$502="GBP")*(Income!A$3:A$502=DATE(2026,8,26)),ROW(Income!A$3:A$502)-2),5)),"")&lt;&gt;"",IFERROR(INDEX(Income!B$3:B$502,SMALL(IF((Income!D$3:D$502="GBP")*(Income!A$3:A$502=DATE(2026,8,26)),ROW(Income!A$3:A$502)-2),5)),""),""))</f>
        <v/>
      </c>
      <c r="I178" s="152">
        <f t="array" ref="I178">IF(IFERROR(-INDEX(Expenses!D$3:D$999,SMALL(IF((Expenses!E$3:E$999="GBP")*(Expenses!A$3:A$999=DATE(2026,8,27)),ROW(Expenses!A$3:A$999)-2),5)),0)+IFERROR(INDEX(Income!C$3:C$502,SMALL(IF((Income!D$3:D$502="GBP")*(Income!A$3:A$502=DATE(2026,8,27)),ROW(Income!A$3:A$502)-2),5)),0)=0,"",IFERROR(-INDEX(Expenses!D$3:D$999,SMALL(IF((Expenses!E$3:E$999="GBP")*(Expenses!A$3:A$999=DATE(2026,8,27)),ROW(Expenses!A$3:A$999)-2),5)),0)+IFERROR(INDEX(Income!C$3:C$502,SMALL(IF((Income!D$3:D$502="GBP")*(Income!A$3:A$502=DATE(2026,8,27)),ROW(Income!A$3:A$502)-2),5)),0))</f>
        <v/>
      </c>
      <c r="J178" s="126">
        <f t="array" ref="J178">IF(IFERROR(INDEX(Expenses!B$3:B$999,SMALL(IF((Expenses!E$3:E$999="GBP")*(Expenses!A$3:A$999=DATE(2026,8,27)),ROW(Expenses!A$3:A$999)-2),5)),"")&lt;&gt;"",IFERROR(INDEX(Expenses!B$3:B$999,SMALL(IF((Expenses!E$3:E$999="GBP")*(Expenses!A$3:A$999=DATE(2026,8,27)),ROW(Expenses!A$3:A$999)-2),5)),""),IF(IFERROR(INDEX(Income!B$3:B$502,SMALL(IF((Income!D$3:D$502="GBP")*(Income!A$3:A$502=DATE(2026,8,27)),ROW(Income!A$3:A$502)-2),5)),"")&lt;&gt;"",IFERROR(INDEX(Income!B$3:B$502,SMALL(IF((Income!D$3:D$502="GBP")*(Income!A$3:A$502=DATE(2026,8,27)),ROW(Income!A$3:A$502)-2),5)),""),""))</f>
        <v/>
      </c>
      <c r="K178" s="152">
        <f t="array" ref="K178">IF(IFERROR(-INDEX(Expenses!D$3:D$999,SMALL(IF((Expenses!E$3:E$999="GBP")*(Expenses!A$3:A$999=DATE(2026,8,28)),ROW(Expenses!A$3:A$999)-2),5)),0)+IFERROR(INDEX(Income!C$3:C$502,SMALL(IF((Income!D$3:D$502="GBP")*(Income!A$3:A$502=DATE(2026,8,28)),ROW(Income!A$3:A$502)-2),5)),0)=0,"",IFERROR(-INDEX(Expenses!D$3:D$999,SMALL(IF((Expenses!E$3:E$999="GBP")*(Expenses!A$3:A$999=DATE(2026,8,28)),ROW(Expenses!A$3:A$999)-2),5)),0)+IFERROR(INDEX(Income!C$3:C$502,SMALL(IF((Income!D$3:D$502="GBP")*(Income!A$3:A$502=DATE(2026,8,28)),ROW(Income!A$3:A$502)-2),5)),0))</f>
        <v/>
      </c>
      <c r="L178" s="126">
        <f t="array" ref="L178">IF(IFERROR(INDEX(Expenses!B$3:B$999,SMALL(IF((Expenses!E$3:E$999="GBP")*(Expenses!A$3:A$999=DATE(2026,8,28)),ROW(Expenses!A$3:A$999)-2),5)),"")&lt;&gt;"",IFERROR(INDEX(Expenses!B$3:B$999,SMALL(IF((Expenses!E$3:E$999="GBP")*(Expenses!A$3:A$999=DATE(2026,8,28)),ROW(Expenses!A$3:A$999)-2),5)),""),IF(IFERROR(INDEX(Income!B$3:B$502,SMALL(IF((Income!D$3:D$502="GBP")*(Income!A$3:A$502=DATE(2026,8,28)),ROW(Income!A$3:A$502)-2),5)),"")&lt;&gt;"",IFERROR(INDEX(Income!B$3:B$502,SMALL(IF((Income!D$3:D$502="GBP")*(Income!A$3:A$502=DATE(2026,8,28)),ROW(Income!A$3:A$502)-2),5)),""),""))</f>
        <v/>
      </c>
      <c r="M178" s="152">
        <f t="array" ref="M178">IF(IFERROR(-INDEX(Expenses!D$3:D$999,SMALL(IF((Expenses!E$3:E$999="GBP")*(Expenses!A$3:A$999=DATE(2026,8,29)),ROW(Expenses!A$3:A$999)-2),5)),0)+IFERROR(INDEX(Income!C$3:C$502,SMALL(IF((Income!D$3:D$502="GBP")*(Income!A$3:A$502=DATE(2026,8,29)),ROW(Income!A$3:A$502)-2),5)),0)=0,"",IFERROR(-INDEX(Expenses!D$3:D$999,SMALL(IF((Expenses!E$3:E$999="GBP")*(Expenses!A$3:A$999=DATE(2026,8,29)),ROW(Expenses!A$3:A$999)-2),5)),0)+IFERROR(INDEX(Income!C$3:C$502,SMALL(IF((Income!D$3:D$502="GBP")*(Income!A$3:A$502=DATE(2026,8,29)),ROW(Income!A$3:A$502)-2),5)),0))</f>
        <v/>
      </c>
      <c r="N178" s="126">
        <f t="array" ref="N178">IF(IFERROR(INDEX(Expenses!B$3:B$999,SMALL(IF((Expenses!E$3:E$999="GBP")*(Expenses!A$3:A$999=DATE(2026,8,29)),ROW(Expenses!A$3:A$999)-2),5)),"")&lt;&gt;"",IFERROR(INDEX(Expenses!B$3:B$999,SMALL(IF((Expenses!E$3:E$999="GBP")*(Expenses!A$3:A$999=DATE(2026,8,29)),ROW(Expenses!A$3:A$999)-2),5)),""),IF(IFERROR(INDEX(Income!B$3:B$502,SMALL(IF((Income!D$3:D$502="GBP")*(Income!A$3:A$502=DATE(2026,8,29)),ROW(Income!A$3:A$502)-2),5)),"")&lt;&gt;"",IFERROR(INDEX(Income!B$3:B$502,SMALL(IF((Income!D$3:D$502="GBP")*(Income!A$3:A$502=DATE(2026,8,29)),ROW(Income!A$3:A$502)-2),5)),""),""))</f>
        <v/>
      </c>
      <c r="O178" s="152">
        <f t="array" ref="O178">IF(IFERROR(-INDEX(Expenses!D$3:D$999,SMALL(IF((Expenses!E$3:E$999="GBP")*(Expenses!A$3:A$999=DATE(2026,8,30)),ROW(Expenses!A$3:A$999)-2),5)),0)+IFERROR(INDEX(Income!C$3:C$502,SMALL(IF((Income!D$3:D$502="GBP")*(Income!A$3:A$502=DATE(2026,8,30)),ROW(Income!A$3:A$502)-2),5)),0)=0,"",IFERROR(-INDEX(Expenses!D$3:D$999,SMALL(IF((Expenses!E$3:E$999="GBP")*(Expenses!A$3:A$999=DATE(2026,8,30)),ROW(Expenses!A$3:A$999)-2),5)),0)+IFERROR(INDEX(Income!C$3:C$502,SMALL(IF((Income!D$3:D$502="GBP")*(Income!A$3:A$502=DATE(2026,8,30)),ROW(Income!A$3:A$502)-2),5)),0))</f>
        <v/>
      </c>
      <c r="P178" s="126">
        <f t="array" ref="P178">IF(IFERROR(INDEX(Expenses!B$3:B$999,SMALL(IF((Expenses!E$3:E$999="GBP")*(Expenses!A$3:A$999=DATE(2026,8,30)),ROW(Expenses!A$3:A$999)-2),5)),"")&lt;&gt;"",IFERROR(INDEX(Expenses!B$3:B$999,SMALL(IF((Expenses!E$3:E$999="GBP")*(Expenses!A$3:A$999=DATE(2026,8,30)),ROW(Expenses!A$3:A$999)-2),5)),""),IF(IFERROR(INDEX(Income!B$3:B$502,SMALL(IF((Income!D$3:D$502="GBP")*(Income!A$3:A$502=DATE(2026,8,30)),ROW(Income!A$3:A$502)-2),5)),"")&lt;&gt;"",IFERROR(INDEX(Income!B$3:B$502,SMALL(IF((Income!D$3:D$502="GBP")*(Income!A$3:A$502=DATE(2026,8,30)),ROW(Income!A$3:A$502)-2),5)),""),""))</f>
        <v/>
      </c>
      <c r="Q178" s="9" t="n"/>
      <c r="R178" s="9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68">
      <c r="A179" s="151" t="n">
        <v>46265</v>
      </c>
      <c r="B179" s="103" t="n">
        <v>36</v>
      </c>
      <c r="C179" s="152">
        <f t="array" ref="C179">IF(IFERROR(-INDEX(Expenses!D$3:D$999,SMALL(IF((Expenses!E$3:E$999="GBP")*(Expenses!A$3:A$999=DATE(2026,8,31)),ROW(Expenses!A$3:A$999)-2),1)),0)+IFERROR(INDEX(Income!C$3:C$502,SMALL(IF((Income!D$3:D$502="GBP")*(Income!A$3:A$502=DATE(2026,8,31)),ROW(Income!A$3:A$502)-2),1)),0)=0,"",IFERROR(-INDEX(Expenses!D$3:D$999,SMALL(IF((Expenses!E$3:E$999="GBP")*(Expenses!A$3:A$999=DATE(2026,8,31)),ROW(Expenses!A$3:A$999)-2),1)),0)+IFERROR(INDEX(Income!C$3:C$502,SMALL(IF((Income!D$3:D$502="GBP")*(Income!A$3:A$502=DATE(2026,8,31)),ROW(Income!A$3:A$502)-2),1)),0))</f>
        <v/>
      </c>
      <c r="D179" s="126">
        <f t="array" ref="D179">IF(IFERROR(INDEX(Expenses!B$3:B$999,SMALL(IF((Expenses!E$3:E$999="GBP")*(Expenses!A$3:A$999=DATE(2026,8,31)),ROW(Expenses!A$3:A$999)-2),1)),"")&lt;&gt;"",IFERROR(INDEX(Expenses!B$3:B$999,SMALL(IF((Expenses!E$3:E$999="GBP")*(Expenses!A$3:A$999=DATE(2026,8,31)),ROW(Expenses!A$3:A$999)-2),1)),""),IF(IFERROR(INDEX(Income!B$3:B$502,SMALL(IF((Income!D$3:D$502="GBP")*(Income!A$3:A$502=DATE(2026,8,31)),ROW(Income!A$3:A$502)-2),1)),"")&lt;&gt;"",IFERROR(INDEX(Income!B$3:B$502,SMALL(IF((Income!D$3:D$502="GBP")*(Income!A$3:A$502=DATE(2026,8,31)),ROW(Income!A$3:A$502)-2),1)),""),""))</f>
        <v/>
      </c>
      <c r="E179" s="152">
        <f t="array" ref="E179">IF(IFERROR(-INDEX(Expenses!D$3:D$999,SMALL(IF((Expenses!E$3:E$999="GBP")*(Expenses!A$3:A$999=DATE(2026,9,1)),ROW(Expenses!A$3:A$999)-2),1)),0)+IFERROR(INDEX(Income!C$3:C$502,SMALL(IF((Income!D$3:D$502="GBP")*(Income!A$3:A$502=DATE(2026,9,1)),ROW(Income!A$3:A$502)-2),1)),0)=0,"",IFERROR(-INDEX(Expenses!D$3:D$999,SMALL(IF((Expenses!E$3:E$999="GBP")*(Expenses!A$3:A$999=DATE(2026,9,1)),ROW(Expenses!A$3:A$999)-2),1)),0)+IFERROR(INDEX(Income!C$3:C$502,SMALL(IF((Income!D$3:D$502="GBP")*(Income!A$3:A$502=DATE(2026,9,1)),ROW(Income!A$3:A$502)-2),1)),0))</f>
        <v/>
      </c>
      <c r="F179" s="126">
        <f t="array" ref="F179">IF(IFERROR(INDEX(Expenses!B$3:B$999,SMALL(IF((Expenses!E$3:E$999="GBP")*(Expenses!A$3:A$999=DATE(2026,9,1)),ROW(Expenses!A$3:A$999)-2),1)),"")&lt;&gt;"",IFERROR(INDEX(Expenses!B$3:B$999,SMALL(IF((Expenses!E$3:E$999="GBP")*(Expenses!A$3:A$999=DATE(2026,9,1)),ROW(Expenses!A$3:A$999)-2),1)),""),IF(IFERROR(INDEX(Income!B$3:B$502,SMALL(IF((Income!D$3:D$502="GBP")*(Income!A$3:A$502=DATE(2026,9,1)),ROW(Income!A$3:A$502)-2),1)),"")&lt;&gt;"",IFERROR(INDEX(Income!B$3:B$502,SMALL(IF((Income!D$3:D$502="GBP")*(Income!A$3:A$502=DATE(2026,9,1)),ROW(Income!A$3:A$502)-2),1)),""),""))</f>
        <v/>
      </c>
      <c r="G179" s="152">
        <f t="array" ref="G179">IF(IFERROR(-INDEX(Expenses!D$3:D$999,SMALL(IF((Expenses!E$3:E$999="GBP")*(Expenses!A$3:A$999=DATE(2026,9,2)),ROW(Expenses!A$3:A$999)-2),1)),0)+IFERROR(INDEX(Income!C$3:C$502,SMALL(IF((Income!D$3:D$502="GBP")*(Income!A$3:A$502=DATE(2026,9,2)),ROW(Income!A$3:A$502)-2),1)),0)=0,"",IFERROR(-INDEX(Expenses!D$3:D$999,SMALL(IF((Expenses!E$3:E$999="GBP")*(Expenses!A$3:A$999=DATE(2026,9,2)),ROW(Expenses!A$3:A$999)-2),1)),0)+IFERROR(INDEX(Income!C$3:C$502,SMALL(IF((Income!D$3:D$502="GBP")*(Income!A$3:A$502=DATE(2026,9,2)),ROW(Income!A$3:A$502)-2),1)),0))</f>
        <v/>
      </c>
      <c r="H179" s="126">
        <f t="array" ref="H179">IF(IFERROR(INDEX(Expenses!B$3:B$999,SMALL(IF((Expenses!E$3:E$999="GBP")*(Expenses!A$3:A$999=DATE(2026,9,2)),ROW(Expenses!A$3:A$999)-2),1)),"")&lt;&gt;"",IFERROR(INDEX(Expenses!B$3:B$999,SMALL(IF((Expenses!E$3:E$999="GBP")*(Expenses!A$3:A$999=DATE(2026,9,2)),ROW(Expenses!A$3:A$999)-2),1)),""),IF(IFERROR(INDEX(Income!B$3:B$502,SMALL(IF((Income!D$3:D$502="GBP")*(Income!A$3:A$502=DATE(2026,9,2)),ROW(Income!A$3:A$502)-2),1)),"")&lt;&gt;"",IFERROR(INDEX(Income!B$3:B$502,SMALL(IF((Income!D$3:D$502="GBP")*(Income!A$3:A$502=DATE(2026,9,2)),ROW(Income!A$3:A$502)-2),1)),""),""))</f>
        <v/>
      </c>
      <c r="I179" s="152">
        <f t="array" ref="I179">IF(IFERROR(-INDEX(Expenses!D$3:D$999,SMALL(IF((Expenses!E$3:E$999="GBP")*(Expenses!A$3:A$999=DATE(2026,9,3)),ROW(Expenses!A$3:A$999)-2),1)),0)+IFERROR(INDEX(Income!C$3:C$502,SMALL(IF((Income!D$3:D$502="GBP")*(Income!A$3:A$502=DATE(2026,9,3)),ROW(Income!A$3:A$502)-2),1)),0)=0,"",IFERROR(-INDEX(Expenses!D$3:D$999,SMALL(IF((Expenses!E$3:E$999="GBP")*(Expenses!A$3:A$999=DATE(2026,9,3)),ROW(Expenses!A$3:A$999)-2),1)),0)+IFERROR(INDEX(Income!C$3:C$502,SMALL(IF((Income!D$3:D$502="GBP")*(Income!A$3:A$502=DATE(2026,9,3)),ROW(Income!A$3:A$502)-2),1)),0))</f>
        <v/>
      </c>
      <c r="J179" s="126">
        <f t="array" ref="J179">IF(IFERROR(INDEX(Expenses!B$3:B$999,SMALL(IF((Expenses!E$3:E$999="GBP")*(Expenses!A$3:A$999=DATE(2026,9,3)),ROW(Expenses!A$3:A$999)-2),1)),"")&lt;&gt;"",IFERROR(INDEX(Expenses!B$3:B$999,SMALL(IF((Expenses!E$3:E$999="GBP")*(Expenses!A$3:A$999=DATE(2026,9,3)),ROW(Expenses!A$3:A$999)-2),1)),""),IF(IFERROR(INDEX(Income!B$3:B$502,SMALL(IF((Income!D$3:D$502="GBP")*(Income!A$3:A$502=DATE(2026,9,3)),ROW(Income!A$3:A$502)-2),1)),"")&lt;&gt;"",IFERROR(INDEX(Income!B$3:B$502,SMALL(IF((Income!D$3:D$502="GBP")*(Income!A$3:A$502=DATE(2026,9,3)),ROW(Income!A$3:A$502)-2),1)),""),""))</f>
        <v/>
      </c>
      <c r="K179" s="152">
        <f t="array" ref="K179">IF(IFERROR(-INDEX(Expenses!D$3:D$999,SMALL(IF((Expenses!E$3:E$999="GBP")*(Expenses!A$3:A$999=DATE(2026,9,4)),ROW(Expenses!A$3:A$999)-2),1)),0)+IFERROR(INDEX(Income!C$3:C$502,SMALL(IF((Income!D$3:D$502="GBP")*(Income!A$3:A$502=DATE(2026,9,4)),ROW(Income!A$3:A$502)-2),1)),0)=0,"",IFERROR(-INDEX(Expenses!D$3:D$999,SMALL(IF((Expenses!E$3:E$999="GBP")*(Expenses!A$3:A$999=DATE(2026,9,4)),ROW(Expenses!A$3:A$999)-2),1)),0)+IFERROR(INDEX(Income!C$3:C$502,SMALL(IF((Income!D$3:D$502="GBP")*(Income!A$3:A$502=DATE(2026,9,4)),ROW(Income!A$3:A$502)-2),1)),0))</f>
        <v/>
      </c>
      <c r="L179" s="126">
        <f t="array" ref="L179">IF(IFERROR(INDEX(Expenses!B$3:B$999,SMALL(IF((Expenses!E$3:E$999="GBP")*(Expenses!A$3:A$999=DATE(2026,9,4)),ROW(Expenses!A$3:A$999)-2),1)),"")&lt;&gt;"",IFERROR(INDEX(Expenses!B$3:B$999,SMALL(IF((Expenses!E$3:E$999="GBP")*(Expenses!A$3:A$999=DATE(2026,9,4)),ROW(Expenses!A$3:A$999)-2),1)),""),IF(IFERROR(INDEX(Income!B$3:B$502,SMALL(IF((Income!D$3:D$502="GBP")*(Income!A$3:A$502=DATE(2026,9,4)),ROW(Income!A$3:A$502)-2),1)),"")&lt;&gt;"",IFERROR(INDEX(Income!B$3:B$502,SMALL(IF((Income!D$3:D$502="GBP")*(Income!A$3:A$502=DATE(2026,9,4)),ROW(Income!A$3:A$502)-2),1)),""),""))</f>
        <v/>
      </c>
      <c r="M179" s="152">
        <f t="array" ref="M179">IF(IFERROR(-INDEX(Expenses!D$3:D$999,SMALL(IF((Expenses!E$3:E$999="GBP")*(Expenses!A$3:A$999=DATE(2026,9,5)),ROW(Expenses!A$3:A$999)-2),1)),0)+IFERROR(INDEX(Income!C$3:C$502,SMALL(IF((Income!D$3:D$502="GBP")*(Income!A$3:A$502=DATE(2026,9,5)),ROW(Income!A$3:A$502)-2),1)),0)=0,"",IFERROR(-INDEX(Expenses!D$3:D$999,SMALL(IF((Expenses!E$3:E$999="GBP")*(Expenses!A$3:A$999=DATE(2026,9,5)),ROW(Expenses!A$3:A$999)-2),1)),0)+IFERROR(INDEX(Income!C$3:C$502,SMALL(IF((Income!D$3:D$502="GBP")*(Income!A$3:A$502=DATE(2026,9,5)),ROW(Income!A$3:A$502)-2),1)),0))</f>
        <v/>
      </c>
      <c r="N179" s="126">
        <f t="array" ref="N179">IF(IFERROR(INDEX(Expenses!B$3:B$999,SMALL(IF((Expenses!E$3:E$999="GBP")*(Expenses!A$3:A$999=DATE(2026,9,5)),ROW(Expenses!A$3:A$999)-2),1)),"")&lt;&gt;"",IFERROR(INDEX(Expenses!B$3:B$999,SMALL(IF((Expenses!E$3:E$999="GBP")*(Expenses!A$3:A$999=DATE(2026,9,5)),ROW(Expenses!A$3:A$999)-2),1)),""),IF(IFERROR(INDEX(Income!B$3:B$502,SMALL(IF((Income!D$3:D$502="GBP")*(Income!A$3:A$502=DATE(2026,9,5)),ROW(Income!A$3:A$502)-2),1)),"")&lt;&gt;"",IFERROR(INDEX(Income!B$3:B$502,SMALL(IF((Income!D$3:D$502="GBP")*(Income!A$3:A$502=DATE(2026,9,5)),ROW(Income!A$3:A$502)-2),1)),""),""))</f>
        <v/>
      </c>
      <c r="O179" s="152">
        <f t="array" ref="O179">IF(IFERROR(-INDEX(Expenses!D$3:D$999,SMALL(IF((Expenses!E$3:E$999="GBP")*(Expenses!A$3:A$999=DATE(2026,9,6)),ROW(Expenses!A$3:A$999)-2),1)),0)+IFERROR(INDEX(Income!C$3:C$502,SMALL(IF((Income!D$3:D$502="GBP")*(Income!A$3:A$502=DATE(2026,9,6)),ROW(Income!A$3:A$502)-2),1)),0)=0,"",IFERROR(-INDEX(Expenses!D$3:D$999,SMALL(IF((Expenses!E$3:E$999="GBP")*(Expenses!A$3:A$999=DATE(2026,9,6)),ROW(Expenses!A$3:A$999)-2),1)),0)+IFERROR(INDEX(Income!C$3:C$502,SMALL(IF((Income!D$3:D$502="GBP")*(Income!A$3:A$502=DATE(2026,9,6)),ROW(Income!A$3:A$502)-2),1)),0))</f>
        <v/>
      </c>
      <c r="P179" s="126">
        <f t="array" ref="P179">IF(IFERROR(INDEX(Expenses!B$3:B$999,SMALL(IF((Expenses!E$3:E$999="GBP")*(Expenses!A$3:A$999=DATE(2026,9,6)),ROW(Expenses!A$3:A$999)-2),1)),"")&lt;&gt;"",IFERROR(INDEX(Expenses!B$3:B$999,SMALL(IF((Expenses!E$3:E$999="GBP")*(Expenses!A$3:A$999=DATE(2026,9,6)),ROW(Expenses!A$3:A$999)-2),1)),""),IF(IFERROR(INDEX(Income!B$3:B$502,SMALL(IF((Income!D$3:D$502="GBP")*(Income!A$3:A$502=DATE(2026,9,6)),ROW(Income!A$3:A$502)-2),1)),"")&lt;&gt;"",IFERROR(INDEX(Income!B$3:B$502,SMALL(IF((Income!D$3:D$502="GBP")*(Income!A$3:A$502=DATE(2026,9,6)),ROW(Income!A$3:A$502)-2),1)),""),""))</f>
        <v/>
      </c>
      <c r="Q179" s="103" t="n">
        <v>36</v>
      </c>
      <c r="R179" s="134">
        <f>SUM(C179:C183)+SUM(E179:E183)+SUM(G179:G183)+SUM(I179:I183)+SUM(K179:K183)+SUM(M179:M183)+SUM(O179:O183)</f>
        <v/>
      </c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68">
      <c r="A180" s="9" t="n"/>
      <c r="B180" s="9" t="n"/>
      <c r="C180" s="152">
        <f t="array" ref="C180">IF(IFERROR(-INDEX(Expenses!D$3:D$999,SMALL(IF((Expenses!E$3:E$999="GBP")*(Expenses!A$3:A$999=DATE(2026,8,31)),ROW(Expenses!A$3:A$999)-2),2)),0)+IFERROR(INDEX(Income!C$3:C$502,SMALL(IF((Income!D$3:D$502="GBP")*(Income!A$3:A$502=DATE(2026,8,31)),ROW(Income!A$3:A$502)-2),2)),0)=0,"",IFERROR(-INDEX(Expenses!D$3:D$999,SMALL(IF((Expenses!E$3:E$999="GBP")*(Expenses!A$3:A$999=DATE(2026,8,31)),ROW(Expenses!A$3:A$999)-2),2)),0)+IFERROR(INDEX(Income!C$3:C$502,SMALL(IF((Income!D$3:D$502="GBP")*(Income!A$3:A$502=DATE(2026,8,31)),ROW(Income!A$3:A$502)-2),2)),0))</f>
        <v/>
      </c>
      <c r="D180" s="126">
        <f t="array" ref="D180">IF(IFERROR(INDEX(Expenses!B$3:B$999,SMALL(IF((Expenses!E$3:E$999="GBP")*(Expenses!A$3:A$999=DATE(2026,8,31)),ROW(Expenses!A$3:A$999)-2),2)),"")&lt;&gt;"",IFERROR(INDEX(Expenses!B$3:B$999,SMALL(IF((Expenses!E$3:E$999="GBP")*(Expenses!A$3:A$999=DATE(2026,8,31)),ROW(Expenses!A$3:A$999)-2),2)),""),IF(IFERROR(INDEX(Income!B$3:B$502,SMALL(IF((Income!D$3:D$502="GBP")*(Income!A$3:A$502=DATE(2026,8,31)),ROW(Income!A$3:A$502)-2),2)),"")&lt;&gt;"",IFERROR(INDEX(Income!B$3:B$502,SMALL(IF((Income!D$3:D$502="GBP")*(Income!A$3:A$502=DATE(2026,8,31)),ROW(Income!A$3:A$502)-2),2)),""),""))</f>
        <v/>
      </c>
      <c r="E180" s="152">
        <f t="array" ref="E180">IF(IFERROR(-INDEX(Expenses!D$3:D$999,SMALL(IF((Expenses!E$3:E$999="GBP")*(Expenses!A$3:A$999=DATE(2026,9,1)),ROW(Expenses!A$3:A$999)-2),2)),0)+IFERROR(INDEX(Income!C$3:C$502,SMALL(IF((Income!D$3:D$502="GBP")*(Income!A$3:A$502=DATE(2026,9,1)),ROW(Income!A$3:A$502)-2),2)),0)=0,"",IFERROR(-INDEX(Expenses!D$3:D$999,SMALL(IF((Expenses!E$3:E$999="GBP")*(Expenses!A$3:A$999=DATE(2026,9,1)),ROW(Expenses!A$3:A$999)-2),2)),0)+IFERROR(INDEX(Income!C$3:C$502,SMALL(IF((Income!D$3:D$502="GBP")*(Income!A$3:A$502=DATE(2026,9,1)),ROW(Income!A$3:A$502)-2),2)),0))</f>
        <v/>
      </c>
      <c r="F180" s="126">
        <f t="array" ref="F180">IF(IFERROR(INDEX(Expenses!B$3:B$999,SMALL(IF((Expenses!E$3:E$999="GBP")*(Expenses!A$3:A$999=DATE(2026,9,1)),ROW(Expenses!A$3:A$999)-2),2)),"")&lt;&gt;"",IFERROR(INDEX(Expenses!B$3:B$999,SMALL(IF((Expenses!E$3:E$999="GBP")*(Expenses!A$3:A$999=DATE(2026,9,1)),ROW(Expenses!A$3:A$999)-2),2)),""),IF(IFERROR(INDEX(Income!B$3:B$502,SMALL(IF((Income!D$3:D$502="GBP")*(Income!A$3:A$502=DATE(2026,9,1)),ROW(Income!A$3:A$502)-2),2)),"")&lt;&gt;"",IFERROR(INDEX(Income!B$3:B$502,SMALL(IF((Income!D$3:D$502="GBP")*(Income!A$3:A$502=DATE(2026,9,1)),ROW(Income!A$3:A$502)-2),2)),""),""))</f>
        <v/>
      </c>
      <c r="G180" s="152">
        <f t="array" ref="G180">IF(IFERROR(-INDEX(Expenses!D$3:D$999,SMALL(IF((Expenses!E$3:E$999="GBP")*(Expenses!A$3:A$999=DATE(2026,9,2)),ROW(Expenses!A$3:A$999)-2),2)),0)+IFERROR(INDEX(Income!C$3:C$502,SMALL(IF((Income!D$3:D$502="GBP")*(Income!A$3:A$502=DATE(2026,9,2)),ROW(Income!A$3:A$502)-2),2)),0)=0,"",IFERROR(-INDEX(Expenses!D$3:D$999,SMALL(IF((Expenses!E$3:E$999="GBP")*(Expenses!A$3:A$999=DATE(2026,9,2)),ROW(Expenses!A$3:A$999)-2),2)),0)+IFERROR(INDEX(Income!C$3:C$502,SMALL(IF((Income!D$3:D$502="GBP")*(Income!A$3:A$502=DATE(2026,9,2)),ROW(Income!A$3:A$502)-2),2)),0))</f>
        <v/>
      </c>
      <c r="H180" s="126">
        <f t="array" ref="H180">IF(IFERROR(INDEX(Expenses!B$3:B$999,SMALL(IF((Expenses!E$3:E$999="GBP")*(Expenses!A$3:A$999=DATE(2026,9,2)),ROW(Expenses!A$3:A$999)-2),2)),"")&lt;&gt;"",IFERROR(INDEX(Expenses!B$3:B$999,SMALL(IF((Expenses!E$3:E$999="GBP")*(Expenses!A$3:A$999=DATE(2026,9,2)),ROW(Expenses!A$3:A$999)-2),2)),""),IF(IFERROR(INDEX(Income!B$3:B$502,SMALL(IF((Income!D$3:D$502="GBP")*(Income!A$3:A$502=DATE(2026,9,2)),ROW(Income!A$3:A$502)-2),2)),"")&lt;&gt;"",IFERROR(INDEX(Income!B$3:B$502,SMALL(IF((Income!D$3:D$502="GBP")*(Income!A$3:A$502=DATE(2026,9,2)),ROW(Income!A$3:A$502)-2),2)),""),""))</f>
        <v/>
      </c>
      <c r="I180" s="152">
        <f t="array" ref="I180">IF(IFERROR(-INDEX(Expenses!D$3:D$999,SMALL(IF((Expenses!E$3:E$999="GBP")*(Expenses!A$3:A$999=DATE(2026,9,3)),ROW(Expenses!A$3:A$999)-2),2)),0)+IFERROR(INDEX(Income!C$3:C$502,SMALL(IF((Income!D$3:D$502="GBP")*(Income!A$3:A$502=DATE(2026,9,3)),ROW(Income!A$3:A$502)-2),2)),0)=0,"",IFERROR(-INDEX(Expenses!D$3:D$999,SMALL(IF((Expenses!E$3:E$999="GBP")*(Expenses!A$3:A$999=DATE(2026,9,3)),ROW(Expenses!A$3:A$999)-2),2)),0)+IFERROR(INDEX(Income!C$3:C$502,SMALL(IF((Income!D$3:D$502="GBP")*(Income!A$3:A$502=DATE(2026,9,3)),ROW(Income!A$3:A$502)-2),2)),0))</f>
        <v/>
      </c>
      <c r="J180" s="126">
        <f t="array" ref="J180">IF(IFERROR(INDEX(Expenses!B$3:B$999,SMALL(IF((Expenses!E$3:E$999="GBP")*(Expenses!A$3:A$999=DATE(2026,9,3)),ROW(Expenses!A$3:A$999)-2),2)),"")&lt;&gt;"",IFERROR(INDEX(Expenses!B$3:B$999,SMALL(IF((Expenses!E$3:E$999="GBP")*(Expenses!A$3:A$999=DATE(2026,9,3)),ROW(Expenses!A$3:A$999)-2),2)),""),IF(IFERROR(INDEX(Income!B$3:B$502,SMALL(IF((Income!D$3:D$502="GBP")*(Income!A$3:A$502=DATE(2026,9,3)),ROW(Income!A$3:A$502)-2),2)),"")&lt;&gt;"",IFERROR(INDEX(Income!B$3:B$502,SMALL(IF((Income!D$3:D$502="GBP")*(Income!A$3:A$502=DATE(2026,9,3)),ROW(Income!A$3:A$502)-2),2)),""),""))</f>
        <v/>
      </c>
      <c r="K180" s="152">
        <f t="array" ref="K180">IF(IFERROR(-INDEX(Expenses!D$3:D$999,SMALL(IF((Expenses!E$3:E$999="GBP")*(Expenses!A$3:A$999=DATE(2026,9,4)),ROW(Expenses!A$3:A$999)-2),2)),0)+IFERROR(INDEX(Income!C$3:C$502,SMALL(IF((Income!D$3:D$502="GBP")*(Income!A$3:A$502=DATE(2026,9,4)),ROW(Income!A$3:A$502)-2),2)),0)=0,"",IFERROR(-INDEX(Expenses!D$3:D$999,SMALL(IF((Expenses!E$3:E$999="GBP")*(Expenses!A$3:A$999=DATE(2026,9,4)),ROW(Expenses!A$3:A$999)-2),2)),0)+IFERROR(INDEX(Income!C$3:C$502,SMALL(IF((Income!D$3:D$502="GBP")*(Income!A$3:A$502=DATE(2026,9,4)),ROW(Income!A$3:A$502)-2),2)),0))</f>
        <v/>
      </c>
      <c r="L180" s="126">
        <f t="array" ref="L180">IF(IFERROR(INDEX(Expenses!B$3:B$999,SMALL(IF((Expenses!E$3:E$999="GBP")*(Expenses!A$3:A$999=DATE(2026,9,4)),ROW(Expenses!A$3:A$999)-2),2)),"")&lt;&gt;"",IFERROR(INDEX(Expenses!B$3:B$999,SMALL(IF((Expenses!E$3:E$999="GBP")*(Expenses!A$3:A$999=DATE(2026,9,4)),ROW(Expenses!A$3:A$999)-2),2)),""),IF(IFERROR(INDEX(Income!B$3:B$502,SMALL(IF((Income!D$3:D$502="GBP")*(Income!A$3:A$502=DATE(2026,9,4)),ROW(Income!A$3:A$502)-2),2)),"")&lt;&gt;"",IFERROR(INDEX(Income!B$3:B$502,SMALL(IF((Income!D$3:D$502="GBP")*(Income!A$3:A$502=DATE(2026,9,4)),ROW(Income!A$3:A$502)-2),2)),""),""))</f>
        <v/>
      </c>
      <c r="M180" s="152">
        <f t="array" ref="M180">IF(IFERROR(-INDEX(Expenses!D$3:D$999,SMALL(IF((Expenses!E$3:E$999="GBP")*(Expenses!A$3:A$999=DATE(2026,9,5)),ROW(Expenses!A$3:A$999)-2),2)),0)+IFERROR(INDEX(Income!C$3:C$502,SMALL(IF((Income!D$3:D$502="GBP")*(Income!A$3:A$502=DATE(2026,9,5)),ROW(Income!A$3:A$502)-2),2)),0)=0,"",IFERROR(-INDEX(Expenses!D$3:D$999,SMALL(IF((Expenses!E$3:E$999="GBP")*(Expenses!A$3:A$999=DATE(2026,9,5)),ROW(Expenses!A$3:A$999)-2),2)),0)+IFERROR(INDEX(Income!C$3:C$502,SMALL(IF((Income!D$3:D$502="GBP")*(Income!A$3:A$502=DATE(2026,9,5)),ROW(Income!A$3:A$502)-2),2)),0))</f>
        <v/>
      </c>
      <c r="N180" s="126">
        <f t="array" ref="N180">IF(IFERROR(INDEX(Expenses!B$3:B$999,SMALL(IF((Expenses!E$3:E$999="GBP")*(Expenses!A$3:A$999=DATE(2026,9,5)),ROW(Expenses!A$3:A$999)-2),2)),"")&lt;&gt;"",IFERROR(INDEX(Expenses!B$3:B$999,SMALL(IF((Expenses!E$3:E$999="GBP")*(Expenses!A$3:A$999=DATE(2026,9,5)),ROW(Expenses!A$3:A$999)-2),2)),""),IF(IFERROR(INDEX(Income!B$3:B$502,SMALL(IF((Income!D$3:D$502="GBP")*(Income!A$3:A$502=DATE(2026,9,5)),ROW(Income!A$3:A$502)-2),2)),"")&lt;&gt;"",IFERROR(INDEX(Income!B$3:B$502,SMALL(IF((Income!D$3:D$502="GBP")*(Income!A$3:A$502=DATE(2026,9,5)),ROW(Income!A$3:A$502)-2),2)),""),""))</f>
        <v/>
      </c>
      <c r="O180" s="152">
        <f t="array" ref="O180">IF(IFERROR(-INDEX(Expenses!D$3:D$999,SMALL(IF((Expenses!E$3:E$999="GBP")*(Expenses!A$3:A$999=DATE(2026,9,6)),ROW(Expenses!A$3:A$999)-2),2)),0)+IFERROR(INDEX(Income!C$3:C$502,SMALL(IF((Income!D$3:D$502="GBP")*(Income!A$3:A$502=DATE(2026,9,6)),ROW(Income!A$3:A$502)-2),2)),0)=0,"",IFERROR(-INDEX(Expenses!D$3:D$999,SMALL(IF((Expenses!E$3:E$999="GBP")*(Expenses!A$3:A$999=DATE(2026,9,6)),ROW(Expenses!A$3:A$999)-2),2)),0)+IFERROR(INDEX(Income!C$3:C$502,SMALL(IF((Income!D$3:D$502="GBP")*(Income!A$3:A$502=DATE(2026,9,6)),ROW(Income!A$3:A$502)-2),2)),0))</f>
        <v/>
      </c>
      <c r="P180" s="126">
        <f t="array" ref="P180">IF(IFERROR(INDEX(Expenses!B$3:B$999,SMALL(IF((Expenses!E$3:E$999="GBP")*(Expenses!A$3:A$999=DATE(2026,9,6)),ROW(Expenses!A$3:A$999)-2),2)),"")&lt;&gt;"",IFERROR(INDEX(Expenses!B$3:B$999,SMALL(IF((Expenses!E$3:E$999="GBP")*(Expenses!A$3:A$999=DATE(2026,9,6)),ROW(Expenses!A$3:A$999)-2),2)),""),IF(IFERROR(INDEX(Income!B$3:B$502,SMALL(IF((Income!D$3:D$502="GBP")*(Income!A$3:A$502=DATE(2026,9,6)),ROW(Income!A$3:A$502)-2),2)),"")&lt;&gt;"",IFERROR(INDEX(Income!B$3:B$502,SMALL(IF((Income!D$3:D$502="GBP")*(Income!A$3:A$502=DATE(2026,9,6)),ROW(Income!A$3:A$502)-2),2)),""),""))</f>
        <v/>
      </c>
      <c r="Q180" s="9" t="n"/>
      <c r="R180" s="9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68">
      <c r="A181" s="9" t="n"/>
      <c r="B181" s="9" t="n"/>
      <c r="C181" s="152">
        <f t="array" ref="C181">IF(IFERROR(-INDEX(Expenses!D$3:D$999,SMALL(IF((Expenses!E$3:E$999="GBP")*(Expenses!A$3:A$999=DATE(2026,8,31)),ROW(Expenses!A$3:A$999)-2),3)),0)+IFERROR(INDEX(Income!C$3:C$502,SMALL(IF((Income!D$3:D$502="GBP")*(Income!A$3:A$502=DATE(2026,8,31)),ROW(Income!A$3:A$502)-2),3)),0)=0,"",IFERROR(-INDEX(Expenses!D$3:D$999,SMALL(IF((Expenses!E$3:E$999="GBP")*(Expenses!A$3:A$999=DATE(2026,8,31)),ROW(Expenses!A$3:A$999)-2),3)),0)+IFERROR(INDEX(Income!C$3:C$502,SMALL(IF((Income!D$3:D$502="GBP")*(Income!A$3:A$502=DATE(2026,8,31)),ROW(Income!A$3:A$502)-2),3)),0))</f>
        <v/>
      </c>
      <c r="D181" s="126">
        <f t="array" ref="D181">IF(IFERROR(INDEX(Expenses!B$3:B$999,SMALL(IF((Expenses!E$3:E$999="GBP")*(Expenses!A$3:A$999=DATE(2026,8,31)),ROW(Expenses!A$3:A$999)-2),3)),"")&lt;&gt;"",IFERROR(INDEX(Expenses!B$3:B$999,SMALL(IF((Expenses!E$3:E$999="GBP")*(Expenses!A$3:A$999=DATE(2026,8,31)),ROW(Expenses!A$3:A$999)-2),3)),""),IF(IFERROR(INDEX(Income!B$3:B$502,SMALL(IF((Income!D$3:D$502="GBP")*(Income!A$3:A$502=DATE(2026,8,31)),ROW(Income!A$3:A$502)-2),3)),"")&lt;&gt;"",IFERROR(INDEX(Income!B$3:B$502,SMALL(IF((Income!D$3:D$502="GBP")*(Income!A$3:A$502=DATE(2026,8,31)),ROW(Income!A$3:A$502)-2),3)),""),""))</f>
        <v/>
      </c>
      <c r="E181" s="152">
        <f t="array" ref="E181">IF(IFERROR(-INDEX(Expenses!D$3:D$999,SMALL(IF((Expenses!E$3:E$999="GBP")*(Expenses!A$3:A$999=DATE(2026,9,1)),ROW(Expenses!A$3:A$999)-2),3)),0)+IFERROR(INDEX(Income!C$3:C$502,SMALL(IF((Income!D$3:D$502="GBP")*(Income!A$3:A$502=DATE(2026,9,1)),ROW(Income!A$3:A$502)-2),3)),0)=0,"",IFERROR(-INDEX(Expenses!D$3:D$999,SMALL(IF((Expenses!E$3:E$999="GBP")*(Expenses!A$3:A$999=DATE(2026,9,1)),ROW(Expenses!A$3:A$999)-2),3)),0)+IFERROR(INDEX(Income!C$3:C$502,SMALL(IF((Income!D$3:D$502="GBP")*(Income!A$3:A$502=DATE(2026,9,1)),ROW(Income!A$3:A$502)-2),3)),0))</f>
        <v/>
      </c>
      <c r="F181" s="126">
        <f t="array" ref="F181">IF(IFERROR(INDEX(Expenses!B$3:B$999,SMALL(IF((Expenses!E$3:E$999="GBP")*(Expenses!A$3:A$999=DATE(2026,9,1)),ROW(Expenses!A$3:A$999)-2),3)),"")&lt;&gt;"",IFERROR(INDEX(Expenses!B$3:B$999,SMALL(IF((Expenses!E$3:E$999="GBP")*(Expenses!A$3:A$999=DATE(2026,9,1)),ROW(Expenses!A$3:A$999)-2),3)),""),IF(IFERROR(INDEX(Income!B$3:B$502,SMALL(IF((Income!D$3:D$502="GBP")*(Income!A$3:A$502=DATE(2026,9,1)),ROW(Income!A$3:A$502)-2),3)),"")&lt;&gt;"",IFERROR(INDEX(Income!B$3:B$502,SMALL(IF((Income!D$3:D$502="GBP")*(Income!A$3:A$502=DATE(2026,9,1)),ROW(Income!A$3:A$502)-2),3)),""),""))</f>
        <v/>
      </c>
      <c r="G181" s="152">
        <f t="array" ref="G181">IF(IFERROR(-INDEX(Expenses!D$3:D$999,SMALL(IF((Expenses!E$3:E$999="GBP")*(Expenses!A$3:A$999=DATE(2026,9,2)),ROW(Expenses!A$3:A$999)-2),3)),0)+IFERROR(INDEX(Income!C$3:C$502,SMALL(IF((Income!D$3:D$502="GBP")*(Income!A$3:A$502=DATE(2026,9,2)),ROW(Income!A$3:A$502)-2),3)),0)=0,"",IFERROR(-INDEX(Expenses!D$3:D$999,SMALL(IF((Expenses!E$3:E$999="GBP")*(Expenses!A$3:A$999=DATE(2026,9,2)),ROW(Expenses!A$3:A$999)-2),3)),0)+IFERROR(INDEX(Income!C$3:C$502,SMALL(IF((Income!D$3:D$502="GBP")*(Income!A$3:A$502=DATE(2026,9,2)),ROW(Income!A$3:A$502)-2),3)),0))</f>
        <v/>
      </c>
      <c r="H181" s="126">
        <f t="array" ref="H181">IF(IFERROR(INDEX(Expenses!B$3:B$999,SMALL(IF((Expenses!E$3:E$999="GBP")*(Expenses!A$3:A$999=DATE(2026,9,2)),ROW(Expenses!A$3:A$999)-2),3)),"")&lt;&gt;"",IFERROR(INDEX(Expenses!B$3:B$999,SMALL(IF((Expenses!E$3:E$999="GBP")*(Expenses!A$3:A$999=DATE(2026,9,2)),ROW(Expenses!A$3:A$999)-2),3)),""),IF(IFERROR(INDEX(Income!B$3:B$502,SMALL(IF((Income!D$3:D$502="GBP")*(Income!A$3:A$502=DATE(2026,9,2)),ROW(Income!A$3:A$502)-2),3)),"")&lt;&gt;"",IFERROR(INDEX(Income!B$3:B$502,SMALL(IF((Income!D$3:D$502="GBP")*(Income!A$3:A$502=DATE(2026,9,2)),ROW(Income!A$3:A$502)-2),3)),""),""))</f>
        <v/>
      </c>
      <c r="I181" s="152">
        <f t="array" ref="I181">IF(IFERROR(-INDEX(Expenses!D$3:D$999,SMALL(IF((Expenses!E$3:E$999="GBP")*(Expenses!A$3:A$999=DATE(2026,9,3)),ROW(Expenses!A$3:A$999)-2),3)),0)+IFERROR(INDEX(Income!C$3:C$502,SMALL(IF((Income!D$3:D$502="GBP")*(Income!A$3:A$502=DATE(2026,9,3)),ROW(Income!A$3:A$502)-2),3)),0)=0,"",IFERROR(-INDEX(Expenses!D$3:D$999,SMALL(IF((Expenses!E$3:E$999="GBP")*(Expenses!A$3:A$999=DATE(2026,9,3)),ROW(Expenses!A$3:A$999)-2),3)),0)+IFERROR(INDEX(Income!C$3:C$502,SMALL(IF((Income!D$3:D$502="GBP")*(Income!A$3:A$502=DATE(2026,9,3)),ROW(Income!A$3:A$502)-2),3)),0))</f>
        <v/>
      </c>
      <c r="J181" s="126">
        <f t="array" ref="J181">IF(IFERROR(INDEX(Expenses!B$3:B$999,SMALL(IF((Expenses!E$3:E$999="GBP")*(Expenses!A$3:A$999=DATE(2026,9,3)),ROW(Expenses!A$3:A$999)-2),3)),"")&lt;&gt;"",IFERROR(INDEX(Expenses!B$3:B$999,SMALL(IF((Expenses!E$3:E$999="GBP")*(Expenses!A$3:A$999=DATE(2026,9,3)),ROW(Expenses!A$3:A$999)-2),3)),""),IF(IFERROR(INDEX(Income!B$3:B$502,SMALL(IF((Income!D$3:D$502="GBP")*(Income!A$3:A$502=DATE(2026,9,3)),ROW(Income!A$3:A$502)-2),3)),"")&lt;&gt;"",IFERROR(INDEX(Income!B$3:B$502,SMALL(IF((Income!D$3:D$502="GBP")*(Income!A$3:A$502=DATE(2026,9,3)),ROW(Income!A$3:A$502)-2),3)),""),""))</f>
        <v/>
      </c>
      <c r="K181" s="152">
        <f t="array" ref="K181">IF(IFERROR(-INDEX(Expenses!D$3:D$999,SMALL(IF((Expenses!E$3:E$999="GBP")*(Expenses!A$3:A$999=DATE(2026,9,4)),ROW(Expenses!A$3:A$999)-2),3)),0)+IFERROR(INDEX(Income!C$3:C$502,SMALL(IF((Income!D$3:D$502="GBP")*(Income!A$3:A$502=DATE(2026,9,4)),ROW(Income!A$3:A$502)-2),3)),0)=0,"",IFERROR(-INDEX(Expenses!D$3:D$999,SMALL(IF((Expenses!E$3:E$999="GBP")*(Expenses!A$3:A$999=DATE(2026,9,4)),ROW(Expenses!A$3:A$999)-2),3)),0)+IFERROR(INDEX(Income!C$3:C$502,SMALL(IF((Income!D$3:D$502="GBP")*(Income!A$3:A$502=DATE(2026,9,4)),ROW(Income!A$3:A$502)-2),3)),0))</f>
        <v/>
      </c>
      <c r="L181" s="126">
        <f t="array" ref="L181">IF(IFERROR(INDEX(Expenses!B$3:B$999,SMALL(IF((Expenses!E$3:E$999="GBP")*(Expenses!A$3:A$999=DATE(2026,9,4)),ROW(Expenses!A$3:A$999)-2),3)),"")&lt;&gt;"",IFERROR(INDEX(Expenses!B$3:B$999,SMALL(IF((Expenses!E$3:E$999="GBP")*(Expenses!A$3:A$999=DATE(2026,9,4)),ROW(Expenses!A$3:A$999)-2),3)),""),IF(IFERROR(INDEX(Income!B$3:B$502,SMALL(IF((Income!D$3:D$502="GBP")*(Income!A$3:A$502=DATE(2026,9,4)),ROW(Income!A$3:A$502)-2),3)),"")&lt;&gt;"",IFERROR(INDEX(Income!B$3:B$502,SMALL(IF((Income!D$3:D$502="GBP")*(Income!A$3:A$502=DATE(2026,9,4)),ROW(Income!A$3:A$502)-2),3)),""),""))</f>
        <v/>
      </c>
      <c r="M181" s="152">
        <f t="array" ref="M181">IF(IFERROR(-INDEX(Expenses!D$3:D$999,SMALL(IF((Expenses!E$3:E$999="GBP")*(Expenses!A$3:A$999=DATE(2026,9,5)),ROW(Expenses!A$3:A$999)-2),3)),0)+IFERROR(INDEX(Income!C$3:C$502,SMALL(IF((Income!D$3:D$502="GBP")*(Income!A$3:A$502=DATE(2026,9,5)),ROW(Income!A$3:A$502)-2),3)),0)=0,"",IFERROR(-INDEX(Expenses!D$3:D$999,SMALL(IF((Expenses!E$3:E$999="GBP")*(Expenses!A$3:A$999=DATE(2026,9,5)),ROW(Expenses!A$3:A$999)-2),3)),0)+IFERROR(INDEX(Income!C$3:C$502,SMALL(IF((Income!D$3:D$502="GBP")*(Income!A$3:A$502=DATE(2026,9,5)),ROW(Income!A$3:A$502)-2),3)),0))</f>
        <v/>
      </c>
      <c r="N181" s="126">
        <f t="array" ref="N181">IF(IFERROR(INDEX(Expenses!B$3:B$999,SMALL(IF((Expenses!E$3:E$999="GBP")*(Expenses!A$3:A$999=DATE(2026,9,5)),ROW(Expenses!A$3:A$999)-2),3)),"")&lt;&gt;"",IFERROR(INDEX(Expenses!B$3:B$999,SMALL(IF((Expenses!E$3:E$999="GBP")*(Expenses!A$3:A$999=DATE(2026,9,5)),ROW(Expenses!A$3:A$999)-2),3)),""),IF(IFERROR(INDEX(Income!B$3:B$502,SMALL(IF((Income!D$3:D$502="GBP")*(Income!A$3:A$502=DATE(2026,9,5)),ROW(Income!A$3:A$502)-2),3)),"")&lt;&gt;"",IFERROR(INDEX(Income!B$3:B$502,SMALL(IF((Income!D$3:D$502="GBP")*(Income!A$3:A$502=DATE(2026,9,5)),ROW(Income!A$3:A$502)-2),3)),""),""))</f>
        <v/>
      </c>
      <c r="O181" s="152">
        <f t="array" ref="O181">IF(IFERROR(-INDEX(Expenses!D$3:D$999,SMALL(IF((Expenses!E$3:E$999="GBP")*(Expenses!A$3:A$999=DATE(2026,9,6)),ROW(Expenses!A$3:A$999)-2),3)),0)+IFERROR(INDEX(Income!C$3:C$502,SMALL(IF((Income!D$3:D$502="GBP")*(Income!A$3:A$502=DATE(2026,9,6)),ROW(Income!A$3:A$502)-2),3)),0)=0,"",IFERROR(-INDEX(Expenses!D$3:D$999,SMALL(IF((Expenses!E$3:E$999="GBP")*(Expenses!A$3:A$999=DATE(2026,9,6)),ROW(Expenses!A$3:A$999)-2),3)),0)+IFERROR(INDEX(Income!C$3:C$502,SMALL(IF((Income!D$3:D$502="GBP")*(Income!A$3:A$502=DATE(2026,9,6)),ROW(Income!A$3:A$502)-2),3)),0))</f>
        <v/>
      </c>
      <c r="P181" s="126">
        <f t="array" ref="P181">IF(IFERROR(INDEX(Expenses!B$3:B$999,SMALL(IF((Expenses!E$3:E$999="GBP")*(Expenses!A$3:A$999=DATE(2026,9,6)),ROW(Expenses!A$3:A$999)-2),3)),"")&lt;&gt;"",IFERROR(INDEX(Expenses!B$3:B$999,SMALL(IF((Expenses!E$3:E$999="GBP")*(Expenses!A$3:A$999=DATE(2026,9,6)),ROW(Expenses!A$3:A$999)-2),3)),""),IF(IFERROR(INDEX(Income!B$3:B$502,SMALL(IF((Income!D$3:D$502="GBP")*(Income!A$3:A$502=DATE(2026,9,6)),ROW(Income!A$3:A$502)-2),3)),"")&lt;&gt;"",IFERROR(INDEX(Income!B$3:B$502,SMALL(IF((Income!D$3:D$502="GBP")*(Income!A$3:A$502=DATE(2026,9,6)),ROW(Income!A$3:A$502)-2),3)),""),""))</f>
        <v/>
      </c>
      <c r="Q181" s="9" t="n"/>
      <c r="R181" s="9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68">
      <c r="A182" s="9" t="n"/>
      <c r="B182" s="9" t="n"/>
      <c r="C182" s="152">
        <f t="array" ref="C182">IF(IFERROR(-INDEX(Expenses!D$3:D$999,SMALL(IF((Expenses!E$3:E$999="GBP")*(Expenses!A$3:A$999=DATE(2026,8,31)),ROW(Expenses!A$3:A$999)-2),4)),0)+IFERROR(INDEX(Income!C$3:C$502,SMALL(IF((Income!D$3:D$502="GBP")*(Income!A$3:A$502=DATE(2026,8,31)),ROW(Income!A$3:A$502)-2),4)),0)=0,"",IFERROR(-INDEX(Expenses!D$3:D$999,SMALL(IF((Expenses!E$3:E$999="GBP")*(Expenses!A$3:A$999=DATE(2026,8,31)),ROW(Expenses!A$3:A$999)-2),4)),0)+IFERROR(INDEX(Income!C$3:C$502,SMALL(IF((Income!D$3:D$502="GBP")*(Income!A$3:A$502=DATE(2026,8,31)),ROW(Income!A$3:A$502)-2),4)),0))</f>
        <v/>
      </c>
      <c r="D182" s="126">
        <f t="array" ref="D182">IF(IFERROR(INDEX(Expenses!B$3:B$999,SMALL(IF((Expenses!E$3:E$999="GBP")*(Expenses!A$3:A$999=DATE(2026,8,31)),ROW(Expenses!A$3:A$999)-2),4)),"")&lt;&gt;"",IFERROR(INDEX(Expenses!B$3:B$999,SMALL(IF((Expenses!E$3:E$999="GBP")*(Expenses!A$3:A$999=DATE(2026,8,31)),ROW(Expenses!A$3:A$999)-2),4)),""),IF(IFERROR(INDEX(Income!B$3:B$502,SMALL(IF((Income!D$3:D$502="GBP")*(Income!A$3:A$502=DATE(2026,8,31)),ROW(Income!A$3:A$502)-2),4)),"")&lt;&gt;"",IFERROR(INDEX(Income!B$3:B$502,SMALL(IF((Income!D$3:D$502="GBP")*(Income!A$3:A$502=DATE(2026,8,31)),ROW(Income!A$3:A$502)-2),4)),""),""))</f>
        <v/>
      </c>
      <c r="E182" s="152">
        <f t="array" ref="E182">IF(IFERROR(-INDEX(Expenses!D$3:D$999,SMALL(IF((Expenses!E$3:E$999="GBP")*(Expenses!A$3:A$999=DATE(2026,9,1)),ROW(Expenses!A$3:A$999)-2),4)),0)+IFERROR(INDEX(Income!C$3:C$502,SMALL(IF((Income!D$3:D$502="GBP")*(Income!A$3:A$502=DATE(2026,9,1)),ROW(Income!A$3:A$502)-2),4)),0)=0,"",IFERROR(-INDEX(Expenses!D$3:D$999,SMALL(IF((Expenses!E$3:E$999="GBP")*(Expenses!A$3:A$999=DATE(2026,9,1)),ROW(Expenses!A$3:A$999)-2),4)),0)+IFERROR(INDEX(Income!C$3:C$502,SMALL(IF((Income!D$3:D$502="GBP")*(Income!A$3:A$502=DATE(2026,9,1)),ROW(Income!A$3:A$502)-2),4)),0))</f>
        <v/>
      </c>
      <c r="F182" s="126">
        <f t="array" ref="F182">IF(IFERROR(INDEX(Expenses!B$3:B$999,SMALL(IF((Expenses!E$3:E$999="GBP")*(Expenses!A$3:A$999=DATE(2026,9,1)),ROW(Expenses!A$3:A$999)-2),4)),"")&lt;&gt;"",IFERROR(INDEX(Expenses!B$3:B$999,SMALL(IF((Expenses!E$3:E$999="GBP")*(Expenses!A$3:A$999=DATE(2026,9,1)),ROW(Expenses!A$3:A$999)-2),4)),""),IF(IFERROR(INDEX(Income!B$3:B$502,SMALL(IF((Income!D$3:D$502="GBP")*(Income!A$3:A$502=DATE(2026,9,1)),ROW(Income!A$3:A$502)-2),4)),"")&lt;&gt;"",IFERROR(INDEX(Income!B$3:B$502,SMALL(IF((Income!D$3:D$502="GBP")*(Income!A$3:A$502=DATE(2026,9,1)),ROW(Income!A$3:A$502)-2),4)),""),""))</f>
        <v/>
      </c>
      <c r="G182" s="152">
        <f t="array" ref="G182">IF(IFERROR(-INDEX(Expenses!D$3:D$999,SMALL(IF((Expenses!E$3:E$999="GBP")*(Expenses!A$3:A$999=DATE(2026,9,2)),ROW(Expenses!A$3:A$999)-2),4)),0)+IFERROR(INDEX(Income!C$3:C$502,SMALL(IF((Income!D$3:D$502="GBP")*(Income!A$3:A$502=DATE(2026,9,2)),ROW(Income!A$3:A$502)-2),4)),0)=0,"",IFERROR(-INDEX(Expenses!D$3:D$999,SMALL(IF((Expenses!E$3:E$999="GBP")*(Expenses!A$3:A$999=DATE(2026,9,2)),ROW(Expenses!A$3:A$999)-2),4)),0)+IFERROR(INDEX(Income!C$3:C$502,SMALL(IF((Income!D$3:D$502="GBP")*(Income!A$3:A$502=DATE(2026,9,2)),ROW(Income!A$3:A$502)-2),4)),0))</f>
        <v/>
      </c>
      <c r="H182" s="126">
        <f t="array" ref="H182">IF(IFERROR(INDEX(Expenses!B$3:B$999,SMALL(IF((Expenses!E$3:E$999="GBP")*(Expenses!A$3:A$999=DATE(2026,9,2)),ROW(Expenses!A$3:A$999)-2),4)),"")&lt;&gt;"",IFERROR(INDEX(Expenses!B$3:B$999,SMALL(IF((Expenses!E$3:E$999="GBP")*(Expenses!A$3:A$999=DATE(2026,9,2)),ROW(Expenses!A$3:A$999)-2),4)),""),IF(IFERROR(INDEX(Income!B$3:B$502,SMALL(IF((Income!D$3:D$502="GBP")*(Income!A$3:A$502=DATE(2026,9,2)),ROW(Income!A$3:A$502)-2),4)),"")&lt;&gt;"",IFERROR(INDEX(Income!B$3:B$502,SMALL(IF((Income!D$3:D$502="GBP")*(Income!A$3:A$502=DATE(2026,9,2)),ROW(Income!A$3:A$502)-2),4)),""),""))</f>
        <v/>
      </c>
      <c r="I182" s="152">
        <f t="array" ref="I182">IF(IFERROR(-INDEX(Expenses!D$3:D$999,SMALL(IF((Expenses!E$3:E$999="GBP")*(Expenses!A$3:A$999=DATE(2026,9,3)),ROW(Expenses!A$3:A$999)-2),4)),0)+IFERROR(INDEX(Income!C$3:C$502,SMALL(IF((Income!D$3:D$502="GBP")*(Income!A$3:A$502=DATE(2026,9,3)),ROW(Income!A$3:A$502)-2),4)),0)=0,"",IFERROR(-INDEX(Expenses!D$3:D$999,SMALL(IF((Expenses!E$3:E$999="GBP")*(Expenses!A$3:A$999=DATE(2026,9,3)),ROW(Expenses!A$3:A$999)-2),4)),0)+IFERROR(INDEX(Income!C$3:C$502,SMALL(IF((Income!D$3:D$502="GBP")*(Income!A$3:A$502=DATE(2026,9,3)),ROW(Income!A$3:A$502)-2),4)),0))</f>
        <v/>
      </c>
      <c r="J182" s="126">
        <f t="array" ref="J182">IF(IFERROR(INDEX(Expenses!B$3:B$999,SMALL(IF((Expenses!E$3:E$999="GBP")*(Expenses!A$3:A$999=DATE(2026,9,3)),ROW(Expenses!A$3:A$999)-2),4)),"")&lt;&gt;"",IFERROR(INDEX(Expenses!B$3:B$999,SMALL(IF((Expenses!E$3:E$999="GBP")*(Expenses!A$3:A$999=DATE(2026,9,3)),ROW(Expenses!A$3:A$999)-2),4)),""),IF(IFERROR(INDEX(Income!B$3:B$502,SMALL(IF((Income!D$3:D$502="GBP")*(Income!A$3:A$502=DATE(2026,9,3)),ROW(Income!A$3:A$502)-2),4)),"")&lt;&gt;"",IFERROR(INDEX(Income!B$3:B$502,SMALL(IF((Income!D$3:D$502="GBP")*(Income!A$3:A$502=DATE(2026,9,3)),ROW(Income!A$3:A$502)-2),4)),""),""))</f>
        <v/>
      </c>
      <c r="K182" s="152">
        <f t="array" ref="K182">IF(IFERROR(-INDEX(Expenses!D$3:D$999,SMALL(IF((Expenses!E$3:E$999="GBP")*(Expenses!A$3:A$999=DATE(2026,9,4)),ROW(Expenses!A$3:A$999)-2),4)),0)+IFERROR(INDEX(Income!C$3:C$502,SMALL(IF((Income!D$3:D$502="GBP")*(Income!A$3:A$502=DATE(2026,9,4)),ROW(Income!A$3:A$502)-2),4)),0)=0,"",IFERROR(-INDEX(Expenses!D$3:D$999,SMALL(IF((Expenses!E$3:E$999="GBP")*(Expenses!A$3:A$999=DATE(2026,9,4)),ROW(Expenses!A$3:A$999)-2),4)),0)+IFERROR(INDEX(Income!C$3:C$502,SMALL(IF((Income!D$3:D$502="GBP")*(Income!A$3:A$502=DATE(2026,9,4)),ROW(Income!A$3:A$502)-2),4)),0))</f>
        <v/>
      </c>
      <c r="L182" s="126">
        <f t="array" ref="L182">IF(IFERROR(INDEX(Expenses!B$3:B$999,SMALL(IF((Expenses!E$3:E$999="GBP")*(Expenses!A$3:A$999=DATE(2026,9,4)),ROW(Expenses!A$3:A$999)-2),4)),"")&lt;&gt;"",IFERROR(INDEX(Expenses!B$3:B$999,SMALL(IF((Expenses!E$3:E$999="GBP")*(Expenses!A$3:A$999=DATE(2026,9,4)),ROW(Expenses!A$3:A$999)-2),4)),""),IF(IFERROR(INDEX(Income!B$3:B$502,SMALL(IF((Income!D$3:D$502="GBP")*(Income!A$3:A$502=DATE(2026,9,4)),ROW(Income!A$3:A$502)-2),4)),"")&lt;&gt;"",IFERROR(INDEX(Income!B$3:B$502,SMALL(IF((Income!D$3:D$502="GBP")*(Income!A$3:A$502=DATE(2026,9,4)),ROW(Income!A$3:A$502)-2),4)),""),""))</f>
        <v/>
      </c>
      <c r="M182" s="152">
        <f t="array" ref="M182">IF(IFERROR(-INDEX(Expenses!D$3:D$999,SMALL(IF((Expenses!E$3:E$999="GBP")*(Expenses!A$3:A$999=DATE(2026,9,5)),ROW(Expenses!A$3:A$999)-2),4)),0)+IFERROR(INDEX(Income!C$3:C$502,SMALL(IF((Income!D$3:D$502="GBP")*(Income!A$3:A$502=DATE(2026,9,5)),ROW(Income!A$3:A$502)-2),4)),0)=0,"",IFERROR(-INDEX(Expenses!D$3:D$999,SMALL(IF((Expenses!E$3:E$999="GBP")*(Expenses!A$3:A$999=DATE(2026,9,5)),ROW(Expenses!A$3:A$999)-2),4)),0)+IFERROR(INDEX(Income!C$3:C$502,SMALL(IF((Income!D$3:D$502="GBP")*(Income!A$3:A$502=DATE(2026,9,5)),ROW(Income!A$3:A$502)-2),4)),0))</f>
        <v/>
      </c>
      <c r="N182" s="126">
        <f t="array" ref="N182">IF(IFERROR(INDEX(Expenses!B$3:B$999,SMALL(IF((Expenses!E$3:E$999="GBP")*(Expenses!A$3:A$999=DATE(2026,9,5)),ROW(Expenses!A$3:A$999)-2),4)),"")&lt;&gt;"",IFERROR(INDEX(Expenses!B$3:B$999,SMALL(IF((Expenses!E$3:E$999="GBP")*(Expenses!A$3:A$999=DATE(2026,9,5)),ROW(Expenses!A$3:A$999)-2),4)),""),IF(IFERROR(INDEX(Income!B$3:B$502,SMALL(IF((Income!D$3:D$502="GBP")*(Income!A$3:A$502=DATE(2026,9,5)),ROW(Income!A$3:A$502)-2),4)),"")&lt;&gt;"",IFERROR(INDEX(Income!B$3:B$502,SMALL(IF((Income!D$3:D$502="GBP")*(Income!A$3:A$502=DATE(2026,9,5)),ROW(Income!A$3:A$502)-2),4)),""),""))</f>
        <v/>
      </c>
      <c r="O182" s="152">
        <f t="array" ref="O182">IF(IFERROR(-INDEX(Expenses!D$3:D$999,SMALL(IF((Expenses!E$3:E$999="GBP")*(Expenses!A$3:A$999=DATE(2026,9,6)),ROW(Expenses!A$3:A$999)-2),4)),0)+IFERROR(INDEX(Income!C$3:C$502,SMALL(IF((Income!D$3:D$502="GBP")*(Income!A$3:A$502=DATE(2026,9,6)),ROW(Income!A$3:A$502)-2),4)),0)=0,"",IFERROR(-INDEX(Expenses!D$3:D$999,SMALL(IF((Expenses!E$3:E$999="GBP")*(Expenses!A$3:A$999=DATE(2026,9,6)),ROW(Expenses!A$3:A$999)-2),4)),0)+IFERROR(INDEX(Income!C$3:C$502,SMALL(IF((Income!D$3:D$502="GBP")*(Income!A$3:A$502=DATE(2026,9,6)),ROW(Income!A$3:A$502)-2),4)),0))</f>
        <v/>
      </c>
      <c r="P182" s="126">
        <f t="array" ref="P182">IF(IFERROR(INDEX(Expenses!B$3:B$999,SMALL(IF((Expenses!E$3:E$999="GBP")*(Expenses!A$3:A$999=DATE(2026,9,6)),ROW(Expenses!A$3:A$999)-2),4)),"")&lt;&gt;"",IFERROR(INDEX(Expenses!B$3:B$999,SMALL(IF((Expenses!E$3:E$999="GBP")*(Expenses!A$3:A$999=DATE(2026,9,6)),ROW(Expenses!A$3:A$999)-2),4)),""),IF(IFERROR(INDEX(Income!B$3:B$502,SMALL(IF((Income!D$3:D$502="GBP")*(Income!A$3:A$502=DATE(2026,9,6)),ROW(Income!A$3:A$502)-2),4)),"")&lt;&gt;"",IFERROR(INDEX(Income!B$3:B$502,SMALL(IF((Income!D$3:D$502="GBP")*(Income!A$3:A$502=DATE(2026,9,6)),ROW(Income!A$3:A$502)-2),4)),""),""))</f>
        <v/>
      </c>
      <c r="Q182" s="9" t="n"/>
      <c r="R182" s="9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68">
      <c r="A183" s="9" t="n"/>
      <c r="B183" s="9" t="n"/>
      <c r="C183" s="152">
        <f t="array" ref="C183">IF(IFERROR(-INDEX(Expenses!D$3:D$999,SMALL(IF((Expenses!E$3:E$999="GBP")*(Expenses!A$3:A$999=DATE(2026,8,31)),ROW(Expenses!A$3:A$999)-2),5)),0)+IFERROR(INDEX(Income!C$3:C$502,SMALL(IF((Income!D$3:D$502="GBP")*(Income!A$3:A$502=DATE(2026,8,31)),ROW(Income!A$3:A$502)-2),5)),0)=0,"",IFERROR(-INDEX(Expenses!D$3:D$999,SMALL(IF((Expenses!E$3:E$999="GBP")*(Expenses!A$3:A$999=DATE(2026,8,31)),ROW(Expenses!A$3:A$999)-2),5)),0)+IFERROR(INDEX(Income!C$3:C$502,SMALL(IF((Income!D$3:D$502="GBP")*(Income!A$3:A$502=DATE(2026,8,31)),ROW(Income!A$3:A$502)-2),5)),0))</f>
        <v/>
      </c>
      <c r="D183" s="126">
        <f t="array" ref="D183">IF(IFERROR(INDEX(Expenses!B$3:B$999,SMALL(IF((Expenses!E$3:E$999="GBP")*(Expenses!A$3:A$999=DATE(2026,8,31)),ROW(Expenses!A$3:A$999)-2),5)),"")&lt;&gt;"",IFERROR(INDEX(Expenses!B$3:B$999,SMALL(IF((Expenses!E$3:E$999="GBP")*(Expenses!A$3:A$999=DATE(2026,8,31)),ROW(Expenses!A$3:A$999)-2),5)),""),IF(IFERROR(INDEX(Income!B$3:B$502,SMALL(IF((Income!D$3:D$502="GBP")*(Income!A$3:A$502=DATE(2026,8,31)),ROW(Income!A$3:A$502)-2),5)),"")&lt;&gt;"",IFERROR(INDEX(Income!B$3:B$502,SMALL(IF((Income!D$3:D$502="GBP")*(Income!A$3:A$502=DATE(2026,8,31)),ROW(Income!A$3:A$502)-2),5)),""),""))</f>
        <v/>
      </c>
      <c r="E183" s="152">
        <f t="array" ref="E183">IF(IFERROR(-INDEX(Expenses!D$3:D$999,SMALL(IF((Expenses!E$3:E$999="GBP")*(Expenses!A$3:A$999=DATE(2026,9,1)),ROW(Expenses!A$3:A$999)-2),5)),0)+IFERROR(INDEX(Income!C$3:C$502,SMALL(IF((Income!D$3:D$502="GBP")*(Income!A$3:A$502=DATE(2026,9,1)),ROW(Income!A$3:A$502)-2),5)),0)=0,"",IFERROR(-INDEX(Expenses!D$3:D$999,SMALL(IF((Expenses!E$3:E$999="GBP")*(Expenses!A$3:A$999=DATE(2026,9,1)),ROW(Expenses!A$3:A$999)-2),5)),0)+IFERROR(INDEX(Income!C$3:C$502,SMALL(IF((Income!D$3:D$502="GBP")*(Income!A$3:A$502=DATE(2026,9,1)),ROW(Income!A$3:A$502)-2),5)),0))</f>
        <v/>
      </c>
      <c r="F183" s="126">
        <f t="array" ref="F183">IF(IFERROR(INDEX(Expenses!B$3:B$999,SMALL(IF((Expenses!E$3:E$999="GBP")*(Expenses!A$3:A$999=DATE(2026,9,1)),ROW(Expenses!A$3:A$999)-2),5)),"")&lt;&gt;"",IFERROR(INDEX(Expenses!B$3:B$999,SMALL(IF((Expenses!E$3:E$999="GBP")*(Expenses!A$3:A$999=DATE(2026,9,1)),ROW(Expenses!A$3:A$999)-2),5)),""),IF(IFERROR(INDEX(Income!B$3:B$502,SMALL(IF((Income!D$3:D$502="GBP")*(Income!A$3:A$502=DATE(2026,9,1)),ROW(Income!A$3:A$502)-2),5)),"")&lt;&gt;"",IFERROR(INDEX(Income!B$3:B$502,SMALL(IF((Income!D$3:D$502="GBP")*(Income!A$3:A$502=DATE(2026,9,1)),ROW(Income!A$3:A$502)-2),5)),""),""))</f>
        <v/>
      </c>
      <c r="G183" s="152">
        <f t="array" ref="G183">IF(IFERROR(-INDEX(Expenses!D$3:D$999,SMALL(IF((Expenses!E$3:E$999="GBP")*(Expenses!A$3:A$999=DATE(2026,9,2)),ROW(Expenses!A$3:A$999)-2),5)),0)+IFERROR(INDEX(Income!C$3:C$502,SMALL(IF((Income!D$3:D$502="GBP")*(Income!A$3:A$502=DATE(2026,9,2)),ROW(Income!A$3:A$502)-2),5)),0)=0,"",IFERROR(-INDEX(Expenses!D$3:D$999,SMALL(IF((Expenses!E$3:E$999="GBP")*(Expenses!A$3:A$999=DATE(2026,9,2)),ROW(Expenses!A$3:A$999)-2),5)),0)+IFERROR(INDEX(Income!C$3:C$502,SMALL(IF((Income!D$3:D$502="GBP")*(Income!A$3:A$502=DATE(2026,9,2)),ROW(Income!A$3:A$502)-2),5)),0))</f>
        <v/>
      </c>
      <c r="H183" s="126">
        <f t="array" ref="H183">IF(IFERROR(INDEX(Expenses!B$3:B$999,SMALL(IF((Expenses!E$3:E$999="GBP")*(Expenses!A$3:A$999=DATE(2026,9,2)),ROW(Expenses!A$3:A$999)-2),5)),"")&lt;&gt;"",IFERROR(INDEX(Expenses!B$3:B$999,SMALL(IF((Expenses!E$3:E$999="GBP")*(Expenses!A$3:A$999=DATE(2026,9,2)),ROW(Expenses!A$3:A$999)-2),5)),""),IF(IFERROR(INDEX(Income!B$3:B$502,SMALL(IF((Income!D$3:D$502="GBP")*(Income!A$3:A$502=DATE(2026,9,2)),ROW(Income!A$3:A$502)-2),5)),"")&lt;&gt;"",IFERROR(INDEX(Income!B$3:B$502,SMALL(IF((Income!D$3:D$502="GBP")*(Income!A$3:A$502=DATE(2026,9,2)),ROW(Income!A$3:A$502)-2),5)),""),""))</f>
        <v/>
      </c>
      <c r="I183" s="152">
        <f t="array" ref="I183">IF(IFERROR(-INDEX(Expenses!D$3:D$999,SMALL(IF((Expenses!E$3:E$999="GBP")*(Expenses!A$3:A$999=DATE(2026,9,3)),ROW(Expenses!A$3:A$999)-2),5)),0)+IFERROR(INDEX(Income!C$3:C$502,SMALL(IF((Income!D$3:D$502="GBP")*(Income!A$3:A$502=DATE(2026,9,3)),ROW(Income!A$3:A$502)-2),5)),0)=0,"",IFERROR(-INDEX(Expenses!D$3:D$999,SMALL(IF((Expenses!E$3:E$999="GBP")*(Expenses!A$3:A$999=DATE(2026,9,3)),ROW(Expenses!A$3:A$999)-2),5)),0)+IFERROR(INDEX(Income!C$3:C$502,SMALL(IF((Income!D$3:D$502="GBP")*(Income!A$3:A$502=DATE(2026,9,3)),ROW(Income!A$3:A$502)-2),5)),0))</f>
        <v/>
      </c>
      <c r="J183" s="126">
        <f t="array" ref="J183">IF(IFERROR(INDEX(Expenses!B$3:B$999,SMALL(IF((Expenses!E$3:E$999="GBP")*(Expenses!A$3:A$999=DATE(2026,9,3)),ROW(Expenses!A$3:A$999)-2),5)),"")&lt;&gt;"",IFERROR(INDEX(Expenses!B$3:B$999,SMALL(IF((Expenses!E$3:E$999="GBP")*(Expenses!A$3:A$999=DATE(2026,9,3)),ROW(Expenses!A$3:A$999)-2),5)),""),IF(IFERROR(INDEX(Income!B$3:B$502,SMALL(IF((Income!D$3:D$502="GBP")*(Income!A$3:A$502=DATE(2026,9,3)),ROW(Income!A$3:A$502)-2),5)),"")&lt;&gt;"",IFERROR(INDEX(Income!B$3:B$502,SMALL(IF((Income!D$3:D$502="GBP")*(Income!A$3:A$502=DATE(2026,9,3)),ROW(Income!A$3:A$502)-2),5)),""),""))</f>
        <v/>
      </c>
      <c r="K183" s="152">
        <f t="array" ref="K183">IF(IFERROR(-INDEX(Expenses!D$3:D$999,SMALL(IF((Expenses!E$3:E$999="GBP")*(Expenses!A$3:A$999=DATE(2026,9,4)),ROW(Expenses!A$3:A$999)-2),5)),0)+IFERROR(INDEX(Income!C$3:C$502,SMALL(IF((Income!D$3:D$502="GBP")*(Income!A$3:A$502=DATE(2026,9,4)),ROW(Income!A$3:A$502)-2),5)),0)=0,"",IFERROR(-INDEX(Expenses!D$3:D$999,SMALL(IF((Expenses!E$3:E$999="GBP")*(Expenses!A$3:A$999=DATE(2026,9,4)),ROW(Expenses!A$3:A$999)-2),5)),0)+IFERROR(INDEX(Income!C$3:C$502,SMALL(IF((Income!D$3:D$502="GBP")*(Income!A$3:A$502=DATE(2026,9,4)),ROW(Income!A$3:A$502)-2),5)),0))</f>
        <v/>
      </c>
      <c r="L183" s="126">
        <f t="array" ref="L183">IF(IFERROR(INDEX(Expenses!B$3:B$999,SMALL(IF((Expenses!E$3:E$999="GBP")*(Expenses!A$3:A$999=DATE(2026,9,4)),ROW(Expenses!A$3:A$999)-2),5)),"")&lt;&gt;"",IFERROR(INDEX(Expenses!B$3:B$999,SMALL(IF((Expenses!E$3:E$999="GBP")*(Expenses!A$3:A$999=DATE(2026,9,4)),ROW(Expenses!A$3:A$999)-2),5)),""),IF(IFERROR(INDEX(Income!B$3:B$502,SMALL(IF((Income!D$3:D$502="GBP")*(Income!A$3:A$502=DATE(2026,9,4)),ROW(Income!A$3:A$502)-2),5)),"")&lt;&gt;"",IFERROR(INDEX(Income!B$3:B$502,SMALL(IF((Income!D$3:D$502="GBP")*(Income!A$3:A$502=DATE(2026,9,4)),ROW(Income!A$3:A$502)-2),5)),""),""))</f>
        <v/>
      </c>
      <c r="M183" s="152">
        <f t="array" ref="M183">IF(IFERROR(-INDEX(Expenses!D$3:D$999,SMALL(IF((Expenses!E$3:E$999="GBP")*(Expenses!A$3:A$999=DATE(2026,9,5)),ROW(Expenses!A$3:A$999)-2),5)),0)+IFERROR(INDEX(Income!C$3:C$502,SMALL(IF((Income!D$3:D$502="GBP")*(Income!A$3:A$502=DATE(2026,9,5)),ROW(Income!A$3:A$502)-2),5)),0)=0,"",IFERROR(-INDEX(Expenses!D$3:D$999,SMALL(IF((Expenses!E$3:E$999="GBP")*(Expenses!A$3:A$999=DATE(2026,9,5)),ROW(Expenses!A$3:A$999)-2),5)),0)+IFERROR(INDEX(Income!C$3:C$502,SMALL(IF((Income!D$3:D$502="GBP")*(Income!A$3:A$502=DATE(2026,9,5)),ROW(Income!A$3:A$502)-2),5)),0))</f>
        <v/>
      </c>
      <c r="N183" s="126">
        <f t="array" ref="N183">IF(IFERROR(INDEX(Expenses!B$3:B$999,SMALL(IF((Expenses!E$3:E$999="GBP")*(Expenses!A$3:A$999=DATE(2026,9,5)),ROW(Expenses!A$3:A$999)-2),5)),"")&lt;&gt;"",IFERROR(INDEX(Expenses!B$3:B$999,SMALL(IF((Expenses!E$3:E$999="GBP")*(Expenses!A$3:A$999=DATE(2026,9,5)),ROW(Expenses!A$3:A$999)-2),5)),""),IF(IFERROR(INDEX(Income!B$3:B$502,SMALL(IF((Income!D$3:D$502="GBP")*(Income!A$3:A$502=DATE(2026,9,5)),ROW(Income!A$3:A$502)-2),5)),"")&lt;&gt;"",IFERROR(INDEX(Income!B$3:B$502,SMALL(IF((Income!D$3:D$502="GBP")*(Income!A$3:A$502=DATE(2026,9,5)),ROW(Income!A$3:A$502)-2),5)),""),""))</f>
        <v/>
      </c>
      <c r="O183" s="152">
        <f t="array" ref="O183">IF(IFERROR(-INDEX(Expenses!D$3:D$999,SMALL(IF((Expenses!E$3:E$999="GBP")*(Expenses!A$3:A$999=DATE(2026,9,6)),ROW(Expenses!A$3:A$999)-2),5)),0)+IFERROR(INDEX(Income!C$3:C$502,SMALL(IF((Income!D$3:D$502="GBP")*(Income!A$3:A$502=DATE(2026,9,6)),ROW(Income!A$3:A$502)-2),5)),0)=0,"",IFERROR(-INDEX(Expenses!D$3:D$999,SMALL(IF((Expenses!E$3:E$999="GBP")*(Expenses!A$3:A$999=DATE(2026,9,6)),ROW(Expenses!A$3:A$999)-2),5)),0)+IFERROR(INDEX(Income!C$3:C$502,SMALL(IF((Income!D$3:D$502="GBP")*(Income!A$3:A$502=DATE(2026,9,6)),ROW(Income!A$3:A$502)-2),5)),0))</f>
        <v/>
      </c>
      <c r="P183" s="126">
        <f t="array" ref="P183">IF(IFERROR(INDEX(Expenses!B$3:B$999,SMALL(IF((Expenses!E$3:E$999="GBP")*(Expenses!A$3:A$999=DATE(2026,9,6)),ROW(Expenses!A$3:A$999)-2),5)),"")&lt;&gt;"",IFERROR(INDEX(Expenses!B$3:B$999,SMALL(IF((Expenses!E$3:E$999="GBP")*(Expenses!A$3:A$999=DATE(2026,9,6)),ROW(Expenses!A$3:A$999)-2),5)),""),IF(IFERROR(INDEX(Income!B$3:B$502,SMALL(IF((Income!D$3:D$502="GBP")*(Income!A$3:A$502=DATE(2026,9,6)),ROW(Income!A$3:A$502)-2),5)),"")&lt;&gt;"",IFERROR(INDEX(Income!B$3:B$502,SMALL(IF((Income!D$3:D$502="GBP")*(Income!A$3:A$502=DATE(2026,9,6)),ROW(Income!A$3:A$502)-2),5)),""),""))</f>
        <v/>
      </c>
      <c r="Q183" s="9" t="n"/>
      <c r="R183" s="9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68">
      <c r="A184" s="151" t="n">
        <v>46272</v>
      </c>
      <c r="B184" s="103" t="n">
        <v>37</v>
      </c>
      <c r="C184" s="152">
        <f t="array" ref="C184">IF(IFERROR(-INDEX(Expenses!D$3:D$999,SMALL(IF((Expenses!E$3:E$999="GBP")*(Expenses!A$3:A$999=DATE(2026,9,7)),ROW(Expenses!A$3:A$999)-2),1)),0)+IFERROR(INDEX(Income!C$3:C$502,SMALL(IF((Income!D$3:D$502="GBP")*(Income!A$3:A$502=DATE(2026,9,7)),ROW(Income!A$3:A$502)-2),1)),0)=0,"",IFERROR(-INDEX(Expenses!D$3:D$999,SMALL(IF((Expenses!E$3:E$999="GBP")*(Expenses!A$3:A$999=DATE(2026,9,7)),ROW(Expenses!A$3:A$999)-2),1)),0)+IFERROR(INDEX(Income!C$3:C$502,SMALL(IF((Income!D$3:D$502="GBP")*(Income!A$3:A$502=DATE(2026,9,7)),ROW(Income!A$3:A$502)-2),1)),0))</f>
        <v/>
      </c>
      <c r="D184" s="126">
        <f t="array" ref="D184">IF(IFERROR(INDEX(Expenses!B$3:B$999,SMALL(IF((Expenses!E$3:E$999="GBP")*(Expenses!A$3:A$999=DATE(2026,9,7)),ROW(Expenses!A$3:A$999)-2),1)),"")&lt;&gt;"",IFERROR(INDEX(Expenses!B$3:B$999,SMALL(IF((Expenses!E$3:E$999="GBP")*(Expenses!A$3:A$999=DATE(2026,9,7)),ROW(Expenses!A$3:A$999)-2),1)),""),IF(IFERROR(INDEX(Income!B$3:B$502,SMALL(IF((Income!D$3:D$502="GBP")*(Income!A$3:A$502=DATE(2026,9,7)),ROW(Income!A$3:A$502)-2),1)),"")&lt;&gt;"",IFERROR(INDEX(Income!B$3:B$502,SMALL(IF((Income!D$3:D$502="GBP")*(Income!A$3:A$502=DATE(2026,9,7)),ROW(Income!A$3:A$502)-2),1)),""),""))</f>
        <v/>
      </c>
      <c r="E184" s="152">
        <f t="array" ref="E184">IF(IFERROR(-INDEX(Expenses!D$3:D$999,SMALL(IF((Expenses!E$3:E$999="GBP")*(Expenses!A$3:A$999=DATE(2026,9,8)),ROW(Expenses!A$3:A$999)-2),1)),0)+IFERROR(INDEX(Income!C$3:C$502,SMALL(IF((Income!D$3:D$502="GBP")*(Income!A$3:A$502=DATE(2026,9,8)),ROW(Income!A$3:A$502)-2),1)),0)=0,"",IFERROR(-INDEX(Expenses!D$3:D$999,SMALL(IF((Expenses!E$3:E$999="GBP")*(Expenses!A$3:A$999=DATE(2026,9,8)),ROW(Expenses!A$3:A$999)-2),1)),0)+IFERROR(INDEX(Income!C$3:C$502,SMALL(IF((Income!D$3:D$502="GBP")*(Income!A$3:A$502=DATE(2026,9,8)),ROW(Income!A$3:A$502)-2),1)),0))</f>
        <v/>
      </c>
      <c r="F184" s="126">
        <f t="array" ref="F184">IF(IFERROR(INDEX(Expenses!B$3:B$999,SMALL(IF((Expenses!E$3:E$999="GBP")*(Expenses!A$3:A$999=DATE(2026,9,8)),ROW(Expenses!A$3:A$999)-2),1)),"")&lt;&gt;"",IFERROR(INDEX(Expenses!B$3:B$999,SMALL(IF((Expenses!E$3:E$999="GBP")*(Expenses!A$3:A$999=DATE(2026,9,8)),ROW(Expenses!A$3:A$999)-2),1)),""),IF(IFERROR(INDEX(Income!B$3:B$502,SMALL(IF((Income!D$3:D$502="GBP")*(Income!A$3:A$502=DATE(2026,9,8)),ROW(Income!A$3:A$502)-2),1)),"")&lt;&gt;"",IFERROR(INDEX(Income!B$3:B$502,SMALL(IF((Income!D$3:D$502="GBP")*(Income!A$3:A$502=DATE(2026,9,8)),ROW(Income!A$3:A$502)-2),1)),""),""))</f>
        <v/>
      </c>
      <c r="G184" s="152">
        <f t="array" ref="G184">IF(IFERROR(-INDEX(Expenses!D$3:D$999,SMALL(IF((Expenses!E$3:E$999="GBP")*(Expenses!A$3:A$999=DATE(2026,9,9)),ROW(Expenses!A$3:A$999)-2),1)),0)+IFERROR(INDEX(Income!C$3:C$502,SMALL(IF((Income!D$3:D$502="GBP")*(Income!A$3:A$502=DATE(2026,9,9)),ROW(Income!A$3:A$502)-2),1)),0)=0,"",IFERROR(-INDEX(Expenses!D$3:D$999,SMALL(IF((Expenses!E$3:E$999="GBP")*(Expenses!A$3:A$999=DATE(2026,9,9)),ROW(Expenses!A$3:A$999)-2),1)),0)+IFERROR(INDEX(Income!C$3:C$502,SMALL(IF((Income!D$3:D$502="GBP")*(Income!A$3:A$502=DATE(2026,9,9)),ROW(Income!A$3:A$502)-2),1)),0))</f>
        <v/>
      </c>
      <c r="H184" s="126">
        <f t="array" ref="H184">IF(IFERROR(INDEX(Expenses!B$3:B$999,SMALL(IF((Expenses!E$3:E$999="GBP")*(Expenses!A$3:A$999=DATE(2026,9,9)),ROW(Expenses!A$3:A$999)-2),1)),"")&lt;&gt;"",IFERROR(INDEX(Expenses!B$3:B$999,SMALL(IF((Expenses!E$3:E$999="GBP")*(Expenses!A$3:A$999=DATE(2026,9,9)),ROW(Expenses!A$3:A$999)-2),1)),""),IF(IFERROR(INDEX(Income!B$3:B$502,SMALL(IF((Income!D$3:D$502="GBP")*(Income!A$3:A$502=DATE(2026,9,9)),ROW(Income!A$3:A$502)-2),1)),"")&lt;&gt;"",IFERROR(INDEX(Income!B$3:B$502,SMALL(IF((Income!D$3:D$502="GBP")*(Income!A$3:A$502=DATE(2026,9,9)),ROW(Income!A$3:A$502)-2),1)),""),""))</f>
        <v/>
      </c>
      <c r="I184" s="152">
        <f t="array" ref="I184">IF(IFERROR(-INDEX(Expenses!D$3:D$999,SMALL(IF((Expenses!E$3:E$999="GBP")*(Expenses!A$3:A$999=DATE(2026,9,10)),ROW(Expenses!A$3:A$999)-2),1)),0)+IFERROR(INDEX(Income!C$3:C$502,SMALL(IF((Income!D$3:D$502="GBP")*(Income!A$3:A$502=DATE(2026,9,10)),ROW(Income!A$3:A$502)-2),1)),0)=0,"",IFERROR(-INDEX(Expenses!D$3:D$999,SMALL(IF((Expenses!E$3:E$999="GBP")*(Expenses!A$3:A$999=DATE(2026,9,10)),ROW(Expenses!A$3:A$999)-2),1)),0)+IFERROR(INDEX(Income!C$3:C$502,SMALL(IF((Income!D$3:D$502="GBP")*(Income!A$3:A$502=DATE(2026,9,10)),ROW(Income!A$3:A$502)-2),1)),0))</f>
        <v/>
      </c>
      <c r="J184" s="126">
        <f t="array" ref="J184">IF(IFERROR(INDEX(Expenses!B$3:B$999,SMALL(IF((Expenses!E$3:E$999="GBP")*(Expenses!A$3:A$999=DATE(2026,9,10)),ROW(Expenses!A$3:A$999)-2),1)),"")&lt;&gt;"",IFERROR(INDEX(Expenses!B$3:B$999,SMALL(IF((Expenses!E$3:E$999="GBP")*(Expenses!A$3:A$999=DATE(2026,9,10)),ROW(Expenses!A$3:A$999)-2),1)),""),IF(IFERROR(INDEX(Income!B$3:B$502,SMALL(IF((Income!D$3:D$502="GBP")*(Income!A$3:A$502=DATE(2026,9,10)),ROW(Income!A$3:A$502)-2),1)),"")&lt;&gt;"",IFERROR(INDEX(Income!B$3:B$502,SMALL(IF((Income!D$3:D$502="GBP")*(Income!A$3:A$502=DATE(2026,9,10)),ROW(Income!A$3:A$502)-2),1)),""),""))</f>
        <v/>
      </c>
      <c r="K184" s="152">
        <f t="array" ref="K184">IF(IFERROR(-INDEX(Expenses!D$3:D$999,SMALL(IF((Expenses!E$3:E$999="GBP")*(Expenses!A$3:A$999=DATE(2026,9,11)),ROW(Expenses!A$3:A$999)-2),1)),0)+IFERROR(INDEX(Income!C$3:C$502,SMALL(IF((Income!D$3:D$502="GBP")*(Income!A$3:A$502=DATE(2026,9,11)),ROW(Income!A$3:A$502)-2),1)),0)=0,"",IFERROR(-INDEX(Expenses!D$3:D$999,SMALL(IF((Expenses!E$3:E$999="GBP")*(Expenses!A$3:A$999=DATE(2026,9,11)),ROW(Expenses!A$3:A$999)-2),1)),0)+IFERROR(INDEX(Income!C$3:C$502,SMALL(IF((Income!D$3:D$502="GBP")*(Income!A$3:A$502=DATE(2026,9,11)),ROW(Income!A$3:A$502)-2),1)),0))</f>
        <v/>
      </c>
      <c r="L184" s="126">
        <f t="array" ref="L184">IF(IFERROR(INDEX(Expenses!B$3:B$999,SMALL(IF((Expenses!E$3:E$999="GBP")*(Expenses!A$3:A$999=DATE(2026,9,11)),ROW(Expenses!A$3:A$999)-2),1)),"")&lt;&gt;"",IFERROR(INDEX(Expenses!B$3:B$999,SMALL(IF((Expenses!E$3:E$999="GBP")*(Expenses!A$3:A$999=DATE(2026,9,11)),ROW(Expenses!A$3:A$999)-2),1)),""),IF(IFERROR(INDEX(Income!B$3:B$502,SMALL(IF((Income!D$3:D$502="GBP")*(Income!A$3:A$502=DATE(2026,9,11)),ROW(Income!A$3:A$502)-2),1)),"")&lt;&gt;"",IFERROR(INDEX(Income!B$3:B$502,SMALL(IF((Income!D$3:D$502="GBP")*(Income!A$3:A$502=DATE(2026,9,11)),ROW(Income!A$3:A$502)-2),1)),""),""))</f>
        <v/>
      </c>
      <c r="M184" s="152">
        <f t="array" ref="M184">IF(IFERROR(-INDEX(Expenses!D$3:D$999,SMALL(IF((Expenses!E$3:E$999="GBP")*(Expenses!A$3:A$999=DATE(2026,9,12)),ROW(Expenses!A$3:A$999)-2),1)),0)+IFERROR(INDEX(Income!C$3:C$502,SMALL(IF((Income!D$3:D$502="GBP")*(Income!A$3:A$502=DATE(2026,9,12)),ROW(Income!A$3:A$502)-2),1)),0)=0,"",IFERROR(-INDEX(Expenses!D$3:D$999,SMALL(IF((Expenses!E$3:E$999="GBP")*(Expenses!A$3:A$999=DATE(2026,9,12)),ROW(Expenses!A$3:A$999)-2),1)),0)+IFERROR(INDEX(Income!C$3:C$502,SMALL(IF((Income!D$3:D$502="GBP")*(Income!A$3:A$502=DATE(2026,9,12)),ROW(Income!A$3:A$502)-2),1)),0))</f>
        <v/>
      </c>
      <c r="N184" s="126">
        <f t="array" ref="N184">IF(IFERROR(INDEX(Expenses!B$3:B$999,SMALL(IF((Expenses!E$3:E$999="GBP")*(Expenses!A$3:A$999=DATE(2026,9,12)),ROW(Expenses!A$3:A$999)-2),1)),"")&lt;&gt;"",IFERROR(INDEX(Expenses!B$3:B$999,SMALL(IF((Expenses!E$3:E$999="GBP")*(Expenses!A$3:A$999=DATE(2026,9,12)),ROW(Expenses!A$3:A$999)-2),1)),""),IF(IFERROR(INDEX(Income!B$3:B$502,SMALL(IF((Income!D$3:D$502="GBP")*(Income!A$3:A$502=DATE(2026,9,12)),ROW(Income!A$3:A$502)-2),1)),"")&lt;&gt;"",IFERROR(INDEX(Income!B$3:B$502,SMALL(IF((Income!D$3:D$502="GBP")*(Income!A$3:A$502=DATE(2026,9,12)),ROW(Income!A$3:A$502)-2),1)),""),""))</f>
        <v/>
      </c>
      <c r="O184" s="152">
        <f t="array" ref="O184">IF(IFERROR(-INDEX(Expenses!D$3:D$999,SMALL(IF((Expenses!E$3:E$999="GBP")*(Expenses!A$3:A$999=DATE(2026,9,13)),ROW(Expenses!A$3:A$999)-2),1)),0)+IFERROR(INDEX(Income!C$3:C$502,SMALL(IF((Income!D$3:D$502="GBP")*(Income!A$3:A$502=DATE(2026,9,13)),ROW(Income!A$3:A$502)-2),1)),0)=0,"",IFERROR(-INDEX(Expenses!D$3:D$999,SMALL(IF((Expenses!E$3:E$999="GBP")*(Expenses!A$3:A$999=DATE(2026,9,13)),ROW(Expenses!A$3:A$999)-2),1)),0)+IFERROR(INDEX(Income!C$3:C$502,SMALL(IF((Income!D$3:D$502="GBP")*(Income!A$3:A$502=DATE(2026,9,13)),ROW(Income!A$3:A$502)-2),1)),0))</f>
        <v/>
      </c>
      <c r="P184" s="126">
        <f t="array" ref="P184">IF(IFERROR(INDEX(Expenses!B$3:B$999,SMALL(IF((Expenses!E$3:E$999="GBP")*(Expenses!A$3:A$999=DATE(2026,9,13)),ROW(Expenses!A$3:A$999)-2),1)),"")&lt;&gt;"",IFERROR(INDEX(Expenses!B$3:B$999,SMALL(IF((Expenses!E$3:E$999="GBP")*(Expenses!A$3:A$999=DATE(2026,9,13)),ROW(Expenses!A$3:A$999)-2),1)),""),IF(IFERROR(INDEX(Income!B$3:B$502,SMALL(IF((Income!D$3:D$502="GBP")*(Income!A$3:A$502=DATE(2026,9,13)),ROW(Income!A$3:A$502)-2),1)),"")&lt;&gt;"",IFERROR(INDEX(Income!B$3:B$502,SMALL(IF((Income!D$3:D$502="GBP")*(Income!A$3:A$502=DATE(2026,9,13)),ROW(Income!A$3:A$502)-2),1)),""),""))</f>
        <v/>
      </c>
      <c r="Q184" s="103" t="n">
        <v>37</v>
      </c>
      <c r="R184" s="134">
        <f>SUM(C184:C188)+SUM(E184:E188)+SUM(G184:G188)+SUM(I184:I188)+SUM(K184:K188)+SUM(M184:M188)+SUM(O184:O188)</f>
        <v/>
      </c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68">
      <c r="A185" s="9" t="n"/>
      <c r="B185" s="9" t="n"/>
      <c r="C185" s="152">
        <f t="array" ref="C185">IF(IFERROR(-INDEX(Expenses!D$3:D$999,SMALL(IF((Expenses!E$3:E$999="GBP")*(Expenses!A$3:A$999=DATE(2026,9,7)),ROW(Expenses!A$3:A$999)-2),2)),0)+IFERROR(INDEX(Income!C$3:C$502,SMALL(IF((Income!D$3:D$502="GBP")*(Income!A$3:A$502=DATE(2026,9,7)),ROW(Income!A$3:A$502)-2),2)),0)=0,"",IFERROR(-INDEX(Expenses!D$3:D$999,SMALL(IF((Expenses!E$3:E$999="GBP")*(Expenses!A$3:A$999=DATE(2026,9,7)),ROW(Expenses!A$3:A$999)-2),2)),0)+IFERROR(INDEX(Income!C$3:C$502,SMALL(IF((Income!D$3:D$502="GBP")*(Income!A$3:A$502=DATE(2026,9,7)),ROW(Income!A$3:A$502)-2),2)),0))</f>
        <v/>
      </c>
      <c r="D185" s="126">
        <f t="array" ref="D185">IF(IFERROR(INDEX(Expenses!B$3:B$999,SMALL(IF((Expenses!E$3:E$999="GBP")*(Expenses!A$3:A$999=DATE(2026,9,7)),ROW(Expenses!A$3:A$999)-2),2)),"")&lt;&gt;"",IFERROR(INDEX(Expenses!B$3:B$999,SMALL(IF((Expenses!E$3:E$999="GBP")*(Expenses!A$3:A$999=DATE(2026,9,7)),ROW(Expenses!A$3:A$999)-2),2)),""),IF(IFERROR(INDEX(Income!B$3:B$502,SMALL(IF((Income!D$3:D$502="GBP")*(Income!A$3:A$502=DATE(2026,9,7)),ROW(Income!A$3:A$502)-2),2)),"")&lt;&gt;"",IFERROR(INDEX(Income!B$3:B$502,SMALL(IF((Income!D$3:D$502="GBP")*(Income!A$3:A$502=DATE(2026,9,7)),ROW(Income!A$3:A$502)-2),2)),""),""))</f>
        <v/>
      </c>
      <c r="E185" s="152">
        <f t="array" ref="E185">IF(IFERROR(-INDEX(Expenses!D$3:D$999,SMALL(IF((Expenses!E$3:E$999="GBP")*(Expenses!A$3:A$999=DATE(2026,9,8)),ROW(Expenses!A$3:A$999)-2),2)),0)+IFERROR(INDEX(Income!C$3:C$502,SMALL(IF((Income!D$3:D$502="GBP")*(Income!A$3:A$502=DATE(2026,9,8)),ROW(Income!A$3:A$502)-2),2)),0)=0,"",IFERROR(-INDEX(Expenses!D$3:D$999,SMALL(IF((Expenses!E$3:E$999="GBP")*(Expenses!A$3:A$999=DATE(2026,9,8)),ROW(Expenses!A$3:A$999)-2),2)),0)+IFERROR(INDEX(Income!C$3:C$502,SMALL(IF((Income!D$3:D$502="GBP")*(Income!A$3:A$502=DATE(2026,9,8)),ROW(Income!A$3:A$502)-2),2)),0))</f>
        <v/>
      </c>
      <c r="F185" s="126">
        <f t="array" ref="F185">IF(IFERROR(INDEX(Expenses!B$3:B$999,SMALL(IF((Expenses!E$3:E$999="GBP")*(Expenses!A$3:A$999=DATE(2026,9,8)),ROW(Expenses!A$3:A$999)-2),2)),"")&lt;&gt;"",IFERROR(INDEX(Expenses!B$3:B$999,SMALL(IF((Expenses!E$3:E$999="GBP")*(Expenses!A$3:A$999=DATE(2026,9,8)),ROW(Expenses!A$3:A$999)-2),2)),""),IF(IFERROR(INDEX(Income!B$3:B$502,SMALL(IF((Income!D$3:D$502="GBP")*(Income!A$3:A$502=DATE(2026,9,8)),ROW(Income!A$3:A$502)-2),2)),"")&lt;&gt;"",IFERROR(INDEX(Income!B$3:B$502,SMALL(IF((Income!D$3:D$502="GBP")*(Income!A$3:A$502=DATE(2026,9,8)),ROW(Income!A$3:A$502)-2),2)),""),""))</f>
        <v/>
      </c>
      <c r="G185" s="152">
        <f t="array" ref="G185">IF(IFERROR(-INDEX(Expenses!D$3:D$999,SMALL(IF((Expenses!E$3:E$999="GBP")*(Expenses!A$3:A$999=DATE(2026,9,9)),ROW(Expenses!A$3:A$999)-2),2)),0)+IFERROR(INDEX(Income!C$3:C$502,SMALL(IF((Income!D$3:D$502="GBP")*(Income!A$3:A$502=DATE(2026,9,9)),ROW(Income!A$3:A$502)-2),2)),0)=0,"",IFERROR(-INDEX(Expenses!D$3:D$999,SMALL(IF((Expenses!E$3:E$999="GBP")*(Expenses!A$3:A$999=DATE(2026,9,9)),ROW(Expenses!A$3:A$999)-2),2)),0)+IFERROR(INDEX(Income!C$3:C$502,SMALL(IF((Income!D$3:D$502="GBP")*(Income!A$3:A$502=DATE(2026,9,9)),ROW(Income!A$3:A$502)-2),2)),0))</f>
        <v/>
      </c>
      <c r="H185" s="126">
        <f t="array" ref="H185">IF(IFERROR(INDEX(Expenses!B$3:B$999,SMALL(IF((Expenses!E$3:E$999="GBP")*(Expenses!A$3:A$999=DATE(2026,9,9)),ROW(Expenses!A$3:A$999)-2),2)),"")&lt;&gt;"",IFERROR(INDEX(Expenses!B$3:B$999,SMALL(IF((Expenses!E$3:E$999="GBP")*(Expenses!A$3:A$999=DATE(2026,9,9)),ROW(Expenses!A$3:A$999)-2),2)),""),IF(IFERROR(INDEX(Income!B$3:B$502,SMALL(IF((Income!D$3:D$502="GBP")*(Income!A$3:A$502=DATE(2026,9,9)),ROW(Income!A$3:A$502)-2),2)),"")&lt;&gt;"",IFERROR(INDEX(Income!B$3:B$502,SMALL(IF((Income!D$3:D$502="GBP")*(Income!A$3:A$502=DATE(2026,9,9)),ROW(Income!A$3:A$502)-2),2)),""),""))</f>
        <v/>
      </c>
      <c r="I185" s="152">
        <f t="array" ref="I185">IF(IFERROR(-INDEX(Expenses!D$3:D$999,SMALL(IF((Expenses!E$3:E$999="GBP")*(Expenses!A$3:A$999=DATE(2026,9,10)),ROW(Expenses!A$3:A$999)-2),2)),0)+IFERROR(INDEX(Income!C$3:C$502,SMALL(IF((Income!D$3:D$502="GBP")*(Income!A$3:A$502=DATE(2026,9,10)),ROW(Income!A$3:A$502)-2),2)),0)=0,"",IFERROR(-INDEX(Expenses!D$3:D$999,SMALL(IF((Expenses!E$3:E$999="GBP")*(Expenses!A$3:A$999=DATE(2026,9,10)),ROW(Expenses!A$3:A$999)-2),2)),0)+IFERROR(INDEX(Income!C$3:C$502,SMALL(IF((Income!D$3:D$502="GBP")*(Income!A$3:A$502=DATE(2026,9,10)),ROW(Income!A$3:A$502)-2),2)),0))</f>
        <v/>
      </c>
      <c r="J185" s="126">
        <f t="array" ref="J185">IF(IFERROR(INDEX(Expenses!B$3:B$999,SMALL(IF((Expenses!E$3:E$999="GBP")*(Expenses!A$3:A$999=DATE(2026,9,10)),ROW(Expenses!A$3:A$999)-2),2)),"")&lt;&gt;"",IFERROR(INDEX(Expenses!B$3:B$999,SMALL(IF((Expenses!E$3:E$999="GBP")*(Expenses!A$3:A$999=DATE(2026,9,10)),ROW(Expenses!A$3:A$999)-2),2)),""),IF(IFERROR(INDEX(Income!B$3:B$502,SMALL(IF((Income!D$3:D$502="GBP")*(Income!A$3:A$502=DATE(2026,9,10)),ROW(Income!A$3:A$502)-2),2)),"")&lt;&gt;"",IFERROR(INDEX(Income!B$3:B$502,SMALL(IF((Income!D$3:D$502="GBP")*(Income!A$3:A$502=DATE(2026,9,10)),ROW(Income!A$3:A$502)-2),2)),""),""))</f>
        <v/>
      </c>
      <c r="K185" s="152">
        <f t="array" ref="K185">IF(IFERROR(-INDEX(Expenses!D$3:D$999,SMALL(IF((Expenses!E$3:E$999="GBP")*(Expenses!A$3:A$999=DATE(2026,9,11)),ROW(Expenses!A$3:A$999)-2),2)),0)+IFERROR(INDEX(Income!C$3:C$502,SMALL(IF((Income!D$3:D$502="GBP")*(Income!A$3:A$502=DATE(2026,9,11)),ROW(Income!A$3:A$502)-2),2)),0)=0,"",IFERROR(-INDEX(Expenses!D$3:D$999,SMALL(IF((Expenses!E$3:E$999="GBP")*(Expenses!A$3:A$999=DATE(2026,9,11)),ROW(Expenses!A$3:A$999)-2),2)),0)+IFERROR(INDEX(Income!C$3:C$502,SMALL(IF((Income!D$3:D$502="GBP")*(Income!A$3:A$502=DATE(2026,9,11)),ROW(Income!A$3:A$502)-2),2)),0))</f>
        <v/>
      </c>
      <c r="L185" s="126">
        <f t="array" ref="L185">IF(IFERROR(INDEX(Expenses!B$3:B$999,SMALL(IF((Expenses!E$3:E$999="GBP")*(Expenses!A$3:A$999=DATE(2026,9,11)),ROW(Expenses!A$3:A$999)-2),2)),"")&lt;&gt;"",IFERROR(INDEX(Expenses!B$3:B$999,SMALL(IF((Expenses!E$3:E$999="GBP")*(Expenses!A$3:A$999=DATE(2026,9,11)),ROW(Expenses!A$3:A$999)-2),2)),""),IF(IFERROR(INDEX(Income!B$3:B$502,SMALL(IF((Income!D$3:D$502="GBP")*(Income!A$3:A$502=DATE(2026,9,11)),ROW(Income!A$3:A$502)-2),2)),"")&lt;&gt;"",IFERROR(INDEX(Income!B$3:B$502,SMALL(IF((Income!D$3:D$502="GBP")*(Income!A$3:A$502=DATE(2026,9,11)),ROW(Income!A$3:A$502)-2),2)),""),""))</f>
        <v/>
      </c>
      <c r="M185" s="152">
        <f t="array" ref="M185">IF(IFERROR(-INDEX(Expenses!D$3:D$999,SMALL(IF((Expenses!E$3:E$999="GBP")*(Expenses!A$3:A$999=DATE(2026,9,12)),ROW(Expenses!A$3:A$999)-2),2)),0)+IFERROR(INDEX(Income!C$3:C$502,SMALL(IF((Income!D$3:D$502="GBP")*(Income!A$3:A$502=DATE(2026,9,12)),ROW(Income!A$3:A$502)-2),2)),0)=0,"",IFERROR(-INDEX(Expenses!D$3:D$999,SMALL(IF((Expenses!E$3:E$999="GBP")*(Expenses!A$3:A$999=DATE(2026,9,12)),ROW(Expenses!A$3:A$999)-2),2)),0)+IFERROR(INDEX(Income!C$3:C$502,SMALL(IF((Income!D$3:D$502="GBP")*(Income!A$3:A$502=DATE(2026,9,12)),ROW(Income!A$3:A$502)-2),2)),0))</f>
        <v/>
      </c>
      <c r="N185" s="126">
        <f t="array" ref="N185">IF(IFERROR(INDEX(Expenses!B$3:B$999,SMALL(IF((Expenses!E$3:E$999="GBP")*(Expenses!A$3:A$999=DATE(2026,9,12)),ROW(Expenses!A$3:A$999)-2),2)),"")&lt;&gt;"",IFERROR(INDEX(Expenses!B$3:B$999,SMALL(IF((Expenses!E$3:E$999="GBP")*(Expenses!A$3:A$999=DATE(2026,9,12)),ROW(Expenses!A$3:A$999)-2),2)),""),IF(IFERROR(INDEX(Income!B$3:B$502,SMALL(IF((Income!D$3:D$502="GBP")*(Income!A$3:A$502=DATE(2026,9,12)),ROW(Income!A$3:A$502)-2),2)),"")&lt;&gt;"",IFERROR(INDEX(Income!B$3:B$502,SMALL(IF((Income!D$3:D$502="GBP")*(Income!A$3:A$502=DATE(2026,9,12)),ROW(Income!A$3:A$502)-2),2)),""),""))</f>
        <v/>
      </c>
      <c r="O185" s="152">
        <f t="array" ref="O185">IF(IFERROR(-INDEX(Expenses!D$3:D$999,SMALL(IF((Expenses!E$3:E$999="GBP")*(Expenses!A$3:A$999=DATE(2026,9,13)),ROW(Expenses!A$3:A$999)-2),2)),0)+IFERROR(INDEX(Income!C$3:C$502,SMALL(IF((Income!D$3:D$502="GBP")*(Income!A$3:A$502=DATE(2026,9,13)),ROW(Income!A$3:A$502)-2),2)),0)=0,"",IFERROR(-INDEX(Expenses!D$3:D$999,SMALL(IF((Expenses!E$3:E$999="GBP")*(Expenses!A$3:A$999=DATE(2026,9,13)),ROW(Expenses!A$3:A$999)-2),2)),0)+IFERROR(INDEX(Income!C$3:C$502,SMALL(IF((Income!D$3:D$502="GBP")*(Income!A$3:A$502=DATE(2026,9,13)),ROW(Income!A$3:A$502)-2),2)),0))</f>
        <v/>
      </c>
      <c r="P185" s="126">
        <f t="array" ref="P185">IF(IFERROR(INDEX(Expenses!B$3:B$999,SMALL(IF((Expenses!E$3:E$999="GBP")*(Expenses!A$3:A$999=DATE(2026,9,13)),ROW(Expenses!A$3:A$999)-2),2)),"")&lt;&gt;"",IFERROR(INDEX(Expenses!B$3:B$999,SMALL(IF((Expenses!E$3:E$999="GBP")*(Expenses!A$3:A$999=DATE(2026,9,13)),ROW(Expenses!A$3:A$999)-2),2)),""),IF(IFERROR(INDEX(Income!B$3:B$502,SMALL(IF((Income!D$3:D$502="GBP")*(Income!A$3:A$502=DATE(2026,9,13)),ROW(Income!A$3:A$502)-2),2)),"")&lt;&gt;"",IFERROR(INDEX(Income!B$3:B$502,SMALL(IF((Income!D$3:D$502="GBP")*(Income!A$3:A$502=DATE(2026,9,13)),ROW(Income!A$3:A$502)-2),2)),""),""))</f>
        <v/>
      </c>
      <c r="Q185" s="9" t="n"/>
      <c r="R185" s="9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68">
      <c r="A186" s="9" t="n"/>
      <c r="B186" s="9" t="n"/>
      <c r="C186" s="152">
        <f t="array" ref="C186">IF(IFERROR(-INDEX(Expenses!D$3:D$999,SMALL(IF((Expenses!E$3:E$999="GBP")*(Expenses!A$3:A$999=DATE(2026,9,7)),ROW(Expenses!A$3:A$999)-2),3)),0)+IFERROR(INDEX(Income!C$3:C$502,SMALL(IF((Income!D$3:D$502="GBP")*(Income!A$3:A$502=DATE(2026,9,7)),ROW(Income!A$3:A$502)-2),3)),0)=0,"",IFERROR(-INDEX(Expenses!D$3:D$999,SMALL(IF((Expenses!E$3:E$999="GBP")*(Expenses!A$3:A$999=DATE(2026,9,7)),ROW(Expenses!A$3:A$999)-2),3)),0)+IFERROR(INDEX(Income!C$3:C$502,SMALL(IF((Income!D$3:D$502="GBP")*(Income!A$3:A$502=DATE(2026,9,7)),ROW(Income!A$3:A$502)-2),3)),0))</f>
        <v/>
      </c>
      <c r="D186" s="126">
        <f t="array" ref="D186">IF(IFERROR(INDEX(Expenses!B$3:B$999,SMALL(IF((Expenses!E$3:E$999="GBP")*(Expenses!A$3:A$999=DATE(2026,9,7)),ROW(Expenses!A$3:A$999)-2),3)),"")&lt;&gt;"",IFERROR(INDEX(Expenses!B$3:B$999,SMALL(IF((Expenses!E$3:E$999="GBP")*(Expenses!A$3:A$999=DATE(2026,9,7)),ROW(Expenses!A$3:A$999)-2),3)),""),IF(IFERROR(INDEX(Income!B$3:B$502,SMALL(IF((Income!D$3:D$502="GBP")*(Income!A$3:A$502=DATE(2026,9,7)),ROW(Income!A$3:A$502)-2),3)),"")&lt;&gt;"",IFERROR(INDEX(Income!B$3:B$502,SMALL(IF((Income!D$3:D$502="GBP")*(Income!A$3:A$502=DATE(2026,9,7)),ROW(Income!A$3:A$502)-2),3)),""),""))</f>
        <v/>
      </c>
      <c r="E186" s="152">
        <f t="array" ref="E186">IF(IFERROR(-INDEX(Expenses!D$3:D$999,SMALL(IF((Expenses!E$3:E$999="GBP")*(Expenses!A$3:A$999=DATE(2026,9,8)),ROW(Expenses!A$3:A$999)-2),3)),0)+IFERROR(INDEX(Income!C$3:C$502,SMALL(IF((Income!D$3:D$502="GBP")*(Income!A$3:A$502=DATE(2026,9,8)),ROW(Income!A$3:A$502)-2),3)),0)=0,"",IFERROR(-INDEX(Expenses!D$3:D$999,SMALL(IF((Expenses!E$3:E$999="GBP")*(Expenses!A$3:A$999=DATE(2026,9,8)),ROW(Expenses!A$3:A$999)-2),3)),0)+IFERROR(INDEX(Income!C$3:C$502,SMALL(IF((Income!D$3:D$502="GBP")*(Income!A$3:A$502=DATE(2026,9,8)),ROW(Income!A$3:A$502)-2),3)),0))</f>
        <v/>
      </c>
      <c r="F186" s="126">
        <f t="array" ref="F186">IF(IFERROR(INDEX(Expenses!B$3:B$999,SMALL(IF((Expenses!E$3:E$999="GBP")*(Expenses!A$3:A$999=DATE(2026,9,8)),ROW(Expenses!A$3:A$999)-2),3)),"")&lt;&gt;"",IFERROR(INDEX(Expenses!B$3:B$999,SMALL(IF((Expenses!E$3:E$999="GBP")*(Expenses!A$3:A$999=DATE(2026,9,8)),ROW(Expenses!A$3:A$999)-2),3)),""),IF(IFERROR(INDEX(Income!B$3:B$502,SMALL(IF((Income!D$3:D$502="GBP")*(Income!A$3:A$502=DATE(2026,9,8)),ROW(Income!A$3:A$502)-2),3)),"")&lt;&gt;"",IFERROR(INDEX(Income!B$3:B$502,SMALL(IF((Income!D$3:D$502="GBP")*(Income!A$3:A$502=DATE(2026,9,8)),ROW(Income!A$3:A$502)-2),3)),""),""))</f>
        <v/>
      </c>
      <c r="G186" s="152">
        <f t="array" ref="G186">IF(IFERROR(-INDEX(Expenses!D$3:D$999,SMALL(IF((Expenses!E$3:E$999="GBP")*(Expenses!A$3:A$999=DATE(2026,9,9)),ROW(Expenses!A$3:A$999)-2),3)),0)+IFERROR(INDEX(Income!C$3:C$502,SMALL(IF((Income!D$3:D$502="GBP")*(Income!A$3:A$502=DATE(2026,9,9)),ROW(Income!A$3:A$502)-2),3)),0)=0,"",IFERROR(-INDEX(Expenses!D$3:D$999,SMALL(IF((Expenses!E$3:E$999="GBP")*(Expenses!A$3:A$999=DATE(2026,9,9)),ROW(Expenses!A$3:A$999)-2),3)),0)+IFERROR(INDEX(Income!C$3:C$502,SMALL(IF((Income!D$3:D$502="GBP")*(Income!A$3:A$502=DATE(2026,9,9)),ROW(Income!A$3:A$502)-2),3)),0))</f>
        <v/>
      </c>
      <c r="H186" s="126">
        <f t="array" ref="H186">IF(IFERROR(INDEX(Expenses!B$3:B$999,SMALL(IF((Expenses!E$3:E$999="GBP")*(Expenses!A$3:A$999=DATE(2026,9,9)),ROW(Expenses!A$3:A$999)-2),3)),"")&lt;&gt;"",IFERROR(INDEX(Expenses!B$3:B$999,SMALL(IF((Expenses!E$3:E$999="GBP")*(Expenses!A$3:A$999=DATE(2026,9,9)),ROW(Expenses!A$3:A$999)-2),3)),""),IF(IFERROR(INDEX(Income!B$3:B$502,SMALL(IF((Income!D$3:D$502="GBP")*(Income!A$3:A$502=DATE(2026,9,9)),ROW(Income!A$3:A$502)-2),3)),"")&lt;&gt;"",IFERROR(INDEX(Income!B$3:B$502,SMALL(IF((Income!D$3:D$502="GBP")*(Income!A$3:A$502=DATE(2026,9,9)),ROW(Income!A$3:A$502)-2),3)),""),""))</f>
        <v/>
      </c>
      <c r="I186" s="152">
        <f t="array" ref="I186">IF(IFERROR(-INDEX(Expenses!D$3:D$999,SMALL(IF((Expenses!E$3:E$999="GBP")*(Expenses!A$3:A$999=DATE(2026,9,10)),ROW(Expenses!A$3:A$999)-2),3)),0)+IFERROR(INDEX(Income!C$3:C$502,SMALL(IF((Income!D$3:D$502="GBP")*(Income!A$3:A$502=DATE(2026,9,10)),ROW(Income!A$3:A$502)-2),3)),0)=0,"",IFERROR(-INDEX(Expenses!D$3:D$999,SMALL(IF((Expenses!E$3:E$999="GBP")*(Expenses!A$3:A$999=DATE(2026,9,10)),ROW(Expenses!A$3:A$999)-2),3)),0)+IFERROR(INDEX(Income!C$3:C$502,SMALL(IF((Income!D$3:D$502="GBP")*(Income!A$3:A$502=DATE(2026,9,10)),ROW(Income!A$3:A$502)-2),3)),0))</f>
        <v/>
      </c>
      <c r="J186" s="126">
        <f t="array" ref="J186">IF(IFERROR(INDEX(Expenses!B$3:B$999,SMALL(IF((Expenses!E$3:E$999="GBP")*(Expenses!A$3:A$999=DATE(2026,9,10)),ROW(Expenses!A$3:A$999)-2),3)),"")&lt;&gt;"",IFERROR(INDEX(Expenses!B$3:B$999,SMALL(IF((Expenses!E$3:E$999="GBP")*(Expenses!A$3:A$999=DATE(2026,9,10)),ROW(Expenses!A$3:A$999)-2),3)),""),IF(IFERROR(INDEX(Income!B$3:B$502,SMALL(IF((Income!D$3:D$502="GBP")*(Income!A$3:A$502=DATE(2026,9,10)),ROW(Income!A$3:A$502)-2),3)),"")&lt;&gt;"",IFERROR(INDEX(Income!B$3:B$502,SMALL(IF((Income!D$3:D$502="GBP")*(Income!A$3:A$502=DATE(2026,9,10)),ROW(Income!A$3:A$502)-2),3)),""),""))</f>
        <v/>
      </c>
      <c r="K186" s="152">
        <f t="array" ref="K186">IF(IFERROR(-INDEX(Expenses!D$3:D$999,SMALL(IF((Expenses!E$3:E$999="GBP")*(Expenses!A$3:A$999=DATE(2026,9,11)),ROW(Expenses!A$3:A$999)-2),3)),0)+IFERROR(INDEX(Income!C$3:C$502,SMALL(IF((Income!D$3:D$502="GBP")*(Income!A$3:A$502=DATE(2026,9,11)),ROW(Income!A$3:A$502)-2),3)),0)=0,"",IFERROR(-INDEX(Expenses!D$3:D$999,SMALL(IF((Expenses!E$3:E$999="GBP")*(Expenses!A$3:A$999=DATE(2026,9,11)),ROW(Expenses!A$3:A$999)-2),3)),0)+IFERROR(INDEX(Income!C$3:C$502,SMALL(IF((Income!D$3:D$502="GBP")*(Income!A$3:A$502=DATE(2026,9,11)),ROW(Income!A$3:A$502)-2),3)),0))</f>
        <v/>
      </c>
      <c r="L186" s="126">
        <f t="array" ref="L186">IF(IFERROR(INDEX(Expenses!B$3:B$999,SMALL(IF((Expenses!E$3:E$999="GBP")*(Expenses!A$3:A$999=DATE(2026,9,11)),ROW(Expenses!A$3:A$999)-2),3)),"")&lt;&gt;"",IFERROR(INDEX(Expenses!B$3:B$999,SMALL(IF((Expenses!E$3:E$999="GBP")*(Expenses!A$3:A$999=DATE(2026,9,11)),ROW(Expenses!A$3:A$999)-2),3)),""),IF(IFERROR(INDEX(Income!B$3:B$502,SMALL(IF((Income!D$3:D$502="GBP")*(Income!A$3:A$502=DATE(2026,9,11)),ROW(Income!A$3:A$502)-2),3)),"")&lt;&gt;"",IFERROR(INDEX(Income!B$3:B$502,SMALL(IF((Income!D$3:D$502="GBP")*(Income!A$3:A$502=DATE(2026,9,11)),ROW(Income!A$3:A$502)-2),3)),""),""))</f>
        <v/>
      </c>
      <c r="M186" s="152">
        <f t="array" ref="M186">IF(IFERROR(-INDEX(Expenses!D$3:D$999,SMALL(IF((Expenses!E$3:E$999="GBP")*(Expenses!A$3:A$999=DATE(2026,9,12)),ROW(Expenses!A$3:A$999)-2),3)),0)+IFERROR(INDEX(Income!C$3:C$502,SMALL(IF((Income!D$3:D$502="GBP")*(Income!A$3:A$502=DATE(2026,9,12)),ROW(Income!A$3:A$502)-2),3)),0)=0,"",IFERROR(-INDEX(Expenses!D$3:D$999,SMALL(IF((Expenses!E$3:E$999="GBP")*(Expenses!A$3:A$999=DATE(2026,9,12)),ROW(Expenses!A$3:A$999)-2),3)),0)+IFERROR(INDEX(Income!C$3:C$502,SMALL(IF((Income!D$3:D$502="GBP")*(Income!A$3:A$502=DATE(2026,9,12)),ROW(Income!A$3:A$502)-2),3)),0))</f>
        <v/>
      </c>
      <c r="N186" s="126">
        <f t="array" ref="N186">IF(IFERROR(INDEX(Expenses!B$3:B$999,SMALL(IF((Expenses!E$3:E$999="GBP")*(Expenses!A$3:A$999=DATE(2026,9,12)),ROW(Expenses!A$3:A$999)-2),3)),"")&lt;&gt;"",IFERROR(INDEX(Expenses!B$3:B$999,SMALL(IF((Expenses!E$3:E$999="GBP")*(Expenses!A$3:A$999=DATE(2026,9,12)),ROW(Expenses!A$3:A$999)-2),3)),""),IF(IFERROR(INDEX(Income!B$3:B$502,SMALL(IF((Income!D$3:D$502="GBP")*(Income!A$3:A$502=DATE(2026,9,12)),ROW(Income!A$3:A$502)-2),3)),"")&lt;&gt;"",IFERROR(INDEX(Income!B$3:B$502,SMALL(IF((Income!D$3:D$502="GBP")*(Income!A$3:A$502=DATE(2026,9,12)),ROW(Income!A$3:A$502)-2),3)),""),""))</f>
        <v/>
      </c>
      <c r="O186" s="152">
        <f t="array" ref="O186">IF(IFERROR(-INDEX(Expenses!D$3:D$999,SMALL(IF((Expenses!E$3:E$999="GBP")*(Expenses!A$3:A$999=DATE(2026,9,13)),ROW(Expenses!A$3:A$999)-2),3)),0)+IFERROR(INDEX(Income!C$3:C$502,SMALL(IF((Income!D$3:D$502="GBP")*(Income!A$3:A$502=DATE(2026,9,13)),ROW(Income!A$3:A$502)-2),3)),0)=0,"",IFERROR(-INDEX(Expenses!D$3:D$999,SMALL(IF((Expenses!E$3:E$999="GBP")*(Expenses!A$3:A$999=DATE(2026,9,13)),ROW(Expenses!A$3:A$999)-2),3)),0)+IFERROR(INDEX(Income!C$3:C$502,SMALL(IF((Income!D$3:D$502="GBP")*(Income!A$3:A$502=DATE(2026,9,13)),ROW(Income!A$3:A$502)-2),3)),0))</f>
        <v/>
      </c>
      <c r="P186" s="126">
        <f t="array" ref="P186">IF(IFERROR(INDEX(Expenses!B$3:B$999,SMALL(IF((Expenses!E$3:E$999="GBP")*(Expenses!A$3:A$999=DATE(2026,9,13)),ROW(Expenses!A$3:A$999)-2),3)),"")&lt;&gt;"",IFERROR(INDEX(Expenses!B$3:B$999,SMALL(IF((Expenses!E$3:E$999="GBP")*(Expenses!A$3:A$999=DATE(2026,9,13)),ROW(Expenses!A$3:A$999)-2),3)),""),IF(IFERROR(INDEX(Income!B$3:B$502,SMALL(IF((Income!D$3:D$502="GBP")*(Income!A$3:A$502=DATE(2026,9,13)),ROW(Income!A$3:A$502)-2),3)),"")&lt;&gt;"",IFERROR(INDEX(Income!B$3:B$502,SMALL(IF((Income!D$3:D$502="GBP")*(Income!A$3:A$502=DATE(2026,9,13)),ROW(Income!A$3:A$502)-2),3)),""),""))</f>
        <v/>
      </c>
      <c r="Q186" s="9" t="n"/>
      <c r="R186" s="9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68">
      <c r="A187" s="9" t="n"/>
      <c r="B187" s="9" t="n"/>
      <c r="C187" s="152">
        <f t="array" ref="C187">IF(IFERROR(-INDEX(Expenses!D$3:D$999,SMALL(IF((Expenses!E$3:E$999="GBP")*(Expenses!A$3:A$999=DATE(2026,9,7)),ROW(Expenses!A$3:A$999)-2),4)),0)+IFERROR(INDEX(Income!C$3:C$502,SMALL(IF((Income!D$3:D$502="GBP")*(Income!A$3:A$502=DATE(2026,9,7)),ROW(Income!A$3:A$502)-2),4)),0)=0,"",IFERROR(-INDEX(Expenses!D$3:D$999,SMALL(IF((Expenses!E$3:E$999="GBP")*(Expenses!A$3:A$999=DATE(2026,9,7)),ROW(Expenses!A$3:A$999)-2),4)),0)+IFERROR(INDEX(Income!C$3:C$502,SMALL(IF((Income!D$3:D$502="GBP")*(Income!A$3:A$502=DATE(2026,9,7)),ROW(Income!A$3:A$502)-2),4)),0))</f>
        <v/>
      </c>
      <c r="D187" s="126">
        <f t="array" ref="D187">IF(IFERROR(INDEX(Expenses!B$3:B$999,SMALL(IF((Expenses!E$3:E$999="GBP")*(Expenses!A$3:A$999=DATE(2026,9,7)),ROW(Expenses!A$3:A$999)-2),4)),"")&lt;&gt;"",IFERROR(INDEX(Expenses!B$3:B$999,SMALL(IF((Expenses!E$3:E$999="GBP")*(Expenses!A$3:A$999=DATE(2026,9,7)),ROW(Expenses!A$3:A$999)-2),4)),""),IF(IFERROR(INDEX(Income!B$3:B$502,SMALL(IF((Income!D$3:D$502="GBP")*(Income!A$3:A$502=DATE(2026,9,7)),ROW(Income!A$3:A$502)-2),4)),"")&lt;&gt;"",IFERROR(INDEX(Income!B$3:B$502,SMALL(IF((Income!D$3:D$502="GBP")*(Income!A$3:A$502=DATE(2026,9,7)),ROW(Income!A$3:A$502)-2),4)),""),""))</f>
        <v/>
      </c>
      <c r="E187" s="152">
        <f t="array" ref="E187">IF(IFERROR(-INDEX(Expenses!D$3:D$999,SMALL(IF((Expenses!E$3:E$999="GBP")*(Expenses!A$3:A$999=DATE(2026,9,8)),ROW(Expenses!A$3:A$999)-2),4)),0)+IFERROR(INDEX(Income!C$3:C$502,SMALL(IF((Income!D$3:D$502="GBP")*(Income!A$3:A$502=DATE(2026,9,8)),ROW(Income!A$3:A$502)-2),4)),0)=0,"",IFERROR(-INDEX(Expenses!D$3:D$999,SMALL(IF((Expenses!E$3:E$999="GBP")*(Expenses!A$3:A$999=DATE(2026,9,8)),ROW(Expenses!A$3:A$999)-2),4)),0)+IFERROR(INDEX(Income!C$3:C$502,SMALL(IF((Income!D$3:D$502="GBP")*(Income!A$3:A$502=DATE(2026,9,8)),ROW(Income!A$3:A$502)-2),4)),0))</f>
        <v/>
      </c>
      <c r="F187" s="126">
        <f t="array" ref="F187">IF(IFERROR(INDEX(Expenses!B$3:B$999,SMALL(IF((Expenses!E$3:E$999="GBP")*(Expenses!A$3:A$999=DATE(2026,9,8)),ROW(Expenses!A$3:A$999)-2),4)),"")&lt;&gt;"",IFERROR(INDEX(Expenses!B$3:B$999,SMALL(IF((Expenses!E$3:E$999="GBP")*(Expenses!A$3:A$999=DATE(2026,9,8)),ROW(Expenses!A$3:A$999)-2),4)),""),IF(IFERROR(INDEX(Income!B$3:B$502,SMALL(IF((Income!D$3:D$502="GBP")*(Income!A$3:A$502=DATE(2026,9,8)),ROW(Income!A$3:A$502)-2),4)),"")&lt;&gt;"",IFERROR(INDEX(Income!B$3:B$502,SMALL(IF((Income!D$3:D$502="GBP")*(Income!A$3:A$502=DATE(2026,9,8)),ROW(Income!A$3:A$502)-2),4)),""),""))</f>
        <v/>
      </c>
      <c r="G187" s="152">
        <f t="array" ref="G187">IF(IFERROR(-INDEX(Expenses!D$3:D$999,SMALL(IF((Expenses!E$3:E$999="GBP")*(Expenses!A$3:A$999=DATE(2026,9,9)),ROW(Expenses!A$3:A$999)-2),4)),0)+IFERROR(INDEX(Income!C$3:C$502,SMALL(IF((Income!D$3:D$502="GBP")*(Income!A$3:A$502=DATE(2026,9,9)),ROW(Income!A$3:A$502)-2),4)),0)=0,"",IFERROR(-INDEX(Expenses!D$3:D$999,SMALL(IF((Expenses!E$3:E$999="GBP")*(Expenses!A$3:A$999=DATE(2026,9,9)),ROW(Expenses!A$3:A$999)-2),4)),0)+IFERROR(INDEX(Income!C$3:C$502,SMALL(IF((Income!D$3:D$502="GBP")*(Income!A$3:A$502=DATE(2026,9,9)),ROW(Income!A$3:A$502)-2),4)),0))</f>
        <v/>
      </c>
      <c r="H187" s="126">
        <f t="array" ref="H187">IF(IFERROR(INDEX(Expenses!B$3:B$999,SMALL(IF((Expenses!E$3:E$999="GBP")*(Expenses!A$3:A$999=DATE(2026,9,9)),ROW(Expenses!A$3:A$999)-2),4)),"")&lt;&gt;"",IFERROR(INDEX(Expenses!B$3:B$999,SMALL(IF((Expenses!E$3:E$999="GBP")*(Expenses!A$3:A$999=DATE(2026,9,9)),ROW(Expenses!A$3:A$999)-2),4)),""),IF(IFERROR(INDEX(Income!B$3:B$502,SMALL(IF((Income!D$3:D$502="GBP")*(Income!A$3:A$502=DATE(2026,9,9)),ROW(Income!A$3:A$502)-2),4)),"")&lt;&gt;"",IFERROR(INDEX(Income!B$3:B$502,SMALL(IF((Income!D$3:D$502="GBP")*(Income!A$3:A$502=DATE(2026,9,9)),ROW(Income!A$3:A$502)-2),4)),""),""))</f>
        <v/>
      </c>
      <c r="I187" s="152">
        <f t="array" ref="I187">IF(IFERROR(-INDEX(Expenses!D$3:D$999,SMALL(IF((Expenses!E$3:E$999="GBP")*(Expenses!A$3:A$999=DATE(2026,9,10)),ROW(Expenses!A$3:A$999)-2),4)),0)+IFERROR(INDEX(Income!C$3:C$502,SMALL(IF((Income!D$3:D$502="GBP")*(Income!A$3:A$502=DATE(2026,9,10)),ROW(Income!A$3:A$502)-2),4)),0)=0,"",IFERROR(-INDEX(Expenses!D$3:D$999,SMALL(IF((Expenses!E$3:E$999="GBP")*(Expenses!A$3:A$999=DATE(2026,9,10)),ROW(Expenses!A$3:A$999)-2),4)),0)+IFERROR(INDEX(Income!C$3:C$502,SMALL(IF((Income!D$3:D$502="GBP")*(Income!A$3:A$502=DATE(2026,9,10)),ROW(Income!A$3:A$502)-2),4)),0))</f>
        <v/>
      </c>
      <c r="J187" s="126">
        <f t="array" ref="J187">IF(IFERROR(INDEX(Expenses!B$3:B$999,SMALL(IF((Expenses!E$3:E$999="GBP")*(Expenses!A$3:A$999=DATE(2026,9,10)),ROW(Expenses!A$3:A$999)-2),4)),"")&lt;&gt;"",IFERROR(INDEX(Expenses!B$3:B$999,SMALL(IF((Expenses!E$3:E$999="GBP")*(Expenses!A$3:A$999=DATE(2026,9,10)),ROW(Expenses!A$3:A$999)-2),4)),""),IF(IFERROR(INDEX(Income!B$3:B$502,SMALL(IF((Income!D$3:D$502="GBP")*(Income!A$3:A$502=DATE(2026,9,10)),ROW(Income!A$3:A$502)-2),4)),"")&lt;&gt;"",IFERROR(INDEX(Income!B$3:B$502,SMALL(IF((Income!D$3:D$502="GBP")*(Income!A$3:A$502=DATE(2026,9,10)),ROW(Income!A$3:A$502)-2),4)),""),""))</f>
        <v/>
      </c>
      <c r="K187" s="152">
        <f t="array" ref="K187">IF(IFERROR(-INDEX(Expenses!D$3:D$999,SMALL(IF((Expenses!E$3:E$999="GBP")*(Expenses!A$3:A$999=DATE(2026,9,11)),ROW(Expenses!A$3:A$999)-2),4)),0)+IFERROR(INDEX(Income!C$3:C$502,SMALL(IF((Income!D$3:D$502="GBP")*(Income!A$3:A$502=DATE(2026,9,11)),ROW(Income!A$3:A$502)-2),4)),0)=0,"",IFERROR(-INDEX(Expenses!D$3:D$999,SMALL(IF((Expenses!E$3:E$999="GBP")*(Expenses!A$3:A$999=DATE(2026,9,11)),ROW(Expenses!A$3:A$999)-2),4)),0)+IFERROR(INDEX(Income!C$3:C$502,SMALL(IF((Income!D$3:D$502="GBP")*(Income!A$3:A$502=DATE(2026,9,11)),ROW(Income!A$3:A$502)-2),4)),0))</f>
        <v/>
      </c>
      <c r="L187" s="126">
        <f t="array" ref="L187">IF(IFERROR(INDEX(Expenses!B$3:B$999,SMALL(IF((Expenses!E$3:E$999="GBP")*(Expenses!A$3:A$999=DATE(2026,9,11)),ROW(Expenses!A$3:A$999)-2),4)),"")&lt;&gt;"",IFERROR(INDEX(Expenses!B$3:B$999,SMALL(IF((Expenses!E$3:E$999="GBP")*(Expenses!A$3:A$999=DATE(2026,9,11)),ROW(Expenses!A$3:A$999)-2),4)),""),IF(IFERROR(INDEX(Income!B$3:B$502,SMALL(IF((Income!D$3:D$502="GBP")*(Income!A$3:A$502=DATE(2026,9,11)),ROW(Income!A$3:A$502)-2),4)),"")&lt;&gt;"",IFERROR(INDEX(Income!B$3:B$502,SMALL(IF((Income!D$3:D$502="GBP")*(Income!A$3:A$502=DATE(2026,9,11)),ROW(Income!A$3:A$502)-2),4)),""),""))</f>
        <v/>
      </c>
      <c r="M187" s="152">
        <f t="array" ref="M187">IF(IFERROR(-INDEX(Expenses!D$3:D$999,SMALL(IF((Expenses!E$3:E$999="GBP")*(Expenses!A$3:A$999=DATE(2026,9,12)),ROW(Expenses!A$3:A$999)-2),4)),0)+IFERROR(INDEX(Income!C$3:C$502,SMALL(IF((Income!D$3:D$502="GBP")*(Income!A$3:A$502=DATE(2026,9,12)),ROW(Income!A$3:A$502)-2),4)),0)=0,"",IFERROR(-INDEX(Expenses!D$3:D$999,SMALL(IF((Expenses!E$3:E$999="GBP")*(Expenses!A$3:A$999=DATE(2026,9,12)),ROW(Expenses!A$3:A$999)-2),4)),0)+IFERROR(INDEX(Income!C$3:C$502,SMALL(IF((Income!D$3:D$502="GBP")*(Income!A$3:A$502=DATE(2026,9,12)),ROW(Income!A$3:A$502)-2),4)),0))</f>
        <v/>
      </c>
      <c r="N187" s="126">
        <f t="array" ref="N187">IF(IFERROR(INDEX(Expenses!B$3:B$999,SMALL(IF((Expenses!E$3:E$999="GBP")*(Expenses!A$3:A$999=DATE(2026,9,12)),ROW(Expenses!A$3:A$999)-2),4)),"")&lt;&gt;"",IFERROR(INDEX(Expenses!B$3:B$999,SMALL(IF((Expenses!E$3:E$999="GBP")*(Expenses!A$3:A$999=DATE(2026,9,12)),ROW(Expenses!A$3:A$999)-2),4)),""),IF(IFERROR(INDEX(Income!B$3:B$502,SMALL(IF((Income!D$3:D$502="GBP")*(Income!A$3:A$502=DATE(2026,9,12)),ROW(Income!A$3:A$502)-2),4)),"")&lt;&gt;"",IFERROR(INDEX(Income!B$3:B$502,SMALL(IF((Income!D$3:D$502="GBP")*(Income!A$3:A$502=DATE(2026,9,12)),ROW(Income!A$3:A$502)-2),4)),""),""))</f>
        <v/>
      </c>
      <c r="O187" s="152">
        <f t="array" ref="O187">IF(IFERROR(-INDEX(Expenses!D$3:D$999,SMALL(IF((Expenses!E$3:E$999="GBP")*(Expenses!A$3:A$999=DATE(2026,9,13)),ROW(Expenses!A$3:A$999)-2),4)),0)+IFERROR(INDEX(Income!C$3:C$502,SMALL(IF((Income!D$3:D$502="GBP")*(Income!A$3:A$502=DATE(2026,9,13)),ROW(Income!A$3:A$502)-2),4)),0)=0,"",IFERROR(-INDEX(Expenses!D$3:D$999,SMALL(IF((Expenses!E$3:E$999="GBP")*(Expenses!A$3:A$999=DATE(2026,9,13)),ROW(Expenses!A$3:A$999)-2),4)),0)+IFERROR(INDEX(Income!C$3:C$502,SMALL(IF((Income!D$3:D$502="GBP")*(Income!A$3:A$502=DATE(2026,9,13)),ROW(Income!A$3:A$502)-2),4)),0))</f>
        <v/>
      </c>
      <c r="P187" s="126">
        <f t="array" ref="P187">IF(IFERROR(INDEX(Expenses!B$3:B$999,SMALL(IF((Expenses!E$3:E$999="GBP")*(Expenses!A$3:A$999=DATE(2026,9,13)),ROW(Expenses!A$3:A$999)-2),4)),"")&lt;&gt;"",IFERROR(INDEX(Expenses!B$3:B$999,SMALL(IF((Expenses!E$3:E$999="GBP")*(Expenses!A$3:A$999=DATE(2026,9,13)),ROW(Expenses!A$3:A$999)-2),4)),""),IF(IFERROR(INDEX(Income!B$3:B$502,SMALL(IF((Income!D$3:D$502="GBP")*(Income!A$3:A$502=DATE(2026,9,13)),ROW(Income!A$3:A$502)-2),4)),"")&lt;&gt;"",IFERROR(INDEX(Income!B$3:B$502,SMALL(IF((Income!D$3:D$502="GBP")*(Income!A$3:A$502=DATE(2026,9,13)),ROW(Income!A$3:A$502)-2),4)),""),""))</f>
        <v/>
      </c>
      <c r="Q187" s="9" t="n"/>
      <c r="R187" s="9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68">
      <c r="A188" s="9" t="n"/>
      <c r="B188" s="9" t="n"/>
      <c r="C188" s="152">
        <f t="array" ref="C188">IF(IFERROR(-INDEX(Expenses!D$3:D$999,SMALL(IF((Expenses!E$3:E$999="GBP")*(Expenses!A$3:A$999=DATE(2026,9,7)),ROW(Expenses!A$3:A$999)-2),5)),0)+IFERROR(INDEX(Income!C$3:C$502,SMALL(IF((Income!D$3:D$502="GBP")*(Income!A$3:A$502=DATE(2026,9,7)),ROW(Income!A$3:A$502)-2),5)),0)=0,"",IFERROR(-INDEX(Expenses!D$3:D$999,SMALL(IF((Expenses!E$3:E$999="GBP")*(Expenses!A$3:A$999=DATE(2026,9,7)),ROW(Expenses!A$3:A$999)-2),5)),0)+IFERROR(INDEX(Income!C$3:C$502,SMALL(IF((Income!D$3:D$502="GBP")*(Income!A$3:A$502=DATE(2026,9,7)),ROW(Income!A$3:A$502)-2),5)),0))</f>
        <v/>
      </c>
      <c r="D188" s="126">
        <f t="array" ref="D188">IF(IFERROR(INDEX(Expenses!B$3:B$999,SMALL(IF((Expenses!E$3:E$999="GBP")*(Expenses!A$3:A$999=DATE(2026,9,7)),ROW(Expenses!A$3:A$999)-2),5)),"")&lt;&gt;"",IFERROR(INDEX(Expenses!B$3:B$999,SMALL(IF((Expenses!E$3:E$999="GBP")*(Expenses!A$3:A$999=DATE(2026,9,7)),ROW(Expenses!A$3:A$999)-2),5)),""),IF(IFERROR(INDEX(Income!B$3:B$502,SMALL(IF((Income!D$3:D$502="GBP")*(Income!A$3:A$502=DATE(2026,9,7)),ROW(Income!A$3:A$502)-2),5)),"")&lt;&gt;"",IFERROR(INDEX(Income!B$3:B$502,SMALL(IF((Income!D$3:D$502="GBP")*(Income!A$3:A$502=DATE(2026,9,7)),ROW(Income!A$3:A$502)-2),5)),""),""))</f>
        <v/>
      </c>
      <c r="E188" s="152">
        <f t="array" ref="E188">IF(IFERROR(-INDEX(Expenses!D$3:D$999,SMALL(IF((Expenses!E$3:E$999="GBP")*(Expenses!A$3:A$999=DATE(2026,9,8)),ROW(Expenses!A$3:A$999)-2),5)),0)+IFERROR(INDEX(Income!C$3:C$502,SMALL(IF((Income!D$3:D$502="GBP")*(Income!A$3:A$502=DATE(2026,9,8)),ROW(Income!A$3:A$502)-2),5)),0)=0,"",IFERROR(-INDEX(Expenses!D$3:D$999,SMALL(IF((Expenses!E$3:E$999="GBP")*(Expenses!A$3:A$999=DATE(2026,9,8)),ROW(Expenses!A$3:A$999)-2),5)),0)+IFERROR(INDEX(Income!C$3:C$502,SMALL(IF((Income!D$3:D$502="GBP")*(Income!A$3:A$502=DATE(2026,9,8)),ROW(Income!A$3:A$502)-2),5)),0))</f>
        <v/>
      </c>
      <c r="F188" s="126">
        <f t="array" ref="F188">IF(IFERROR(INDEX(Expenses!B$3:B$999,SMALL(IF((Expenses!E$3:E$999="GBP")*(Expenses!A$3:A$999=DATE(2026,9,8)),ROW(Expenses!A$3:A$999)-2),5)),"")&lt;&gt;"",IFERROR(INDEX(Expenses!B$3:B$999,SMALL(IF((Expenses!E$3:E$999="GBP")*(Expenses!A$3:A$999=DATE(2026,9,8)),ROW(Expenses!A$3:A$999)-2),5)),""),IF(IFERROR(INDEX(Income!B$3:B$502,SMALL(IF((Income!D$3:D$502="GBP")*(Income!A$3:A$502=DATE(2026,9,8)),ROW(Income!A$3:A$502)-2),5)),"")&lt;&gt;"",IFERROR(INDEX(Income!B$3:B$502,SMALL(IF((Income!D$3:D$502="GBP")*(Income!A$3:A$502=DATE(2026,9,8)),ROW(Income!A$3:A$502)-2),5)),""),""))</f>
        <v/>
      </c>
      <c r="G188" s="152">
        <f t="array" ref="G188">IF(IFERROR(-INDEX(Expenses!D$3:D$999,SMALL(IF((Expenses!E$3:E$999="GBP")*(Expenses!A$3:A$999=DATE(2026,9,9)),ROW(Expenses!A$3:A$999)-2),5)),0)+IFERROR(INDEX(Income!C$3:C$502,SMALL(IF((Income!D$3:D$502="GBP")*(Income!A$3:A$502=DATE(2026,9,9)),ROW(Income!A$3:A$502)-2),5)),0)=0,"",IFERROR(-INDEX(Expenses!D$3:D$999,SMALL(IF((Expenses!E$3:E$999="GBP")*(Expenses!A$3:A$999=DATE(2026,9,9)),ROW(Expenses!A$3:A$999)-2),5)),0)+IFERROR(INDEX(Income!C$3:C$502,SMALL(IF((Income!D$3:D$502="GBP")*(Income!A$3:A$502=DATE(2026,9,9)),ROW(Income!A$3:A$502)-2),5)),0))</f>
        <v/>
      </c>
      <c r="H188" s="126">
        <f t="array" ref="H188">IF(IFERROR(INDEX(Expenses!B$3:B$999,SMALL(IF((Expenses!E$3:E$999="GBP")*(Expenses!A$3:A$999=DATE(2026,9,9)),ROW(Expenses!A$3:A$999)-2),5)),"")&lt;&gt;"",IFERROR(INDEX(Expenses!B$3:B$999,SMALL(IF((Expenses!E$3:E$999="GBP")*(Expenses!A$3:A$999=DATE(2026,9,9)),ROW(Expenses!A$3:A$999)-2),5)),""),IF(IFERROR(INDEX(Income!B$3:B$502,SMALL(IF((Income!D$3:D$502="GBP")*(Income!A$3:A$502=DATE(2026,9,9)),ROW(Income!A$3:A$502)-2),5)),"")&lt;&gt;"",IFERROR(INDEX(Income!B$3:B$502,SMALL(IF((Income!D$3:D$502="GBP")*(Income!A$3:A$502=DATE(2026,9,9)),ROW(Income!A$3:A$502)-2),5)),""),""))</f>
        <v/>
      </c>
      <c r="I188" s="152">
        <f t="array" ref="I188">IF(IFERROR(-INDEX(Expenses!D$3:D$999,SMALL(IF((Expenses!E$3:E$999="GBP")*(Expenses!A$3:A$999=DATE(2026,9,10)),ROW(Expenses!A$3:A$999)-2),5)),0)+IFERROR(INDEX(Income!C$3:C$502,SMALL(IF((Income!D$3:D$502="GBP")*(Income!A$3:A$502=DATE(2026,9,10)),ROW(Income!A$3:A$502)-2),5)),0)=0,"",IFERROR(-INDEX(Expenses!D$3:D$999,SMALL(IF((Expenses!E$3:E$999="GBP")*(Expenses!A$3:A$999=DATE(2026,9,10)),ROW(Expenses!A$3:A$999)-2),5)),0)+IFERROR(INDEX(Income!C$3:C$502,SMALL(IF((Income!D$3:D$502="GBP")*(Income!A$3:A$502=DATE(2026,9,10)),ROW(Income!A$3:A$502)-2),5)),0))</f>
        <v/>
      </c>
      <c r="J188" s="126">
        <f t="array" ref="J188">IF(IFERROR(INDEX(Expenses!B$3:B$999,SMALL(IF((Expenses!E$3:E$999="GBP")*(Expenses!A$3:A$999=DATE(2026,9,10)),ROW(Expenses!A$3:A$999)-2),5)),"")&lt;&gt;"",IFERROR(INDEX(Expenses!B$3:B$999,SMALL(IF((Expenses!E$3:E$999="GBP")*(Expenses!A$3:A$999=DATE(2026,9,10)),ROW(Expenses!A$3:A$999)-2),5)),""),IF(IFERROR(INDEX(Income!B$3:B$502,SMALL(IF((Income!D$3:D$502="GBP")*(Income!A$3:A$502=DATE(2026,9,10)),ROW(Income!A$3:A$502)-2),5)),"")&lt;&gt;"",IFERROR(INDEX(Income!B$3:B$502,SMALL(IF((Income!D$3:D$502="GBP")*(Income!A$3:A$502=DATE(2026,9,10)),ROW(Income!A$3:A$502)-2),5)),""),""))</f>
        <v/>
      </c>
      <c r="K188" s="152">
        <f t="array" ref="K188">IF(IFERROR(-INDEX(Expenses!D$3:D$999,SMALL(IF((Expenses!E$3:E$999="GBP")*(Expenses!A$3:A$999=DATE(2026,9,11)),ROW(Expenses!A$3:A$999)-2),5)),0)+IFERROR(INDEX(Income!C$3:C$502,SMALL(IF((Income!D$3:D$502="GBP")*(Income!A$3:A$502=DATE(2026,9,11)),ROW(Income!A$3:A$502)-2),5)),0)=0,"",IFERROR(-INDEX(Expenses!D$3:D$999,SMALL(IF((Expenses!E$3:E$999="GBP")*(Expenses!A$3:A$999=DATE(2026,9,11)),ROW(Expenses!A$3:A$999)-2),5)),0)+IFERROR(INDEX(Income!C$3:C$502,SMALL(IF((Income!D$3:D$502="GBP")*(Income!A$3:A$502=DATE(2026,9,11)),ROW(Income!A$3:A$502)-2),5)),0))</f>
        <v/>
      </c>
      <c r="L188" s="126">
        <f t="array" ref="L188">IF(IFERROR(INDEX(Expenses!B$3:B$999,SMALL(IF((Expenses!E$3:E$999="GBP")*(Expenses!A$3:A$999=DATE(2026,9,11)),ROW(Expenses!A$3:A$999)-2),5)),"")&lt;&gt;"",IFERROR(INDEX(Expenses!B$3:B$999,SMALL(IF((Expenses!E$3:E$999="GBP")*(Expenses!A$3:A$999=DATE(2026,9,11)),ROW(Expenses!A$3:A$999)-2),5)),""),IF(IFERROR(INDEX(Income!B$3:B$502,SMALL(IF((Income!D$3:D$502="GBP")*(Income!A$3:A$502=DATE(2026,9,11)),ROW(Income!A$3:A$502)-2),5)),"")&lt;&gt;"",IFERROR(INDEX(Income!B$3:B$502,SMALL(IF((Income!D$3:D$502="GBP")*(Income!A$3:A$502=DATE(2026,9,11)),ROW(Income!A$3:A$502)-2),5)),""),""))</f>
        <v/>
      </c>
      <c r="M188" s="152">
        <f t="array" ref="M188">IF(IFERROR(-INDEX(Expenses!D$3:D$999,SMALL(IF((Expenses!E$3:E$999="GBP")*(Expenses!A$3:A$999=DATE(2026,9,12)),ROW(Expenses!A$3:A$999)-2),5)),0)+IFERROR(INDEX(Income!C$3:C$502,SMALL(IF((Income!D$3:D$502="GBP")*(Income!A$3:A$502=DATE(2026,9,12)),ROW(Income!A$3:A$502)-2),5)),0)=0,"",IFERROR(-INDEX(Expenses!D$3:D$999,SMALL(IF((Expenses!E$3:E$999="GBP")*(Expenses!A$3:A$999=DATE(2026,9,12)),ROW(Expenses!A$3:A$999)-2),5)),0)+IFERROR(INDEX(Income!C$3:C$502,SMALL(IF((Income!D$3:D$502="GBP")*(Income!A$3:A$502=DATE(2026,9,12)),ROW(Income!A$3:A$502)-2),5)),0))</f>
        <v/>
      </c>
      <c r="N188" s="126">
        <f t="array" ref="N188">IF(IFERROR(INDEX(Expenses!B$3:B$999,SMALL(IF((Expenses!E$3:E$999="GBP")*(Expenses!A$3:A$999=DATE(2026,9,12)),ROW(Expenses!A$3:A$999)-2),5)),"")&lt;&gt;"",IFERROR(INDEX(Expenses!B$3:B$999,SMALL(IF((Expenses!E$3:E$999="GBP")*(Expenses!A$3:A$999=DATE(2026,9,12)),ROW(Expenses!A$3:A$999)-2),5)),""),IF(IFERROR(INDEX(Income!B$3:B$502,SMALL(IF((Income!D$3:D$502="GBP")*(Income!A$3:A$502=DATE(2026,9,12)),ROW(Income!A$3:A$502)-2),5)),"")&lt;&gt;"",IFERROR(INDEX(Income!B$3:B$502,SMALL(IF((Income!D$3:D$502="GBP")*(Income!A$3:A$502=DATE(2026,9,12)),ROW(Income!A$3:A$502)-2),5)),""),""))</f>
        <v/>
      </c>
      <c r="O188" s="152">
        <f t="array" ref="O188">IF(IFERROR(-INDEX(Expenses!D$3:D$999,SMALL(IF((Expenses!E$3:E$999="GBP")*(Expenses!A$3:A$999=DATE(2026,9,13)),ROW(Expenses!A$3:A$999)-2),5)),0)+IFERROR(INDEX(Income!C$3:C$502,SMALL(IF((Income!D$3:D$502="GBP")*(Income!A$3:A$502=DATE(2026,9,13)),ROW(Income!A$3:A$502)-2),5)),0)=0,"",IFERROR(-INDEX(Expenses!D$3:D$999,SMALL(IF((Expenses!E$3:E$999="GBP")*(Expenses!A$3:A$999=DATE(2026,9,13)),ROW(Expenses!A$3:A$999)-2),5)),0)+IFERROR(INDEX(Income!C$3:C$502,SMALL(IF((Income!D$3:D$502="GBP")*(Income!A$3:A$502=DATE(2026,9,13)),ROW(Income!A$3:A$502)-2),5)),0))</f>
        <v/>
      </c>
      <c r="P188" s="126">
        <f t="array" ref="P188">IF(IFERROR(INDEX(Expenses!B$3:B$999,SMALL(IF((Expenses!E$3:E$999="GBP")*(Expenses!A$3:A$999=DATE(2026,9,13)),ROW(Expenses!A$3:A$999)-2),5)),"")&lt;&gt;"",IFERROR(INDEX(Expenses!B$3:B$999,SMALL(IF((Expenses!E$3:E$999="GBP")*(Expenses!A$3:A$999=DATE(2026,9,13)),ROW(Expenses!A$3:A$999)-2),5)),""),IF(IFERROR(INDEX(Income!B$3:B$502,SMALL(IF((Income!D$3:D$502="GBP")*(Income!A$3:A$502=DATE(2026,9,13)),ROW(Income!A$3:A$502)-2),5)),"")&lt;&gt;"",IFERROR(INDEX(Income!B$3:B$502,SMALL(IF((Income!D$3:D$502="GBP")*(Income!A$3:A$502=DATE(2026,9,13)),ROW(Income!A$3:A$502)-2),5)),""),""))</f>
        <v/>
      </c>
      <c r="Q188" s="9" t="n"/>
      <c r="R188" s="9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68">
      <c r="A189" s="151" t="n">
        <v>46279</v>
      </c>
      <c r="B189" s="103" t="n">
        <v>38</v>
      </c>
      <c r="C189" s="152">
        <f t="array" ref="C189">IF(IFERROR(-INDEX(Expenses!D$3:D$999,SMALL(IF((Expenses!E$3:E$999="GBP")*(Expenses!A$3:A$999=DATE(2026,9,14)),ROW(Expenses!A$3:A$999)-2),1)),0)+IFERROR(INDEX(Income!C$3:C$502,SMALL(IF((Income!D$3:D$502="GBP")*(Income!A$3:A$502=DATE(2026,9,14)),ROW(Income!A$3:A$502)-2),1)),0)=0,"",IFERROR(-INDEX(Expenses!D$3:D$999,SMALL(IF((Expenses!E$3:E$999="GBP")*(Expenses!A$3:A$999=DATE(2026,9,14)),ROW(Expenses!A$3:A$999)-2),1)),0)+IFERROR(INDEX(Income!C$3:C$502,SMALL(IF((Income!D$3:D$502="GBP")*(Income!A$3:A$502=DATE(2026,9,14)),ROW(Income!A$3:A$502)-2),1)),0))</f>
        <v/>
      </c>
      <c r="D189" s="126">
        <f t="array" ref="D189">IF(IFERROR(INDEX(Expenses!B$3:B$999,SMALL(IF((Expenses!E$3:E$999="GBP")*(Expenses!A$3:A$999=DATE(2026,9,14)),ROW(Expenses!A$3:A$999)-2),1)),"")&lt;&gt;"",IFERROR(INDEX(Expenses!B$3:B$999,SMALL(IF((Expenses!E$3:E$999="GBP")*(Expenses!A$3:A$999=DATE(2026,9,14)),ROW(Expenses!A$3:A$999)-2),1)),""),IF(IFERROR(INDEX(Income!B$3:B$502,SMALL(IF((Income!D$3:D$502="GBP")*(Income!A$3:A$502=DATE(2026,9,14)),ROW(Income!A$3:A$502)-2),1)),"")&lt;&gt;"",IFERROR(INDEX(Income!B$3:B$502,SMALL(IF((Income!D$3:D$502="GBP")*(Income!A$3:A$502=DATE(2026,9,14)),ROW(Income!A$3:A$502)-2),1)),""),""))</f>
        <v/>
      </c>
      <c r="E189" s="152">
        <f t="array" ref="E189">IF(IFERROR(-INDEX(Expenses!D$3:D$999,SMALL(IF((Expenses!E$3:E$999="GBP")*(Expenses!A$3:A$999=DATE(2026,9,15)),ROW(Expenses!A$3:A$999)-2),1)),0)+IFERROR(INDEX(Income!C$3:C$502,SMALL(IF((Income!D$3:D$502="GBP")*(Income!A$3:A$502=DATE(2026,9,15)),ROW(Income!A$3:A$502)-2),1)),0)=0,"",IFERROR(-INDEX(Expenses!D$3:D$999,SMALL(IF((Expenses!E$3:E$999="GBP")*(Expenses!A$3:A$999=DATE(2026,9,15)),ROW(Expenses!A$3:A$999)-2),1)),0)+IFERROR(INDEX(Income!C$3:C$502,SMALL(IF((Income!D$3:D$502="GBP")*(Income!A$3:A$502=DATE(2026,9,15)),ROW(Income!A$3:A$502)-2),1)),0))</f>
        <v/>
      </c>
      <c r="F189" s="126">
        <f t="array" ref="F189">IF(IFERROR(INDEX(Expenses!B$3:B$999,SMALL(IF((Expenses!E$3:E$999="GBP")*(Expenses!A$3:A$999=DATE(2026,9,15)),ROW(Expenses!A$3:A$999)-2),1)),"")&lt;&gt;"",IFERROR(INDEX(Expenses!B$3:B$999,SMALL(IF((Expenses!E$3:E$999="GBP")*(Expenses!A$3:A$999=DATE(2026,9,15)),ROW(Expenses!A$3:A$999)-2),1)),""),IF(IFERROR(INDEX(Income!B$3:B$502,SMALL(IF((Income!D$3:D$502="GBP")*(Income!A$3:A$502=DATE(2026,9,15)),ROW(Income!A$3:A$502)-2),1)),"")&lt;&gt;"",IFERROR(INDEX(Income!B$3:B$502,SMALL(IF((Income!D$3:D$502="GBP")*(Income!A$3:A$502=DATE(2026,9,15)),ROW(Income!A$3:A$502)-2),1)),""),""))</f>
        <v/>
      </c>
      <c r="G189" s="152">
        <f t="array" ref="G189">IF(IFERROR(-INDEX(Expenses!D$3:D$999,SMALL(IF((Expenses!E$3:E$999="GBP")*(Expenses!A$3:A$999=DATE(2026,9,16)),ROW(Expenses!A$3:A$999)-2),1)),0)+IFERROR(INDEX(Income!C$3:C$502,SMALL(IF((Income!D$3:D$502="GBP")*(Income!A$3:A$502=DATE(2026,9,16)),ROW(Income!A$3:A$502)-2),1)),0)=0,"",IFERROR(-INDEX(Expenses!D$3:D$999,SMALL(IF((Expenses!E$3:E$999="GBP")*(Expenses!A$3:A$999=DATE(2026,9,16)),ROW(Expenses!A$3:A$999)-2),1)),0)+IFERROR(INDEX(Income!C$3:C$502,SMALL(IF((Income!D$3:D$502="GBP")*(Income!A$3:A$502=DATE(2026,9,16)),ROW(Income!A$3:A$502)-2),1)),0))</f>
        <v/>
      </c>
      <c r="H189" s="126">
        <f t="array" ref="H189">IF(IFERROR(INDEX(Expenses!B$3:B$999,SMALL(IF((Expenses!E$3:E$999="GBP")*(Expenses!A$3:A$999=DATE(2026,9,16)),ROW(Expenses!A$3:A$999)-2),1)),"")&lt;&gt;"",IFERROR(INDEX(Expenses!B$3:B$999,SMALL(IF((Expenses!E$3:E$999="GBP")*(Expenses!A$3:A$999=DATE(2026,9,16)),ROW(Expenses!A$3:A$999)-2),1)),""),IF(IFERROR(INDEX(Income!B$3:B$502,SMALL(IF((Income!D$3:D$502="GBP")*(Income!A$3:A$502=DATE(2026,9,16)),ROW(Income!A$3:A$502)-2),1)),"")&lt;&gt;"",IFERROR(INDEX(Income!B$3:B$502,SMALL(IF((Income!D$3:D$502="GBP")*(Income!A$3:A$502=DATE(2026,9,16)),ROW(Income!A$3:A$502)-2),1)),""),""))</f>
        <v/>
      </c>
      <c r="I189" s="152">
        <f t="array" ref="I189">IF(IFERROR(-INDEX(Expenses!D$3:D$999,SMALL(IF((Expenses!E$3:E$999="GBP")*(Expenses!A$3:A$999=DATE(2026,9,17)),ROW(Expenses!A$3:A$999)-2),1)),0)+IFERROR(INDEX(Income!C$3:C$502,SMALL(IF((Income!D$3:D$502="GBP")*(Income!A$3:A$502=DATE(2026,9,17)),ROW(Income!A$3:A$502)-2),1)),0)=0,"",IFERROR(-INDEX(Expenses!D$3:D$999,SMALL(IF((Expenses!E$3:E$999="GBP")*(Expenses!A$3:A$999=DATE(2026,9,17)),ROW(Expenses!A$3:A$999)-2),1)),0)+IFERROR(INDEX(Income!C$3:C$502,SMALL(IF((Income!D$3:D$502="GBP")*(Income!A$3:A$502=DATE(2026,9,17)),ROW(Income!A$3:A$502)-2),1)),0))</f>
        <v/>
      </c>
      <c r="J189" s="126">
        <f t="array" ref="J189">IF(IFERROR(INDEX(Expenses!B$3:B$999,SMALL(IF((Expenses!E$3:E$999="GBP")*(Expenses!A$3:A$999=DATE(2026,9,17)),ROW(Expenses!A$3:A$999)-2),1)),"")&lt;&gt;"",IFERROR(INDEX(Expenses!B$3:B$999,SMALL(IF((Expenses!E$3:E$999="GBP")*(Expenses!A$3:A$999=DATE(2026,9,17)),ROW(Expenses!A$3:A$999)-2),1)),""),IF(IFERROR(INDEX(Income!B$3:B$502,SMALL(IF((Income!D$3:D$502="GBP")*(Income!A$3:A$502=DATE(2026,9,17)),ROW(Income!A$3:A$502)-2),1)),"")&lt;&gt;"",IFERROR(INDEX(Income!B$3:B$502,SMALL(IF((Income!D$3:D$502="GBP")*(Income!A$3:A$502=DATE(2026,9,17)),ROW(Income!A$3:A$502)-2),1)),""),""))</f>
        <v/>
      </c>
      <c r="K189" s="152">
        <f t="array" ref="K189">IF(IFERROR(-INDEX(Expenses!D$3:D$999,SMALL(IF((Expenses!E$3:E$999="GBP")*(Expenses!A$3:A$999=DATE(2026,9,18)),ROW(Expenses!A$3:A$999)-2),1)),0)+IFERROR(INDEX(Income!C$3:C$502,SMALL(IF((Income!D$3:D$502="GBP")*(Income!A$3:A$502=DATE(2026,9,18)),ROW(Income!A$3:A$502)-2),1)),0)=0,"",IFERROR(-INDEX(Expenses!D$3:D$999,SMALL(IF((Expenses!E$3:E$999="GBP")*(Expenses!A$3:A$999=DATE(2026,9,18)),ROW(Expenses!A$3:A$999)-2),1)),0)+IFERROR(INDEX(Income!C$3:C$502,SMALL(IF((Income!D$3:D$502="GBP")*(Income!A$3:A$502=DATE(2026,9,18)),ROW(Income!A$3:A$502)-2),1)),0))</f>
        <v/>
      </c>
      <c r="L189" s="126">
        <f t="array" ref="L189">IF(IFERROR(INDEX(Expenses!B$3:B$999,SMALL(IF((Expenses!E$3:E$999="GBP")*(Expenses!A$3:A$999=DATE(2026,9,18)),ROW(Expenses!A$3:A$999)-2),1)),"")&lt;&gt;"",IFERROR(INDEX(Expenses!B$3:B$999,SMALL(IF((Expenses!E$3:E$999="GBP")*(Expenses!A$3:A$999=DATE(2026,9,18)),ROW(Expenses!A$3:A$999)-2),1)),""),IF(IFERROR(INDEX(Income!B$3:B$502,SMALL(IF((Income!D$3:D$502="GBP")*(Income!A$3:A$502=DATE(2026,9,18)),ROW(Income!A$3:A$502)-2),1)),"")&lt;&gt;"",IFERROR(INDEX(Income!B$3:B$502,SMALL(IF((Income!D$3:D$502="GBP")*(Income!A$3:A$502=DATE(2026,9,18)),ROW(Income!A$3:A$502)-2),1)),""),""))</f>
        <v/>
      </c>
      <c r="M189" s="152">
        <f t="array" ref="M189">IF(IFERROR(-INDEX(Expenses!D$3:D$999,SMALL(IF((Expenses!E$3:E$999="GBP")*(Expenses!A$3:A$999=DATE(2026,9,19)),ROW(Expenses!A$3:A$999)-2),1)),0)+IFERROR(INDEX(Income!C$3:C$502,SMALL(IF((Income!D$3:D$502="GBP")*(Income!A$3:A$502=DATE(2026,9,19)),ROW(Income!A$3:A$502)-2),1)),0)=0,"",IFERROR(-INDEX(Expenses!D$3:D$999,SMALL(IF((Expenses!E$3:E$999="GBP")*(Expenses!A$3:A$999=DATE(2026,9,19)),ROW(Expenses!A$3:A$999)-2),1)),0)+IFERROR(INDEX(Income!C$3:C$502,SMALL(IF((Income!D$3:D$502="GBP")*(Income!A$3:A$502=DATE(2026,9,19)),ROW(Income!A$3:A$502)-2),1)),0))</f>
        <v/>
      </c>
      <c r="N189" s="126">
        <f t="array" ref="N189">IF(IFERROR(INDEX(Expenses!B$3:B$999,SMALL(IF((Expenses!E$3:E$999="GBP")*(Expenses!A$3:A$999=DATE(2026,9,19)),ROW(Expenses!A$3:A$999)-2),1)),"")&lt;&gt;"",IFERROR(INDEX(Expenses!B$3:B$999,SMALL(IF((Expenses!E$3:E$999="GBP")*(Expenses!A$3:A$999=DATE(2026,9,19)),ROW(Expenses!A$3:A$999)-2),1)),""),IF(IFERROR(INDEX(Income!B$3:B$502,SMALL(IF((Income!D$3:D$502="GBP")*(Income!A$3:A$502=DATE(2026,9,19)),ROW(Income!A$3:A$502)-2),1)),"")&lt;&gt;"",IFERROR(INDEX(Income!B$3:B$502,SMALL(IF((Income!D$3:D$502="GBP")*(Income!A$3:A$502=DATE(2026,9,19)),ROW(Income!A$3:A$502)-2),1)),""),""))</f>
        <v/>
      </c>
      <c r="O189" s="152">
        <f t="array" ref="O189">IF(IFERROR(-INDEX(Expenses!D$3:D$999,SMALL(IF((Expenses!E$3:E$999="GBP")*(Expenses!A$3:A$999=DATE(2026,9,20)),ROW(Expenses!A$3:A$999)-2),1)),0)+IFERROR(INDEX(Income!C$3:C$502,SMALL(IF((Income!D$3:D$502="GBP")*(Income!A$3:A$502=DATE(2026,9,20)),ROW(Income!A$3:A$502)-2),1)),0)=0,"",IFERROR(-INDEX(Expenses!D$3:D$999,SMALL(IF((Expenses!E$3:E$999="GBP")*(Expenses!A$3:A$999=DATE(2026,9,20)),ROW(Expenses!A$3:A$999)-2),1)),0)+IFERROR(INDEX(Income!C$3:C$502,SMALL(IF((Income!D$3:D$502="GBP")*(Income!A$3:A$502=DATE(2026,9,20)),ROW(Income!A$3:A$502)-2),1)),0))</f>
        <v/>
      </c>
      <c r="P189" s="126">
        <f t="array" ref="P189">IF(IFERROR(INDEX(Expenses!B$3:B$999,SMALL(IF((Expenses!E$3:E$999="GBP")*(Expenses!A$3:A$999=DATE(2026,9,20)),ROW(Expenses!A$3:A$999)-2),1)),"")&lt;&gt;"",IFERROR(INDEX(Expenses!B$3:B$999,SMALL(IF((Expenses!E$3:E$999="GBP")*(Expenses!A$3:A$999=DATE(2026,9,20)),ROW(Expenses!A$3:A$999)-2),1)),""),IF(IFERROR(INDEX(Income!B$3:B$502,SMALL(IF((Income!D$3:D$502="GBP")*(Income!A$3:A$502=DATE(2026,9,20)),ROW(Income!A$3:A$502)-2),1)),"")&lt;&gt;"",IFERROR(INDEX(Income!B$3:B$502,SMALL(IF((Income!D$3:D$502="GBP")*(Income!A$3:A$502=DATE(2026,9,20)),ROW(Income!A$3:A$502)-2),1)),""),""))</f>
        <v/>
      </c>
      <c r="Q189" s="103" t="n">
        <v>38</v>
      </c>
      <c r="R189" s="134">
        <f>SUM(C189:C193)+SUM(E189:E193)+SUM(G189:G193)+SUM(I189:I193)+SUM(K189:K193)+SUM(M189:M193)+SUM(O189:O193)</f>
        <v/>
      </c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68">
      <c r="A190" s="9" t="n"/>
      <c r="B190" s="9" t="n"/>
      <c r="C190" s="152">
        <f t="array" ref="C190">IF(IFERROR(-INDEX(Expenses!D$3:D$999,SMALL(IF((Expenses!E$3:E$999="GBP")*(Expenses!A$3:A$999=DATE(2026,9,14)),ROW(Expenses!A$3:A$999)-2),2)),0)+IFERROR(INDEX(Income!C$3:C$502,SMALL(IF((Income!D$3:D$502="GBP")*(Income!A$3:A$502=DATE(2026,9,14)),ROW(Income!A$3:A$502)-2),2)),0)=0,"",IFERROR(-INDEX(Expenses!D$3:D$999,SMALL(IF((Expenses!E$3:E$999="GBP")*(Expenses!A$3:A$999=DATE(2026,9,14)),ROW(Expenses!A$3:A$999)-2),2)),0)+IFERROR(INDEX(Income!C$3:C$502,SMALL(IF((Income!D$3:D$502="GBP")*(Income!A$3:A$502=DATE(2026,9,14)),ROW(Income!A$3:A$502)-2),2)),0))</f>
        <v/>
      </c>
      <c r="D190" s="126">
        <f t="array" ref="D190">IF(IFERROR(INDEX(Expenses!B$3:B$999,SMALL(IF((Expenses!E$3:E$999="GBP")*(Expenses!A$3:A$999=DATE(2026,9,14)),ROW(Expenses!A$3:A$999)-2),2)),"")&lt;&gt;"",IFERROR(INDEX(Expenses!B$3:B$999,SMALL(IF((Expenses!E$3:E$999="GBP")*(Expenses!A$3:A$999=DATE(2026,9,14)),ROW(Expenses!A$3:A$999)-2),2)),""),IF(IFERROR(INDEX(Income!B$3:B$502,SMALL(IF((Income!D$3:D$502="GBP")*(Income!A$3:A$502=DATE(2026,9,14)),ROW(Income!A$3:A$502)-2),2)),"")&lt;&gt;"",IFERROR(INDEX(Income!B$3:B$502,SMALL(IF((Income!D$3:D$502="GBP")*(Income!A$3:A$502=DATE(2026,9,14)),ROW(Income!A$3:A$502)-2),2)),""),""))</f>
        <v/>
      </c>
      <c r="E190" s="152">
        <f t="array" ref="E190">IF(IFERROR(-INDEX(Expenses!D$3:D$999,SMALL(IF((Expenses!E$3:E$999="GBP")*(Expenses!A$3:A$999=DATE(2026,9,15)),ROW(Expenses!A$3:A$999)-2),2)),0)+IFERROR(INDEX(Income!C$3:C$502,SMALL(IF((Income!D$3:D$502="GBP")*(Income!A$3:A$502=DATE(2026,9,15)),ROW(Income!A$3:A$502)-2),2)),0)=0,"",IFERROR(-INDEX(Expenses!D$3:D$999,SMALL(IF((Expenses!E$3:E$999="GBP")*(Expenses!A$3:A$999=DATE(2026,9,15)),ROW(Expenses!A$3:A$999)-2),2)),0)+IFERROR(INDEX(Income!C$3:C$502,SMALL(IF((Income!D$3:D$502="GBP")*(Income!A$3:A$502=DATE(2026,9,15)),ROW(Income!A$3:A$502)-2),2)),0))</f>
        <v/>
      </c>
      <c r="F190" s="126">
        <f t="array" ref="F190">IF(IFERROR(INDEX(Expenses!B$3:B$999,SMALL(IF((Expenses!E$3:E$999="GBP")*(Expenses!A$3:A$999=DATE(2026,9,15)),ROW(Expenses!A$3:A$999)-2),2)),"")&lt;&gt;"",IFERROR(INDEX(Expenses!B$3:B$999,SMALL(IF((Expenses!E$3:E$999="GBP")*(Expenses!A$3:A$999=DATE(2026,9,15)),ROW(Expenses!A$3:A$999)-2),2)),""),IF(IFERROR(INDEX(Income!B$3:B$502,SMALL(IF((Income!D$3:D$502="GBP")*(Income!A$3:A$502=DATE(2026,9,15)),ROW(Income!A$3:A$502)-2),2)),"")&lt;&gt;"",IFERROR(INDEX(Income!B$3:B$502,SMALL(IF((Income!D$3:D$502="GBP")*(Income!A$3:A$502=DATE(2026,9,15)),ROW(Income!A$3:A$502)-2),2)),""),""))</f>
        <v/>
      </c>
      <c r="G190" s="152">
        <f t="array" ref="G190">IF(IFERROR(-INDEX(Expenses!D$3:D$999,SMALL(IF((Expenses!E$3:E$999="GBP")*(Expenses!A$3:A$999=DATE(2026,9,16)),ROW(Expenses!A$3:A$999)-2),2)),0)+IFERROR(INDEX(Income!C$3:C$502,SMALL(IF((Income!D$3:D$502="GBP")*(Income!A$3:A$502=DATE(2026,9,16)),ROW(Income!A$3:A$502)-2),2)),0)=0,"",IFERROR(-INDEX(Expenses!D$3:D$999,SMALL(IF((Expenses!E$3:E$999="GBP")*(Expenses!A$3:A$999=DATE(2026,9,16)),ROW(Expenses!A$3:A$999)-2),2)),0)+IFERROR(INDEX(Income!C$3:C$502,SMALL(IF((Income!D$3:D$502="GBP")*(Income!A$3:A$502=DATE(2026,9,16)),ROW(Income!A$3:A$502)-2),2)),0))</f>
        <v/>
      </c>
      <c r="H190" s="126">
        <f t="array" ref="H190">IF(IFERROR(INDEX(Expenses!B$3:B$999,SMALL(IF((Expenses!E$3:E$999="GBP")*(Expenses!A$3:A$999=DATE(2026,9,16)),ROW(Expenses!A$3:A$999)-2),2)),"")&lt;&gt;"",IFERROR(INDEX(Expenses!B$3:B$999,SMALL(IF((Expenses!E$3:E$999="GBP")*(Expenses!A$3:A$999=DATE(2026,9,16)),ROW(Expenses!A$3:A$999)-2),2)),""),IF(IFERROR(INDEX(Income!B$3:B$502,SMALL(IF((Income!D$3:D$502="GBP")*(Income!A$3:A$502=DATE(2026,9,16)),ROW(Income!A$3:A$502)-2),2)),"")&lt;&gt;"",IFERROR(INDEX(Income!B$3:B$502,SMALL(IF((Income!D$3:D$502="GBP")*(Income!A$3:A$502=DATE(2026,9,16)),ROW(Income!A$3:A$502)-2),2)),""),""))</f>
        <v/>
      </c>
      <c r="I190" s="152">
        <f t="array" ref="I190">IF(IFERROR(-INDEX(Expenses!D$3:D$999,SMALL(IF((Expenses!E$3:E$999="GBP")*(Expenses!A$3:A$999=DATE(2026,9,17)),ROW(Expenses!A$3:A$999)-2),2)),0)+IFERROR(INDEX(Income!C$3:C$502,SMALL(IF((Income!D$3:D$502="GBP")*(Income!A$3:A$502=DATE(2026,9,17)),ROW(Income!A$3:A$502)-2),2)),0)=0,"",IFERROR(-INDEX(Expenses!D$3:D$999,SMALL(IF((Expenses!E$3:E$999="GBP")*(Expenses!A$3:A$999=DATE(2026,9,17)),ROW(Expenses!A$3:A$999)-2),2)),0)+IFERROR(INDEX(Income!C$3:C$502,SMALL(IF((Income!D$3:D$502="GBP")*(Income!A$3:A$502=DATE(2026,9,17)),ROW(Income!A$3:A$502)-2),2)),0))</f>
        <v/>
      </c>
      <c r="J190" s="126">
        <f t="array" ref="J190">IF(IFERROR(INDEX(Expenses!B$3:B$999,SMALL(IF((Expenses!E$3:E$999="GBP")*(Expenses!A$3:A$999=DATE(2026,9,17)),ROW(Expenses!A$3:A$999)-2),2)),"")&lt;&gt;"",IFERROR(INDEX(Expenses!B$3:B$999,SMALL(IF((Expenses!E$3:E$999="GBP")*(Expenses!A$3:A$999=DATE(2026,9,17)),ROW(Expenses!A$3:A$999)-2),2)),""),IF(IFERROR(INDEX(Income!B$3:B$502,SMALL(IF((Income!D$3:D$502="GBP")*(Income!A$3:A$502=DATE(2026,9,17)),ROW(Income!A$3:A$502)-2),2)),"")&lt;&gt;"",IFERROR(INDEX(Income!B$3:B$502,SMALL(IF((Income!D$3:D$502="GBP")*(Income!A$3:A$502=DATE(2026,9,17)),ROW(Income!A$3:A$502)-2),2)),""),""))</f>
        <v/>
      </c>
      <c r="K190" s="152">
        <f t="array" ref="K190">IF(IFERROR(-INDEX(Expenses!D$3:D$999,SMALL(IF((Expenses!E$3:E$999="GBP")*(Expenses!A$3:A$999=DATE(2026,9,18)),ROW(Expenses!A$3:A$999)-2),2)),0)+IFERROR(INDEX(Income!C$3:C$502,SMALL(IF((Income!D$3:D$502="GBP")*(Income!A$3:A$502=DATE(2026,9,18)),ROW(Income!A$3:A$502)-2),2)),0)=0,"",IFERROR(-INDEX(Expenses!D$3:D$999,SMALL(IF((Expenses!E$3:E$999="GBP")*(Expenses!A$3:A$999=DATE(2026,9,18)),ROW(Expenses!A$3:A$999)-2),2)),0)+IFERROR(INDEX(Income!C$3:C$502,SMALL(IF((Income!D$3:D$502="GBP")*(Income!A$3:A$502=DATE(2026,9,18)),ROW(Income!A$3:A$502)-2),2)),0))</f>
        <v/>
      </c>
      <c r="L190" s="126">
        <f t="array" ref="L190">IF(IFERROR(INDEX(Expenses!B$3:B$999,SMALL(IF((Expenses!E$3:E$999="GBP")*(Expenses!A$3:A$999=DATE(2026,9,18)),ROW(Expenses!A$3:A$999)-2),2)),"")&lt;&gt;"",IFERROR(INDEX(Expenses!B$3:B$999,SMALL(IF((Expenses!E$3:E$999="GBP")*(Expenses!A$3:A$999=DATE(2026,9,18)),ROW(Expenses!A$3:A$999)-2),2)),""),IF(IFERROR(INDEX(Income!B$3:B$502,SMALL(IF((Income!D$3:D$502="GBP")*(Income!A$3:A$502=DATE(2026,9,18)),ROW(Income!A$3:A$502)-2),2)),"")&lt;&gt;"",IFERROR(INDEX(Income!B$3:B$502,SMALL(IF((Income!D$3:D$502="GBP")*(Income!A$3:A$502=DATE(2026,9,18)),ROW(Income!A$3:A$502)-2),2)),""),""))</f>
        <v/>
      </c>
      <c r="M190" s="152">
        <f t="array" ref="M190">IF(IFERROR(-INDEX(Expenses!D$3:D$999,SMALL(IF((Expenses!E$3:E$999="GBP")*(Expenses!A$3:A$999=DATE(2026,9,19)),ROW(Expenses!A$3:A$999)-2),2)),0)+IFERROR(INDEX(Income!C$3:C$502,SMALL(IF((Income!D$3:D$502="GBP")*(Income!A$3:A$502=DATE(2026,9,19)),ROW(Income!A$3:A$502)-2),2)),0)=0,"",IFERROR(-INDEX(Expenses!D$3:D$999,SMALL(IF((Expenses!E$3:E$999="GBP")*(Expenses!A$3:A$999=DATE(2026,9,19)),ROW(Expenses!A$3:A$999)-2),2)),0)+IFERROR(INDEX(Income!C$3:C$502,SMALL(IF((Income!D$3:D$502="GBP")*(Income!A$3:A$502=DATE(2026,9,19)),ROW(Income!A$3:A$502)-2),2)),0))</f>
        <v/>
      </c>
      <c r="N190" s="126">
        <f t="array" ref="N190">IF(IFERROR(INDEX(Expenses!B$3:B$999,SMALL(IF((Expenses!E$3:E$999="GBP")*(Expenses!A$3:A$999=DATE(2026,9,19)),ROW(Expenses!A$3:A$999)-2),2)),"")&lt;&gt;"",IFERROR(INDEX(Expenses!B$3:B$999,SMALL(IF((Expenses!E$3:E$999="GBP")*(Expenses!A$3:A$999=DATE(2026,9,19)),ROW(Expenses!A$3:A$999)-2),2)),""),IF(IFERROR(INDEX(Income!B$3:B$502,SMALL(IF((Income!D$3:D$502="GBP")*(Income!A$3:A$502=DATE(2026,9,19)),ROW(Income!A$3:A$502)-2),2)),"")&lt;&gt;"",IFERROR(INDEX(Income!B$3:B$502,SMALL(IF((Income!D$3:D$502="GBP")*(Income!A$3:A$502=DATE(2026,9,19)),ROW(Income!A$3:A$502)-2),2)),""),""))</f>
        <v/>
      </c>
      <c r="O190" s="152">
        <f t="array" ref="O190">IF(IFERROR(-INDEX(Expenses!D$3:D$999,SMALL(IF((Expenses!E$3:E$999="GBP")*(Expenses!A$3:A$999=DATE(2026,9,20)),ROW(Expenses!A$3:A$999)-2),2)),0)+IFERROR(INDEX(Income!C$3:C$502,SMALL(IF((Income!D$3:D$502="GBP")*(Income!A$3:A$502=DATE(2026,9,20)),ROW(Income!A$3:A$502)-2),2)),0)=0,"",IFERROR(-INDEX(Expenses!D$3:D$999,SMALL(IF((Expenses!E$3:E$999="GBP")*(Expenses!A$3:A$999=DATE(2026,9,20)),ROW(Expenses!A$3:A$999)-2),2)),0)+IFERROR(INDEX(Income!C$3:C$502,SMALL(IF((Income!D$3:D$502="GBP")*(Income!A$3:A$502=DATE(2026,9,20)),ROW(Income!A$3:A$502)-2),2)),0))</f>
        <v/>
      </c>
      <c r="P190" s="126">
        <f t="array" ref="P190">IF(IFERROR(INDEX(Expenses!B$3:B$999,SMALL(IF((Expenses!E$3:E$999="GBP")*(Expenses!A$3:A$999=DATE(2026,9,20)),ROW(Expenses!A$3:A$999)-2),2)),"")&lt;&gt;"",IFERROR(INDEX(Expenses!B$3:B$999,SMALL(IF((Expenses!E$3:E$999="GBP")*(Expenses!A$3:A$999=DATE(2026,9,20)),ROW(Expenses!A$3:A$999)-2),2)),""),IF(IFERROR(INDEX(Income!B$3:B$502,SMALL(IF((Income!D$3:D$502="GBP")*(Income!A$3:A$502=DATE(2026,9,20)),ROW(Income!A$3:A$502)-2),2)),"")&lt;&gt;"",IFERROR(INDEX(Income!B$3:B$502,SMALL(IF((Income!D$3:D$502="GBP")*(Income!A$3:A$502=DATE(2026,9,20)),ROW(Income!A$3:A$502)-2),2)),""),""))</f>
        <v/>
      </c>
      <c r="Q190" s="9" t="n"/>
      <c r="R190" s="9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68">
      <c r="A191" s="9" t="n"/>
      <c r="B191" s="9" t="n"/>
      <c r="C191" s="152">
        <f t="array" ref="C191">IF(IFERROR(-INDEX(Expenses!D$3:D$999,SMALL(IF((Expenses!E$3:E$999="GBP")*(Expenses!A$3:A$999=DATE(2026,9,14)),ROW(Expenses!A$3:A$999)-2),3)),0)+IFERROR(INDEX(Income!C$3:C$502,SMALL(IF((Income!D$3:D$502="GBP")*(Income!A$3:A$502=DATE(2026,9,14)),ROW(Income!A$3:A$502)-2),3)),0)=0,"",IFERROR(-INDEX(Expenses!D$3:D$999,SMALL(IF((Expenses!E$3:E$999="GBP")*(Expenses!A$3:A$999=DATE(2026,9,14)),ROW(Expenses!A$3:A$999)-2),3)),0)+IFERROR(INDEX(Income!C$3:C$502,SMALL(IF((Income!D$3:D$502="GBP")*(Income!A$3:A$502=DATE(2026,9,14)),ROW(Income!A$3:A$502)-2),3)),0))</f>
        <v/>
      </c>
      <c r="D191" s="126">
        <f t="array" ref="D191">IF(IFERROR(INDEX(Expenses!B$3:B$999,SMALL(IF((Expenses!E$3:E$999="GBP")*(Expenses!A$3:A$999=DATE(2026,9,14)),ROW(Expenses!A$3:A$999)-2),3)),"")&lt;&gt;"",IFERROR(INDEX(Expenses!B$3:B$999,SMALL(IF((Expenses!E$3:E$999="GBP")*(Expenses!A$3:A$999=DATE(2026,9,14)),ROW(Expenses!A$3:A$999)-2),3)),""),IF(IFERROR(INDEX(Income!B$3:B$502,SMALL(IF((Income!D$3:D$502="GBP")*(Income!A$3:A$502=DATE(2026,9,14)),ROW(Income!A$3:A$502)-2),3)),"")&lt;&gt;"",IFERROR(INDEX(Income!B$3:B$502,SMALL(IF((Income!D$3:D$502="GBP")*(Income!A$3:A$502=DATE(2026,9,14)),ROW(Income!A$3:A$502)-2),3)),""),""))</f>
        <v/>
      </c>
      <c r="E191" s="152">
        <f t="array" ref="E191">IF(IFERROR(-INDEX(Expenses!D$3:D$999,SMALL(IF((Expenses!E$3:E$999="GBP")*(Expenses!A$3:A$999=DATE(2026,9,15)),ROW(Expenses!A$3:A$999)-2),3)),0)+IFERROR(INDEX(Income!C$3:C$502,SMALL(IF((Income!D$3:D$502="GBP")*(Income!A$3:A$502=DATE(2026,9,15)),ROW(Income!A$3:A$502)-2),3)),0)=0,"",IFERROR(-INDEX(Expenses!D$3:D$999,SMALL(IF((Expenses!E$3:E$999="GBP")*(Expenses!A$3:A$999=DATE(2026,9,15)),ROW(Expenses!A$3:A$999)-2),3)),0)+IFERROR(INDEX(Income!C$3:C$502,SMALL(IF((Income!D$3:D$502="GBP")*(Income!A$3:A$502=DATE(2026,9,15)),ROW(Income!A$3:A$502)-2),3)),0))</f>
        <v/>
      </c>
      <c r="F191" s="126">
        <f t="array" ref="F191">IF(IFERROR(INDEX(Expenses!B$3:B$999,SMALL(IF((Expenses!E$3:E$999="GBP")*(Expenses!A$3:A$999=DATE(2026,9,15)),ROW(Expenses!A$3:A$999)-2),3)),"")&lt;&gt;"",IFERROR(INDEX(Expenses!B$3:B$999,SMALL(IF((Expenses!E$3:E$999="GBP")*(Expenses!A$3:A$999=DATE(2026,9,15)),ROW(Expenses!A$3:A$999)-2),3)),""),IF(IFERROR(INDEX(Income!B$3:B$502,SMALL(IF((Income!D$3:D$502="GBP")*(Income!A$3:A$502=DATE(2026,9,15)),ROW(Income!A$3:A$502)-2),3)),"")&lt;&gt;"",IFERROR(INDEX(Income!B$3:B$502,SMALL(IF((Income!D$3:D$502="GBP")*(Income!A$3:A$502=DATE(2026,9,15)),ROW(Income!A$3:A$502)-2),3)),""),""))</f>
        <v/>
      </c>
      <c r="G191" s="152">
        <f t="array" ref="G191">IF(IFERROR(-INDEX(Expenses!D$3:D$999,SMALL(IF((Expenses!E$3:E$999="GBP")*(Expenses!A$3:A$999=DATE(2026,9,16)),ROW(Expenses!A$3:A$999)-2),3)),0)+IFERROR(INDEX(Income!C$3:C$502,SMALL(IF((Income!D$3:D$502="GBP")*(Income!A$3:A$502=DATE(2026,9,16)),ROW(Income!A$3:A$502)-2),3)),0)=0,"",IFERROR(-INDEX(Expenses!D$3:D$999,SMALL(IF((Expenses!E$3:E$999="GBP")*(Expenses!A$3:A$999=DATE(2026,9,16)),ROW(Expenses!A$3:A$999)-2),3)),0)+IFERROR(INDEX(Income!C$3:C$502,SMALL(IF((Income!D$3:D$502="GBP")*(Income!A$3:A$502=DATE(2026,9,16)),ROW(Income!A$3:A$502)-2),3)),0))</f>
        <v/>
      </c>
      <c r="H191" s="126">
        <f t="array" ref="H191">IF(IFERROR(INDEX(Expenses!B$3:B$999,SMALL(IF((Expenses!E$3:E$999="GBP")*(Expenses!A$3:A$999=DATE(2026,9,16)),ROW(Expenses!A$3:A$999)-2),3)),"")&lt;&gt;"",IFERROR(INDEX(Expenses!B$3:B$999,SMALL(IF((Expenses!E$3:E$999="GBP")*(Expenses!A$3:A$999=DATE(2026,9,16)),ROW(Expenses!A$3:A$999)-2),3)),""),IF(IFERROR(INDEX(Income!B$3:B$502,SMALL(IF((Income!D$3:D$502="GBP")*(Income!A$3:A$502=DATE(2026,9,16)),ROW(Income!A$3:A$502)-2),3)),"")&lt;&gt;"",IFERROR(INDEX(Income!B$3:B$502,SMALL(IF((Income!D$3:D$502="GBP")*(Income!A$3:A$502=DATE(2026,9,16)),ROW(Income!A$3:A$502)-2),3)),""),""))</f>
        <v/>
      </c>
      <c r="I191" s="152">
        <f t="array" ref="I191">IF(IFERROR(-INDEX(Expenses!D$3:D$999,SMALL(IF((Expenses!E$3:E$999="GBP")*(Expenses!A$3:A$999=DATE(2026,9,17)),ROW(Expenses!A$3:A$999)-2),3)),0)+IFERROR(INDEX(Income!C$3:C$502,SMALL(IF((Income!D$3:D$502="GBP")*(Income!A$3:A$502=DATE(2026,9,17)),ROW(Income!A$3:A$502)-2),3)),0)=0,"",IFERROR(-INDEX(Expenses!D$3:D$999,SMALL(IF((Expenses!E$3:E$999="GBP")*(Expenses!A$3:A$999=DATE(2026,9,17)),ROW(Expenses!A$3:A$999)-2),3)),0)+IFERROR(INDEX(Income!C$3:C$502,SMALL(IF((Income!D$3:D$502="GBP")*(Income!A$3:A$502=DATE(2026,9,17)),ROW(Income!A$3:A$502)-2),3)),0))</f>
        <v/>
      </c>
      <c r="J191" s="126">
        <f t="array" ref="J191">IF(IFERROR(INDEX(Expenses!B$3:B$999,SMALL(IF((Expenses!E$3:E$999="GBP")*(Expenses!A$3:A$999=DATE(2026,9,17)),ROW(Expenses!A$3:A$999)-2),3)),"")&lt;&gt;"",IFERROR(INDEX(Expenses!B$3:B$999,SMALL(IF((Expenses!E$3:E$999="GBP")*(Expenses!A$3:A$999=DATE(2026,9,17)),ROW(Expenses!A$3:A$999)-2),3)),""),IF(IFERROR(INDEX(Income!B$3:B$502,SMALL(IF((Income!D$3:D$502="GBP")*(Income!A$3:A$502=DATE(2026,9,17)),ROW(Income!A$3:A$502)-2),3)),"")&lt;&gt;"",IFERROR(INDEX(Income!B$3:B$502,SMALL(IF((Income!D$3:D$502="GBP")*(Income!A$3:A$502=DATE(2026,9,17)),ROW(Income!A$3:A$502)-2),3)),""),""))</f>
        <v/>
      </c>
      <c r="K191" s="152">
        <f t="array" ref="K191">IF(IFERROR(-INDEX(Expenses!D$3:D$999,SMALL(IF((Expenses!E$3:E$999="GBP")*(Expenses!A$3:A$999=DATE(2026,9,18)),ROW(Expenses!A$3:A$999)-2),3)),0)+IFERROR(INDEX(Income!C$3:C$502,SMALL(IF((Income!D$3:D$502="GBP")*(Income!A$3:A$502=DATE(2026,9,18)),ROW(Income!A$3:A$502)-2),3)),0)=0,"",IFERROR(-INDEX(Expenses!D$3:D$999,SMALL(IF((Expenses!E$3:E$999="GBP")*(Expenses!A$3:A$999=DATE(2026,9,18)),ROW(Expenses!A$3:A$999)-2),3)),0)+IFERROR(INDEX(Income!C$3:C$502,SMALL(IF((Income!D$3:D$502="GBP")*(Income!A$3:A$502=DATE(2026,9,18)),ROW(Income!A$3:A$502)-2),3)),0))</f>
        <v/>
      </c>
      <c r="L191" s="126">
        <f t="array" ref="L191">IF(IFERROR(INDEX(Expenses!B$3:B$999,SMALL(IF((Expenses!E$3:E$999="GBP")*(Expenses!A$3:A$999=DATE(2026,9,18)),ROW(Expenses!A$3:A$999)-2),3)),"")&lt;&gt;"",IFERROR(INDEX(Expenses!B$3:B$999,SMALL(IF((Expenses!E$3:E$999="GBP")*(Expenses!A$3:A$999=DATE(2026,9,18)),ROW(Expenses!A$3:A$999)-2),3)),""),IF(IFERROR(INDEX(Income!B$3:B$502,SMALL(IF((Income!D$3:D$502="GBP")*(Income!A$3:A$502=DATE(2026,9,18)),ROW(Income!A$3:A$502)-2),3)),"")&lt;&gt;"",IFERROR(INDEX(Income!B$3:B$502,SMALL(IF((Income!D$3:D$502="GBP")*(Income!A$3:A$502=DATE(2026,9,18)),ROW(Income!A$3:A$502)-2),3)),""),""))</f>
        <v/>
      </c>
      <c r="M191" s="152">
        <f t="array" ref="M191">IF(IFERROR(-INDEX(Expenses!D$3:D$999,SMALL(IF((Expenses!E$3:E$999="GBP")*(Expenses!A$3:A$999=DATE(2026,9,19)),ROW(Expenses!A$3:A$999)-2),3)),0)+IFERROR(INDEX(Income!C$3:C$502,SMALL(IF((Income!D$3:D$502="GBP")*(Income!A$3:A$502=DATE(2026,9,19)),ROW(Income!A$3:A$502)-2),3)),0)=0,"",IFERROR(-INDEX(Expenses!D$3:D$999,SMALL(IF((Expenses!E$3:E$999="GBP")*(Expenses!A$3:A$999=DATE(2026,9,19)),ROW(Expenses!A$3:A$999)-2),3)),0)+IFERROR(INDEX(Income!C$3:C$502,SMALL(IF((Income!D$3:D$502="GBP")*(Income!A$3:A$502=DATE(2026,9,19)),ROW(Income!A$3:A$502)-2),3)),0))</f>
        <v/>
      </c>
      <c r="N191" s="126">
        <f t="array" ref="N191">IF(IFERROR(INDEX(Expenses!B$3:B$999,SMALL(IF((Expenses!E$3:E$999="GBP")*(Expenses!A$3:A$999=DATE(2026,9,19)),ROW(Expenses!A$3:A$999)-2),3)),"")&lt;&gt;"",IFERROR(INDEX(Expenses!B$3:B$999,SMALL(IF((Expenses!E$3:E$999="GBP")*(Expenses!A$3:A$999=DATE(2026,9,19)),ROW(Expenses!A$3:A$999)-2),3)),""),IF(IFERROR(INDEX(Income!B$3:B$502,SMALL(IF((Income!D$3:D$502="GBP")*(Income!A$3:A$502=DATE(2026,9,19)),ROW(Income!A$3:A$502)-2),3)),"")&lt;&gt;"",IFERROR(INDEX(Income!B$3:B$502,SMALL(IF((Income!D$3:D$502="GBP")*(Income!A$3:A$502=DATE(2026,9,19)),ROW(Income!A$3:A$502)-2),3)),""),""))</f>
        <v/>
      </c>
      <c r="O191" s="152">
        <f t="array" ref="O191">IF(IFERROR(-INDEX(Expenses!D$3:D$999,SMALL(IF((Expenses!E$3:E$999="GBP")*(Expenses!A$3:A$999=DATE(2026,9,20)),ROW(Expenses!A$3:A$999)-2),3)),0)+IFERROR(INDEX(Income!C$3:C$502,SMALL(IF((Income!D$3:D$502="GBP")*(Income!A$3:A$502=DATE(2026,9,20)),ROW(Income!A$3:A$502)-2),3)),0)=0,"",IFERROR(-INDEX(Expenses!D$3:D$999,SMALL(IF((Expenses!E$3:E$999="GBP")*(Expenses!A$3:A$999=DATE(2026,9,20)),ROW(Expenses!A$3:A$999)-2),3)),0)+IFERROR(INDEX(Income!C$3:C$502,SMALL(IF((Income!D$3:D$502="GBP")*(Income!A$3:A$502=DATE(2026,9,20)),ROW(Income!A$3:A$502)-2),3)),0))</f>
        <v/>
      </c>
      <c r="P191" s="126">
        <f t="array" ref="P191">IF(IFERROR(INDEX(Expenses!B$3:B$999,SMALL(IF((Expenses!E$3:E$999="GBP")*(Expenses!A$3:A$999=DATE(2026,9,20)),ROW(Expenses!A$3:A$999)-2),3)),"")&lt;&gt;"",IFERROR(INDEX(Expenses!B$3:B$999,SMALL(IF((Expenses!E$3:E$999="GBP")*(Expenses!A$3:A$999=DATE(2026,9,20)),ROW(Expenses!A$3:A$999)-2),3)),""),IF(IFERROR(INDEX(Income!B$3:B$502,SMALL(IF((Income!D$3:D$502="GBP")*(Income!A$3:A$502=DATE(2026,9,20)),ROW(Income!A$3:A$502)-2),3)),"")&lt;&gt;"",IFERROR(INDEX(Income!B$3:B$502,SMALL(IF((Income!D$3:D$502="GBP")*(Income!A$3:A$502=DATE(2026,9,20)),ROW(Income!A$3:A$502)-2),3)),""),""))</f>
        <v/>
      </c>
      <c r="Q191" s="9" t="n"/>
      <c r="R191" s="9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68">
      <c r="A192" s="9" t="n"/>
      <c r="B192" s="9" t="n"/>
      <c r="C192" s="152">
        <f t="array" ref="C192">IF(IFERROR(-INDEX(Expenses!D$3:D$999,SMALL(IF((Expenses!E$3:E$999="GBP")*(Expenses!A$3:A$999=DATE(2026,9,14)),ROW(Expenses!A$3:A$999)-2),4)),0)+IFERROR(INDEX(Income!C$3:C$502,SMALL(IF((Income!D$3:D$502="GBP")*(Income!A$3:A$502=DATE(2026,9,14)),ROW(Income!A$3:A$502)-2),4)),0)=0,"",IFERROR(-INDEX(Expenses!D$3:D$999,SMALL(IF((Expenses!E$3:E$999="GBP")*(Expenses!A$3:A$999=DATE(2026,9,14)),ROW(Expenses!A$3:A$999)-2),4)),0)+IFERROR(INDEX(Income!C$3:C$502,SMALL(IF((Income!D$3:D$502="GBP")*(Income!A$3:A$502=DATE(2026,9,14)),ROW(Income!A$3:A$502)-2),4)),0))</f>
        <v/>
      </c>
      <c r="D192" s="126">
        <f t="array" ref="D192">IF(IFERROR(INDEX(Expenses!B$3:B$999,SMALL(IF((Expenses!E$3:E$999="GBP")*(Expenses!A$3:A$999=DATE(2026,9,14)),ROW(Expenses!A$3:A$999)-2),4)),"")&lt;&gt;"",IFERROR(INDEX(Expenses!B$3:B$999,SMALL(IF((Expenses!E$3:E$999="GBP")*(Expenses!A$3:A$999=DATE(2026,9,14)),ROW(Expenses!A$3:A$999)-2),4)),""),IF(IFERROR(INDEX(Income!B$3:B$502,SMALL(IF((Income!D$3:D$502="GBP")*(Income!A$3:A$502=DATE(2026,9,14)),ROW(Income!A$3:A$502)-2),4)),"")&lt;&gt;"",IFERROR(INDEX(Income!B$3:B$502,SMALL(IF((Income!D$3:D$502="GBP")*(Income!A$3:A$502=DATE(2026,9,14)),ROW(Income!A$3:A$502)-2),4)),""),""))</f>
        <v/>
      </c>
      <c r="E192" s="152">
        <f t="array" ref="E192">IF(IFERROR(-INDEX(Expenses!D$3:D$999,SMALL(IF((Expenses!E$3:E$999="GBP")*(Expenses!A$3:A$999=DATE(2026,9,15)),ROW(Expenses!A$3:A$999)-2),4)),0)+IFERROR(INDEX(Income!C$3:C$502,SMALL(IF((Income!D$3:D$502="GBP")*(Income!A$3:A$502=DATE(2026,9,15)),ROW(Income!A$3:A$502)-2),4)),0)=0,"",IFERROR(-INDEX(Expenses!D$3:D$999,SMALL(IF((Expenses!E$3:E$999="GBP")*(Expenses!A$3:A$999=DATE(2026,9,15)),ROW(Expenses!A$3:A$999)-2),4)),0)+IFERROR(INDEX(Income!C$3:C$502,SMALL(IF((Income!D$3:D$502="GBP")*(Income!A$3:A$502=DATE(2026,9,15)),ROW(Income!A$3:A$502)-2),4)),0))</f>
        <v/>
      </c>
      <c r="F192" s="126">
        <f t="array" ref="F192">IF(IFERROR(INDEX(Expenses!B$3:B$999,SMALL(IF((Expenses!E$3:E$999="GBP")*(Expenses!A$3:A$999=DATE(2026,9,15)),ROW(Expenses!A$3:A$999)-2),4)),"")&lt;&gt;"",IFERROR(INDEX(Expenses!B$3:B$999,SMALL(IF((Expenses!E$3:E$999="GBP")*(Expenses!A$3:A$999=DATE(2026,9,15)),ROW(Expenses!A$3:A$999)-2),4)),""),IF(IFERROR(INDEX(Income!B$3:B$502,SMALL(IF((Income!D$3:D$502="GBP")*(Income!A$3:A$502=DATE(2026,9,15)),ROW(Income!A$3:A$502)-2),4)),"")&lt;&gt;"",IFERROR(INDEX(Income!B$3:B$502,SMALL(IF((Income!D$3:D$502="GBP")*(Income!A$3:A$502=DATE(2026,9,15)),ROW(Income!A$3:A$502)-2),4)),""),""))</f>
        <v/>
      </c>
      <c r="G192" s="152">
        <f t="array" ref="G192">IF(IFERROR(-INDEX(Expenses!D$3:D$999,SMALL(IF((Expenses!E$3:E$999="GBP")*(Expenses!A$3:A$999=DATE(2026,9,16)),ROW(Expenses!A$3:A$999)-2),4)),0)+IFERROR(INDEX(Income!C$3:C$502,SMALL(IF((Income!D$3:D$502="GBP")*(Income!A$3:A$502=DATE(2026,9,16)),ROW(Income!A$3:A$502)-2),4)),0)=0,"",IFERROR(-INDEX(Expenses!D$3:D$999,SMALL(IF((Expenses!E$3:E$999="GBP")*(Expenses!A$3:A$999=DATE(2026,9,16)),ROW(Expenses!A$3:A$999)-2),4)),0)+IFERROR(INDEX(Income!C$3:C$502,SMALL(IF((Income!D$3:D$502="GBP")*(Income!A$3:A$502=DATE(2026,9,16)),ROW(Income!A$3:A$502)-2),4)),0))</f>
        <v/>
      </c>
      <c r="H192" s="126">
        <f t="array" ref="H192">IF(IFERROR(INDEX(Expenses!B$3:B$999,SMALL(IF((Expenses!E$3:E$999="GBP")*(Expenses!A$3:A$999=DATE(2026,9,16)),ROW(Expenses!A$3:A$999)-2),4)),"")&lt;&gt;"",IFERROR(INDEX(Expenses!B$3:B$999,SMALL(IF((Expenses!E$3:E$999="GBP")*(Expenses!A$3:A$999=DATE(2026,9,16)),ROW(Expenses!A$3:A$999)-2),4)),""),IF(IFERROR(INDEX(Income!B$3:B$502,SMALL(IF((Income!D$3:D$502="GBP")*(Income!A$3:A$502=DATE(2026,9,16)),ROW(Income!A$3:A$502)-2),4)),"")&lt;&gt;"",IFERROR(INDEX(Income!B$3:B$502,SMALL(IF((Income!D$3:D$502="GBP")*(Income!A$3:A$502=DATE(2026,9,16)),ROW(Income!A$3:A$502)-2),4)),""),""))</f>
        <v/>
      </c>
      <c r="I192" s="152">
        <f t="array" ref="I192">IF(IFERROR(-INDEX(Expenses!D$3:D$999,SMALL(IF((Expenses!E$3:E$999="GBP")*(Expenses!A$3:A$999=DATE(2026,9,17)),ROW(Expenses!A$3:A$999)-2),4)),0)+IFERROR(INDEX(Income!C$3:C$502,SMALL(IF((Income!D$3:D$502="GBP")*(Income!A$3:A$502=DATE(2026,9,17)),ROW(Income!A$3:A$502)-2),4)),0)=0,"",IFERROR(-INDEX(Expenses!D$3:D$999,SMALL(IF((Expenses!E$3:E$999="GBP")*(Expenses!A$3:A$999=DATE(2026,9,17)),ROW(Expenses!A$3:A$999)-2),4)),0)+IFERROR(INDEX(Income!C$3:C$502,SMALL(IF((Income!D$3:D$502="GBP")*(Income!A$3:A$502=DATE(2026,9,17)),ROW(Income!A$3:A$502)-2),4)),0))</f>
        <v/>
      </c>
      <c r="J192" s="126">
        <f t="array" ref="J192">IF(IFERROR(INDEX(Expenses!B$3:B$999,SMALL(IF((Expenses!E$3:E$999="GBP")*(Expenses!A$3:A$999=DATE(2026,9,17)),ROW(Expenses!A$3:A$999)-2),4)),"")&lt;&gt;"",IFERROR(INDEX(Expenses!B$3:B$999,SMALL(IF((Expenses!E$3:E$999="GBP")*(Expenses!A$3:A$999=DATE(2026,9,17)),ROW(Expenses!A$3:A$999)-2),4)),""),IF(IFERROR(INDEX(Income!B$3:B$502,SMALL(IF((Income!D$3:D$502="GBP")*(Income!A$3:A$502=DATE(2026,9,17)),ROW(Income!A$3:A$502)-2),4)),"")&lt;&gt;"",IFERROR(INDEX(Income!B$3:B$502,SMALL(IF((Income!D$3:D$502="GBP")*(Income!A$3:A$502=DATE(2026,9,17)),ROW(Income!A$3:A$502)-2),4)),""),""))</f>
        <v/>
      </c>
      <c r="K192" s="152">
        <f t="array" ref="K192">IF(IFERROR(-INDEX(Expenses!D$3:D$999,SMALL(IF((Expenses!E$3:E$999="GBP")*(Expenses!A$3:A$999=DATE(2026,9,18)),ROW(Expenses!A$3:A$999)-2),4)),0)+IFERROR(INDEX(Income!C$3:C$502,SMALL(IF((Income!D$3:D$502="GBP")*(Income!A$3:A$502=DATE(2026,9,18)),ROW(Income!A$3:A$502)-2),4)),0)=0,"",IFERROR(-INDEX(Expenses!D$3:D$999,SMALL(IF((Expenses!E$3:E$999="GBP")*(Expenses!A$3:A$999=DATE(2026,9,18)),ROW(Expenses!A$3:A$999)-2),4)),0)+IFERROR(INDEX(Income!C$3:C$502,SMALL(IF((Income!D$3:D$502="GBP")*(Income!A$3:A$502=DATE(2026,9,18)),ROW(Income!A$3:A$502)-2),4)),0))</f>
        <v/>
      </c>
      <c r="L192" s="126">
        <f t="array" ref="L192">IF(IFERROR(INDEX(Expenses!B$3:B$999,SMALL(IF((Expenses!E$3:E$999="GBP")*(Expenses!A$3:A$999=DATE(2026,9,18)),ROW(Expenses!A$3:A$999)-2),4)),"")&lt;&gt;"",IFERROR(INDEX(Expenses!B$3:B$999,SMALL(IF((Expenses!E$3:E$999="GBP")*(Expenses!A$3:A$999=DATE(2026,9,18)),ROW(Expenses!A$3:A$999)-2),4)),""),IF(IFERROR(INDEX(Income!B$3:B$502,SMALL(IF((Income!D$3:D$502="GBP")*(Income!A$3:A$502=DATE(2026,9,18)),ROW(Income!A$3:A$502)-2),4)),"")&lt;&gt;"",IFERROR(INDEX(Income!B$3:B$502,SMALL(IF((Income!D$3:D$502="GBP")*(Income!A$3:A$502=DATE(2026,9,18)),ROW(Income!A$3:A$502)-2),4)),""),""))</f>
        <v/>
      </c>
      <c r="M192" s="152">
        <f t="array" ref="M192">IF(IFERROR(-INDEX(Expenses!D$3:D$999,SMALL(IF((Expenses!E$3:E$999="GBP")*(Expenses!A$3:A$999=DATE(2026,9,19)),ROW(Expenses!A$3:A$999)-2),4)),0)+IFERROR(INDEX(Income!C$3:C$502,SMALL(IF((Income!D$3:D$502="GBP")*(Income!A$3:A$502=DATE(2026,9,19)),ROW(Income!A$3:A$502)-2),4)),0)=0,"",IFERROR(-INDEX(Expenses!D$3:D$999,SMALL(IF((Expenses!E$3:E$999="GBP")*(Expenses!A$3:A$999=DATE(2026,9,19)),ROW(Expenses!A$3:A$999)-2),4)),0)+IFERROR(INDEX(Income!C$3:C$502,SMALL(IF((Income!D$3:D$502="GBP")*(Income!A$3:A$502=DATE(2026,9,19)),ROW(Income!A$3:A$502)-2),4)),0))</f>
        <v/>
      </c>
      <c r="N192" s="126">
        <f t="array" ref="N192">IF(IFERROR(INDEX(Expenses!B$3:B$999,SMALL(IF((Expenses!E$3:E$999="GBP")*(Expenses!A$3:A$999=DATE(2026,9,19)),ROW(Expenses!A$3:A$999)-2),4)),"")&lt;&gt;"",IFERROR(INDEX(Expenses!B$3:B$999,SMALL(IF((Expenses!E$3:E$999="GBP")*(Expenses!A$3:A$999=DATE(2026,9,19)),ROW(Expenses!A$3:A$999)-2),4)),""),IF(IFERROR(INDEX(Income!B$3:B$502,SMALL(IF((Income!D$3:D$502="GBP")*(Income!A$3:A$502=DATE(2026,9,19)),ROW(Income!A$3:A$502)-2),4)),"")&lt;&gt;"",IFERROR(INDEX(Income!B$3:B$502,SMALL(IF((Income!D$3:D$502="GBP")*(Income!A$3:A$502=DATE(2026,9,19)),ROW(Income!A$3:A$502)-2),4)),""),""))</f>
        <v/>
      </c>
      <c r="O192" s="152">
        <f t="array" ref="O192">IF(IFERROR(-INDEX(Expenses!D$3:D$999,SMALL(IF((Expenses!E$3:E$999="GBP")*(Expenses!A$3:A$999=DATE(2026,9,20)),ROW(Expenses!A$3:A$999)-2),4)),0)+IFERROR(INDEX(Income!C$3:C$502,SMALL(IF((Income!D$3:D$502="GBP")*(Income!A$3:A$502=DATE(2026,9,20)),ROW(Income!A$3:A$502)-2),4)),0)=0,"",IFERROR(-INDEX(Expenses!D$3:D$999,SMALL(IF((Expenses!E$3:E$999="GBP")*(Expenses!A$3:A$999=DATE(2026,9,20)),ROW(Expenses!A$3:A$999)-2),4)),0)+IFERROR(INDEX(Income!C$3:C$502,SMALL(IF((Income!D$3:D$502="GBP")*(Income!A$3:A$502=DATE(2026,9,20)),ROW(Income!A$3:A$502)-2),4)),0))</f>
        <v/>
      </c>
      <c r="P192" s="126">
        <f t="array" ref="P192">IF(IFERROR(INDEX(Expenses!B$3:B$999,SMALL(IF((Expenses!E$3:E$999="GBP")*(Expenses!A$3:A$999=DATE(2026,9,20)),ROW(Expenses!A$3:A$999)-2),4)),"")&lt;&gt;"",IFERROR(INDEX(Expenses!B$3:B$999,SMALL(IF((Expenses!E$3:E$999="GBP")*(Expenses!A$3:A$999=DATE(2026,9,20)),ROW(Expenses!A$3:A$999)-2),4)),""),IF(IFERROR(INDEX(Income!B$3:B$502,SMALL(IF((Income!D$3:D$502="GBP")*(Income!A$3:A$502=DATE(2026,9,20)),ROW(Income!A$3:A$502)-2),4)),"")&lt;&gt;"",IFERROR(INDEX(Income!B$3:B$502,SMALL(IF((Income!D$3:D$502="GBP")*(Income!A$3:A$502=DATE(2026,9,20)),ROW(Income!A$3:A$502)-2),4)),""),""))</f>
        <v/>
      </c>
      <c r="Q192" s="9" t="n"/>
      <c r="R192" s="9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68">
      <c r="A193" s="9" t="n"/>
      <c r="B193" s="9" t="n"/>
      <c r="C193" s="152">
        <f t="array" ref="C193">IF(IFERROR(-INDEX(Expenses!D$3:D$999,SMALL(IF((Expenses!E$3:E$999="GBP")*(Expenses!A$3:A$999=DATE(2026,9,14)),ROW(Expenses!A$3:A$999)-2),5)),0)+IFERROR(INDEX(Income!C$3:C$502,SMALL(IF((Income!D$3:D$502="GBP")*(Income!A$3:A$502=DATE(2026,9,14)),ROW(Income!A$3:A$502)-2),5)),0)=0,"",IFERROR(-INDEX(Expenses!D$3:D$999,SMALL(IF((Expenses!E$3:E$999="GBP")*(Expenses!A$3:A$999=DATE(2026,9,14)),ROW(Expenses!A$3:A$999)-2),5)),0)+IFERROR(INDEX(Income!C$3:C$502,SMALL(IF((Income!D$3:D$502="GBP")*(Income!A$3:A$502=DATE(2026,9,14)),ROW(Income!A$3:A$502)-2),5)),0))</f>
        <v/>
      </c>
      <c r="D193" s="126">
        <f t="array" ref="D193">IF(IFERROR(INDEX(Expenses!B$3:B$999,SMALL(IF((Expenses!E$3:E$999="GBP")*(Expenses!A$3:A$999=DATE(2026,9,14)),ROW(Expenses!A$3:A$999)-2),5)),"")&lt;&gt;"",IFERROR(INDEX(Expenses!B$3:B$999,SMALL(IF((Expenses!E$3:E$999="GBP")*(Expenses!A$3:A$999=DATE(2026,9,14)),ROW(Expenses!A$3:A$999)-2),5)),""),IF(IFERROR(INDEX(Income!B$3:B$502,SMALL(IF((Income!D$3:D$502="GBP")*(Income!A$3:A$502=DATE(2026,9,14)),ROW(Income!A$3:A$502)-2),5)),"")&lt;&gt;"",IFERROR(INDEX(Income!B$3:B$502,SMALL(IF((Income!D$3:D$502="GBP")*(Income!A$3:A$502=DATE(2026,9,14)),ROW(Income!A$3:A$502)-2),5)),""),""))</f>
        <v/>
      </c>
      <c r="E193" s="152">
        <f t="array" ref="E193">IF(IFERROR(-INDEX(Expenses!D$3:D$999,SMALL(IF((Expenses!E$3:E$999="GBP")*(Expenses!A$3:A$999=DATE(2026,9,15)),ROW(Expenses!A$3:A$999)-2),5)),0)+IFERROR(INDEX(Income!C$3:C$502,SMALL(IF((Income!D$3:D$502="GBP")*(Income!A$3:A$502=DATE(2026,9,15)),ROW(Income!A$3:A$502)-2),5)),0)=0,"",IFERROR(-INDEX(Expenses!D$3:D$999,SMALL(IF((Expenses!E$3:E$999="GBP")*(Expenses!A$3:A$999=DATE(2026,9,15)),ROW(Expenses!A$3:A$999)-2),5)),0)+IFERROR(INDEX(Income!C$3:C$502,SMALL(IF((Income!D$3:D$502="GBP")*(Income!A$3:A$502=DATE(2026,9,15)),ROW(Income!A$3:A$502)-2),5)),0))</f>
        <v/>
      </c>
      <c r="F193" s="126">
        <f t="array" ref="F193">IF(IFERROR(INDEX(Expenses!B$3:B$999,SMALL(IF((Expenses!E$3:E$999="GBP")*(Expenses!A$3:A$999=DATE(2026,9,15)),ROW(Expenses!A$3:A$999)-2),5)),"")&lt;&gt;"",IFERROR(INDEX(Expenses!B$3:B$999,SMALL(IF((Expenses!E$3:E$999="GBP")*(Expenses!A$3:A$999=DATE(2026,9,15)),ROW(Expenses!A$3:A$999)-2),5)),""),IF(IFERROR(INDEX(Income!B$3:B$502,SMALL(IF((Income!D$3:D$502="GBP")*(Income!A$3:A$502=DATE(2026,9,15)),ROW(Income!A$3:A$502)-2),5)),"")&lt;&gt;"",IFERROR(INDEX(Income!B$3:B$502,SMALL(IF((Income!D$3:D$502="GBP")*(Income!A$3:A$502=DATE(2026,9,15)),ROW(Income!A$3:A$502)-2),5)),""),""))</f>
        <v/>
      </c>
      <c r="G193" s="152">
        <f t="array" ref="G193">IF(IFERROR(-INDEX(Expenses!D$3:D$999,SMALL(IF((Expenses!E$3:E$999="GBP")*(Expenses!A$3:A$999=DATE(2026,9,16)),ROW(Expenses!A$3:A$999)-2),5)),0)+IFERROR(INDEX(Income!C$3:C$502,SMALL(IF((Income!D$3:D$502="GBP")*(Income!A$3:A$502=DATE(2026,9,16)),ROW(Income!A$3:A$502)-2),5)),0)=0,"",IFERROR(-INDEX(Expenses!D$3:D$999,SMALL(IF((Expenses!E$3:E$999="GBP")*(Expenses!A$3:A$999=DATE(2026,9,16)),ROW(Expenses!A$3:A$999)-2),5)),0)+IFERROR(INDEX(Income!C$3:C$502,SMALL(IF((Income!D$3:D$502="GBP")*(Income!A$3:A$502=DATE(2026,9,16)),ROW(Income!A$3:A$502)-2),5)),0))</f>
        <v/>
      </c>
      <c r="H193" s="126">
        <f t="array" ref="H193">IF(IFERROR(INDEX(Expenses!B$3:B$999,SMALL(IF((Expenses!E$3:E$999="GBP")*(Expenses!A$3:A$999=DATE(2026,9,16)),ROW(Expenses!A$3:A$999)-2),5)),"")&lt;&gt;"",IFERROR(INDEX(Expenses!B$3:B$999,SMALL(IF((Expenses!E$3:E$999="GBP")*(Expenses!A$3:A$999=DATE(2026,9,16)),ROW(Expenses!A$3:A$999)-2),5)),""),IF(IFERROR(INDEX(Income!B$3:B$502,SMALL(IF((Income!D$3:D$502="GBP")*(Income!A$3:A$502=DATE(2026,9,16)),ROW(Income!A$3:A$502)-2),5)),"")&lt;&gt;"",IFERROR(INDEX(Income!B$3:B$502,SMALL(IF((Income!D$3:D$502="GBP")*(Income!A$3:A$502=DATE(2026,9,16)),ROW(Income!A$3:A$502)-2),5)),""),""))</f>
        <v/>
      </c>
      <c r="I193" s="152">
        <f t="array" ref="I193">IF(IFERROR(-INDEX(Expenses!D$3:D$999,SMALL(IF((Expenses!E$3:E$999="GBP")*(Expenses!A$3:A$999=DATE(2026,9,17)),ROW(Expenses!A$3:A$999)-2),5)),0)+IFERROR(INDEX(Income!C$3:C$502,SMALL(IF((Income!D$3:D$502="GBP")*(Income!A$3:A$502=DATE(2026,9,17)),ROW(Income!A$3:A$502)-2),5)),0)=0,"",IFERROR(-INDEX(Expenses!D$3:D$999,SMALL(IF((Expenses!E$3:E$999="GBP")*(Expenses!A$3:A$999=DATE(2026,9,17)),ROW(Expenses!A$3:A$999)-2),5)),0)+IFERROR(INDEX(Income!C$3:C$502,SMALL(IF((Income!D$3:D$502="GBP")*(Income!A$3:A$502=DATE(2026,9,17)),ROW(Income!A$3:A$502)-2),5)),0))</f>
        <v/>
      </c>
      <c r="J193" s="126">
        <f t="array" ref="J193">IF(IFERROR(INDEX(Expenses!B$3:B$999,SMALL(IF((Expenses!E$3:E$999="GBP")*(Expenses!A$3:A$999=DATE(2026,9,17)),ROW(Expenses!A$3:A$999)-2),5)),"")&lt;&gt;"",IFERROR(INDEX(Expenses!B$3:B$999,SMALL(IF((Expenses!E$3:E$999="GBP")*(Expenses!A$3:A$999=DATE(2026,9,17)),ROW(Expenses!A$3:A$999)-2),5)),""),IF(IFERROR(INDEX(Income!B$3:B$502,SMALL(IF((Income!D$3:D$502="GBP")*(Income!A$3:A$502=DATE(2026,9,17)),ROW(Income!A$3:A$502)-2),5)),"")&lt;&gt;"",IFERROR(INDEX(Income!B$3:B$502,SMALL(IF((Income!D$3:D$502="GBP")*(Income!A$3:A$502=DATE(2026,9,17)),ROW(Income!A$3:A$502)-2),5)),""),""))</f>
        <v/>
      </c>
      <c r="K193" s="152">
        <f t="array" ref="K193">IF(IFERROR(-INDEX(Expenses!D$3:D$999,SMALL(IF((Expenses!E$3:E$999="GBP")*(Expenses!A$3:A$999=DATE(2026,9,18)),ROW(Expenses!A$3:A$999)-2),5)),0)+IFERROR(INDEX(Income!C$3:C$502,SMALL(IF((Income!D$3:D$502="GBP")*(Income!A$3:A$502=DATE(2026,9,18)),ROW(Income!A$3:A$502)-2),5)),0)=0,"",IFERROR(-INDEX(Expenses!D$3:D$999,SMALL(IF((Expenses!E$3:E$999="GBP")*(Expenses!A$3:A$999=DATE(2026,9,18)),ROW(Expenses!A$3:A$999)-2),5)),0)+IFERROR(INDEX(Income!C$3:C$502,SMALL(IF((Income!D$3:D$502="GBP")*(Income!A$3:A$502=DATE(2026,9,18)),ROW(Income!A$3:A$502)-2),5)),0))</f>
        <v/>
      </c>
      <c r="L193" s="126">
        <f t="array" ref="L193">IF(IFERROR(INDEX(Expenses!B$3:B$999,SMALL(IF((Expenses!E$3:E$999="GBP")*(Expenses!A$3:A$999=DATE(2026,9,18)),ROW(Expenses!A$3:A$999)-2),5)),"")&lt;&gt;"",IFERROR(INDEX(Expenses!B$3:B$999,SMALL(IF((Expenses!E$3:E$999="GBP")*(Expenses!A$3:A$999=DATE(2026,9,18)),ROW(Expenses!A$3:A$999)-2),5)),""),IF(IFERROR(INDEX(Income!B$3:B$502,SMALL(IF((Income!D$3:D$502="GBP")*(Income!A$3:A$502=DATE(2026,9,18)),ROW(Income!A$3:A$502)-2),5)),"")&lt;&gt;"",IFERROR(INDEX(Income!B$3:B$502,SMALL(IF((Income!D$3:D$502="GBP")*(Income!A$3:A$502=DATE(2026,9,18)),ROW(Income!A$3:A$502)-2),5)),""),""))</f>
        <v/>
      </c>
      <c r="M193" s="152">
        <f t="array" ref="M193">IF(IFERROR(-INDEX(Expenses!D$3:D$999,SMALL(IF((Expenses!E$3:E$999="GBP")*(Expenses!A$3:A$999=DATE(2026,9,19)),ROW(Expenses!A$3:A$999)-2),5)),0)+IFERROR(INDEX(Income!C$3:C$502,SMALL(IF((Income!D$3:D$502="GBP")*(Income!A$3:A$502=DATE(2026,9,19)),ROW(Income!A$3:A$502)-2),5)),0)=0,"",IFERROR(-INDEX(Expenses!D$3:D$999,SMALL(IF((Expenses!E$3:E$999="GBP")*(Expenses!A$3:A$999=DATE(2026,9,19)),ROW(Expenses!A$3:A$999)-2),5)),0)+IFERROR(INDEX(Income!C$3:C$502,SMALL(IF((Income!D$3:D$502="GBP")*(Income!A$3:A$502=DATE(2026,9,19)),ROW(Income!A$3:A$502)-2),5)),0))</f>
        <v/>
      </c>
      <c r="N193" s="126">
        <f t="array" ref="N193">IF(IFERROR(INDEX(Expenses!B$3:B$999,SMALL(IF((Expenses!E$3:E$999="GBP")*(Expenses!A$3:A$999=DATE(2026,9,19)),ROW(Expenses!A$3:A$999)-2),5)),"")&lt;&gt;"",IFERROR(INDEX(Expenses!B$3:B$999,SMALL(IF((Expenses!E$3:E$999="GBP")*(Expenses!A$3:A$999=DATE(2026,9,19)),ROW(Expenses!A$3:A$999)-2),5)),""),IF(IFERROR(INDEX(Income!B$3:B$502,SMALL(IF((Income!D$3:D$502="GBP")*(Income!A$3:A$502=DATE(2026,9,19)),ROW(Income!A$3:A$502)-2),5)),"")&lt;&gt;"",IFERROR(INDEX(Income!B$3:B$502,SMALL(IF((Income!D$3:D$502="GBP")*(Income!A$3:A$502=DATE(2026,9,19)),ROW(Income!A$3:A$502)-2),5)),""),""))</f>
        <v/>
      </c>
      <c r="O193" s="152">
        <f t="array" ref="O193">IF(IFERROR(-INDEX(Expenses!D$3:D$999,SMALL(IF((Expenses!E$3:E$999="GBP")*(Expenses!A$3:A$999=DATE(2026,9,20)),ROW(Expenses!A$3:A$999)-2),5)),0)+IFERROR(INDEX(Income!C$3:C$502,SMALL(IF((Income!D$3:D$502="GBP")*(Income!A$3:A$502=DATE(2026,9,20)),ROW(Income!A$3:A$502)-2),5)),0)=0,"",IFERROR(-INDEX(Expenses!D$3:D$999,SMALL(IF((Expenses!E$3:E$999="GBP")*(Expenses!A$3:A$999=DATE(2026,9,20)),ROW(Expenses!A$3:A$999)-2),5)),0)+IFERROR(INDEX(Income!C$3:C$502,SMALL(IF((Income!D$3:D$502="GBP")*(Income!A$3:A$502=DATE(2026,9,20)),ROW(Income!A$3:A$502)-2),5)),0))</f>
        <v/>
      </c>
      <c r="P193" s="126">
        <f t="array" ref="P193">IF(IFERROR(INDEX(Expenses!B$3:B$999,SMALL(IF((Expenses!E$3:E$999="GBP")*(Expenses!A$3:A$999=DATE(2026,9,20)),ROW(Expenses!A$3:A$999)-2),5)),"")&lt;&gt;"",IFERROR(INDEX(Expenses!B$3:B$999,SMALL(IF((Expenses!E$3:E$999="GBP")*(Expenses!A$3:A$999=DATE(2026,9,20)),ROW(Expenses!A$3:A$999)-2),5)),""),IF(IFERROR(INDEX(Income!B$3:B$502,SMALL(IF((Income!D$3:D$502="GBP")*(Income!A$3:A$502=DATE(2026,9,20)),ROW(Income!A$3:A$502)-2),5)),"")&lt;&gt;"",IFERROR(INDEX(Income!B$3:B$502,SMALL(IF((Income!D$3:D$502="GBP")*(Income!A$3:A$502=DATE(2026,9,20)),ROW(Income!A$3:A$502)-2),5)),""),""))</f>
        <v/>
      </c>
      <c r="Q193" s="9" t="n"/>
      <c r="R193" s="9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68">
      <c r="A194" s="151" t="n">
        <v>46286</v>
      </c>
      <c r="B194" s="103" t="n">
        <v>39</v>
      </c>
      <c r="C194" s="152">
        <f t="array" ref="C194">IF(IFERROR(-INDEX(Expenses!D$3:D$999,SMALL(IF((Expenses!E$3:E$999="GBP")*(Expenses!A$3:A$999=DATE(2026,9,21)),ROW(Expenses!A$3:A$999)-2),1)),0)+IFERROR(INDEX(Income!C$3:C$502,SMALL(IF((Income!D$3:D$502="GBP")*(Income!A$3:A$502=DATE(2026,9,21)),ROW(Income!A$3:A$502)-2),1)),0)=0,"",IFERROR(-INDEX(Expenses!D$3:D$999,SMALL(IF((Expenses!E$3:E$999="GBP")*(Expenses!A$3:A$999=DATE(2026,9,21)),ROW(Expenses!A$3:A$999)-2),1)),0)+IFERROR(INDEX(Income!C$3:C$502,SMALL(IF((Income!D$3:D$502="GBP")*(Income!A$3:A$502=DATE(2026,9,21)),ROW(Income!A$3:A$502)-2),1)),0))</f>
        <v/>
      </c>
      <c r="D194" s="126">
        <f t="array" ref="D194">IF(IFERROR(INDEX(Expenses!B$3:B$999,SMALL(IF((Expenses!E$3:E$999="GBP")*(Expenses!A$3:A$999=DATE(2026,9,21)),ROW(Expenses!A$3:A$999)-2),1)),"")&lt;&gt;"",IFERROR(INDEX(Expenses!B$3:B$999,SMALL(IF((Expenses!E$3:E$999="GBP")*(Expenses!A$3:A$999=DATE(2026,9,21)),ROW(Expenses!A$3:A$999)-2),1)),""),IF(IFERROR(INDEX(Income!B$3:B$502,SMALL(IF((Income!D$3:D$502="GBP")*(Income!A$3:A$502=DATE(2026,9,21)),ROW(Income!A$3:A$502)-2),1)),"")&lt;&gt;"",IFERROR(INDEX(Income!B$3:B$502,SMALL(IF((Income!D$3:D$502="GBP")*(Income!A$3:A$502=DATE(2026,9,21)),ROW(Income!A$3:A$502)-2),1)),""),""))</f>
        <v/>
      </c>
      <c r="E194" s="152">
        <f t="array" ref="E194">IF(IFERROR(-INDEX(Expenses!D$3:D$999,SMALL(IF((Expenses!E$3:E$999="GBP")*(Expenses!A$3:A$999=DATE(2026,9,22)),ROW(Expenses!A$3:A$999)-2),1)),0)+IFERROR(INDEX(Income!C$3:C$502,SMALL(IF((Income!D$3:D$502="GBP")*(Income!A$3:A$502=DATE(2026,9,22)),ROW(Income!A$3:A$502)-2),1)),0)=0,"",IFERROR(-INDEX(Expenses!D$3:D$999,SMALL(IF((Expenses!E$3:E$999="GBP")*(Expenses!A$3:A$999=DATE(2026,9,22)),ROW(Expenses!A$3:A$999)-2),1)),0)+IFERROR(INDEX(Income!C$3:C$502,SMALL(IF((Income!D$3:D$502="GBP")*(Income!A$3:A$502=DATE(2026,9,22)),ROW(Income!A$3:A$502)-2),1)),0))</f>
        <v/>
      </c>
      <c r="F194" s="126">
        <f t="array" ref="F194">IF(IFERROR(INDEX(Expenses!B$3:B$999,SMALL(IF((Expenses!E$3:E$999="GBP")*(Expenses!A$3:A$999=DATE(2026,9,22)),ROW(Expenses!A$3:A$999)-2),1)),"")&lt;&gt;"",IFERROR(INDEX(Expenses!B$3:B$999,SMALL(IF((Expenses!E$3:E$999="GBP")*(Expenses!A$3:A$999=DATE(2026,9,22)),ROW(Expenses!A$3:A$999)-2),1)),""),IF(IFERROR(INDEX(Income!B$3:B$502,SMALL(IF((Income!D$3:D$502="GBP")*(Income!A$3:A$502=DATE(2026,9,22)),ROW(Income!A$3:A$502)-2),1)),"")&lt;&gt;"",IFERROR(INDEX(Income!B$3:B$502,SMALL(IF((Income!D$3:D$502="GBP")*(Income!A$3:A$502=DATE(2026,9,22)),ROW(Income!A$3:A$502)-2),1)),""),""))</f>
        <v/>
      </c>
      <c r="G194" s="152">
        <f t="array" ref="G194">IF(IFERROR(-INDEX(Expenses!D$3:D$999,SMALL(IF((Expenses!E$3:E$999="GBP")*(Expenses!A$3:A$999=DATE(2026,9,23)),ROW(Expenses!A$3:A$999)-2),1)),0)+IFERROR(INDEX(Income!C$3:C$502,SMALL(IF((Income!D$3:D$502="GBP")*(Income!A$3:A$502=DATE(2026,9,23)),ROW(Income!A$3:A$502)-2),1)),0)=0,"",IFERROR(-INDEX(Expenses!D$3:D$999,SMALL(IF((Expenses!E$3:E$999="GBP")*(Expenses!A$3:A$999=DATE(2026,9,23)),ROW(Expenses!A$3:A$999)-2),1)),0)+IFERROR(INDEX(Income!C$3:C$502,SMALL(IF((Income!D$3:D$502="GBP")*(Income!A$3:A$502=DATE(2026,9,23)),ROW(Income!A$3:A$502)-2),1)),0))</f>
        <v/>
      </c>
      <c r="H194" s="126">
        <f t="array" ref="H194">IF(IFERROR(INDEX(Expenses!B$3:B$999,SMALL(IF((Expenses!E$3:E$999="GBP")*(Expenses!A$3:A$999=DATE(2026,9,23)),ROW(Expenses!A$3:A$999)-2),1)),"")&lt;&gt;"",IFERROR(INDEX(Expenses!B$3:B$999,SMALL(IF((Expenses!E$3:E$999="GBP")*(Expenses!A$3:A$999=DATE(2026,9,23)),ROW(Expenses!A$3:A$999)-2),1)),""),IF(IFERROR(INDEX(Income!B$3:B$502,SMALL(IF((Income!D$3:D$502="GBP")*(Income!A$3:A$502=DATE(2026,9,23)),ROW(Income!A$3:A$502)-2),1)),"")&lt;&gt;"",IFERROR(INDEX(Income!B$3:B$502,SMALL(IF((Income!D$3:D$502="GBP")*(Income!A$3:A$502=DATE(2026,9,23)),ROW(Income!A$3:A$502)-2),1)),""),""))</f>
        <v/>
      </c>
      <c r="I194" s="152">
        <f t="array" ref="I194">IF(IFERROR(-INDEX(Expenses!D$3:D$999,SMALL(IF((Expenses!E$3:E$999="GBP")*(Expenses!A$3:A$999=DATE(2026,9,24)),ROW(Expenses!A$3:A$999)-2),1)),0)+IFERROR(INDEX(Income!C$3:C$502,SMALL(IF((Income!D$3:D$502="GBP")*(Income!A$3:A$502=DATE(2026,9,24)),ROW(Income!A$3:A$502)-2),1)),0)=0,"",IFERROR(-INDEX(Expenses!D$3:D$999,SMALL(IF((Expenses!E$3:E$999="GBP")*(Expenses!A$3:A$999=DATE(2026,9,24)),ROW(Expenses!A$3:A$999)-2),1)),0)+IFERROR(INDEX(Income!C$3:C$502,SMALL(IF((Income!D$3:D$502="GBP")*(Income!A$3:A$502=DATE(2026,9,24)),ROW(Income!A$3:A$502)-2),1)),0))</f>
        <v/>
      </c>
      <c r="J194" s="126">
        <f t="array" ref="J194">IF(IFERROR(INDEX(Expenses!B$3:B$999,SMALL(IF((Expenses!E$3:E$999="GBP")*(Expenses!A$3:A$999=DATE(2026,9,24)),ROW(Expenses!A$3:A$999)-2),1)),"")&lt;&gt;"",IFERROR(INDEX(Expenses!B$3:B$999,SMALL(IF((Expenses!E$3:E$999="GBP")*(Expenses!A$3:A$999=DATE(2026,9,24)),ROW(Expenses!A$3:A$999)-2),1)),""),IF(IFERROR(INDEX(Income!B$3:B$502,SMALL(IF((Income!D$3:D$502="GBP")*(Income!A$3:A$502=DATE(2026,9,24)),ROW(Income!A$3:A$502)-2),1)),"")&lt;&gt;"",IFERROR(INDEX(Income!B$3:B$502,SMALL(IF((Income!D$3:D$502="GBP")*(Income!A$3:A$502=DATE(2026,9,24)),ROW(Income!A$3:A$502)-2),1)),""),""))</f>
        <v/>
      </c>
      <c r="K194" s="152">
        <f t="array" ref="K194">IF(IFERROR(-INDEX(Expenses!D$3:D$999,SMALL(IF((Expenses!E$3:E$999="GBP")*(Expenses!A$3:A$999=DATE(2026,9,25)),ROW(Expenses!A$3:A$999)-2),1)),0)+IFERROR(INDEX(Income!C$3:C$502,SMALL(IF((Income!D$3:D$502="GBP")*(Income!A$3:A$502=DATE(2026,9,25)),ROW(Income!A$3:A$502)-2),1)),0)=0,"",IFERROR(-INDEX(Expenses!D$3:D$999,SMALL(IF((Expenses!E$3:E$999="GBP")*(Expenses!A$3:A$999=DATE(2026,9,25)),ROW(Expenses!A$3:A$999)-2),1)),0)+IFERROR(INDEX(Income!C$3:C$502,SMALL(IF((Income!D$3:D$502="GBP")*(Income!A$3:A$502=DATE(2026,9,25)),ROW(Income!A$3:A$502)-2),1)),0))</f>
        <v/>
      </c>
      <c r="L194" s="126">
        <f t="array" ref="L194">IF(IFERROR(INDEX(Expenses!B$3:B$999,SMALL(IF((Expenses!E$3:E$999="GBP")*(Expenses!A$3:A$999=DATE(2026,9,25)),ROW(Expenses!A$3:A$999)-2),1)),"")&lt;&gt;"",IFERROR(INDEX(Expenses!B$3:B$999,SMALL(IF((Expenses!E$3:E$999="GBP")*(Expenses!A$3:A$999=DATE(2026,9,25)),ROW(Expenses!A$3:A$999)-2),1)),""),IF(IFERROR(INDEX(Income!B$3:B$502,SMALL(IF((Income!D$3:D$502="GBP")*(Income!A$3:A$502=DATE(2026,9,25)),ROW(Income!A$3:A$502)-2),1)),"")&lt;&gt;"",IFERROR(INDEX(Income!B$3:B$502,SMALL(IF((Income!D$3:D$502="GBP")*(Income!A$3:A$502=DATE(2026,9,25)),ROW(Income!A$3:A$502)-2),1)),""),""))</f>
        <v/>
      </c>
      <c r="M194" s="152">
        <f t="array" ref="M194">IF(IFERROR(-INDEX(Expenses!D$3:D$999,SMALL(IF((Expenses!E$3:E$999="GBP")*(Expenses!A$3:A$999=DATE(2026,9,26)),ROW(Expenses!A$3:A$999)-2),1)),0)+IFERROR(INDEX(Income!C$3:C$502,SMALL(IF((Income!D$3:D$502="GBP")*(Income!A$3:A$502=DATE(2026,9,26)),ROW(Income!A$3:A$502)-2),1)),0)=0,"",IFERROR(-INDEX(Expenses!D$3:D$999,SMALL(IF((Expenses!E$3:E$999="GBP")*(Expenses!A$3:A$999=DATE(2026,9,26)),ROW(Expenses!A$3:A$999)-2),1)),0)+IFERROR(INDEX(Income!C$3:C$502,SMALL(IF((Income!D$3:D$502="GBP")*(Income!A$3:A$502=DATE(2026,9,26)),ROW(Income!A$3:A$502)-2),1)),0))</f>
        <v/>
      </c>
      <c r="N194" s="126">
        <f t="array" ref="N194">IF(IFERROR(INDEX(Expenses!B$3:B$999,SMALL(IF((Expenses!E$3:E$999="GBP")*(Expenses!A$3:A$999=DATE(2026,9,26)),ROW(Expenses!A$3:A$999)-2),1)),"")&lt;&gt;"",IFERROR(INDEX(Expenses!B$3:B$999,SMALL(IF((Expenses!E$3:E$999="GBP")*(Expenses!A$3:A$999=DATE(2026,9,26)),ROW(Expenses!A$3:A$999)-2),1)),""),IF(IFERROR(INDEX(Income!B$3:B$502,SMALL(IF((Income!D$3:D$502="GBP")*(Income!A$3:A$502=DATE(2026,9,26)),ROW(Income!A$3:A$502)-2),1)),"")&lt;&gt;"",IFERROR(INDEX(Income!B$3:B$502,SMALL(IF((Income!D$3:D$502="GBP")*(Income!A$3:A$502=DATE(2026,9,26)),ROW(Income!A$3:A$502)-2),1)),""),""))</f>
        <v/>
      </c>
      <c r="O194" s="152">
        <f t="array" ref="O194">IF(IFERROR(-INDEX(Expenses!D$3:D$999,SMALL(IF((Expenses!E$3:E$999="GBP")*(Expenses!A$3:A$999=DATE(2026,9,27)),ROW(Expenses!A$3:A$999)-2),1)),0)+IFERROR(INDEX(Income!C$3:C$502,SMALL(IF((Income!D$3:D$502="GBP")*(Income!A$3:A$502=DATE(2026,9,27)),ROW(Income!A$3:A$502)-2),1)),0)=0,"",IFERROR(-INDEX(Expenses!D$3:D$999,SMALL(IF((Expenses!E$3:E$999="GBP")*(Expenses!A$3:A$999=DATE(2026,9,27)),ROW(Expenses!A$3:A$999)-2),1)),0)+IFERROR(INDEX(Income!C$3:C$502,SMALL(IF((Income!D$3:D$502="GBP")*(Income!A$3:A$502=DATE(2026,9,27)),ROW(Income!A$3:A$502)-2),1)),0))</f>
        <v/>
      </c>
      <c r="P194" s="126">
        <f t="array" ref="P194">IF(IFERROR(INDEX(Expenses!B$3:B$999,SMALL(IF((Expenses!E$3:E$999="GBP")*(Expenses!A$3:A$999=DATE(2026,9,27)),ROW(Expenses!A$3:A$999)-2),1)),"")&lt;&gt;"",IFERROR(INDEX(Expenses!B$3:B$999,SMALL(IF((Expenses!E$3:E$999="GBP")*(Expenses!A$3:A$999=DATE(2026,9,27)),ROW(Expenses!A$3:A$999)-2),1)),""),IF(IFERROR(INDEX(Income!B$3:B$502,SMALL(IF((Income!D$3:D$502="GBP")*(Income!A$3:A$502=DATE(2026,9,27)),ROW(Income!A$3:A$502)-2),1)),"")&lt;&gt;"",IFERROR(INDEX(Income!B$3:B$502,SMALL(IF((Income!D$3:D$502="GBP")*(Income!A$3:A$502=DATE(2026,9,27)),ROW(Income!A$3:A$502)-2),1)),""),""))</f>
        <v/>
      </c>
      <c r="Q194" s="103" t="n">
        <v>39</v>
      </c>
      <c r="R194" s="134">
        <f>SUM(C194:C198)+SUM(E194:E198)+SUM(G194:G198)+SUM(I194:I198)+SUM(K194:K198)+SUM(M194:M198)+SUM(O194:O198)</f>
        <v/>
      </c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68">
      <c r="A195" s="9" t="n"/>
      <c r="B195" s="9" t="n"/>
      <c r="C195" s="152">
        <f t="array" ref="C195">IF(IFERROR(-INDEX(Expenses!D$3:D$999,SMALL(IF((Expenses!E$3:E$999="GBP")*(Expenses!A$3:A$999=DATE(2026,9,21)),ROW(Expenses!A$3:A$999)-2),2)),0)+IFERROR(INDEX(Income!C$3:C$502,SMALL(IF((Income!D$3:D$502="GBP")*(Income!A$3:A$502=DATE(2026,9,21)),ROW(Income!A$3:A$502)-2),2)),0)=0,"",IFERROR(-INDEX(Expenses!D$3:D$999,SMALL(IF((Expenses!E$3:E$999="GBP")*(Expenses!A$3:A$999=DATE(2026,9,21)),ROW(Expenses!A$3:A$999)-2),2)),0)+IFERROR(INDEX(Income!C$3:C$502,SMALL(IF((Income!D$3:D$502="GBP")*(Income!A$3:A$502=DATE(2026,9,21)),ROW(Income!A$3:A$502)-2),2)),0))</f>
        <v/>
      </c>
      <c r="D195" s="126">
        <f t="array" ref="D195">IF(IFERROR(INDEX(Expenses!B$3:B$999,SMALL(IF((Expenses!E$3:E$999="GBP")*(Expenses!A$3:A$999=DATE(2026,9,21)),ROW(Expenses!A$3:A$999)-2),2)),"")&lt;&gt;"",IFERROR(INDEX(Expenses!B$3:B$999,SMALL(IF((Expenses!E$3:E$999="GBP")*(Expenses!A$3:A$999=DATE(2026,9,21)),ROW(Expenses!A$3:A$999)-2),2)),""),IF(IFERROR(INDEX(Income!B$3:B$502,SMALL(IF((Income!D$3:D$502="GBP")*(Income!A$3:A$502=DATE(2026,9,21)),ROW(Income!A$3:A$502)-2),2)),"")&lt;&gt;"",IFERROR(INDEX(Income!B$3:B$502,SMALL(IF((Income!D$3:D$502="GBP")*(Income!A$3:A$502=DATE(2026,9,21)),ROW(Income!A$3:A$502)-2),2)),""),""))</f>
        <v/>
      </c>
      <c r="E195" s="152">
        <f t="array" ref="E195">IF(IFERROR(-INDEX(Expenses!D$3:D$999,SMALL(IF((Expenses!E$3:E$999="GBP")*(Expenses!A$3:A$999=DATE(2026,9,22)),ROW(Expenses!A$3:A$999)-2),2)),0)+IFERROR(INDEX(Income!C$3:C$502,SMALL(IF((Income!D$3:D$502="GBP")*(Income!A$3:A$502=DATE(2026,9,22)),ROW(Income!A$3:A$502)-2),2)),0)=0,"",IFERROR(-INDEX(Expenses!D$3:D$999,SMALL(IF((Expenses!E$3:E$999="GBP")*(Expenses!A$3:A$999=DATE(2026,9,22)),ROW(Expenses!A$3:A$999)-2),2)),0)+IFERROR(INDEX(Income!C$3:C$502,SMALL(IF((Income!D$3:D$502="GBP")*(Income!A$3:A$502=DATE(2026,9,22)),ROW(Income!A$3:A$502)-2),2)),0))</f>
        <v/>
      </c>
      <c r="F195" s="126">
        <f t="array" ref="F195">IF(IFERROR(INDEX(Expenses!B$3:B$999,SMALL(IF((Expenses!E$3:E$999="GBP")*(Expenses!A$3:A$999=DATE(2026,9,22)),ROW(Expenses!A$3:A$999)-2),2)),"")&lt;&gt;"",IFERROR(INDEX(Expenses!B$3:B$999,SMALL(IF((Expenses!E$3:E$999="GBP")*(Expenses!A$3:A$999=DATE(2026,9,22)),ROW(Expenses!A$3:A$999)-2),2)),""),IF(IFERROR(INDEX(Income!B$3:B$502,SMALL(IF((Income!D$3:D$502="GBP")*(Income!A$3:A$502=DATE(2026,9,22)),ROW(Income!A$3:A$502)-2),2)),"")&lt;&gt;"",IFERROR(INDEX(Income!B$3:B$502,SMALL(IF((Income!D$3:D$502="GBP")*(Income!A$3:A$502=DATE(2026,9,22)),ROW(Income!A$3:A$502)-2),2)),""),""))</f>
        <v/>
      </c>
      <c r="G195" s="152">
        <f t="array" ref="G195">IF(IFERROR(-INDEX(Expenses!D$3:D$999,SMALL(IF((Expenses!E$3:E$999="GBP")*(Expenses!A$3:A$999=DATE(2026,9,23)),ROW(Expenses!A$3:A$999)-2),2)),0)+IFERROR(INDEX(Income!C$3:C$502,SMALL(IF((Income!D$3:D$502="GBP")*(Income!A$3:A$502=DATE(2026,9,23)),ROW(Income!A$3:A$502)-2),2)),0)=0,"",IFERROR(-INDEX(Expenses!D$3:D$999,SMALL(IF((Expenses!E$3:E$999="GBP")*(Expenses!A$3:A$999=DATE(2026,9,23)),ROW(Expenses!A$3:A$999)-2),2)),0)+IFERROR(INDEX(Income!C$3:C$502,SMALL(IF((Income!D$3:D$502="GBP")*(Income!A$3:A$502=DATE(2026,9,23)),ROW(Income!A$3:A$502)-2),2)),0))</f>
        <v/>
      </c>
      <c r="H195" s="126">
        <f t="array" ref="H195">IF(IFERROR(INDEX(Expenses!B$3:B$999,SMALL(IF((Expenses!E$3:E$999="GBP")*(Expenses!A$3:A$999=DATE(2026,9,23)),ROW(Expenses!A$3:A$999)-2),2)),"")&lt;&gt;"",IFERROR(INDEX(Expenses!B$3:B$999,SMALL(IF((Expenses!E$3:E$999="GBP")*(Expenses!A$3:A$999=DATE(2026,9,23)),ROW(Expenses!A$3:A$999)-2),2)),""),IF(IFERROR(INDEX(Income!B$3:B$502,SMALL(IF((Income!D$3:D$502="GBP")*(Income!A$3:A$502=DATE(2026,9,23)),ROW(Income!A$3:A$502)-2),2)),"")&lt;&gt;"",IFERROR(INDEX(Income!B$3:B$502,SMALL(IF((Income!D$3:D$502="GBP")*(Income!A$3:A$502=DATE(2026,9,23)),ROW(Income!A$3:A$502)-2),2)),""),""))</f>
        <v/>
      </c>
      <c r="I195" s="152">
        <f t="array" ref="I195">IF(IFERROR(-INDEX(Expenses!D$3:D$999,SMALL(IF((Expenses!E$3:E$999="GBP")*(Expenses!A$3:A$999=DATE(2026,9,24)),ROW(Expenses!A$3:A$999)-2),2)),0)+IFERROR(INDEX(Income!C$3:C$502,SMALL(IF((Income!D$3:D$502="GBP")*(Income!A$3:A$502=DATE(2026,9,24)),ROW(Income!A$3:A$502)-2),2)),0)=0,"",IFERROR(-INDEX(Expenses!D$3:D$999,SMALL(IF((Expenses!E$3:E$999="GBP")*(Expenses!A$3:A$999=DATE(2026,9,24)),ROW(Expenses!A$3:A$999)-2),2)),0)+IFERROR(INDEX(Income!C$3:C$502,SMALL(IF((Income!D$3:D$502="GBP")*(Income!A$3:A$502=DATE(2026,9,24)),ROW(Income!A$3:A$502)-2),2)),0))</f>
        <v/>
      </c>
      <c r="J195" s="126">
        <f t="array" ref="J195">IF(IFERROR(INDEX(Expenses!B$3:B$999,SMALL(IF((Expenses!E$3:E$999="GBP")*(Expenses!A$3:A$999=DATE(2026,9,24)),ROW(Expenses!A$3:A$999)-2),2)),"")&lt;&gt;"",IFERROR(INDEX(Expenses!B$3:B$999,SMALL(IF((Expenses!E$3:E$999="GBP")*(Expenses!A$3:A$999=DATE(2026,9,24)),ROW(Expenses!A$3:A$999)-2),2)),""),IF(IFERROR(INDEX(Income!B$3:B$502,SMALL(IF((Income!D$3:D$502="GBP")*(Income!A$3:A$502=DATE(2026,9,24)),ROW(Income!A$3:A$502)-2),2)),"")&lt;&gt;"",IFERROR(INDEX(Income!B$3:B$502,SMALL(IF((Income!D$3:D$502="GBP")*(Income!A$3:A$502=DATE(2026,9,24)),ROW(Income!A$3:A$502)-2),2)),""),""))</f>
        <v/>
      </c>
      <c r="K195" s="152">
        <f t="array" ref="K195">IF(IFERROR(-INDEX(Expenses!D$3:D$999,SMALL(IF((Expenses!E$3:E$999="GBP")*(Expenses!A$3:A$999=DATE(2026,9,25)),ROW(Expenses!A$3:A$999)-2),2)),0)+IFERROR(INDEX(Income!C$3:C$502,SMALL(IF((Income!D$3:D$502="GBP")*(Income!A$3:A$502=DATE(2026,9,25)),ROW(Income!A$3:A$502)-2),2)),0)=0,"",IFERROR(-INDEX(Expenses!D$3:D$999,SMALL(IF((Expenses!E$3:E$999="GBP")*(Expenses!A$3:A$999=DATE(2026,9,25)),ROW(Expenses!A$3:A$999)-2),2)),0)+IFERROR(INDEX(Income!C$3:C$502,SMALL(IF((Income!D$3:D$502="GBP")*(Income!A$3:A$502=DATE(2026,9,25)),ROW(Income!A$3:A$502)-2),2)),0))</f>
        <v/>
      </c>
      <c r="L195" s="126">
        <f t="array" ref="L195">IF(IFERROR(INDEX(Expenses!B$3:B$999,SMALL(IF((Expenses!E$3:E$999="GBP")*(Expenses!A$3:A$999=DATE(2026,9,25)),ROW(Expenses!A$3:A$999)-2),2)),"")&lt;&gt;"",IFERROR(INDEX(Expenses!B$3:B$999,SMALL(IF((Expenses!E$3:E$999="GBP")*(Expenses!A$3:A$999=DATE(2026,9,25)),ROW(Expenses!A$3:A$999)-2),2)),""),IF(IFERROR(INDEX(Income!B$3:B$502,SMALL(IF((Income!D$3:D$502="GBP")*(Income!A$3:A$502=DATE(2026,9,25)),ROW(Income!A$3:A$502)-2),2)),"")&lt;&gt;"",IFERROR(INDEX(Income!B$3:B$502,SMALL(IF((Income!D$3:D$502="GBP")*(Income!A$3:A$502=DATE(2026,9,25)),ROW(Income!A$3:A$502)-2),2)),""),""))</f>
        <v/>
      </c>
      <c r="M195" s="152">
        <f t="array" ref="M195">IF(IFERROR(-INDEX(Expenses!D$3:D$999,SMALL(IF((Expenses!E$3:E$999="GBP")*(Expenses!A$3:A$999=DATE(2026,9,26)),ROW(Expenses!A$3:A$999)-2),2)),0)+IFERROR(INDEX(Income!C$3:C$502,SMALL(IF((Income!D$3:D$502="GBP")*(Income!A$3:A$502=DATE(2026,9,26)),ROW(Income!A$3:A$502)-2),2)),0)=0,"",IFERROR(-INDEX(Expenses!D$3:D$999,SMALL(IF((Expenses!E$3:E$999="GBP")*(Expenses!A$3:A$999=DATE(2026,9,26)),ROW(Expenses!A$3:A$999)-2),2)),0)+IFERROR(INDEX(Income!C$3:C$502,SMALL(IF((Income!D$3:D$502="GBP")*(Income!A$3:A$502=DATE(2026,9,26)),ROW(Income!A$3:A$502)-2),2)),0))</f>
        <v/>
      </c>
      <c r="N195" s="126">
        <f t="array" ref="N195">IF(IFERROR(INDEX(Expenses!B$3:B$999,SMALL(IF((Expenses!E$3:E$999="GBP")*(Expenses!A$3:A$999=DATE(2026,9,26)),ROW(Expenses!A$3:A$999)-2),2)),"")&lt;&gt;"",IFERROR(INDEX(Expenses!B$3:B$999,SMALL(IF((Expenses!E$3:E$999="GBP")*(Expenses!A$3:A$999=DATE(2026,9,26)),ROW(Expenses!A$3:A$999)-2),2)),""),IF(IFERROR(INDEX(Income!B$3:B$502,SMALL(IF((Income!D$3:D$502="GBP")*(Income!A$3:A$502=DATE(2026,9,26)),ROW(Income!A$3:A$502)-2),2)),"")&lt;&gt;"",IFERROR(INDEX(Income!B$3:B$502,SMALL(IF((Income!D$3:D$502="GBP")*(Income!A$3:A$502=DATE(2026,9,26)),ROW(Income!A$3:A$502)-2),2)),""),""))</f>
        <v/>
      </c>
      <c r="O195" s="152">
        <f t="array" ref="O195">IF(IFERROR(-INDEX(Expenses!D$3:D$999,SMALL(IF((Expenses!E$3:E$999="GBP")*(Expenses!A$3:A$999=DATE(2026,9,27)),ROW(Expenses!A$3:A$999)-2),2)),0)+IFERROR(INDEX(Income!C$3:C$502,SMALL(IF((Income!D$3:D$502="GBP")*(Income!A$3:A$502=DATE(2026,9,27)),ROW(Income!A$3:A$502)-2),2)),0)=0,"",IFERROR(-INDEX(Expenses!D$3:D$999,SMALL(IF((Expenses!E$3:E$999="GBP")*(Expenses!A$3:A$999=DATE(2026,9,27)),ROW(Expenses!A$3:A$999)-2),2)),0)+IFERROR(INDEX(Income!C$3:C$502,SMALL(IF((Income!D$3:D$502="GBP")*(Income!A$3:A$502=DATE(2026,9,27)),ROW(Income!A$3:A$502)-2),2)),0))</f>
        <v/>
      </c>
      <c r="P195" s="126">
        <f t="array" ref="P195">IF(IFERROR(INDEX(Expenses!B$3:B$999,SMALL(IF((Expenses!E$3:E$999="GBP")*(Expenses!A$3:A$999=DATE(2026,9,27)),ROW(Expenses!A$3:A$999)-2),2)),"")&lt;&gt;"",IFERROR(INDEX(Expenses!B$3:B$999,SMALL(IF((Expenses!E$3:E$999="GBP")*(Expenses!A$3:A$999=DATE(2026,9,27)),ROW(Expenses!A$3:A$999)-2),2)),""),IF(IFERROR(INDEX(Income!B$3:B$502,SMALL(IF((Income!D$3:D$502="GBP")*(Income!A$3:A$502=DATE(2026,9,27)),ROW(Income!A$3:A$502)-2),2)),"")&lt;&gt;"",IFERROR(INDEX(Income!B$3:B$502,SMALL(IF((Income!D$3:D$502="GBP")*(Income!A$3:A$502=DATE(2026,9,27)),ROW(Income!A$3:A$502)-2),2)),""),""))</f>
        <v/>
      </c>
      <c r="Q195" s="9" t="n"/>
      <c r="R195" s="9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68">
      <c r="A196" s="9" t="n"/>
      <c r="B196" s="9" t="n"/>
      <c r="C196" s="152">
        <f t="array" ref="C196">IF(IFERROR(-INDEX(Expenses!D$3:D$999,SMALL(IF((Expenses!E$3:E$999="GBP")*(Expenses!A$3:A$999=DATE(2026,9,21)),ROW(Expenses!A$3:A$999)-2),3)),0)+IFERROR(INDEX(Income!C$3:C$502,SMALL(IF((Income!D$3:D$502="GBP")*(Income!A$3:A$502=DATE(2026,9,21)),ROW(Income!A$3:A$502)-2),3)),0)=0,"",IFERROR(-INDEX(Expenses!D$3:D$999,SMALL(IF((Expenses!E$3:E$999="GBP")*(Expenses!A$3:A$999=DATE(2026,9,21)),ROW(Expenses!A$3:A$999)-2),3)),0)+IFERROR(INDEX(Income!C$3:C$502,SMALL(IF((Income!D$3:D$502="GBP")*(Income!A$3:A$502=DATE(2026,9,21)),ROW(Income!A$3:A$502)-2),3)),0))</f>
        <v/>
      </c>
      <c r="D196" s="126">
        <f t="array" ref="D196">IF(IFERROR(INDEX(Expenses!B$3:B$999,SMALL(IF((Expenses!E$3:E$999="GBP")*(Expenses!A$3:A$999=DATE(2026,9,21)),ROW(Expenses!A$3:A$999)-2),3)),"")&lt;&gt;"",IFERROR(INDEX(Expenses!B$3:B$999,SMALL(IF((Expenses!E$3:E$999="GBP")*(Expenses!A$3:A$999=DATE(2026,9,21)),ROW(Expenses!A$3:A$999)-2),3)),""),IF(IFERROR(INDEX(Income!B$3:B$502,SMALL(IF((Income!D$3:D$502="GBP")*(Income!A$3:A$502=DATE(2026,9,21)),ROW(Income!A$3:A$502)-2),3)),"")&lt;&gt;"",IFERROR(INDEX(Income!B$3:B$502,SMALL(IF((Income!D$3:D$502="GBP")*(Income!A$3:A$502=DATE(2026,9,21)),ROW(Income!A$3:A$502)-2),3)),""),""))</f>
        <v/>
      </c>
      <c r="E196" s="152">
        <f t="array" ref="E196">IF(IFERROR(-INDEX(Expenses!D$3:D$999,SMALL(IF((Expenses!E$3:E$999="GBP")*(Expenses!A$3:A$999=DATE(2026,9,22)),ROW(Expenses!A$3:A$999)-2),3)),0)+IFERROR(INDEX(Income!C$3:C$502,SMALL(IF((Income!D$3:D$502="GBP")*(Income!A$3:A$502=DATE(2026,9,22)),ROW(Income!A$3:A$502)-2),3)),0)=0,"",IFERROR(-INDEX(Expenses!D$3:D$999,SMALL(IF((Expenses!E$3:E$999="GBP")*(Expenses!A$3:A$999=DATE(2026,9,22)),ROW(Expenses!A$3:A$999)-2),3)),0)+IFERROR(INDEX(Income!C$3:C$502,SMALL(IF((Income!D$3:D$502="GBP")*(Income!A$3:A$502=DATE(2026,9,22)),ROW(Income!A$3:A$502)-2),3)),0))</f>
        <v/>
      </c>
      <c r="F196" s="126">
        <f t="array" ref="F196">IF(IFERROR(INDEX(Expenses!B$3:B$999,SMALL(IF((Expenses!E$3:E$999="GBP")*(Expenses!A$3:A$999=DATE(2026,9,22)),ROW(Expenses!A$3:A$999)-2),3)),"")&lt;&gt;"",IFERROR(INDEX(Expenses!B$3:B$999,SMALL(IF((Expenses!E$3:E$999="GBP")*(Expenses!A$3:A$999=DATE(2026,9,22)),ROW(Expenses!A$3:A$999)-2),3)),""),IF(IFERROR(INDEX(Income!B$3:B$502,SMALL(IF((Income!D$3:D$502="GBP")*(Income!A$3:A$502=DATE(2026,9,22)),ROW(Income!A$3:A$502)-2),3)),"")&lt;&gt;"",IFERROR(INDEX(Income!B$3:B$502,SMALL(IF((Income!D$3:D$502="GBP")*(Income!A$3:A$502=DATE(2026,9,22)),ROW(Income!A$3:A$502)-2),3)),""),""))</f>
        <v/>
      </c>
      <c r="G196" s="152">
        <f t="array" ref="G196">IF(IFERROR(-INDEX(Expenses!D$3:D$999,SMALL(IF((Expenses!E$3:E$999="GBP")*(Expenses!A$3:A$999=DATE(2026,9,23)),ROW(Expenses!A$3:A$999)-2),3)),0)+IFERROR(INDEX(Income!C$3:C$502,SMALL(IF((Income!D$3:D$502="GBP")*(Income!A$3:A$502=DATE(2026,9,23)),ROW(Income!A$3:A$502)-2),3)),0)=0,"",IFERROR(-INDEX(Expenses!D$3:D$999,SMALL(IF((Expenses!E$3:E$999="GBP")*(Expenses!A$3:A$999=DATE(2026,9,23)),ROW(Expenses!A$3:A$999)-2),3)),0)+IFERROR(INDEX(Income!C$3:C$502,SMALL(IF((Income!D$3:D$502="GBP")*(Income!A$3:A$502=DATE(2026,9,23)),ROW(Income!A$3:A$502)-2),3)),0))</f>
        <v/>
      </c>
      <c r="H196" s="126">
        <f t="array" ref="H196">IF(IFERROR(INDEX(Expenses!B$3:B$999,SMALL(IF((Expenses!E$3:E$999="GBP")*(Expenses!A$3:A$999=DATE(2026,9,23)),ROW(Expenses!A$3:A$999)-2),3)),"")&lt;&gt;"",IFERROR(INDEX(Expenses!B$3:B$999,SMALL(IF((Expenses!E$3:E$999="GBP")*(Expenses!A$3:A$999=DATE(2026,9,23)),ROW(Expenses!A$3:A$999)-2),3)),""),IF(IFERROR(INDEX(Income!B$3:B$502,SMALL(IF((Income!D$3:D$502="GBP")*(Income!A$3:A$502=DATE(2026,9,23)),ROW(Income!A$3:A$502)-2),3)),"")&lt;&gt;"",IFERROR(INDEX(Income!B$3:B$502,SMALL(IF((Income!D$3:D$502="GBP")*(Income!A$3:A$502=DATE(2026,9,23)),ROW(Income!A$3:A$502)-2),3)),""),""))</f>
        <v/>
      </c>
      <c r="I196" s="152">
        <f t="array" ref="I196">IF(IFERROR(-INDEX(Expenses!D$3:D$999,SMALL(IF((Expenses!E$3:E$999="GBP")*(Expenses!A$3:A$999=DATE(2026,9,24)),ROW(Expenses!A$3:A$999)-2),3)),0)+IFERROR(INDEX(Income!C$3:C$502,SMALL(IF((Income!D$3:D$502="GBP")*(Income!A$3:A$502=DATE(2026,9,24)),ROW(Income!A$3:A$502)-2),3)),0)=0,"",IFERROR(-INDEX(Expenses!D$3:D$999,SMALL(IF((Expenses!E$3:E$999="GBP")*(Expenses!A$3:A$999=DATE(2026,9,24)),ROW(Expenses!A$3:A$999)-2),3)),0)+IFERROR(INDEX(Income!C$3:C$502,SMALL(IF((Income!D$3:D$502="GBP")*(Income!A$3:A$502=DATE(2026,9,24)),ROW(Income!A$3:A$502)-2),3)),0))</f>
        <v/>
      </c>
      <c r="J196" s="126">
        <f t="array" ref="J196">IF(IFERROR(INDEX(Expenses!B$3:B$999,SMALL(IF((Expenses!E$3:E$999="GBP")*(Expenses!A$3:A$999=DATE(2026,9,24)),ROW(Expenses!A$3:A$999)-2),3)),"")&lt;&gt;"",IFERROR(INDEX(Expenses!B$3:B$999,SMALL(IF((Expenses!E$3:E$999="GBP")*(Expenses!A$3:A$999=DATE(2026,9,24)),ROW(Expenses!A$3:A$999)-2),3)),""),IF(IFERROR(INDEX(Income!B$3:B$502,SMALL(IF((Income!D$3:D$502="GBP")*(Income!A$3:A$502=DATE(2026,9,24)),ROW(Income!A$3:A$502)-2),3)),"")&lt;&gt;"",IFERROR(INDEX(Income!B$3:B$502,SMALL(IF((Income!D$3:D$502="GBP")*(Income!A$3:A$502=DATE(2026,9,24)),ROW(Income!A$3:A$502)-2),3)),""),""))</f>
        <v/>
      </c>
      <c r="K196" s="152">
        <f t="array" ref="K196">IF(IFERROR(-INDEX(Expenses!D$3:D$999,SMALL(IF((Expenses!E$3:E$999="GBP")*(Expenses!A$3:A$999=DATE(2026,9,25)),ROW(Expenses!A$3:A$999)-2),3)),0)+IFERROR(INDEX(Income!C$3:C$502,SMALL(IF((Income!D$3:D$502="GBP")*(Income!A$3:A$502=DATE(2026,9,25)),ROW(Income!A$3:A$502)-2),3)),0)=0,"",IFERROR(-INDEX(Expenses!D$3:D$999,SMALL(IF((Expenses!E$3:E$999="GBP")*(Expenses!A$3:A$999=DATE(2026,9,25)),ROW(Expenses!A$3:A$999)-2),3)),0)+IFERROR(INDEX(Income!C$3:C$502,SMALL(IF((Income!D$3:D$502="GBP")*(Income!A$3:A$502=DATE(2026,9,25)),ROW(Income!A$3:A$502)-2),3)),0))</f>
        <v/>
      </c>
      <c r="L196" s="126">
        <f t="array" ref="L196">IF(IFERROR(INDEX(Expenses!B$3:B$999,SMALL(IF((Expenses!E$3:E$999="GBP")*(Expenses!A$3:A$999=DATE(2026,9,25)),ROW(Expenses!A$3:A$999)-2),3)),"")&lt;&gt;"",IFERROR(INDEX(Expenses!B$3:B$999,SMALL(IF((Expenses!E$3:E$999="GBP")*(Expenses!A$3:A$999=DATE(2026,9,25)),ROW(Expenses!A$3:A$999)-2),3)),""),IF(IFERROR(INDEX(Income!B$3:B$502,SMALL(IF((Income!D$3:D$502="GBP")*(Income!A$3:A$502=DATE(2026,9,25)),ROW(Income!A$3:A$502)-2),3)),"")&lt;&gt;"",IFERROR(INDEX(Income!B$3:B$502,SMALL(IF((Income!D$3:D$502="GBP")*(Income!A$3:A$502=DATE(2026,9,25)),ROW(Income!A$3:A$502)-2),3)),""),""))</f>
        <v/>
      </c>
      <c r="M196" s="152">
        <f t="array" ref="M196">IF(IFERROR(-INDEX(Expenses!D$3:D$999,SMALL(IF((Expenses!E$3:E$999="GBP")*(Expenses!A$3:A$999=DATE(2026,9,26)),ROW(Expenses!A$3:A$999)-2),3)),0)+IFERROR(INDEX(Income!C$3:C$502,SMALL(IF((Income!D$3:D$502="GBP")*(Income!A$3:A$502=DATE(2026,9,26)),ROW(Income!A$3:A$502)-2),3)),0)=0,"",IFERROR(-INDEX(Expenses!D$3:D$999,SMALL(IF((Expenses!E$3:E$999="GBP")*(Expenses!A$3:A$999=DATE(2026,9,26)),ROW(Expenses!A$3:A$999)-2),3)),0)+IFERROR(INDEX(Income!C$3:C$502,SMALL(IF((Income!D$3:D$502="GBP")*(Income!A$3:A$502=DATE(2026,9,26)),ROW(Income!A$3:A$502)-2),3)),0))</f>
        <v/>
      </c>
      <c r="N196" s="126">
        <f t="array" ref="N196">IF(IFERROR(INDEX(Expenses!B$3:B$999,SMALL(IF((Expenses!E$3:E$999="GBP")*(Expenses!A$3:A$999=DATE(2026,9,26)),ROW(Expenses!A$3:A$999)-2),3)),"")&lt;&gt;"",IFERROR(INDEX(Expenses!B$3:B$999,SMALL(IF((Expenses!E$3:E$999="GBP")*(Expenses!A$3:A$999=DATE(2026,9,26)),ROW(Expenses!A$3:A$999)-2),3)),""),IF(IFERROR(INDEX(Income!B$3:B$502,SMALL(IF((Income!D$3:D$502="GBP")*(Income!A$3:A$502=DATE(2026,9,26)),ROW(Income!A$3:A$502)-2),3)),"")&lt;&gt;"",IFERROR(INDEX(Income!B$3:B$502,SMALL(IF((Income!D$3:D$502="GBP")*(Income!A$3:A$502=DATE(2026,9,26)),ROW(Income!A$3:A$502)-2),3)),""),""))</f>
        <v/>
      </c>
      <c r="O196" s="152">
        <f t="array" ref="O196">IF(IFERROR(-INDEX(Expenses!D$3:D$999,SMALL(IF((Expenses!E$3:E$999="GBP")*(Expenses!A$3:A$999=DATE(2026,9,27)),ROW(Expenses!A$3:A$999)-2),3)),0)+IFERROR(INDEX(Income!C$3:C$502,SMALL(IF((Income!D$3:D$502="GBP")*(Income!A$3:A$502=DATE(2026,9,27)),ROW(Income!A$3:A$502)-2),3)),0)=0,"",IFERROR(-INDEX(Expenses!D$3:D$999,SMALL(IF((Expenses!E$3:E$999="GBP")*(Expenses!A$3:A$999=DATE(2026,9,27)),ROW(Expenses!A$3:A$999)-2),3)),0)+IFERROR(INDEX(Income!C$3:C$502,SMALL(IF((Income!D$3:D$502="GBP")*(Income!A$3:A$502=DATE(2026,9,27)),ROW(Income!A$3:A$502)-2),3)),0))</f>
        <v/>
      </c>
      <c r="P196" s="126">
        <f t="array" ref="P196">IF(IFERROR(INDEX(Expenses!B$3:B$999,SMALL(IF((Expenses!E$3:E$999="GBP")*(Expenses!A$3:A$999=DATE(2026,9,27)),ROW(Expenses!A$3:A$999)-2),3)),"")&lt;&gt;"",IFERROR(INDEX(Expenses!B$3:B$999,SMALL(IF((Expenses!E$3:E$999="GBP")*(Expenses!A$3:A$999=DATE(2026,9,27)),ROW(Expenses!A$3:A$999)-2),3)),""),IF(IFERROR(INDEX(Income!B$3:B$502,SMALL(IF((Income!D$3:D$502="GBP")*(Income!A$3:A$502=DATE(2026,9,27)),ROW(Income!A$3:A$502)-2),3)),"")&lt;&gt;"",IFERROR(INDEX(Income!B$3:B$502,SMALL(IF((Income!D$3:D$502="GBP")*(Income!A$3:A$502=DATE(2026,9,27)),ROW(Income!A$3:A$502)-2),3)),""),""))</f>
        <v/>
      </c>
      <c r="Q196" s="9" t="n"/>
      <c r="R196" s="9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68">
      <c r="A197" s="9" t="n"/>
      <c r="B197" s="9" t="n"/>
      <c r="C197" s="152">
        <f t="array" ref="C197">IF(IFERROR(-INDEX(Expenses!D$3:D$999,SMALL(IF((Expenses!E$3:E$999="GBP")*(Expenses!A$3:A$999=DATE(2026,9,21)),ROW(Expenses!A$3:A$999)-2),4)),0)+IFERROR(INDEX(Income!C$3:C$502,SMALL(IF((Income!D$3:D$502="GBP")*(Income!A$3:A$502=DATE(2026,9,21)),ROW(Income!A$3:A$502)-2),4)),0)=0,"",IFERROR(-INDEX(Expenses!D$3:D$999,SMALL(IF((Expenses!E$3:E$999="GBP")*(Expenses!A$3:A$999=DATE(2026,9,21)),ROW(Expenses!A$3:A$999)-2),4)),0)+IFERROR(INDEX(Income!C$3:C$502,SMALL(IF((Income!D$3:D$502="GBP")*(Income!A$3:A$502=DATE(2026,9,21)),ROW(Income!A$3:A$502)-2),4)),0))</f>
        <v/>
      </c>
      <c r="D197" s="126">
        <f t="array" ref="D197">IF(IFERROR(INDEX(Expenses!B$3:B$999,SMALL(IF((Expenses!E$3:E$999="GBP")*(Expenses!A$3:A$999=DATE(2026,9,21)),ROW(Expenses!A$3:A$999)-2),4)),"")&lt;&gt;"",IFERROR(INDEX(Expenses!B$3:B$999,SMALL(IF((Expenses!E$3:E$999="GBP")*(Expenses!A$3:A$999=DATE(2026,9,21)),ROW(Expenses!A$3:A$999)-2),4)),""),IF(IFERROR(INDEX(Income!B$3:B$502,SMALL(IF((Income!D$3:D$502="GBP")*(Income!A$3:A$502=DATE(2026,9,21)),ROW(Income!A$3:A$502)-2),4)),"")&lt;&gt;"",IFERROR(INDEX(Income!B$3:B$502,SMALL(IF((Income!D$3:D$502="GBP")*(Income!A$3:A$502=DATE(2026,9,21)),ROW(Income!A$3:A$502)-2),4)),""),""))</f>
        <v/>
      </c>
      <c r="E197" s="152">
        <f t="array" ref="E197">IF(IFERROR(-INDEX(Expenses!D$3:D$999,SMALL(IF((Expenses!E$3:E$999="GBP")*(Expenses!A$3:A$999=DATE(2026,9,22)),ROW(Expenses!A$3:A$999)-2),4)),0)+IFERROR(INDEX(Income!C$3:C$502,SMALL(IF((Income!D$3:D$502="GBP")*(Income!A$3:A$502=DATE(2026,9,22)),ROW(Income!A$3:A$502)-2),4)),0)=0,"",IFERROR(-INDEX(Expenses!D$3:D$999,SMALL(IF((Expenses!E$3:E$999="GBP")*(Expenses!A$3:A$999=DATE(2026,9,22)),ROW(Expenses!A$3:A$999)-2),4)),0)+IFERROR(INDEX(Income!C$3:C$502,SMALL(IF((Income!D$3:D$502="GBP")*(Income!A$3:A$502=DATE(2026,9,22)),ROW(Income!A$3:A$502)-2),4)),0))</f>
        <v/>
      </c>
      <c r="F197" s="126">
        <f t="array" ref="F197">IF(IFERROR(INDEX(Expenses!B$3:B$999,SMALL(IF((Expenses!E$3:E$999="GBP")*(Expenses!A$3:A$999=DATE(2026,9,22)),ROW(Expenses!A$3:A$999)-2),4)),"")&lt;&gt;"",IFERROR(INDEX(Expenses!B$3:B$999,SMALL(IF((Expenses!E$3:E$999="GBP")*(Expenses!A$3:A$999=DATE(2026,9,22)),ROW(Expenses!A$3:A$999)-2),4)),""),IF(IFERROR(INDEX(Income!B$3:B$502,SMALL(IF((Income!D$3:D$502="GBP")*(Income!A$3:A$502=DATE(2026,9,22)),ROW(Income!A$3:A$502)-2),4)),"")&lt;&gt;"",IFERROR(INDEX(Income!B$3:B$502,SMALL(IF((Income!D$3:D$502="GBP")*(Income!A$3:A$502=DATE(2026,9,22)),ROW(Income!A$3:A$502)-2),4)),""),""))</f>
        <v/>
      </c>
      <c r="G197" s="152">
        <f t="array" ref="G197">IF(IFERROR(-INDEX(Expenses!D$3:D$999,SMALL(IF((Expenses!E$3:E$999="GBP")*(Expenses!A$3:A$999=DATE(2026,9,23)),ROW(Expenses!A$3:A$999)-2),4)),0)+IFERROR(INDEX(Income!C$3:C$502,SMALL(IF((Income!D$3:D$502="GBP")*(Income!A$3:A$502=DATE(2026,9,23)),ROW(Income!A$3:A$502)-2),4)),0)=0,"",IFERROR(-INDEX(Expenses!D$3:D$999,SMALL(IF((Expenses!E$3:E$999="GBP")*(Expenses!A$3:A$999=DATE(2026,9,23)),ROW(Expenses!A$3:A$999)-2),4)),0)+IFERROR(INDEX(Income!C$3:C$502,SMALL(IF((Income!D$3:D$502="GBP")*(Income!A$3:A$502=DATE(2026,9,23)),ROW(Income!A$3:A$502)-2),4)),0))</f>
        <v/>
      </c>
      <c r="H197" s="126">
        <f t="array" ref="H197">IF(IFERROR(INDEX(Expenses!B$3:B$999,SMALL(IF((Expenses!E$3:E$999="GBP")*(Expenses!A$3:A$999=DATE(2026,9,23)),ROW(Expenses!A$3:A$999)-2),4)),"")&lt;&gt;"",IFERROR(INDEX(Expenses!B$3:B$999,SMALL(IF((Expenses!E$3:E$999="GBP")*(Expenses!A$3:A$999=DATE(2026,9,23)),ROW(Expenses!A$3:A$999)-2),4)),""),IF(IFERROR(INDEX(Income!B$3:B$502,SMALL(IF((Income!D$3:D$502="GBP")*(Income!A$3:A$502=DATE(2026,9,23)),ROW(Income!A$3:A$502)-2),4)),"")&lt;&gt;"",IFERROR(INDEX(Income!B$3:B$502,SMALL(IF((Income!D$3:D$502="GBP")*(Income!A$3:A$502=DATE(2026,9,23)),ROW(Income!A$3:A$502)-2),4)),""),""))</f>
        <v/>
      </c>
      <c r="I197" s="152">
        <f t="array" ref="I197">IF(IFERROR(-INDEX(Expenses!D$3:D$999,SMALL(IF((Expenses!E$3:E$999="GBP")*(Expenses!A$3:A$999=DATE(2026,9,24)),ROW(Expenses!A$3:A$999)-2),4)),0)+IFERROR(INDEX(Income!C$3:C$502,SMALL(IF((Income!D$3:D$502="GBP")*(Income!A$3:A$502=DATE(2026,9,24)),ROW(Income!A$3:A$502)-2),4)),0)=0,"",IFERROR(-INDEX(Expenses!D$3:D$999,SMALL(IF((Expenses!E$3:E$999="GBP")*(Expenses!A$3:A$999=DATE(2026,9,24)),ROW(Expenses!A$3:A$999)-2),4)),0)+IFERROR(INDEX(Income!C$3:C$502,SMALL(IF((Income!D$3:D$502="GBP")*(Income!A$3:A$502=DATE(2026,9,24)),ROW(Income!A$3:A$502)-2),4)),0))</f>
        <v/>
      </c>
      <c r="J197" s="126">
        <f t="array" ref="J197">IF(IFERROR(INDEX(Expenses!B$3:B$999,SMALL(IF((Expenses!E$3:E$999="GBP")*(Expenses!A$3:A$999=DATE(2026,9,24)),ROW(Expenses!A$3:A$999)-2),4)),"")&lt;&gt;"",IFERROR(INDEX(Expenses!B$3:B$999,SMALL(IF((Expenses!E$3:E$999="GBP")*(Expenses!A$3:A$999=DATE(2026,9,24)),ROW(Expenses!A$3:A$999)-2),4)),""),IF(IFERROR(INDEX(Income!B$3:B$502,SMALL(IF((Income!D$3:D$502="GBP")*(Income!A$3:A$502=DATE(2026,9,24)),ROW(Income!A$3:A$502)-2),4)),"")&lt;&gt;"",IFERROR(INDEX(Income!B$3:B$502,SMALL(IF((Income!D$3:D$502="GBP")*(Income!A$3:A$502=DATE(2026,9,24)),ROW(Income!A$3:A$502)-2),4)),""),""))</f>
        <v/>
      </c>
      <c r="K197" s="152">
        <f t="array" ref="K197">IF(IFERROR(-INDEX(Expenses!D$3:D$999,SMALL(IF((Expenses!E$3:E$999="GBP")*(Expenses!A$3:A$999=DATE(2026,9,25)),ROW(Expenses!A$3:A$999)-2),4)),0)+IFERROR(INDEX(Income!C$3:C$502,SMALL(IF((Income!D$3:D$502="GBP")*(Income!A$3:A$502=DATE(2026,9,25)),ROW(Income!A$3:A$502)-2),4)),0)=0,"",IFERROR(-INDEX(Expenses!D$3:D$999,SMALL(IF((Expenses!E$3:E$999="GBP")*(Expenses!A$3:A$999=DATE(2026,9,25)),ROW(Expenses!A$3:A$999)-2),4)),0)+IFERROR(INDEX(Income!C$3:C$502,SMALL(IF((Income!D$3:D$502="GBP")*(Income!A$3:A$502=DATE(2026,9,25)),ROW(Income!A$3:A$502)-2),4)),0))</f>
        <v/>
      </c>
      <c r="L197" s="126">
        <f t="array" ref="L197">IF(IFERROR(INDEX(Expenses!B$3:B$999,SMALL(IF((Expenses!E$3:E$999="GBP")*(Expenses!A$3:A$999=DATE(2026,9,25)),ROW(Expenses!A$3:A$999)-2),4)),"")&lt;&gt;"",IFERROR(INDEX(Expenses!B$3:B$999,SMALL(IF((Expenses!E$3:E$999="GBP")*(Expenses!A$3:A$999=DATE(2026,9,25)),ROW(Expenses!A$3:A$999)-2),4)),""),IF(IFERROR(INDEX(Income!B$3:B$502,SMALL(IF((Income!D$3:D$502="GBP")*(Income!A$3:A$502=DATE(2026,9,25)),ROW(Income!A$3:A$502)-2),4)),"")&lt;&gt;"",IFERROR(INDEX(Income!B$3:B$502,SMALL(IF((Income!D$3:D$502="GBP")*(Income!A$3:A$502=DATE(2026,9,25)),ROW(Income!A$3:A$502)-2),4)),""),""))</f>
        <v/>
      </c>
      <c r="M197" s="152">
        <f t="array" ref="M197">IF(IFERROR(-INDEX(Expenses!D$3:D$999,SMALL(IF((Expenses!E$3:E$999="GBP")*(Expenses!A$3:A$999=DATE(2026,9,26)),ROW(Expenses!A$3:A$999)-2),4)),0)+IFERROR(INDEX(Income!C$3:C$502,SMALL(IF((Income!D$3:D$502="GBP")*(Income!A$3:A$502=DATE(2026,9,26)),ROW(Income!A$3:A$502)-2),4)),0)=0,"",IFERROR(-INDEX(Expenses!D$3:D$999,SMALL(IF((Expenses!E$3:E$999="GBP")*(Expenses!A$3:A$999=DATE(2026,9,26)),ROW(Expenses!A$3:A$999)-2),4)),0)+IFERROR(INDEX(Income!C$3:C$502,SMALL(IF((Income!D$3:D$502="GBP")*(Income!A$3:A$502=DATE(2026,9,26)),ROW(Income!A$3:A$502)-2),4)),0))</f>
        <v/>
      </c>
      <c r="N197" s="126">
        <f t="array" ref="N197">IF(IFERROR(INDEX(Expenses!B$3:B$999,SMALL(IF((Expenses!E$3:E$999="GBP")*(Expenses!A$3:A$999=DATE(2026,9,26)),ROW(Expenses!A$3:A$999)-2),4)),"")&lt;&gt;"",IFERROR(INDEX(Expenses!B$3:B$999,SMALL(IF((Expenses!E$3:E$999="GBP")*(Expenses!A$3:A$999=DATE(2026,9,26)),ROW(Expenses!A$3:A$999)-2),4)),""),IF(IFERROR(INDEX(Income!B$3:B$502,SMALL(IF((Income!D$3:D$502="GBP")*(Income!A$3:A$502=DATE(2026,9,26)),ROW(Income!A$3:A$502)-2),4)),"")&lt;&gt;"",IFERROR(INDEX(Income!B$3:B$502,SMALL(IF((Income!D$3:D$502="GBP")*(Income!A$3:A$502=DATE(2026,9,26)),ROW(Income!A$3:A$502)-2),4)),""),""))</f>
        <v/>
      </c>
      <c r="O197" s="152">
        <f t="array" ref="O197">IF(IFERROR(-INDEX(Expenses!D$3:D$999,SMALL(IF((Expenses!E$3:E$999="GBP")*(Expenses!A$3:A$999=DATE(2026,9,27)),ROW(Expenses!A$3:A$999)-2),4)),0)+IFERROR(INDEX(Income!C$3:C$502,SMALL(IF((Income!D$3:D$502="GBP")*(Income!A$3:A$502=DATE(2026,9,27)),ROW(Income!A$3:A$502)-2),4)),0)=0,"",IFERROR(-INDEX(Expenses!D$3:D$999,SMALL(IF((Expenses!E$3:E$999="GBP")*(Expenses!A$3:A$999=DATE(2026,9,27)),ROW(Expenses!A$3:A$999)-2),4)),0)+IFERROR(INDEX(Income!C$3:C$502,SMALL(IF((Income!D$3:D$502="GBP")*(Income!A$3:A$502=DATE(2026,9,27)),ROW(Income!A$3:A$502)-2),4)),0))</f>
        <v/>
      </c>
      <c r="P197" s="126">
        <f t="array" ref="P197">IF(IFERROR(INDEX(Expenses!B$3:B$999,SMALL(IF((Expenses!E$3:E$999="GBP")*(Expenses!A$3:A$999=DATE(2026,9,27)),ROW(Expenses!A$3:A$999)-2),4)),"")&lt;&gt;"",IFERROR(INDEX(Expenses!B$3:B$999,SMALL(IF((Expenses!E$3:E$999="GBP")*(Expenses!A$3:A$999=DATE(2026,9,27)),ROW(Expenses!A$3:A$999)-2),4)),""),IF(IFERROR(INDEX(Income!B$3:B$502,SMALL(IF((Income!D$3:D$502="GBP")*(Income!A$3:A$502=DATE(2026,9,27)),ROW(Income!A$3:A$502)-2),4)),"")&lt;&gt;"",IFERROR(INDEX(Income!B$3:B$502,SMALL(IF((Income!D$3:D$502="GBP")*(Income!A$3:A$502=DATE(2026,9,27)),ROW(Income!A$3:A$502)-2),4)),""),""))</f>
        <v/>
      </c>
      <c r="Q197" s="9" t="n"/>
      <c r="R197" s="9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68">
      <c r="A198" s="9" t="n"/>
      <c r="B198" s="9" t="n"/>
      <c r="C198" s="152">
        <f t="array" ref="C198">IF(IFERROR(-INDEX(Expenses!D$3:D$999,SMALL(IF((Expenses!E$3:E$999="GBP")*(Expenses!A$3:A$999=DATE(2026,9,21)),ROW(Expenses!A$3:A$999)-2),5)),0)+IFERROR(INDEX(Income!C$3:C$502,SMALL(IF((Income!D$3:D$502="GBP")*(Income!A$3:A$502=DATE(2026,9,21)),ROW(Income!A$3:A$502)-2),5)),0)=0,"",IFERROR(-INDEX(Expenses!D$3:D$999,SMALL(IF((Expenses!E$3:E$999="GBP")*(Expenses!A$3:A$999=DATE(2026,9,21)),ROW(Expenses!A$3:A$999)-2),5)),0)+IFERROR(INDEX(Income!C$3:C$502,SMALL(IF((Income!D$3:D$502="GBP")*(Income!A$3:A$502=DATE(2026,9,21)),ROW(Income!A$3:A$502)-2),5)),0))</f>
        <v/>
      </c>
      <c r="D198" s="126">
        <f t="array" ref="D198">IF(IFERROR(INDEX(Expenses!B$3:B$999,SMALL(IF((Expenses!E$3:E$999="GBP")*(Expenses!A$3:A$999=DATE(2026,9,21)),ROW(Expenses!A$3:A$999)-2),5)),"")&lt;&gt;"",IFERROR(INDEX(Expenses!B$3:B$999,SMALL(IF((Expenses!E$3:E$999="GBP")*(Expenses!A$3:A$999=DATE(2026,9,21)),ROW(Expenses!A$3:A$999)-2),5)),""),IF(IFERROR(INDEX(Income!B$3:B$502,SMALL(IF((Income!D$3:D$502="GBP")*(Income!A$3:A$502=DATE(2026,9,21)),ROW(Income!A$3:A$502)-2),5)),"")&lt;&gt;"",IFERROR(INDEX(Income!B$3:B$502,SMALL(IF((Income!D$3:D$502="GBP")*(Income!A$3:A$502=DATE(2026,9,21)),ROW(Income!A$3:A$502)-2),5)),""),""))</f>
        <v/>
      </c>
      <c r="E198" s="152">
        <f t="array" ref="E198">IF(IFERROR(-INDEX(Expenses!D$3:D$999,SMALL(IF((Expenses!E$3:E$999="GBP")*(Expenses!A$3:A$999=DATE(2026,9,22)),ROW(Expenses!A$3:A$999)-2),5)),0)+IFERROR(INDEX(Income!C$3:C$502,SMALL(IF((Income!D$3:D$502="GBP")*(Income!A$3:A$502=DATE(2026,9,22)),ROW(Income!A$3:A$502)-2),5)),0)=0,"",IFERROR(-INDEX(Expenses!D$3:D$999,SMALL(IF((Expenses!E$3:E$999="GBP")*(Expenses!A$3:A$999=DATE(2026,9,22)),ROW(Expenses!A$3:A$999)-2),5)),0)+IFERROR(INDEX(Income!C$3:C$502,SMALL(IF((Income!D$3:D$502="GBP")*(Income!A$3:A$502=DATE(2026,9,22)),ROW(Income!A$3:A$502)-2),5)),0))</f>
        <v/>
      </c>
      <c r="F198" s="126">
        <f t="array" ref="F198">IF(IFERROR(INDEX(Expenses!B$3:B$999,SMALL(IF((Expenses!E$3:E$999="GBP")*(Expenses!A$3:A$999=DATE(2026,9,22)),ROW(Expenses!A$3:A$999)-2),5)),"")&lt;&gt;"",IFERROR(INDEX(Expenses!B$3:B$999,SMALL(IF((Expenses!E$3:E$999="GBP")*(Expenses!A$3:A$999=DATE(2026,9,22)),ROW(Expenses!A$3:A$999)-2),5)),""),IF(IFERROR(INDEX(Income!B$3:B$502,SMALL(IF((Income!D$3:D$502="GBP")*(Income!A$3:A$502=DATE(2026,9,22)),ROW(Income!A$3:A$502)-2),5)),"")&lt;&gt;"",IFERROR(INDEX(Income!B$3:B$502,SMALL(IF((Income!D$3:D$502="GBP")*(Income!A$3:A$502=DATE(2026,9,22)),ROW(Income!A$3:A$502)-2),5)),""),""))</f>
        <v/>
      </c>
      <c r="G198" s="152">
        <f t="array" ref="G198">IF(IFERROR(-INDEX(Expenses!D$3:D$999,SMALL(IF((Expenses!E$3:E$999="GBP")*(Expenses!A$3:A$999=DATE(2026,9,23)),ROW(Expenses!A$3:A$999)-2),5)),0)+IFERROR(INDEX(Income!C$3:C$502,SMALL(IF((Income!D$3:D$502="GBP")*(Income!A$3:A$502=DATE(2026,9,23)),ROW(Income!A$3:A$502)-2),5)),0)=0,"",IFERROR(-INDEX(Expenses!D$3:D$999,SMALL(IF((Expenses!E$3:E$999="GBP")*(Expenses!A$3:A$999=DATE(2026,9,23)),ROW(Expenses!A$3:A$999)-2),5)),0)+IFERROR(INDEX(Income!C$3:C$502,SMALL(IF((Income!D$3:D$502="GBP")*(Income!A$3:A$502=DATE(2026,9,23)),ROW(Income!A$3:A$502)-2),5)),0))</f>
        <v/>
      </c>
      <c r="H198" s="126">
        <f t="array" ref="H198">IF(IFERROR(INDEX(Expenses!B$3:B$999,SMALL(IF((Expenses!E$3:E$999="GBP")*(Expenses!A$3:A$999=DATE(2026,9,23)),ROW(Expenses!A$3:A$999)-2),5)),"")&lt;&gt;"",IFERROR(INDEX(Expenses!B$3:B$999,SMALL(IF((Expenses!E$3:E$999="GBP")*(Expenses!A$3:A$999=DATE(2026,9,23)),ROW(Expenses!A$3:A$999)-2),5)),""),IF(IFERROR(INDEX(Income!B$3:B$502,SMALL(IF((Income!D$3:D$502="GBP")*(Income!A$3:A$502=DATE(2026,9,23)),ROW(Income!A$3:A$502)-2),5)),"")&lt;&gt;"",IFERROR(INDEX(Income!B$3:B$502,SMALL(IF((Income!D$3:D$502="GBP")*(Income!A$3:A$502=DATE(2026,9,23)),ROW(Income!A$3:A$502)-2),5)),""),""))</f>
        <v/>
      </c>
      <c r="I198" s="152">
        <f t="array" ref="I198">IF(IFERROR(-INDEX(Expenses!D$3:D$999,SMALL(IF((Expenses!E$3:E$999="GBP")*(Expenses!A$3:A$999=DATE(2026,9,24)),ROW(Expenses!A$3:A$999)-2),5)),0)+IFERROR(INDEX(Income!C$3:C$502,SMALL(IF((Income!D$3:D$502="GBP")*(Income!A$3:A$502=DATE(2026,9,24)),ROW(Income!A$3:A$502)-2),5)),0)=0,"",IFERROR(-INDEX(Expenses!D$3:D$999,SMALL(IF((Expenses!E$3:E$999="GBP")*(Expenses!A$3:A$999=DATE(2026,9,24)),ROW(Expenses!A$3:A$999)-2),5)),0)+IFERROR(INDEX(Income!C$3:C$502,SMALL(IF((Income!D$3:D$502="GBP")*(Income!A$3:A$502=DATE(2026,9,24)),ROW(Income!A$3:A$502)-2),5)),0))</f>
        <v/>
      </c>
      <c r="J198" s="126">
        <f t="array" ref="J198">IF(IFERROR(INDEX(Expenses!B$3:B$999,SMALL(IF((Expenses!E$3:E$999="GBP")*(Expenses!A$3:A$999=DATE(2026,9,24)),ROW(Expenses!A$3:A$999)-2),5)),"")&lt;&gt;"",IFERROR(INDEX(Expenses!B$3:B$999,SMALL(IF((Expenses!E$3:E$999="GBP")*(Expenses!A$3:A$999=DATE(2026,9,24)),ROW(Expenses!A$3:A$999)-2),5)),""),IF(IFERROR(INDEX(Income!B$3:B$502,SMALL(IF((Income!D$3:D$502="GBP")*(Income!A$3:A$502=DATE(2026,9,24)),ROW(Income!A$3:A$502)-2),5)),"")&lt;&gt;"",IFERROR(INDEX(Income!B$3:B$502,SMALL(IF((Income!D$3:D$502="GBP")*(Income!A$3:A$502=DATE(2026,9,24)),ROW(Income!A$3:A$502)-2),5)),""),""))</f>
        <v/>
      </c>
      <c r="K198" s="152">
        <f t="array" ref="K198">IF(IFERROR(-INDEX(Expenses!D$3:D$999,SMALL(IF((Expenses!E$3:E$999="GBP")*(Expenses!A$3:A$999=DATE(2026,9,25)),ROW(Expenses!A$3:A$999)-2),5)),0)+IFERROR(INDEX(Income!C$3:C$502,SMALL(IF((Income!D$3:D$502="GBP")*(Income!A$3:A$502=DATE(2026,9,25)),ROW(Income!A$3:A$502)-2),5)),0)=0,"",IFERROR(-INDEX(Expenses!D$3:D$999,SMALL(IF((Expenses!E$3:E$999="GBP")*(Expenses!A$3:A$999=DATE(2026,9,25)),ROW(Expenses!A$3:A$999)-2),5)),0)+IFERROR(INDEX(Income!C$3:C$502,SMALL(IF((Income!D$3:D$502="GBP")*(Income!A$3:A$502=DATE(2026,9,25)),ROW(Income!A$3:A$502)-2),5)),0))</f>
        <v/>
      </c>
      <c r="L198" s="126">
        <f t="array" ref="L198">IF(IFERROR(INDEX(Expenses!B$3:B$999,SMALL(IF((Expenses!E$3:E$999="GBP")*(Expenses!A$3:A$999=DATE(2026,9,25)),ROW(Expenses!A$3:A$999)-2),5)),"")&lt;&gt;"",IFERROR(INDEX(Expenses!B$3:B$999,SMALL(IF((Expenses!E$3:E$999="GBP")*(Expenses!A$3:A$999=DATE(2026,9,25)),ROW(Expenses!A$3:A$999)-2),5)),""),IF(IFERROR(INDEX(Income!B$3:B$502,SMALL(IF((Income!D$3:D$502="GBP")*(Income!A$3:A$502=DATE(2026,9,25)),ROW(Income!A$3:A$502)-2),5)),"")&lt;&gt;"",IFERROR(INDEX(Income!B$3:B$502,SMALL(IF((Income!D$3:D$502="GBP")*(Income!A$3:A$502=DATE(2026,9,25)),ROW(Income!A$3:A$502)-2),5)),""),""))</f>
        <v/>
      </c>
      <c r="M198" s="152">
        <f t="array" ref="M198">IF(IFERROR(-INDEX(Expenses!D$3:D$999,SMALL(IF((Expenses!E$3:E$999="GBP")*(Expenses!A$3:A$999=DATE(2026,9,26)),ROW(Expenses!A$3:A$999)-2),5)),0)+IFERROR(INDEX(Income!C$3:C$502,SMALL(IF((Income!D$3:D$502="GBP")*(Income!A$3:A$502=DATE(2026,9,26)),ROW(Income!A$3:A$502)-2),5)),0)=0,"",IFERROR(-INDEX(Expenses!D$3:D$999,SMALL(IF((Expenses!E$3:E$999="GBP")*(Expenses!A$3:A$999=DATE(2026,9,26)),ROW(Expenses!A$3:A$999)-2),5)),0)+IFERROR(INDEX(Income!C$3:C$502,SMALL(IF((Income!D$3:D$502="GBP")*(Income!A$3:A$502=DATE(2026,9,26)),ROW(Income!A$3:A$502)-2),5)),0))</f>
        <v/>
      </c>
      <c r="N198" s="126">
        <f t="array" ref="N198">IF(IFERROR(INDEX(Expenses!B$3:B$999,SMALL(IF((Expenses!E$3:E$999="GBP")*(Expenses!A$3:A$999=DATE(2026,9,26)),ROW(Expenses!A$3:A$999)-2),5)),"")&lt;&gt;"",IFERROR(INDEX(Expenses!B$3:B$999,SMALL(IF((Expenses!E$3:E$999="GBP")*(Expenses!A$3:A$999=DATE(2026,9,26)),ROW(Expenses!A$3:A$999)-2),5)),""),IF(IFERROR(INDEX(Income!B$3:B$502,SMALL(IF((Income!D$3:D$502="GBP")*(Income!A$3:A$502=DATE(2026,9,26)),ROW(Income!A$3:A$502)-2),5)),"")&lt;&gt;"",IFERROR(INDEX(Income!B$3:B$502,SMALL(IF((Income!D$3:D$502="GBP")*(Income!A$3:A$502=DATE(2026,9,26)),ROW(Income!A$3:A$502)-2),5)),""),""))</f>
        <v/>
      </c>
      <c r="O198" s="152">
        <f t="array" ref="O198">IF(IFERROR(-INDEX(Expenses!D$3:D$999,SMALL(IF((Expenses!E$3:E$999="GBP")*(Expenses!A$3:A$999=DATE(2026,9,27)),ROW(Expenses!A$3:A$999)-2),5)),0)+IFERROR(INDEX(Income!C$3:C$502,SMALL(IF((Income!D$3:D$502="GBP")*(Income!A$3:A$502=DATE(2026,9,27)),ROW(Income!A$3:A$502)-2),5)),0)=0,"",IFERROR(-INDEX(Expenses!D$3:D$999,SMALL(IF((Expenses!E$3:E$999="GBP")*(Expenses!A$3:A$999=DATE(2026,9,27)),ROW(Expenses!A$3:A$999)-2),5)),0)+IFERROR(INDEX(Income!C$3:C$502,SMALL(IF((Income!D$3:D$502="GBP")*(Income!A$3:A$502=DATE(2026,9,27)),ROW(Income!A$3:A$502)-2),5)),0))</f>
        <v/>
      </c>
      <c r="P198" s="126">
        <f t="array" ref="P198">IF(IFERROR(INDEX(Expenses!B$3:B$999,SMALL(IF((Expenses!E$3:E$999="GBP")*(Expenses!A$3:A$999=DATE(2026,9,27)),ROW(Expenses!A$3:A$999)-2),5)),"")&lt;&gt;"",IFERROR(INDEX(Expenses!B$3:B$999,SMALL(IF((Expenses!E$3:E$999="GBP")*(Expenses!A$3:A$999=DATE(2026,9,27)),ROW(Expenses!A$3:A$999)-2),5)),""),IF(IFERROR(INDEX(Income!B$3:B$502,SMALL(IF((Income!D$3:D$502="GBP")*(Income!A$3:A$502=DATE(2026,9,27)),ROW(Income!A$3:A$502)-2),5)),"")&lt;&gt;"",IFERROR(INDEX(Income!B$3:B$502,SMALL(IF((Income!D$3:D$502="GBP")*(Income!A$3:A$502=DATE(2026,9,27)),ROW(Income!A$3:A$502)-2),5)),""),""))</f>
        <v/>
      </c>
      <c r="Q198" s="9" t="n"/>
      <c r="R198" s="9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68">
      <c r="A199" s="151" t="n">
        <v>46293</v>
      </c>
      <c r="B199" s="103" t="n">
        <v>40</v>
      </c>
      <c r="C199" s="152">
        <f t="array" ref="C199">IF(IFERROR(-INDEX(Expenses!D$3:D$999,SMALL(IF((Expenses!E$3:E$999="GBP")*(Expenses!A$3:A$999=DATE(2026,9,28)),ROW(Expenses!A$3:A$999)-2),1)),0)+IFERROR(INDEX(Income!C$3:C$502,SMALL(IF((Income!D$3:D$502="GBP")*(Income!A$3:A$502=DATE(2026,9,28)),ROW(Income!A$3:A$502)-2),1)),0)=0,"",IFERROR(-INDEX(Expenses!D$3:D$999,SMALL(IF((Expenses!E$3:E$999="GBP")*(Expenses!A$3:A$999=DATE(2026,9,28)),ROW(Expenses!A$3:A$999)-2),1)),0)+IFERROR(INDEX(Income!C$3:C$502,SMALL(IF((Income!D$3:D$502="GBP")*(Income!A$3:A$502=DATE(2026,9,28)),ROW(Income!A$3:A$502)-2),1)),0))</f>
        <v/>
      </c>
      <c r="D199" s="126">
        <f t="array" ref="D199">IF(IFERROR(INDEX(Expenses!B$3:B$999,SMALL(IF((Expenses!E$3:E$999="GBP")*(Expenses!A$3:A$999=DATE(2026,9,28)),ROW(Expenses!A$3:A$999)-2),1)),"")&lt;&gt;"",IFERROR(INDEX(Expenses!B$3:B$999,SMALL(IF((Expenses!E$3:E$999="GBP")*(Expenses!A$3:A$999=DATE(2026,9,28)),ROW(Expenses!A$3:A$999)-2),1)),""),IF(IFERROR(INDEX(Income!B$3:B$502,SMALL(IF((Income!D$3:D$502="GBP")*(Income!A$3:A$502=DATE(2026,9,28)),ROW(Income!A$3:A$502)-2),1)),"")&lt;&gt;"",IFERROR(INDEX(Income!B$3:B$502,SMALL(IF((Income!D$3:D$502="GBP")*(Income!A$3:A$502=DATE(2026,9,28)),ROW(Income!A$3:A$502)-2),1)),""),""))</f>
        <v/>
      </c>
      <c r="E199" s="152">
        <f t="array" ref="E199">IF(IFERROR(-INDEX(Expenses!D$3:D$999,SMALL(IF((Expenses!E$3:E$999="GBP")*(Expenses!A$3:A$999=DATE(2026,9,29)),ROW(Expenses!A$3:A$999)-2),1)),0)+IFERROR(INDEX(Income!C$3:C$502,SMALL(IF((Income!D$3:D$502="GBP")*(Income!A$3:A$502=DATE(2026,9,29)),ROW(Income!A$3:A$502)-2),1)),0)=0,"",IFERROR(-INDEX(Expenses!D$3:D$999,SMALL(IF((Expenses!E$3:E$999="GBP")*(Expenses!A$3:A$999=DATE(2026,9,29)),ROW(Expenses!A$3:A$999)-2),1)),0)+IFERROR(INDEX(Income!C$3:C$502,SMALL(IF((Income!D$3:D$502="GBP")*(Income!A$3:A$502=DATE(2026,9,29)),ROW(Income!A$3:A$502)-2),1)),0))</f>
        <v/>
      </c>
      <c r="F199" s="126">
        <f t="array" ref="F199">IF(IFERROR(INDEX(Expenses!B$3:B$999,SMALL(IF((Expenses!E$3:E$999="GBP")*(Expenses!A$3:A$999=DATE(2026,9,29)),ROW(Expenses!A$3:A$999)-2),1)),"")&lt;&gt;"",IFERROR(INDEX(Expenses!B$3:B$999,SMALL(IF((Expenses!E$3:E$999="GBP")*(Expenses!A$3:A$999=DATE(2026,9,29)),ROW(Expenses!A$3:A$999)-2),1)),""),IF(IFERROR(INDEX(Income!B$3:B$502,SMALL(IF((Income!D$3:D$502="GBP")*(Income!A$3:A$502=DATE(2026,9,29)),ROW(Income!A$3:A$502)-2),1)),"")&lt;&gt;"",IFERROR(INDEX(Income!B$3:B$502,SMALL(IF((Income!D$3:D$502="GBP")*(Income!A$3:A$502=DATE(2026,9,29)),ROW(Income!A$3:A$502)-2),1)),""),""))</f>
        <v/>
      </c>
      <c r="G199" s="152">
        <f t="array" ref="G199">IF(IFERROR(-INDEX(Expenses!D$3:D$999,SMALL(IF((Expenses!E$3:E$999="GBP")*(Expenses!A$3:A$999=DATE(2026,9,30)),ROW(Expenses!A$3:A$999)-2),1)),0)+IFERROR(INDEX(Income!C$3:C$502,SMALL(IF((Income!D$3:D$502="GBP")*(Income!A$3:A$502=DATE(2026,9,30)),ROW(Income!A$3:A$502)-2),1)),0)=0,"",IFERROR(-INDEX(Expenses!D$3:D$999,SMALL(IF((Expenses!E$3:E$999="GBP")*(Expenses!A$3:A$999=DATE(2026,9,30)),ROW(Expenses!A$3:A$999)-2),1)),0)+IFERROR(INDEX(Income!C$3:C$502,SMALL(IF((Income!D$3:D$502="GBP")*(Income!A$3:A$502=DATE(2026,9,30)),ROW(Income!A$3:A$502)-2),1)),0))</f>
        <v/>
      </c>
      <c r="H199" s="126">
        <f t="array" ref="H199">IF(IFERROR(INDEX(Expenses!B$3:B$999,SMALL(IF((Expenses!E$3:E$999="GBP")*(Expenses!A$3:A$999=DATE(2026,9,30)),ROW(Expenses!A$3:A$999)-2),1)),"")&lt;&gt;"",IFERROR(INDEX(Expenses!B$3:B$999,SMALL(IF((Expenses!E$3:E$999="GBP")*(Expenses!A$3:A$999=DATE(2026,9,30)),ROW(Expenses!A$3:A$999)-2),1)),""),IF(IFERROR(INDEX(Income!B$3:B$502,SMALL(IF((Income!D$3:D$502="GBP")*(Income!A$3:A$502=DATE(2026,9,30)),ROW(Income!A$3:A$502)-2),1)),"")&lt;&gt;"",IFERROR(INDEX(Income!B$3:B$502,SMALL(IF((Income!D$3:D$502="GBP")*(Income!A$3:A$502=DATE(2026,9,30)),ROW(Income!A$3:A$502)-2),1)),""),""))</f>
        <v/>
      </c>
      <c r="I199" s="152">
        <f t="array" ref="I199">IF(IFERROR(-INDEX(Expenses!D$3:D$999,SMALL(IF((Expenses!E$3:E$999="GBP")*(Expenses!A$3:A$999=DATE(2026,10,1)),ROW(Expenses!A$3:A$999)-2),1)),0)+IFERROR(INDEX(Income!C$3:C$502,SMALL(IF((Income!D$3:D$502="GBP")*(Income!A$3:A$502=DATE(2026,10,1)),ROW(Income!A$3:A$502)-2),1)),0)=0,"",IFERROR(-INDEX(Expenses!D$3:D$999,SMALL(IF((Expenses!E$3:E$999="GBP")*(Expenses!A$3:A$999=DATE(2026,10,1)),ROW(Expenses!A$3:A$999)-2),1)),0)+IFERROR(INDEX(Income!C$3:C$502,SMALL(IF((Income!D$3:D$502="GBP")*(Income!A$3:A$502=DATE(2026,10,1)),ROW(Income!A$3:A$502)-2),1)),0))</f>
        <v/>
      </c>
      <c r="J199" s="126">
        <f t="array" ref="J199">IF(IFERROR(INDEX(Expenses!B$3:B$999,SMALL(IF((Expenses!E$3:E$999="GBP")*(Expenses!A$3:A$999=DATE(2026,10,1)),ROW(Expenses!A$3:A$999)-2),1)),"")&lt;&gt;"",IFERROR(INDEX(Expenses!B$3:B$999,SMALL(IF((Expenses!E$3:E$999="GBP")*(Expenses!A$3:A$999=DATE(2026,10,1)),ROW(Expenses!A$3:A$999)-2),1)),""),IF(IFERROR(INDEX(Income!B$3:B$502,SMALL(IF((Income!D$3:D$502="GBP")*(Income!A$3:A$502=DATE(2026,10,1)),ROW(Income!A$3:A$502)-2),1)),"")&lt;&gt;"",IFERROR(INDEX(Income!B$3:B$502,SMALL(IF((Income!D$3:D$502="GBP")*(Income!A$3:A$502=DATE(2026,10,1)),ROW(Income!A$3:A$502)-2),1)),""),""))</f>
        <v/>
      </c>
      <c r="K199" s="152">
        <f t="array" ref="K199">IF(IFERROR(-INDEX(Expenses!D$3:D$999,SMALL(IF((Expenses!E$3:E$999="GBP")*(Expenses!A$3:A$999=DATE(2026,10,2)),ROW(Expenses!A$3:A$999)-2),1)),0)+IFERROR(INDEX(Income!C$3:C$502,SMALL(IF((Income!D$3:D$502="GBP")*(Income!A$3:A$502=DATE(2026,10,2)),ROW(Income!A$3:A$502)-2),1)),0)=0,"",IFERROR(-INDEX(Expenses!D$3:D$999,SMALL(IF((Expenses!E$3:E$999="GBP")*(Expenses!A$3:A$999=DATE(2026,10,2)),ROW(Expenses!A$3:A$999)-2),1)),0)+IFERROR(INDEX(Income!C$3:C$502,SMALL(IF((Income!D$3:D$502="GBP")*(Income!A$3:A$502=DATE(2026,10,2)),ROW(Income!A$3:A$502)-2),1)),0))</f>
        <v/>
      </c>
      <c r="L199" s="126">
        <f t="array" ref="L199">IF(IFERROR(INDEX(Expenses!B$3:B$999,SMALL(IF((Expenses!E$3:E$999="GBP")*(Expenses!A$3:A$999=DATE(2026,10,2)),ROW(Expenses!A$3:A$999)-2),1)),"")&lt;&gt;"",IFERROR(INDEX(Expenses!B$3:B$999,SMALL(IF((Expenses!E$3:E$999="GBP")*(Expenses!A$3:A$999=DATE(2026,10,2)),ROW(Expenses!A$3:A$999)-2),1)),""),IF(IFERROR(INDEX(Income!B$3:B$502,SMALL(IF((Income!D$3:D$502="GBP")*(Income!A$3:A$502=DATE(2026,10,2)),ROW(Income!A$3:A$502)-2),1)),"")&lt;&gt;"",IFERROR(INDEX(Income!B$3:B$502,SMALL(IF((Income!D$3:D$502="GBP")*(Income!A$3:A$502=DATE(2026,10,2)),ROW(Income!A$3:A$502)-2),1)),""),""))</f>
        <v/>
      </c>
      <c r="M199" s="152">
        <f t="array" ref="M199">IF(IFERROR(-INDEX(Expenses!D$3:D$999,SMALL(IF((Expenses!E$3:E$999="GBP")*(Expenses!A$3:A$999=DATE(2026,10,3)),ROW(Expenses!A$3:A$999)-2),1)),0)+IFERROR(INDEX(Income!C$3:C$502,SMALL(IF((Income!D$3:D$502="GBP")*(Income!A$3:A$502=DATE(2026,10,3)),ROW(Income!A$3:A$502)-2),1)),0)=0,"",IFERROR(-INDEX(Expenses!D$3:D$999,SMALL(IF((Expenses!E$3:E$999="GBP")*(Expenses!A$3:A$999=DATE(2026,10,3)),ROW(Expenses!A$3:A$999)-2),1)),0)+IFERROR(INDEX(Income!C$3:C$502,SMALL(IF((Income!D$3:D$502="GBP")*(Income!A$3:A$502=DATE(2026,10,3)),ROW(Income!A$3:A$502)-2),1)),0))</f>
        <v/>
      </c>
      <c r="N199" s="126">
        <f t="array" ref="N199">IF(IFERROR(INDEX(Expenses!B$3:B$999,SMALL(IF((Expenses!E$3:E$999="GBP")*(Expenses!A$3:A$999=DATE(2026,10,3)),ROW(Expenses!A$3:A$999)-2),1)),"")&lt;&gt;"",IFERROR(INDEX(Expenses!B$3:B$999,SMALL(IF((Expenses!E$3:E$999="GBP")*(Expenses!A$3:A$999=DATE(2026,10,3)),ROW(Expenses!A$3:A$999)-2),1)),""),IF(IFERROR(INDEX(Income!B$3:B$502,SMALL(IF((Income!D$3:D$502="GBP")*(Income!A$3:A$502=DATE(2026,10,3)),ROW(Income!A$3:A$502)-2),1)),"")&lt;&gt;"",IFERROR(INDEX(Income!B$3:B$502,SMALL(IF((Income!D$3:D$502="GBP")*(Income!A$3:A$502=DATE(2026,10,3)),ROW(Income!A$3:A$502)-2),1)),""),""))</f>
        <v/>
      </c>
      <c r="O199" s="152">
        <f t="array" ref="O199">IF(IFERROR(-INDEX(Expenses!D$3:D$999,SMALL(IF((Expenses!E$3:E$999="GBP")*(Expenses!A$3:A$999=DATE(2026,10,4)),ROW(Expenses!A$3:A$999)-2),1)),0)+IFERROR(INDEX(Income!C$3:C$502,SMALL(IF((Income!D$3:D$502="GBP")*(Income!A$3:A$502=DATE(2026,10,4)),ROW(Income!A$3:A$502)-2),1)),0)=0,"",IFERROR(-INDEX(Expenses!D$3:D$999,SMALL(IF((Expenses!E$3:E$999="GBP")*(Expenses!A$3:A$999=DATE(2026,10,4)),ROW(Expenses!A$3:A$999)-2),1)),0)+IFERROR(INDEX(Income!C$3:C$502,SMALL(IF((Income!D$3:D$502="GBP")*(Income!A$3:A$502=DATE(2026,10,4)),ROW(Income!A$3:A$502)-2),1)),0))</f>
        <v/>
      </c>
      <c r="P199" s="126">
        <f t="array" ref="P199">IF(IFERROR(INDEX(Expenses!B$3:B$999,SMALL(IF((Expenses!E$3:E$999="GBP")*(Expenses!A$3:A$999=DATE(2026,10,4)),ROW(Expenses!A$3:A$999)-2),1)),"")&lt;&gt;"",IFERROR(INDEX(Expenses!B$3:B$999,SMALL(IF((Expenses!E$3:E$999="GBP")*(Expenses!A$3:A$999=DATE(2026,10,4)),ROW(Expenses!A$3:A$999)-2),1)),""),IF(IFERROR(INDEX(Income!B$3:B$502,SMALL(IF((Income!D$3:D$502="GBP")*(Income!A$3:A$502=DATE(2026,10,4)),ROW(Income!A$3:A$502)-2),1)),"")&lt;&gt;"",IFERROR(INDEX(Income!B$3:B$502,SMALL(IF((Income!D$3:D$502="GBP")*(Income!A$3:A$502=DATE(2026,10,4)),ROW(Income!A$3:A$502)-2),1)),""),""))</f>
        <v/>
      </c>
      <c r="Q199" s="103" t="n">
        <v>40</v>
      </c>
      <c r="R199" s="134">
        <f>SUM(C199:C203)+SUM(E199:E203)+SUM(G199:G203)+SUM(I199:I203)+SUM(K199:K203)+SUM(M199:M203)+SUM(O199:O203)</f>
        <v/>
      </c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68">
      <c r="A200" s="9" t="n"/>
      <c r="B200" s="9" t="n"/>
      <c r="C200" s="152">
        <f t="array" ref="C200">IF(IFERROR(-INDEX(Expenses!D$3:D$999,SMALL(IF((Expenses!E$3:E$999="GBP")*(Expenses!A$3:A$999=DATE(2026,9,28)),ROW(Expenses!A$3:A$999)-2),2)),0)+IFERROR(INDEX(Income!C$3:C$502,SMALL(IF((Income!D$3:D$502="GBP")*(Income!A$3:A$502=DATE(2026,9,28)),ROW(Income!A$3:A$502)-2),2)),0)=0,"",IFERROR(-INDEX(Expenses!D$3:D$999,SMALL(IF((Expenses!E$3:E$999="GBP")*(Expenses!A$3:A$999=DATE(2026,9,28)),ROW(Expenses!A$3:A$999)-2),2)),0)+IFERROR(INDEX(Income!C$3:C$502,SMALL(IF((Income!D$3:D$502="GBP")*(Income!A$3:A$502=DATE(2026,9,28)),ROW(Income!A$3:A$502)-2),2)),0))</f>
        <v/>
      </c>
      <c r="D200" s="126">
        <f t="array" ref="D200">IF(IFERROR(INDEX(Expenses!B$3:B$999,SMALL(IF((Expenses!E$3:E$999="GBP")*(Expenses!A$3:A$999=DATE(2026,9,28)),ROW(Expenses!A$3:A$999)-2),2)),"")&lt;&gt;"",IFERROR(INDEX(Expenses!B$3:B$999,SMALL(IF((Expenses!E$3:E$999="GBP")*(Expenses!A$3:A$999=DATE(2026,9,28)),ROW(Expenses!A$3:A$999)-2),2)),""),IF(IFERROR(INDEX(Income!B$3:B$502,SMALL(IF((Income!D$3:D$502="GBP")*(Income!A$3:A$502=DATE(2026,9,28)),ROW(Income!A$3:A$502)-2),2)),"")&lt;&gt;"",IFERROR(INDEX(Income!B$3:B$502,SMALL(IF((Income!D$3:D$502="GBP")*(Income!A$3:A$502=DATE(2026,9,28)),ROW(Income!A$3:A$502)-2),2)),""),""))</f>
        <v/>
      </c>
      <c r="E200" s="152">
        <f t="array" ref="E200">IF(IFERROR(-INDEX(Expenses!D$3:D$999,SMALL(IF((Expenses!E$3:E$999="GBP")*(Expenses!A$3:A$999=DATE(2026,9,29)),ROW(Expenses!A$3:A$999)-2),2)),0)+IFERROR(INDEX(Income!C$3:C$502,SMALL(IF((Income!D$3:D$502="GBP")*(Income!A$3:A$502=DATE(2026,9,29)),ROW(Income!A$3:A$502)-2),2)),0)=0,"",IFERROR(-INDEX(Expenses!D$3:D$999,SMALL(IF((Expenses!E$3:E$999="GBP")*(Expenses!A$3:A$999=DATE(2026,9,29)),ROW(Expenses!A$3:A$999)-2),2)),0)+IFERROR(INDEX(Income!C$3:C$502,SMALL(IF((Income!D$3:D$502="GBP")*(Income!A$3:A$502=DATE(2026,9,29)),ROW(Income!A$3:A$502)-2),2)),0))</f>
        <v/>
      </c>
      <c r="F200" s="126">
        <f t="array" ref="F200">IF(IFERROR(INDEX(Expenses!B$3:B$999,SMALL(IF((Expenses!E$3:E$999="GBP")*(Expenses!A$3:A$999=DATE(2026,9,29)),ROW(Expenses!A$3:A$999)-2),2)),"")&lt;&gt;"",IFERROR(INDEX(Expenses!B$3:B$999,SMALL(IF((Expenses!E$3:E$999="GBP")*(Expenses!A$3:A$999=DATE(2026,9,29)),ROW(Expenses!A$3:A$999)-2),2)),""),IF(IFERROR(INDEX(Income!B$3:B$502,SMALL(IF((Income!D$3:D$502="GBP")*(Income!A$3:A$502=DATE(2026,9,29)),ROW(Income!A$3:A$502)-2),2)),"")&lt;&gt;"",IFERROR(INDEX(Income!B$3:B$502,SMALL(IF((Income!D$3:D$502="GBP")*(Income!A$3:A$502=DATE(2026,9,29)),ROW(Income!A$3:A$502)-2),2)),""),""))</f>
        <v/>
      </c>
      <c r="G200" s="152">
        <f t="array" ref="G200">IF(IFERROR(-INDEX(Expenses!D$3:D$999,SMALL(IF((Expenses!E$3:E$999="GBP")*(Expenses!A$3:A$999=DATE(2026,9,30)),ROW(Expenses!A$3:A$999)-2),2)),0)+IFERROR(INDEX(Income!C$3:C$502,SMALL(IF((Income!D$3:D$502="GBP")*(Income!A$3:A$502=DATE(2026,9,30)),ROW(Income!A$3:A$502)-2),2)),0)=0,"",IFERROR(-INDEX(Expenses!D$3:D$999,SMALL(IF((Expenses!E$3:E$999="GBP")*(Expenses!A$3:A$999=DATE(2026,9,30)),ROW(Expenses!A$3:A$999)-2),2)),0)+IFERROR(INDEX(Income!C$3:C$502,SMALL(IF((Income!D$3:D$502="GBP")*(Income!A$3:A$502=DATE(2026,9,30)),ROW(Income!A$3:A$502)-2),2)),0))</f>
        <v/>
      </c>
      <c r="H200" s="126">
        <f t="array" ref="H200">IF(IFERROR(INDEX(Expenses!B$3:B$999,SMALL(IF((Expenses!E$3:E$999="GBP")*(Expenses!A$3:A$999=DATE(2026,9,30)),ROW(Expenses!A$3:A$999)-2),2)),"")&lt;&gt;"",IFERROR(INDEX(Expenses!B$3:B$999,SMALL(IF((Expenses!E$3:E$999="GBP")*(Expenses!A$3:A$999=DATE(2026,9,30)),ROW(Expenses!A$3:A$999)-2),2)),""),IF(IFERROR(INDEX(Income!B$3:B$502,SMALL(IF((Income!D$3:D$502="GBP")*(Income!A$3:A$502=DATE(2026,9,30)),ROW(Income!A$3:A$502)-2),2)),"")&lt;&gt;"",IFERROR(INDEX(Income!B$3:B$502,SMALL(IF((Income!D$3:D$502="GBP")*(Income!A$3:A$502=DATE(2026,9,30)),ROW(Income!A$3:A$502)-2),2)),""),""))</f>
        <v/>
      </c>
      <c r="I200" s="152">
        <f t="array" ref="I200">IF(IFERROR(-INDEX(Expenses!D$3:D$999,SMALL(IF((Expenses!E$3:E$999="GBP")*(Expenses!A$3:A$999=DATE(2026,10,1)),ROW(Expenses!A$3:A$999)-2),2)),0)+IFERROR(INDEX(Income!C$3:C$502,SMALL(IF((Income!D$3:D$502="GBP")*(Income!A$3:A$502=DATE(2026,10,1)),ROW(Income!A$3:A$502)-2),2)),0)=0,"",IFERROR(-INDEX(Expenses!D$3:D$999,SMALL(IF((Expenses!E$3:E$999="GBP")*(Expenses!A$3:A$999=DATE(2026,10,1)),ROW(Expenses!A$3:A$999)-2),2)),0)+IFERROR(INDEX(Income!C$3:C$502,SMALL(IF((Income!D$3:D$502="GBP")*(Income!A$3:A$502=DATE(2026,10,1)),ROW(Income!A$3:A$502)-2),2)),0))</f>
        <v/>
      </c>
      <c r="J200" s="126">
        <f t="array" ref="J200">IF(IFERROR(INDEX(Expenses!B$3:B$999,SMALL(IF((Expenses!E$3:E$999="GBP")*(Expenses!A$3:A$999=DATE(2026,10,1)),ROW(Expenses!A$3:A$999)-2),2)),"")&lt;&gt;"",IFERROR(INDEX(Expenses!B$3:B$999,SMALL(IF((Expenses!E$3:E$999="GBP")*(Expenses!A$3:A$999=DATE(2026,10,1)),ROW(Expenses!A$3:A$999)-2),2)),""),IF(IFERROR(INDEX(Income!B$3:B$502,SMALL(IF((Income!D$3:D$502="GBP")*(Income!A$3:A$502=DATE(2026,10,1)),ROW(Income!A$3:A$502)-2),2)),"")&lt;&gt;"",IFERROR(INDEX(Income!B$3:B$502,SMALL(IF((Income!D$3:D$502="GBP")*(Income!A$3:A$502=DATE(2026,10,1)),ROW(Income!A$3:A$502)-2),2)),""),""))</f>
        <v/>
      </c>
      <c r="K200" s="152">
        <f t="array" ref="K200">IF(IFERROR(-INDEX(Expenses!D$3:D$999,SMALL(IF((Expenses!E$3:E$999="GBP")*(Expenses!A$3:A$999=DATE(2026,10,2)),ROW(Expenses!A$3:A$999)-2),2)),0)+IFERROR(INDEX(Income!C$3:C$502,SMALL(IF((Income!D$3:D$502="GBP")*(Income!A$3:A$502=DATE(2026,10,2)),ROW(Income!A$3:A$502)-2),2)),0)=0,"",IFERROR(-INDEX(Expenses!D$3:D$999,SMALL(IF((Expenses!E$3:E$999="GBP")*(Expenses!A$3:A$999=DATE(2026,10,2)),ROW(Expenses!A$3:A$999)-2),2)),0)+IFERROR(INDEX(Income!C$3:C$502,SMALL(IF((Income!D$3:D$502="GBP")*(Income!A$3:A$502=DATE(2026,10,2)),ROW(Income!A$3:A$502)-2),2)),0))</f>
        <v/>
      </c>
      <c r="L200" s="126">
        <f t="array" ref="L200">IF(IFERROR(INDEX(Expenses!B$3:B$999,SMALL(IF((Expenses!E$3:E$999="GBP")*(Expenses!A$3:A$999=DATE(2026,10,2)),ROW(Expenses!A$3:A$999)-2),2)),"")&lt;&gt;"",IFERROR(INDEX(Expenses!B$3:B$999,SMALL(IF((Expenses!E$3:E$999="GBP")*(Expenses!A$3:A$999=DATE(2026,10,2)),ROW(Expenses!A$3:A$999)-2),2)),""),IF(IFERROR(INDEX(Income!B$3:B$502,SMALL(IF((Income!D$3:D$502="GBP")*(Income!A$3:A$502=DATE(2026,10,2)),ROW(Income!A$3:A$502)-2),2)),"")&lt;&gt;"",IFERROR(INDEX(Income!B$3:B$502,SMALL(IF((Income!D$3:D$502="GBP")*(Income!A$3:A$502=DATE(2026,10,2)),ROW(Income!A$3:A$502)-2),2)),""),""))</f>
        <v/>
      </c>
      <c r="M200" s="152">
        <f t="array" ref="M200">IF(IFERROR(-INDEX(Expenses!D$3:D$999,SMALL(IF((Expenses!E$3:E$999="GBP")*(Expenses!A$3:A$999=DATE(2026,10,3)),ROW(Expenses!A$3:A$999)-2),2)),0)+IFERROR(INDEX(Income!C$3:C$502,SMALL(IF((Income!D$3:D$502="GBP")*(Income!A$3:A$502=DATE(2026,10,3)),ROW(Income!A$3:A$502)-2),2)),0)=0,"",IFERROR(-INDEX(Expenses!D$3:D$999,SMALL(IF((Expenses!E$3:E$999="GBP")*(Expenses!A$3:A$999=DATE(2026,10,3)),ROW(Expenses!A$3:A$999)-2),2)),0)+IFERROR(INDEX(Income!C$3:C$502,SMALL(IF((Income!D$3:D$502="GBP")*(Income!A$3:A$502=DATE(2026,10,3)),ROW(Income!A$3:A$502)-2),2)),0))</f>
        <v/>
      </c>
      <c r="N200" s="126">
        <f t="array" ref="N200">IF(IFERROR(INDEX(Expenses!B$3:B$999,SMALL(IF((Expenses!E$3:E$999="GBP")*(Expenses!A$3:A$999=DATE(2026,10,3)),ROW(Expenses!A$3:A$999)-2),2)),"")&lt;&gt;"",IFERROR(INDEX(Expenses!B$3:B$999,SMALL(IF((Expenses!E$3:E$999="GBP")*(Expenses!A$3:A$999=DATE(2026,10,3)),ROW(Expenses!A$3:A$999)-2),2)),""),IF(IFERROR(INDEX(Income!B$3:B$502,SMALL(IF((Income!D$3:D$502="GBP")*(Income!A$3:A$502=DATE(2026,10,3)),ROW(Income!A$3:A$502)-2),2)),"")&lt;&gt;"",IFERROR(INDEX(Income!B$3:B$502,SMALL(IF((Income!D$3:D$502="GBP")*(Income!A$3:A$502=DATE(2026,10,3)),ROW(Income!A$3:A$502)-2),2)),""),""))</f>
        <v/>
      </c>
      <c r="O200" s="152">
        <f t="array" ref="O200">IF(IFERROR(-INDEX(Expenses!D$3:D$999,SMALL(IF((Expenses!E$3:E$999="GBP")*(Expenses!A$3:A$999=DATE(2026,10,4)),ROW(Expenses!A$3:A$999)-2),2)),0)+IFERROR(INDEX(Income!C$3:C$502,SMALL(IF((Income!D$3:D$502="GBP")*(Income!A$3:A$502=DATE(2026,10,4)),ROW(Income!A$3:A$502)-2),2)),0)=0,"",IFERROR(-INDEX(Expenses!D$3:D$999,SMALL(IF((Expenses!E$3:E$999="GBP")*(Expenses!A$3:A$999=DATE(2026,10,4)),ROW(Expenses!A$3:A$999)-2),2)),0)+IFERROR(INDEX(Income!C$3:C$502,SMALL(IF((Income!D$3:D$502="GBP")*(Income!A$3:A$502=DATE(2026,10,4)),ROW(Income!A$3:A$502)-2),2)),0))</f>
        <v/>
      </c>
      <c r="P200" s="126">
        <f t="array" ref="P200">IF(IFERROR(INDEX(Expenses!B$3:B$999,SMALL(IF((Expenses!E$3:E$999="GBP")*(Expenses!A$3:A$999=DATE(2026,10,4)),ROW(Expenses!A$3:A$999)-2),2)),"")&lt;&gt;"",IFERROR(INDEX(Expenses!B$3:B$999,SMALL(IF((Expenses!E$3:E$999="GBP")*(Expenses!A$3:A$999=DATE(2026,10,4)),ROW(Expenses!A$3:A$999)-2),2)),""),IF(IFERROR(INDEX(Income!B$3:B$502,SMALL(IF((Income!D$3:D$502="GBP")*(Income!A$3:A$502=DATE(2026,10,4)),ROW(Income!A$3:A$502)-2),2)),"")&lt;&gt;"",IFERROR(INDEX(Income!B$3:B$502,SMALL(IF((Income!D$3:D$502="GBP")*(Income!A$3:A$502=DATE(2026,10,4)),ROW(Income!A$3:A$502)-2),2)),""),""))</f>
        <v/>
      </c>
      <c r="Q200" s="9" t="n"/>
      <c r="R200" s="9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68">
      <c r="A201" s="9" t="n"/>
      <c r="B201" s="9" t="n"/>
      <c r="C201" s="152">
        <f t="array" ref="C201">IF(IFERROR(-INDEX(Expenses!D$3:D$999,SMALL(IF((Expenses!E$3:E$999="GBP")*(Expenses!A$3:A$999=DATE(2026,9,28)),ROW(Expenses!A$3:A$999)-2),3)),0)+IFERROR(INDEX(Income!C$3:C$502,SMALL(IF((Income!D$3:D$502="GBP")*(Income!A$3:A$502=DATE(2026,9,28)),ROW(Income!A$3:A$502)-2),3)),0)=0,"",IFERROR(-INDEX(Expenses!D$3:D$999,SMALL(IF((Expenses!E$3:E$999="GBP")*(Expenses!A$3:A$999=DATE(2026,9,28)),ROW(Expenses!A$3:A$999)-2),3)),0)+IFERROR(INDEX(Income!C$3:C$502,SMALL(IF((Income!D$3:D$502="GBP")*(Income!A$3:A$502=DATE(2026,9,28)),ROW(Income!A$3:A$502)-2),3)),0))</f>
        <v/>
      </c>
      <c r="D201" s="126">
        <f t="array" ref="D201">IF(IFERROR(INDEX(Expenses!B$3:B$999,SMALL(IF((Expenses!E$3:E$999="GBP")*(Expenses!A$3:A$999=DATE(2026,9,28)),ROW(Expenses!A$3:A$999)-2),3)),"")&lt;&gt;"",IFERROR(INDEX(Expenses!B$3:B$999,SMALL(IF((Expenses!E$3:E$999="GBP")*(Expenses!A$3:A$999=DATE(2026,9,28)),ROW(Expenses!A$3:A$999)-2),3)),""),IF(IFERROR(INDEX(Income!B$3:B$502,SMALL(IF((Income!D$3:D$502="GBP")*(Income!A$3:A$502=DATE(2026,9,28)),ROW(Income!A$3:A$502)-2),3)),"")&lt;&gt;"",IFERROR(INDEX(Income!B$3:B$502,SMALL(IF((Income!D$3:D$502="GBP")*(Income!A$3:A$502=DATE(2026,9,28)),ROW(Income!A$3:A$502)-2),3)),""),""))</f>
        <v/>
      </c>
      <c r="E201" s="152">
        <f t="array" ref="E201">IF(IFERROR(-INDEX(Expenses!D$3:D$999,SMALL(IF((Expenses!E$3:E$999="GBP")*(Expenses!A$3:A$999=DATE(2026,9,29)),ROW(Expenses!A$3:A$999)-2),3)),0)+IFERROR(INDEX(Income!C$3:C$502,SMALL(IF((Income!D$3:D$502="GBP")*(Income!A$3:A$502=DATE(2026,9,29)),ROW(Income!A$3:A$502)-2),3)),0)=0,"",IFERROR(-INDEX(Expenses!D$3:D$999,SMALL(IF((Expenses!E$3:E$999="GBP")*(Expenses!A$3:A$999=DATE(2026,9,29)),ROW(Expenses!A$3:A$999)-2),3)),0)+IFERROR(INDEX(Income!C$3:C$502,SMALL(IF((Income!D$3:D$502="GBP")*(Income!A$3:A$502=DATE(2026,9,29)),ROW(Income!A$3:A$502)-2),3)),0))</f>
        <v/>
      </c>
      <c r="F201" s="126">
        <f t="array" ref="F201">IF(IFERROR(INDEX(Expenses!B$3:B$999,SMALL(IF((Expenses!E$3:E$999="GBP")*(Expenses!A$3:A$999=DATE(2026,9,29)),ROW(Expenses!A$3:A$999)-2),3)),"")&lt;&gt;"",IFERROR(INDEX(Expenses!B$3:B$999,SMALL(IF((Expenses!E$3:E$999="GBP")*(Expenses!A$3:A$999=DATE(2026,9,29)),ROW(Expenses!A$3:A$999)-2),3)),""),IF(IFERROR(INDEX(Income!B$3:B$502,SMALL(IF((Income!D$3:D$502="GBP")*(Income!A$3:A$502=DATE(2026,9,29)),ROW(Income!A$3:A$502)-2),3)),"")&lt;&gt;"",IFERROR(INDEX(Income!B$3:B$502,SMALL(IF((Income!D$3:D$502="GBP")*(Income!A$3:A$502=DATE(2026,9,29)),ROW(Income!A$3:A$502)-2),3)),""),""))</f>
        <v/>
      </c>
      <c r="G201" s="152">
        <f t="array" ref="G201">IF(IFERROR(-INDEX(Expenses!D$3:D$999,SMALL(IF((Expenses!E$3:E$999="GBP")*(Expenses!A$3:A$999=DATE(2026,9,30)),ROW(Expenses!A$3:A$999)-2),3)),0)+IFERROR(INDEX(Income!C$3:C$502,SMALL(IF((Income!D$3:D$502="GBP")*(Income!A$3:A$502=DATE(2026,9,30)),ROW(Income!A$3:A$502)-2),3)),0)=0,"",IFERROR(-INDEX(Expenses!D$3:D$999,SMALL(IF((Expenses!E$3:E$999="GBP")*(Expenses!A$3:A$999=DATE(2026,9,30)),ROW(Expenses!A$3:A$999)-2),3)),0)+IFERROR(INDEX(Income!C$3:C$502,SMALL(IF((Income!D$3:D$502="GBP")*(Income!A$3:A$502=DATE(2026,9,30)),ROW(Income!A$3:A$502)-2),3)),0))</f>
        <v/>
      </c>
      <c r="H201" s="126">
        <f t="array" ref="H201">IF(IFERROR(INDEX(Expenses!B$3:B$999,SMALL(IF((Expenses!E$3:E$999="GBP")*(Expenses!A$3:A$999=DATE(2026,9,30)),ROW(Expenses!A$3:A$999)-2),3)),"")&lt;&gt;"",IFERROR(INDEX(Expenses!B$3:B$999,SMALL(IF((Expenses!E$3:E$999="GBP")*(Expenses!A$3:A$999=DATE(2026,9,30)),ROW(Expenses!A$3:A$999)-2),3)),""),IF(IFERROR(INDEX(Income!B$3:B$502,SMALL(IF((Income!D$3:D$502="GBP")*(Income!A$3:A$502=DATE(2026,9,30)),ROW(Income!A$3:A$502)-2),3)),"")&lt;&gt;"",IFERROR(INDEX(Income!B$3:B$502,SMALL(IF((Income!D$3:D$502="GBP")*(Income!A$3:A$502=DATE(2026,9,30)),ROW(Income!A$3:A$502)-2),3)),""),""))</f>
        <v/>
      </c>
      <c r="I201" s="152">
        <f t="array" ref="I201">IF(IFERROR(-INDEX(Expenses!D$3:D$999,SMALL(IF((Expenses!E$3:E$999="GBP")*(Expenses!A$3:A$999=DATE(2026,10,1)),ROW(Expenses!A$3:A$999)-2),3)),0)+IFERROR(INDEX(Income!C$3:C$502,SMALL(IF((Income!D$3:D$502="GBP")*(Income!A$3:A$502=DATE(2026,10,1)),ROW(Income!A$3:A$502)-2),3)),0)=0,"",IFERROR(-INDEX(Expenses!D$3:D$999,SMALL(IF((Expenses!E$3:E$999="GBP")*(Expenses!A$3:A$999=DATE(2026,10,1)),ROW(Expenses!A$3:A$999)-2),3)),0)+IFERROR(INDEX(Income!C$3:C$502,SMALL(IF((Income!D$3:D$502="GBP")*(Income!A$3:A$502=DATE(2026,10,1)),ROW(Income!A$3:A$502)-2),3)),0))</f>
        <v/>
      </c>
      <c r="J201" s="126">
        <f t="array" ref="J201">IF(IFERROR(INDEX(Expenses!B$3:B$999,SMALL(IF((Expenses!E$3:E$999="GBP")*(Expenses!A$3:A$999=DATE(2026,10,1)),ROW(Expenses!A$3:A$999)-2),3)),"")&lt;&gt;"",IFERROR(INDEX(Expenses!B$3:B$999,SMALL(IF((Expenses!E$3:E$999="GBP")*(Expenses!A$3:A$999=DATE(2026,10,1)),ROW(Expenses!A$3:A$999)-2),3)),""),IF(IFERROR(INDEX(Income!B$3:B$502,SMALL(IF((Income!D$3:D$502="GBP")*(Income!A$3:A$502=DATE(2026,10,1)),ROW(Income!A$3:A$502)-2),3)),"")&lt;&gt;"",IFERROR(INDEX(Income!B$3:B$502,SMALL(IF((Income!D$3:D$502="GBP")*(Income!A$3:A$502=DATE(2026,10,1)),ROW(Income!A$3:A$502)-2),3)),""),""))</f>
        <v/>
      </c>
      <c r="K201" s="152">
        <f t="array" ref="K201">IF(IFERROR(-INDEX(Expenses!D$3:D$999,SMALL(IF((Expenses!E$3:E$999="GBP")*(Expenses!A$3:A$999=DATE(2026,10,2)),ROW(Expenses!A$3:A$999)-2),3)),0)+IFERROR(INDEX(Income!C$3:C$502,SMALL(IF((Income!D$3:D$502="GBP")*(Income!A$3:A$502=DATE(2026,10,2)),ROW(Income!A$3:A$502)-2),3)),0)=0,"",IFERROR(-INDEX(Expenses!D$3:D$999,SMALL(IF((Expenses!E$3:E$999="GBP")*(Expenses!A$3:A$999=DATE(2026,10,2)),ROW(Expenses!A$3:A$999)-2),3)),0)+IFERROR(INDEX(Income!C$3:C$502,SMALL(IF((Income!D$3:D$502="GBP")*(Income!A$3:A$502=DATE(2026,10,2)),ROW(Income!A$3:A$502)-2),3)),0))</f>
        <v/>
      </c>
      <c r="L201" s="126">
        <f t="array" ref="L201">IF(IFERROR(INDEX(Expenses!B$3:B$999,SMALL(IF((Expenses!E$3:E$999="GBP")*(Expenses!A$3:A$999=DATE(2026,10,2)),ROW(Expenses!A$3:A$999)-2),3)),"")&lt;&gt;"",IFERROR(INDEX(Expenses!B$3:B$999,SMALL(IF((Expenses!E$3:E$999="GBP")*(Expenses!A$3:A$999=DATE(2026,10,2)),ROW(Expenses!A$3:A$999)-2),3)),""),IF(IFERROR(INDEX(Income!B$3:B$502,SMALL(IF((Income!D$3:D$502="GBP")*(Income!A$3:A$502=DATE(2026,10,2)),ROW(Income!A$3:A$502)-2),3)),"")&lt;&gt;"",IFERROR(INDEX(Income!B$3:B$502,SMALL(IF((Income!D$3:D$502="GBP")*(Income!A$3:A$502=DATE(2026,10,2)),ROW(Income!A$3:A$502)-2),3)),""),""))</f>
        <v/>
      </c>
      <c r="M201" s="152">
        <f t="array" ref="M201">IF(IFERROR(-INDEX(Expenses!D$3:D$999,SMALL(IF((Expenses!E$3:E$999="GBP")*(Expenses!A$3:A$999=DATE(2026,10,3)),ROW(Expenses!A$3:A$999)-2),3)),0)+IFERROR(INDEX(Income!C$3:C$502,SMALL(IF((Income!D$3:D$502="GBP")*(Income!A$3:A$502=DATE(2026,10,3)),ROW(Income!A$3:A$502)-2),3)),0)=0,"",IFERROR(-INDEX(Expenses!D$3:D$999,SMALL(IF((Expenses!E$3:E$999="GBP")*(Expenses!A$3:A$999=DATE(2026,10,3)),ROW(Expenses!A$3:A$999)-2),3)),0)+IFERROR(INDEX(Income!C$3:C$502,SMALL(IF((Income!D$3:D$502="GBP")*(Income!A$3:A$502=DATE(2026,10,3)),ROW(Income!A$3:A$502)-2),3)),0))</f>
        <v/>
      </c>
      <c r="N201" s="126">
        <f t="array" ref="N201">IF(IFERROR(INDEX(Expenses!B$3:B$999,SMALL(IF((Expenses!E$3:E$999="GBP")*(Expenses!A$3:A$999=DATE(2026,10,3)),ROW(Expenses!A$3:A$999)-2),3)),"")&lt;&gt;"",IFERROR(INDEX(Expenses!B$3:B$999,SMALL(IF((Expenses!E$3:E$999="GBP")*(Expenses!A$3:A$999=DATE(2026,10,3)),ROW(Expenses!A$3:A$999)-2),3)),""),IF(IFERROR(INDEX(Income!B$3:B$502,SMALL(IF((Income!D$3:D$502="GBP")*(Income!A$3:A$502=DATE(2026,10,3)),ROW(Income!A$3:A$502)-2),3)),"")&lt;&gt;"",IFERROR(INDEX(Income!B$3:B$502,SMALL(IF((Income!D$3:D$502="GBP")*(Income!A$3:A$502=DATE(2026,10,3)),ROW(Income!A$3:A$502)-2),3)),""),""))</f>
        <v/>
      </c>
      <c r="O201" s="152">
        <f t="array" ref="O201">IF(IFERROR(-INDEX(Expenses!D$3:D$999,SMALL(IF((Expenses!E$3:E$999="GBP")*(Expenses!A$3:A$999=DATE(2026,10,4)),ROW(Expenses!A$3:A$999)-2),3)),0)+IFERROR(INDEX(Income!C$3:C$502,SMALL(IF((Income!D$3:D$502="GBP")*(Income!A$3:A$502=DATE(2026,10,4)),ROW(Income!A$3:A$502)-2),3)),0)=0,"",IFERROR(-INDEX(Expenses!D$3:D$999,SMALL(IF((Expenses!E$3:E$999="GBP")*(Expenses!A$3:A$999=DATE(2026,10,4)),ROW(Expenses!A$3:A$999)-2),3)),0)+IFERROR(INDEX(Income!C$3:C$502,SMALL(IF((Income!D$3:D$502="GBP")*(Income!A$3:A$502=DATE(2026,10,4)),ROW(Income!A$3:A$502)-2),3)),0))</f>
        <v/>
      </c>
      <c r="P201" s="126">
        <f t="array" ref="P201">IF(IFERROR(INDEX(Expenses!B$3:B$999,SMALL(IF((Expenses!E$3:E$999="GBP")*(Expenses!A$3:A$999=DATE(2026,10,4)),ROW(Expenses!A$3:A$999)-2),3)),"")&lt;&gt;"",IFERROR(INDEX(Expenses!B$3:B$999,SMALL(IF((Expenses!E$3:E$999="GBP")*(Expenses!A$3:A$999=DATE(2026,10,4)),ROW(Expenses!A$3:A$999)-2),3)),""),IF(IFERROR(INDEX(Income!B$3:B$502,SMALL(IF((Income!D$3:D$502="GBP")*(Income!A$3:A$502=DATE(2026,10,4)),ROW(Income!A$3:A$502)-2),3)),"")&lt;&gt;"",IFERROR(INDEX(Income!B$3:B$502,SMALL(IF((Income!D$3:D$502="GBP")*(Income!A$3:A$502=DATE(2026,10,4)),ROW(Income!A$3:A$502)-2),3)),""),""))</f>
        <v/>
      </c>
      <c r="Q201" s="9" t="n"/>
      <c r="R201" s="9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68">
      <c r="A202" s="9" t="n"/>
      <c r="B202" s="9" t="n"/>
      <c r="C202" s="152">
        <f t="array" ref="C202">IF(IFERROR(-INDEX(Expenses!D$3:D$999,SMALL(IF((Expenses!E$3:E$999="GBP")*(Expenses!A$3:A$999=DATE(2026,9,28)),ROW(Expenses!A$3:A$999)-2),4)),0)+IFERROR(INDEX(Income!C$3:C$502,SMALL(IF((Income!D$3:D$502="GBP")*(Income!A$3:A$502=DATE(2026,9,28)),ROW(Income!A$3:A$502)-2),4)),0)=0,"",IFERROR(-INDEX(Expenses!D$3:D$999,SMALL(IF((Expenses!E$3:E$999="GBP")*(Expenses!A$3:A$999=DATE(2026,9,28)),ROW(Expenses!A$3:A$999)-2),4)),0)+IFERROR(INDEX(Income!C$3:C$502,SMALL(IF((Income!D$3:D$502="GBP")*(Income!A$3:A$502=DATE(2026,9,28)),ROW(Income!A$3:A$502)-2),4)),0))</f>
        <v/>
      </c>
      <c r="D202" s="126">
        <f t="array" ref="D202">IF(IFERROR(INDEX(Expenses!B$3:B$999,SMALL(IF((Expenses!E$3:E$999="GBP")*(Expenses!A$3:A$999=DATE(2026,9,28)),ROW(Expenses!A$3:A$999)-2),4)),"")&lt;&gt;"",IFERROR(INDEX(Expenses!B$3:B$999,SMALL(IF((Expenses!E$3:E$999="GBP")*(Expenses!A$3:A$999=DATE(2026,9,28)),ROW(Expenses!A$3:A$999)-2),4)),""),IF(IFERROR(INDEX(Income!B$3:B$502,SMALL(IF((Income!D$3:D$502="GBP")*(Income!A$3:A$502=DATE(2026,9,28)),ROW(Income!A$3:A$502)-2),4)),"")&lt;&gt;"",IFERROR(INDEX(Income!B$3:B$502,SMALL(IF((Income!D$3:D$502="GBP")*(Income!A$3:A$502=DATE(2026,9,28)),ROW(Income!A$3:A$502)-2),4)),""),""))</f>
        <v/>
      </c>
      <c r="E202" s="152">
        <f t="array" ref="E202">IF(IFERROR(-INDEX(Expenses!D$3:D$999,SMALL(IF((Expenses!E$3:E$999="GBP")*(Expenses!A$3:A$999=DATE(2026,9,29)),ROW(Expenses!A$3:A$999)-2),4)),0)+IFERROR(INDEX(Income!C$3:C$502,SMALL(IF((Income!D$3:D$502="GBP")*(Income!A$3:A$502=DATE(2026,9,29)),ROW(Income!A$3:A$502)-2),4)),0)=0,"",IFERROR(-INDEX(Expenses!D$3:D$999,SMALL(IF((Expenses!E$3:E$999="GBP")*(Expenses!A$3:A$999=DATE(2026,9,29)),ROW(Expenses!A$3:A$999)-2),4)),0)+IFERROR(INDEX(Income!C$3:C$502,SMALL(IF((Income!D$3:D$502="GBP")*(Income!A$3:A$502=DATE(2026,9,29)),ROW(Income!A$3:A$502)-2),4)),0))</f>
        <v/>
      </c>
      <c r="F202" s="126">
        <f t="array" ref="F202">IF(IFERROR(INDEX(Expenses!B$3:B$999,SMALL(IF((Expenses!E$3:E$999="GBP")*(Expenses!A$3:A$999=DATE(2026,9,29)),ROW(Expenses!A$3:A$999)-2),4)),"")&lt;&gt;"",IFERROR(INDEX(Expenses!B$3:B$999,SMALL(IF((Expenses!E$3:E$999="GBP")*(Expenses!A$3:A$999=DATE(2026,9,29)),ROW(Expenses!A$3:A$999)-2),4)),""),IF(IFERROR(INDEX(Income!B$3:B$502,SMALL(IF((Income!D$3:D$502="GBP")*(Income!A$3:A$502=DATE(2026,9,29)),ROW(Income!A$3:A$502)-2),4)),"")&lt;&gt;"",IFERROR(INDEX(Income!B$3:B$502,SMALL(IF((Income!D$3:D$502="GBP")*(Income!A$3:A$502=DATE(2026,9,29)),ROW(Income!A$3:A$502)-2),4)),""),""))</f>
        <v/>
      </c>
      <c r="G202" s="152">
        <f t="array" ref="G202">IF(IFERROR(-INDEX(Expenses!D$3:D$999,SMALL(IF((Expenses!E$3:E$999="GBP")*(Expenses!A$3:A$999=DATE(2026,9,30)),ROW(Expenses!A$3:A$999)-2),4)),0)+IFERROR(INDEX(Income!C$3:C$502,SMALL(IF((Income!D$3:D$502="GBP")*(Income!A$3:A$502=DATE(2026,9,30)),ROW(Income!A$3:A$502)-2),4)),0)=0,"",IFERROR(-INDEX(Expenses!D$3:D$999,SMALL(IF((Expenses!E$3:E$999="GBP")*(Expenses!A$3:A$999=DATE(2026,9,30)),ROW(Expenses!A$3:A$999)-2),4)),0)+IFERROR(INDEX(Income!C$3:C$502,SMALL(IF((Income!D$3:D$502="GBP")*(Income!A$3:A$502=DATE(2026,9,30)),ROW(Income!A$3:A$502)-2),4)),0))</f>
        <v/>
      </c>
      <c r="H202" s="126">
        <f t="array" ref="H202">IF(IFERROR(INDEX(Expenses!B$3:B$999,SMALL(IF((Expenses!E$3:E$999="GBP")*(Expenses!A$3:A$999=DATE(2026,9,30)),ROW(Expenses!A$3:A$999)-2),4)),"")&lt;&gt;"",IFERROR(INDEX(Expenses!B$3:B$999,SMALL(IF((Expenses!E$3:E$999="GBP")*(Expenses!A$3:A$999=DATE(2026,9,30)),ROW(Expenses!A$3:A$999)-2),4)),""),IF(IFERROR(INDEX(Income!B$3:B$502,SMALL(IF((Income!D$3:D$502="GBP")*(Income!A$3:A$502=DATE(2026,9,30)),ROW(Income!A$3:A$502)-2),4)),"")&lt;&gt;"",IFERROR(INDEX(Income!B$3:B$502,SMALL(IF((Income!D$3:D$502="GBP")*(Income!A$3:A$502=DATE(2026,9,30)),ROW(Income!A$3:A$502)-2),4)),""),""))</f>
        <v/>
      </c>
      <c r="I202" s="152">
        <f t="array" ref="I202">IF(IFERROR(-INDEX(Expenses!D$3:D$999,SMALL(IF((Expenses!E$3:E$999="GBP")*(Expenses!A$3:A$999=DATE(2026,10,1)),ROW(Expenses!A$3:A$999)-2),4)),0)+IFERROR(INDEX(Income!C$3:C$502,SMALL(IF((Income!D$3:D$502="GBP")*(Income!A$3:A$502=DATE(2026,10,1)),ROW(Income!A$3:A$502)-2),4)),0)=0,"",IFERROR(-INDEX(Expenses!D$3:D$999,SMALL(IF((Expenses!E$3:E$999="GBP")*(Expenses!A$3:A$999=DATE(2026,10,1)),ROW(Expenses!A$3:A$999)-2),4)),0)+IFERROR(INDEX(Income!C$3:C$502,SMALL(IF((Income!D$3:D$502="GBP")*(Income!A$3:A$502=DATE(2026,10,1)),ROW(Income!A$3:A$502)-2),4)),0))</f>
        <v/>
      </c>
      <c r="J202" s="126">
        <f t="array" ref="J202">IF(IFERROR(INDEX(Expenses!B$3:B$999,SMALL(IF((Expenses!E$3:E$999="GBP")*(Expenses!A$3:A$999=DATE(2026,10,1)),ROW(Expenses!A$3:A$999)-2),4)),"")&lt;&gt;"",IFERROR(INDEX(Expenses!B$3:B$999,SMALL(IF((Expenses!E$3:E$999="GBP")*(Expenses!A$3:A$999=DATE(2026,10,1)),ROW(Expenses!A$3:A$999)-2),4)),""),IF(IFERROR(INDEX(Income!B$3:B$502,SMALL(IF((Income!D$3:D$502="GBP")*(Income!A$3:A$502=DATE(2026,10,1)),ROW(Income!A$3:A$502)-2),4)),"")&lt;&gt;"",IFERROR(INDEX(Income!B$3:B$502,SMALL(IF((Income!D$3:D$502="GBP")*(Income!A$3:A$502=DATE(2026,10,1)),ROW(Income!A$3:A$502)-2),4)),""),""))</f>
        <v/>
      </c>
      <c r="K202" s="152">
        <f t="array" ref="K202">IF(IFERROR(-INDEX(Expenses!D$3:D$999,SMALL(IF((Expenses!E$3:E$999="GBP")*(Expenses!A$3:A$999=DATE(2026,10,2)),ROW(Expenses!A$3:A$999)-2),4)),0)+IFERROR(INDEX(Income!C$3:C$502,SMALL(IF((Income!D$3:D$502="GBP")*(Income!A$3:A$502=DATE(2026,10,2)),ROW(Income!A$3:A$502)-2),4)),0)=0,"",IFERROR(-INDEX(Expenses!D$3:D$999,SMALL(IF((Expenses!E$3:E$999="GBP")*(Expenses!A$3:A$999=DATE(2026,10,2)),ROW(Expenses!A$3:A$999)-2),4)),0)+IFERROR(INDEX(Income!C$3:C$502,SMALL(IF((Income!D$3:D$502="GBP")*(Income!A$3:A$502=DATE(2026,10,2)),ROW(Income!A$3:A$502)-2),4)),0))</f>
        <v/>
      </c>
      <c r="L202" s="126">
        <f t="array" ref="L202">IF(IFERROR(INDEX(Expenses!B$3:B$999,SMALL(IF((Expenses!E$3:E$999="GBP")*(Expenses!A$3:A$999=DATE(2026,10,2)),ROW(Expenses!A$3:A$999)-2),4)),"")&lt;&gt;"",IFERROR(INDEX(Expenses!B$3:B$999,SMALL(IF((Expenses!E$3:E$999="GBP")*(Expenses!A$3:A$999=DATE(2026,10,2)),ROW(Expenses!A$3:A$999)-2),4)),""),IF(IFERROR(INDEX(Income!B$3:B$502,SMALL(IF((Income!D$3:D$502="GBP")*(Income!A$3:A$502=DATE(2026,10,2)),ROW(Income!A$3:A$502)-2),4)),"")&lt;&gt;"",IFERROR(INDEX(Income!B$3:B$502,SMALL(IF((Income!D$3:D$502="GBP")*(Income!A$3:A$502=DATE(2026,10,2)),ROW(Income!A$3:A$502)-2),4)),""),""))</f>
        <v/>
      </c>
      <c r="M202" s="152">
        <f t="array" ref="M202">IF(IFERROR(-INDEX(Expenses!D$3:D$999,SMALL(IF((Expenses!E$3:E$999="GBP")*(Expenses!A$3:A$999=DATE(2026,10,3)),ROW(Expenses!A$3:A$999)-2),4)),0)+IFERROR(INDEX(Income!C$3:C$502,SMALL(IF((Income!D$3:D$502="GBP")*(Income!A$3:A$502=DATE(2026,10,3)),ROW(Income!A$3:A$502)-2),4)),0)=0,"",IFERROR(-INDEX(Expenses!D$3:D$999,SMALL(IF((Expenses!E$3:E$999="GBP")*(Expenses!A$3:A$999=DATE(2026,10,3)),ROW(Expenses!A$3:A$999)-2),4)),0)+IFERROR(INDEX(Income!C$3:C$502,SMALL(IF((Income!D$3:D$502="GBP")*(Income!A$3:A$502=DATE(2026,10,3)),ROW(Income!A$3:A$502)-2),4)),0))</f>
        <v/>
      </c>
      <c r="N202" s="126">
        <f t="array" ref="N202">IF(IFERROR(INDEX(Expenses!B$3:B$999,SMALL(IF((Expenses!E$3:E$999="GBP")*(Expenses!A$3:A$999=DATE(2026,10,3)),ROW(Expenses!A$3:A$999)-2),4)),"")&lt;&gt;"",IFERROR(INDEX(Expenses!B$3:B$999,SMALL(IF((Expenses!E$3:E$999="GBP")*(Expenses!A$3:A$999=DATE(2026,10,3)),ROW(Expenses!A$3:A$999)-2),4)),""),IF(IFERROR(INDEX(Income!B$3:B$502,SMALL(IF((Income!D$3:D$502="GBP")*(Income!A$3:A$502=DATE(2026,10,3)),ROW(Income!A$3:A$502)-2),4)),"")&lt;&gt;"",IFERROR(INDEX(Income!B$3:B$502,SMALL(IF((Income!D$3:D$502="GBP")*(Income!A$3:A$502=DATE(2026,10,3)),ROW(Income!A$3:A$502)-2),4)),""),""))</f>
        <v/>
      </c>
      <c r="O202" s="152">
        <f t="array" ref="O202">IF(IFERROR(-INDEX(Expenses!D$3:D$999,SMALL(IF((Expenses!E$3:E$999="GBP")*(Expenses!A$3:A$999=DATE(2026,10,4)),ROW(Expenses!A$3:A$999)-2),4)),0)+IFERROR(INDEX(Income!C$3:C$502,SMALL(IF((Income!D$3:D$502="GBP")*(Income!A$3:A$502=DATE(2026,10,4)),ROW(Income!A$3:A$502)-2),4)),0)=0,"",IFERROR(-INDEX(Expenses!D$3:D$999,SMALL(IF((Expenses!E$3:E$999="GBP")*(Expenses!A$3:A$999=DATE(2026,10,4)),ROW(Expenses!A$3:A$999)-2),4)),0)+IFERROR(INDEX(Income!C$3:C$502,SMALL(IF((Income!D$3:D$502="GBP")*(Income!A$3:A$502=DATE(2026,10,4)),ROW(Income!A$3:A$502)-2),4)),0))</f>
        <v/>
      </c>
      <c r="P202" s="126">
        <f t="array" ref="P202">IF(IFERROR(INDEX(Expenses!B$3:B$999,SMALL(IF((Expenses!E$3:E$999="GBP")*(Expenses!A$3:A$999=DATE(2026,10,4)),ROW(Expenses!A$3:A$999)-2),4)),"")&lt;&gt;"",IFERROR(INDEX(Expenses!B$3:B$999,SMALL(IF((Expenses!E$3:E$999="GBP")*(Expenses!A$3:A$999=DATE(2026,10,4)),ROW(Expenses!A$3:A$999)-2),4)),""),IF(IFERROR(INDEX(Income!B$3:B$502,SMALL(IF((Income!D$3:D$502="GBP")*(Income!A$3:A$502=DATE(2026,10,4)),ROW(Income!A$3:A$502)-2),4)),"")&lt;&gt;"",IFERROR(INDEX(Income!B$3:B$502,SMALL(IF((Income!D$3:D$502="GBP")*(Income!A$3:A$502=DATE(2026,10,4)),ROW(Income!A$3:A$502)-2),4)),""),""))</f>
        <v/>
      </c>
      <c r="Q202" s="9" t="n"/>
      <c r="R202" s="9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68">
      <c r="A203" s="9" t="n"/>
      <c r="B203" s="9" t="n"/>
      <c r="C203" s="152">
        <f t="array" ref="C203">IF(IFERROR(-INDEX(Expenses!D$3:D$999,SMALL(IF((Expenses!E$3:E$999="GBP")*(Expenses!A$3:A$999=DATE(2026,9,28)),ROW(Expenses!A$3:A$999)-2),5)),0)+IFERROR(INDEX(Income!C$3:C$502,SMALL(IF((Income!D$3:D$502="GBP")*(Income!A$3:A$502=DATE(2026,9,28)),ROW(Income!A$3:A$502)-2),5)),0)=0,"",IFERROR(-INDEX(Expenses!D$3:D$999,SMALL(IF((Expenses!E$3:E$999="GBP")*(Expenses!A$3:A$999=DATE(2026,9,28)),ROW(Expenses!A$3:A$999)-2),5)),0)+IFERROR(INDEX(Income!C$3:C$502,SMALL(IF((Income!D$3:D$502="GBP")*(Income!A$3:A$502=DATE(2026,9,28)),ROW(Income!A$3:A$502)-2),5)),0))</f>
        <v/>
      </c>
      <c r="D203" s="126">
        <f t="array" ref="D203">IF(IFERROR(INDEX(Expenses!B$3:B$999,SMALL(IF((Expenses!E$3:E$999="GBP")*(Expenses!A$3:A$999=DATE(2026,9,28)),ROW(Expenses!A$3:A$999)-2),5)),"")&lt;&gt;"",IFERROR(INDEX(Expenses!B$3:B$999,SMALL(IF((Expenses!E$3:E$999="GBP")*(Expenses!A$3:A$999=DATE(2026,9,28)),ROW(Expenses!A$3:A$999)-2),5)),""),IF(IFERROR(INDEX(Income!B$3:B$502,SMALL(IF((Income!D$3:D$502="GBP")*(Income!A$3:A$502=DATE(2026,9,28)),ROW(Income!A$3:A$502)-2),5)),"")&lt;&gt;"",IFERROR(INDEX(Income!B$3:B$502,SMALL(IF((Income!D$3:D$502="GBP")*(Income!A$3:A$502=DATE(2026,9,28)),ROW(Income!A$3:A$502)-2),5)),""),""))</f>
        <v/>
      </c>
      <c r="E203" s="152">
        <f t="array" ref="E203">IF(IFERROR(-INDEX(Expenses!D$3:D$999,SMALL(IF((Expenses!E$3:E$999="GBP")*(Expenses!A$3:A$999=DATE(2026,9,29)),ROW(Expenses!A$3:A$999)-2),5)),0)+IFERROR(INDEX(Income!C$3:C$502,SMALL(IF((Income!D$3:D$502="GBP")*(Income!A$3:A$502=DATE(2026,9,29)),ROW(Income!A$3:A$502)-2),5)),0)=0,"",IFERROR(-INDEX(Expenses!D$3:D$999,SMALL(IF((Expenses!E$3:E$999="GBP")*(Expenses!A$3:A$999=DATE(2026,9,29)),ROW(Expenses!A$3:A$999)-2),5)),0)+IFERROR(INDEX(Income!C$3:C$502,SMALL(IF((Income!D$3:D$502="GBP")*(Income!A$3:A$502=DATE(2026,9,29)),ROW(Income!A$3:A$502)-2),5)),0))</f>
        <v/>
      </c>
      <c r="F203" s="126">
        <f t="array" ref="F203">IF(IFERROR(INDEX(Expenses!B$3:B$999,SMALL(IF((Expenses!E$3:E$999="GBP")*(Expenses!A$3:A$999=DATE(2026,9,29)),ROW(Expenses!A$3:A$999)-2),5)),"")&lt;&gt;"",IFERROR(INDEX(Expenses!B$3:B$999,SMALL(IF((Expenses!E$3:E$999="GBP")*(Expenses!A$3:A$999=DATE(2026,9,29)),ROW(Expenses!A$3:A$999)-2),5)),""),IF(IFERROR(INDEX(Income!B$3:B$502,SMALL(IF((Income!D$3:D$502="GBP")*(Income!A$3:A$502=DATE(2026,9,29)),ROW(Income!A$3:A$502)-2),5)),"")&lt;&gt;"",IFERROR(INDEX(Income!B$3:B$502,SMALL(IF((Income!D$3:D$502="GBP")*(Income!A$3:A$502=DATE(2026,9,29)),ROW(Income!A$3:A$502)-2),5)),""),""))</f>
        <v/>
      </c>
      <c r="G203" s="152">
        <f t="array" ref="G203">IF(IFERROR(-INDEX(Expenses!D$3:D$999,SMALL(IF((Expenses!E$3:E$999="GBP")*(Expenses!A$3:A$999=DATE(2026,9,30)),ROW(Expenses!A$3:A$999)-2),5)),0)+IFERROR(INDEX(Income!C$3:C$502,SMALL(IF((Income!D$3:D$502="GBP")*(Income!A$3:A$502=DATE(2026,9,30)),ROW(Income!A$3:A$502)-2),5)),0)=0,"",IFERROR(-INDEX(Expenses!D$3:D$999,SMALL(IF((Expenses!E$3:E$999="GBP")*(Expenses!A$3:A$999=DATE(2026,9,30)),ROW(Expenses!A$3:A$999)-2),5)),0)+IFERROR(INDEX(Income!C$3:C$502,SMALL(IF((Income!D$3:D$502="GBP")*(Income!A$3:A$502=DATE(2026,9,30)),ROW(Income!A$3:A$502)-2),5)),0))</f>
        <v/>
      </c>
      <c r="H203" s="126">
        <f t="array" ref="H203">IF(IFERROR(INDEX(Expenses!B$3:B$999,SMALL(IF((Expenses!E$3:E$999="GBP")*(Expenses!A$3:A$999=DATE(2026,9,30)),ROW(Expenses!A$3:A$999)-2),5)),"")&lt;&gt;"",IFERROR(INDEX(Expenses!B$3:B$999,SMALL(IF((Expenses!E$3:E$999="GBP")*(Expenses!A$3:A$999=DATE(2026,9,30)),ROW(Expenses!A$3:A$999)-2),5)),""),IF(IFERROR(INDEX(Income!B$3:B$502,SMALL(IF((Income!D$3:D$502="GBP")*(Income!A$3:A$502=DATE(2026,9,30)),ROW(Income!A$3:A$502)-2),5)),"")&lt;&gt;"",IFERROR(INDEX(Income!B$3:B$502,SMALL(IF((Income!D$3:D$502="GBP")*(Income!A$3:A$502=DATE(2026,9,30)),ROW(Income!A$3:A$502)-2),5)),""),""))</f>
        <v/>
      </c>
      <c r="I203" s="152">
        <f t="array" ref="I203">IF(IFERROR(-INDEX(Expenses!D$3:D$999,SMALL(IF((Expenses!E$3:E$999="GBP")*(Expenses!A$3:A$999=DATE(2026,10,1)),ROW(Expenses!A$3:A$999)-2),5)),0)+IFERROR(INDEX(Income!C$3:C$502,SMALL(IF((Income!D$3:D$502="GBP")*(Income!A$3:A$502=DATE(2026,10,1)),ROW(Income!A$3:A$502)-2),5)),0)=0,"",IFERROR(-INDEX(Expenses!D$3:D$999,SMALL(IF((Expenses!E$3:E$999="GBP")*(Expenses!A$3:A$999=DATE(2026,10,1)),ROW(Expenses!A$3:A$999)-2),5)),0)+IFERROR(INDEX(Income!C$3:C$502,SMALL(IF((Income!D$3:D$502="GBP")*(Income!A$3:A$502=DATE(2026,10,1)),ROW(Income!A$3:A$502)-2),5)),0))</f>
        <v/>
      </c>
      <c r="J203" s="126">
        <f t="array" ref="J203">IF(IFERROR(INDEX(Expenses!B$3:B$999,SMALL(IF((Expenses!E$3:E$999="GBP")*(Expenses!A$3:A$999=DATE(2026,10,1)),ROW(Expenses!A$3:A$999)-2),5)),"")&lt;&gt;"",IFERROR(INDEX(Expenses!B$3:B$999,SMALL(IF((Expenses!E$3:E$999="GBP")*(Expenses!A$3:A$999=DATE(2026,10,1)),ROW(Expenses!A$3:A$999)-2),5)),""),IF(IFERROR(INDEX(Income!B$3:B$502,SMALL(IF((Income!D$3:D$502="GBP")*(Income!A$3:A$502=DATE(2026,10,1)),ROW(Income!A$3:A$502)-2),5)),"")&lt;&gt;"",IFERROR(INDEX(Income!B$3:B$502,SMALL(IF((Income!D$3:D$502="GBP")*(Income!A$3:A$502=DATE(2026,10,1)),ROW(Income!A$3:A$502)-2),5)),""),""))</f>
        <v/>
      </c>
      <c r="K203" s="152">
        <f t="array" ref="K203">IF(IFERROR(-INDEX(Expenses!D$3:D$999,SMALL(IF((Expenses!E$3:E$999="GBP")*(Expenses!A$3:A$999=DATE(2026,10,2)),ROW(Expenses!A$3:A$999)-2),5)),0)+IFERROR(INDEX(Income!C$3:C$502,SMALL(IF((Income!D$3:D$502="GBP")*(Income!A$3:A$502=DATE(2026,10,2)),ROW(Income!A$3:A$502)-2),5)),0)=0,"",IFERROR(-INDEX(Expenses!D$3:D$999,SMALL(IF((Expenses!E$3:E$999="GBP")*(Expenses!A$3:A$999=DATE(2026,10,2)),ROW(Expenses!A$3:A$999)-2),5)),0)+IFERROR(INDEX(Income!C$3:C$502,SMALL(IF((Income!D$3:D$502="GBP")*(Income!A$3:A$502=DATE(2026,10,2)),ROW(Income!A$3:A$502)-2),5)),0))</f>
        <v/>
      </c>
      <c r="L203" s="126">
        <f t="array" ref="L203">IF(IFERROR(INDEX(Expenses!B$3:B$999,SMALL(IF((Expenses!E$3:E$999="GBP")*(Expenses!A$3:A$999=DATE(2026,10,2)),ROW(Expenses!A$3:A$999)-2),5)),"")&lt;&gt;"",IFERROR(INDEX(Expenses!B$3:B$999,SMALL(IF((Expenses!E$3:E$999="GBP")*(Expenses!A$3:A$999=DATE(2026,10,2)),ROW(Expenses!A$3:A$999)-2),5)),""),IF(IFERROR(INDEX(Income!B$3:B$502,SMALL(IF((Income!D$3:D$502="GBP")*(Income!A$3:A$502=DATE(2026,10,2)),ROW(Income!A$3:A$502)-2),5)),"")&lt;&gt;"",IFERROR(INDEX(Income!B$3:B$502,SMALL(IF((Income!D$3:D$502="GBP")*(Income!A$3:A$502=DATE(2026,10,2)),ROW(Income!A$3:A$502)-2),5)),""),""))</f>
        <v/>
      </c>
      <c r="M203" s="152">
        <f t="array" ref="M203">IF(IFERROR(-INDEX(Expenses!D$3:D$999,SMALL(IF((Expenses!E$3:E$999="GBP")*(Expenses!A$3:A$999=DATE(2026,10,3)),ROW(Expenses!A$3:A$999)-2),5)),0)+IFERROR(INDEX(Income!C$3:C$502,SMALL(IF((Income!D$3:D$502="GBP")*(Income!A$3:A$502=DATE(2026,10,3)),ROW(Income!A$3:A$502)-2),5)),0)=0,"",IFERROR(-INDEX(Expenses!D$3:D$999,SMALL(IF((Expenses!E$3:E$999="GBP")*(Expenses!A$3:A$999=DATE(2026,10,3)),ROW(Expenses!A$3:A$999)-2),5)),0)+IFERROR(INDEX(Income!C$3:C$502,SMALL(IF((Income!D$3:D$502="GBP")*(Income!A$3:A$502=DATE(2026,10,3)),ROW(Income!A$3:A$502)-2),5)),0))</f>
        <v/>
      </c>
      <c r="N203" s="126">
        <f t="array" ref="N203">IF(IFERROR(INDEX(Expenses!B$3:B$999,SMALL(IF((Expenses!E$3:E$999="GBP")*(Expenses!A$3:A$999=DATE(2026,10,3)),ROW(Expenses!A$3:A$999)-2),5)),"")&lt;&gt;"",IFERROR(INDEX(Expenses!B$3:B$999,SMALL(IF((Expenses!E$3:E$999="GBP")*(Expenses!A$3:A$999=DATE(2026,10,3)),ROW(Expenses!A$3:A$999)-2),5)),""),IF(IFERROR(INDEX(Income!B$3:B$502,SMALL(IF((Income!D$3:D$502="GBP")*(Income!A$3:A$502=DATE(2026,10,3)),ROW(Income!A$3:A$502)-2),5)),"")&lt;&gt;"",IFERROR(INDEX(Income!B$3:B$502,SMALL(IF((Income!D$3:D$502="GBP")*(Income!A$3:A$502=DATE(2026,10,3)),ROW(Income!A$3:A$502)-2),5)),""),""))</f>
        <v/>
      </c>
      <c r="O203" s="152">
        <f t="array" ref="O203">IF(IFERROR(-INDEX(Expenses!D$3:D$999,SMALL(IF((Expenses!E$3:E$999="GBP")*(Expenses!A$3:A$999=DATE(2026,10,4)),ROW(Expenses!A$3:A$999)-2),5)),0)+IFERROR(INDEX(Income!C$3:C$502,SMALL(IF((Income!D$3:D$502="GBP")*(Income!A$3:A$502=DATE(2026,10,4)),ROW(Income!A$3:A$502)-2),5)),0)=0,"",IFERROR(-INDEX(Expenses!D$3:D$999,SMALL(IF((Expenses!E$3:E$999="GBP")*(Expenses!A$3:A$999=DATE(2026,10,4)),ROW(Expenses!A$3:A$999)-2),5)),0)+IFERROR(INDEX(Income!C$3:C$502,SMALL(IF((Income!D$3:D$502="GBP")*(Income!A$3:A$502=DATE(2026,10,4)),ROW(Income!A$3:A$502)-2),5)),0))</f>
        <v/>
      </c>
      <c r="P203" s="126">
        <f t="array" ref="P203">IF(IFERROR(INDEX(Expenses!B$3:B$999,SMALL(IF((Expenses!E$3:E$999="GBP")*(Expenses!A$3:A$999=DATE(2026,10,4)),ROW(Expenses!A$3:A$999)-2),5)),"")&lt;&gt;"",IFERROR(INDEX(Expenses!B$3:B$999,SMALL(IF((Expenses!E$3:E$999="GBP")*(Expenses!A$3:A$999=DATE(2026,10,4)),ROW(Expenses!A$3:A$999)-2),5)),""),IF(IFERROR(INDEX(Income!B$3:B$502,SMALL(IF((Income!D$3:D$502="GBP")*(Income!A$3:A$502=DATE(2026,10,4)),ROW(Income!A$3:A$502)-2),5)),"")&lt;&gt;"",IFERROR(INDEX(Income!B$3:B$502,SMALL(IF((Income!D$3:D$502="GBP")*(Income!A$3:A$502=DATE(2026,10,4)),ROW(Income!A$3:A$502)-2),5)),""),""))</f>
        <v/>
      </c>
      <c r="Q203" s="9" t="n"/>
      <c r="R203" s="9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68">
      <c r="A204" s="151" t="n">
        <v>46300</v>
      </c>
      <c r="B204" s="103" t="n">
        <v>41</v>
      </c>
      <c r="C204" s="152">
        <f t="array" ref="C204">IF(IFERROR(-INDEX(Expenses!D$3:D$999,SMALL(IF((Expenses!E$3:E$999="GBP")*(Expenses!A$3:A$999=DATE(2026,10,5)),ROW(Expenses!A$3:A$999)-2),1)),0)+IFERROR(INDEX(Income!C$3:C$502,SMALL(IF((Income!D$3:D$502="GBP")*(Income!A$3:A$502=DATE(2026,10,5)),ROW(Income!A$3:A$502)-2),1)),0)=0,"",IFERROR(-INDEX(Expenses!D$3:D$999,SMALL(IF((Expenses!E$3:E$999="GBP")*(Expenses!A$3:A$999=DATE(2026,10,5)),ROW(Expenses!A$3:A$999)-2),1)),0)+IFERROR(INDEX(Income!C$3:C$502,SMALL(IF((Income!D$3:D$502="GBP")*(Income!A$3:A$502=DATE(2026,10,5)),ROW(Income!A$3:A$502)-2),1)),0))</f>
        <v/>
      </c>
      <c r="D204" s="126">
        <f t="array" ref="D204">IF(IFERROR(INDEX(Expenses!B$3:B$999,SMALL(IF((Expenses!E$3:E$999="GBP")*(Expenses!A$3:A$999=DATE(2026,10,5)),ROW(Expenses!A$3:A$999)-2),1)),"")&lt;&gt;"",IFERROR(INDEX(Expenses!B$3:B$999,SMALL(IF((Expenses!E$3:E$999="GBP")*(Expenses!A$3:A$999=DATE(2026,10,5)),ROW(Expenses!A$3:A$999)-2),1)),""),IF(IFERROR(INDEX(Income!B$3:B$502,SMALL(IF((Income!D$3:D$502="GBP")*(Income!A$3:A$502=DATE(2026,10,5)),ROW(Income!A$3:A$502)-2),1)),"")&lt;&gt;"",IFERROR(INDEX(Income!B$3:B$502,SMALL(IF((Income!D$3:D$502="GBP")*(Income!A$3:A$502=DATE(2026,10,5)),ROW(Income!A$3:A$502)-2),1)),""),""))</f>
        <v/>
      </c>
      <c r="E204" s="152">
        <f t="array" ref="E204">IF(IFERROR(-INDEX(Expenses!D$3:D$999,SMALL(IF((Expenses!E$3:E$999="GBP")*(Expenses!A$3:A$999=DATE(2026,10,6)),ROW(Expenses!A$3:A$999)-2),1)),0)+IFERROR(INDEX(Income!C$3:C$502,SMALL(IF((Income!D$3:D$502="GBP")*(Income!A$3:A$502=DATE(2026,10,6)),ROW(Income!A$3:A$502)-2),1)),0)=0,"",IFERROR(-INDEX(Expenses!D$3:D$999,SMALL(IF((Expenses!E$3:E$999="GBP")*(Expenses!A$3:A$999=DATE(2026,10,6)),ROW(Expenses!A$3:A$999)-2),1)),0)+IFERROR(INDEX(Income!C$3:C$502,SMALL(IF((Income!D$3:D$502="GBP")*(Income!A$3:A$502=DATE(2026,10,6)),ROW(Income!A$3:A$502)-2),1)),0))</f>
        <v/>
      </c>
      <c r="F204" s="126">
        <f t="array" ref="F204">IF(IFERROR(INDEX(Expenses!B$3:B$999,SMALL(IF((Expenses!E$3:E$999="GBP")*(Expenses!A$3:A$999=DATE(2026,10,6)),ROW(Expenses!A$3:A$999)-2),1)),"")&lt;&gt;"",IFERROR(INDEX(Expenses!B$3:B$999,SMALL(IF((Expenses!E$3:E$999="GBP")*(Expenses!A$3:A$999=DATE(2026,10,6)),ROW(Expenses!A$3:A$999)-2),1)),""),IF(IFERROR(INDEX(Income!B$3:B$502,SMALL(IF((Income!D$3:D$502="GBP")*(Income!A$3:A$502=DATE(2026,10,6)),ROW(Income!A$3:A$502)-2),1)),"")&lt;&gt;"",IFERROR(INDEX(Income!B$3:B$502,SMALL(IF((Income!D$3:D$502="GBP")*(Income!A$3:A$502=DATE(2026,10,6)),ROW(Income!A$3:A$502)-2),1)),""),""))</f>
        <v/>
      </c>
      <c r="G204" s="152">
        <f t="array" ref="G204">IF(IFERROR(-INDEX(Expenses!D$3:D$999,SMALL(IF((Expenses!E$3:E$999="GBP")*(Expenses!A$3:A$999=DATE(2026,10,7)),ROW(Expenses!A$3:A$999)-2),1)),0)+IFERROR(INDEX(Income!C$3:C$502,SMALL(IF((Income!D$3:D$502="GBP")*(Income!A$3:A$502=DATE(2026,10,7)),ROW(Income!A$3:A$502)-2),1)),0)=0,"",IFERROR(-INDEX(Expenses!D$3:D$999,SMALL(IF((Expenses!E$3:E$999="GBP")*(Expenses!A$3:A$999=DATE(2026,10,7)),ROW(Expenses!A$3:A$999)-2),1)),0)+IFERROR(INDEX(Income!C$3:C$502,SMALL(IF((Income!D$3:D$502="GBP")*(Income!A$3:A$502=DATE(2026,10,7)),ROW(Income!A$3:A$502)-2),1)),0))</f>
        <v/>
      </c>
      <c r="H204" s="126">
        <f t="array" ref="H204">IF(IFERROR(INDEX(Expenses!B$3:B$999,SMALL(IF((Expenses!E$3:E$999="GBP")*(Expenses!A$3:A$999=DATE(2026,10,7)),ROW(Expenses!A$3:A$999)-2),1)),"")&lt;&gt;"",IFERROR(INDEX(Expenses!B$3:B$999,SMALL(IF((Expenses!E$3:E$999="GBP")*(Expenses!A$3:A$999=DATE(2026,10,7)),ROW(Expenses!A$3:A$999)-2),1)),""),IF(IFERROR(INDEX(Income!B$3:B$502,SMALL(IF((Income!D$3:D$502="GBP")*(Income!A$3:A$502=DATE(2026,10,7)),ROW(Income!A$3:A$502)-2),1)),"")&lt;&gt;"",IFERROR(INDEX(Income!B$3:B$502,SMALL(IF((Income!D$3:D$502="GBP")*(Income!A$3:A$502=DATE(2026,10,7)),ROW(Income!A$3:A$502)-2),1)),""),""))</f>
        <v/>
      </c>
      <c r="I204" s="152">
        <f t="array" ref="I204">IF(IFERROR(-INDEX(Expenses!D$3:D$999,SMALL(IF((Expenses!E$3:E$999="GBP")*(Expenses!A$3:A$999=DATE(2026,10,8)),ROW(Expenses!A$3:A$999)-2),1)),0)+IFERROR(INDEX(Income!C$3:C$502,SMALL(IF((Income!D$3:D$502="GBP")*(Income!A$3:A$502=DATE(2026,10,8)),ROW(Income!A$3:A$502)-2),1)),0)=0,"",IFERROR(-INDEX(Expenses!D$3:D$999,SMALL(IF((Expenses!E$3:E$999="GBP")*(Expenses!A$3:A$999=DATE(2026,10,8)),ROW(Expenses!A$3:A$999)-2),1)),0)+IFERROR(INDEX(Income!C$3:C$502,SMALL(IF((Income!D$3:D$502="GBP")*(Income!A$3:A$502=DATE(2026,10,8)),ROW(Income!A$3:A$502)-2),1)),0))</f>
        <v/>
      </c>
      <c r="J204" s="126">
        <f t="array" ref="J204">IF(IFERROR(INDEX(Expenses!B$3:B$999,SMALL(IF((Expenses!E$3:E$999="GBP")*(Expenses!A$3:A$999=DATE(2026,10,8)),ROW(Expenses!A$3:A$999)-2),1)),"")&lt;&gt;"",IFERROR(INDEX(Expenses!B$3:B$999,SMALL(IF((Expenses!E$3:E$999="GBP")*(Expenses!A$3:A$999=DATE(2026,10,8)),ROW(Expenses!A$3:A$999)-2),1)),""),IF(IFERROR(INDEX(Income!B$3:B$502,SMALL(IF((Income!D$3:D$502="GBP")*(Income!A$3:A$502=DATE(2026,10,8)),ROW(Income!A$3:A$502)-2),1)),"")&lt;&gt;"",IFERROR(INDEX(Income!B$3:B$502,SMALL(IF((Income!D$3:D$502="GBP")*(Income!A$3:A$502=DATE(2026,10,8)),ROW(Income!A$3:A$502)-2),1)),""),""))</f>
        <v/>
      </c>
      <c r="K204" s="152">
        <f t="array" ref="K204">IF(IFERROR(-INDEX(Expenses!D$3:D$999,SMALL(IF((Expenses!E$3:E$999="GBP")*(Expenses!A$3:A$999=DATE(2026,10,9)),ROW(Expenses!A$3:A$999)-2),1)),0)+IFERROR(INDEX(Income!C$3:C$502,SMALL(IF((Income!D$3:D$502="GBP")*(Income!A$3:A$502=DATE(2026,10,9)),ROW(Income!A$3:A$502)-2),1)),0)=0,"",IFERROR(-INDEX(Expenses!D$3:D$999,SMALL(IF((Expenses!E$3:E$999="GBP")*(Expenses!A$3:A$999=DATE(2026,10,9)),ROW(Expenses!A$3:A$999)-2),1)),0)+IFERROR(INDEX(Income!C$3:C$502,SMALL(IF((Income!D$3:D$502="GBP")*(Income!A$3:A$502=DATE(2026,10,9)),ROW(Income!A$3:A$502)-2),1)),0))</f>
        <v/>
      </c>
      <c r="L204" s="126">
        <f t="array" ref="L204">IF(IFERROR(INDEX(Expenses!B$3:B$999,SMALL(IF((Expenses!E$3:E$999="GBP")*(Expenses!A$3:A$999=DATE(2026,10,9)),ROW(Expenses!A$3:A$999)-2),1)),"")&lt;&gt;"",IFERROR(INDEX(Expenses!B$3:B$999,SMALL(IF((Expenses!E$3:E$999="GBP")*(Expenses!A$3:A$999=DATE(2026,10,9)),ROW(Expenses!A$3:A$999)-2),1)),""),IF(IFERROR(INDEX(Income!B$3:B$502,SMALL(IF((Income!D$3:D$502="GBP")*(Income!A$3:A$502=DATE(2026,10,9)),ROW(Income!A$3:A$502)-2),1)),"")&lt;&gt;"",IFERROR(INDEX(Income!B$3:B$502,SMALL(IF((Income!D$3:D$502="GBP")*(Income!A$3:A$502=DATE(2026,10,9)),ROW(Income!A$3:A$502)-2),1)),""),""))</f>
        <v/>
      </c>
      <c r="M204" s="152">
        <f t="array" ref="M204">IF(IFERROR(-INDEX(Expenses!D$3:D$999,SMALL(IF((Expenses!E$3:E$999="GBP")*(Expenses!A$3:A$999=DATE(2026,10,10)),ROW(Expenses!A$3:A$999)-2),1)),0)+IFERROR(INDEX(Income!C$3:C$502,SMALL(IF((Income!D$3:D$502="GBP")*(Income!A$3:A$502=DATE(2026,10,10)),ROW(Income!A$3:A$502)-2),1)),0)=0,"",IFERROR(-INDEX(Expenses!D$3:D$999,SMALL(IF((Expenses!E$3:E$999="GBP")*(Expenses!A$3:A$999=DATE(2026,10,10)),ROW(Expenses!A$3:A$999)-2),1)),0)+IFERROR(INDEX(Income!C$3:C$502,SMALL(IF((Income!D$3:D$502="GBP")*(Income!A$3:A$502=DATE(2026,10,10)),ROW(Income!A$3:A$502)-2),1)),0))</f>
        <v/>
      </c>
      <c r="N204" s="126">
        <f t="array" ref="N204">IF(IFERROR(INDEX(Expenses!B$3:B$999,SMALL(IF((Expenses!E$3:E$999="GBP")*(Expenses!A$3:A$999=DATE(2026,10,10)),ROW(Expenses!A$3:A$999)-2),1)),"")&lt;&gt;"",IFERROR(INDEX(Expenses!B$3:B$999,SMALL(IF((Expenses!E$3:E$999="GBP")*(Expenses!A$3:A$999=DATE(2026,10,10)),ROW(Expenses!A$3:A$999)-2),1)),""),IF(IFERROR(INDEX(Income!B$3:B$502,SMALL(IF((Income!D$3:D$502="GBP")*(Income!A$3:A$502=DATE(2026,10,10)),ROW(Income!A$3:A$502)-2),1)),"")&lt;&gt;"",IFERROR(INDEX(Income!B$3:B$502,SMALL(IF((Income!D$3:D$502="GBP")*(Income!A$3:A$502=DATE(2026,10,10)),ROW(Income!A$3:A$502)-2),1)),""),""))</f>
        <v/>
      </c>
      <c r="O204" s="152">
        <f t="array" ref="O204">IF(IFERROR(-INDEX(Expenses!D$3:D$999,SMALL(IF((Expenses!E$3:E$999="GBP")*(Expenses!A$3:A$999=DATE(2026,10,11)),ROW(Expenses!A$3:A$999)-2),1)),0)+IFERROR(INDEX(Income!C$3:C$502,SMALL(IF((Income!D$3:D$502="GBP")*(Income!A$3:A$502=DATE(2026,10,11)),ROW(Income!A$3:A$502)-2),1)),0)=0,"",IFERROR(-INDEX(Expenses!D$3:D$999,SMALL(IF((Expenses!E$3:E$999="GBP")*(Expenses!A$3:A$999=DATE(2026,10,11)),ROW(Expenses!A$3:A$999)-2),1)),0)+IFERROR(INDEX(Income!C$3:C$502,SMALL(IF((Income!D$3:D$502="GBP")*(Income!A$3:A$502=DATE(2026,10,11)),ROW(Income!A$3:A$502)-2),1)),0))</f>
        <v/>
      </c>
      <c r="P204" s="126">
        <f t="array" ref="P204">IF(IFERROR(INDEX(Expenses!B$3:B$999,SMALL(IF((Expenses!E$3:E$999="GBP")*(Expenses!A$3:A$999=DATE(2026,10,11)),ROW(Expenses!A$3:A$999)-2),1)),"")&lt;&gt;"",IFERROR(INDEX(Expenses!B$3:B$999,SMALL(IF((Expenses!E$3:E$999="GBP")*(Expenses!A$3:A$999=DATE(2026,10,11)),ROW(Expenses!A$3:A$999)-2),1)),""),IF(IFERROR(INDEX(Income!B$3:B$502,SMALL(IF((Income!D$3:D$502="GBP")*(Income!A$3:A$502=DATE(2026,10,11)),ROW(Income!A$3:A$502)-2),1)),"")&lt;&gt;"",IFERROR(INDEX(Income!B$3:B$502,SMALL(IF((Income!D$3:D$502="GBP")*(Income!A$3:A$502=DATE(2026,10,11)),ROW(Income!A$3:A$502)-2),1)),""),""))</f>
        <v/>
      </c>
      <c r="Q204" s="103" t="n">
        <v>41</v>
      </c>
      <c r="R204" s="134">
        <f>SUM(C204:C208)+SUM(E204:E208)+SUM(G204:G208)+SUM(I204:I208)+SUM(K204:K208)+SUM(M204:M208)+SUM(O204:O208)</f>
        <v/>
      </c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68">
      <c r="A205" s="9" t="n"/>
      <c r="B205" s="9" t="n"/>
      <c r="C205" s="152">
        <f t="array" ref="C205">IF(IFERROR(-INDEX(Expenses!D$3:D$999,SMALL(IF((Expenses!E$3:E$999="GBP")*(Expenses!A$3:A$999=DATE(2026,10,5)),ROW(Expenses!A$3:A$999)-2),2)),0)+IFERROR(INDEX(Income!C$3:C$502,SMALL(IF((Income!D$3:D$502="GBP")*(Income!A$3:A$502=DATE(2026,10,5)),ROW(Income!A$3:A$502)-2),2)),0)=0,"",IFERROR(-INDEX(Expenses!D$3:D$999,SMALL(IF((Expenses!E$3:E$999="GBP")*(Expenses!A$3:A$999=DATE(2026,10,5)),ROW(Expenses!A$3:A$999)-2),2)),0)+IFERROR(INDEX(Income!C$3:C$502,SMALL(IF((Income!D$3:D$502="GBP")*(Income!A$3:A$502=DATE(2026,10,5)),ROW(Income!A$3:A$502)-2),2)),0))</f>
        <v/>
      </c>
      <c r="D205" s="126">
        <f t="array" ref="D205">IF(IFERROR(INDEX(Expenses!B$3:B$999,SMALL(IF((Expenses!E$3:E$999="GBP")*(Expenses!A$3:A$999=DATE(2026,10,5)),ROW(Expenses!A$3:A$999)-2),2)),"")&lt;&gt;"",IFERROR(INDEX(Expenses!B$3:B$999,SMALL(IF((Expenses!E$3:E$999="GBP")*(Expenses!A$3:A$999=DATE(2026,10,5)),ROW(Expenses!A$3:A$999)-2),2)),""),IF(IFERROR(INDEX(Income!B$3:B$502,SMALL(IF((Income!D$3:D$502="GBP")*(Income!A$3:A$502=DATE(2026,10,5)),ROW(Income!A$3:A$502)-2),2)),"")&lt;&gt;"",IFERROR(INDEX(Income!B$3:B$502,SMALL(IF((Income!D$3:D$502="GBP")*(Income!A$3:A$502=DATE(2026,10,5)),ROW(Income!A$3:A$502)-2),2)),""),""))</f>
        <v/>
      </c>
      <c r="E205" s="152">
        <f t="array" ref="E205">IF(IFERROR(-INDEX(Expenses!D$3:D$999,SMALL(IF((Expenses!E$3:E$999="GBP")*(Expenses!A$3:A$999=DATE(2026,10,6)),ROW(Expenses!A$3:A$999)-2),2)),0)+IFERROR(INDEX(Income!C$3:C$502,SMALL(IF((Income!D$3:D$502="GBP")*(Income!A$3:A$502=DATE(2026,10,6)),ROW(Income!A$3:A$502)-2),2)),0)=0,"",IFERROR(-INDEX(Expenses!D$3:D$999,SMALL(IF((Expenses!E$3:E$999="GBP")*(Expenses!A$3:A$999=DATE(2026,10,6)),ROW(Expenses!A$3:A$999)-2),2)),0)+IFERROR(INDEX(Income!C$3:C$502,SMALL(IF((Income!D$3:D$502="GBP")*(Income!A$3:A$502=DATE(2026,10,6)),ROW(Income!A$3:A$502)-2),2)),0))</f>
        <v/>
      </c>
      <c r="F205" s="126">
        <f t="array" ref="F205">IF(IFERROR(INDEX(Expenses!B$3:B$999,SMALL(IF((Expenses!E$3:E$999="GBP")*(Expenses!A$3:A$999=DATE(2026,10,6)),ROW(Expenses!A$3:A$999)-2),2)),"")&lt;&gt;"",IFERROR(INDEX(Expenses!B$3:B$999,SMALL(IF((Expenses!E$3:E$999="GBP")*(Expenses!A$3:A$999=DATE(2026,10,6)),ROW(Expenses!A$3:A$999)-2),2)),""),IF(IFERROR(INDEX(Income!B$3:B$502,SMALL(IF((Income!D$3:D$502="GBP")*(Income!A$3:A$502=DATE(2026,10,6)),ROW(Income!A$3:A$502)-2),2)),"")&lt;&gt;"",IFERROR(INDEX(Income!B$3:B$502,SMALL(IF((Income!D$3:D$502="GBP")*(Income!A$3:A$502=DATE(2026,10,6)),ROW(Income!A$3:A$502)-2),2)),""),""))</f>
        <v/>
      </c>
      <c r="G205" s="152">
        <f t="array" ref="G205">IF(IFERROR(-INDEX(Expenses!D$3:D$999,SMALL(IF((Expenses!E$3:E$999="GBP")*(Expenses!A$3:A$999=DATE(2026,10,7)),ROW(Expenses!A$3:A$999)-2),2)),0)+IFERROR(INDEX(Income!C$3:C$502,SMALL(IF((Income!D$3:D$502="GBP")*(Income!A$3:A$502=DATE(2026,10,7)),ROW(Income!A$3:A$502)-2),2)),0)=0,"",IFERROR(-INDEX(Expenses!D$3:D$999,SMALL(IF((Expenses!E$3:E$999="GBP")*(Expenses!A$3:A$999=DATE(2026,10,7)),ROW(Expenses!A$3:A$999)-2),2)),0)+IFERROR(INDEX(Income!C$3:C$502,SMALL(IF((Income!D$3:D$502="GBP")*(Income!A$3:A$502=DATE(2026,10,7)),ROW(Income!A$3:A$502)-2),2)),0))</f>
        <v/>
      </c>
      <c r="H205" s="126">
        <f t="array" ref="H205">IF(IFERROR(INDEX(Expenses!B$3:B$999,SMALL(IF((Expenses!E$3:E$999="GBP")*(Expenses!A$3:A$999=DATE(2026,10,7)),ROW(Expenses!A$3:A$999)-2),2)),"")&lt;&gt;"",IFERROR(INDEX(Expenses!B$3:B$999,SMALL(IF((Expenses!E$3:E$999="GBP")*(Expenses!A$3:A$999=DATE(2026,10,7)),ROW(Expenses!A$3:A$999)-2),2)),""),IF(IFERROR(INDEX(Income!B$3:B$502,SMALL(IF((Income!D$3:D$502="GBP")*(Income!A$3:A$502=DATE(2026,10,7)),ROW(Income!A$3:A$502)-2),2)),"")&lt;&gt;"",IFERROR(INDEX(Income!B$3:B$502,SMALL(IF((Income!D$3:D$502="GBP")*(Income!A$3:A$502=DATE(2026,10,7)),ROW(Income!A$3:A$502)-2),2)),""),""))</f>
        <v/>
      </c>
      <c r="I205" s="152">
        <f t="array" ref="I205">IF(IFERROR(-INDEX(Expenses!D$3:D$999,SMALL(IF((Expenses!E$3:E$999="GBP")*(Expenses!A$3:A$999=DATE(2026,10,8)),ROW(Expenses!A$3:A$999)-2),2)),0)+IFERROR(INDEX(Income!C$3:C$502,SMALL(IF((Income!D$3:D$502="GBP")*(Income!A$3:A$502=DATE(2026,10,8)),ROW(Income!A$3:A$502)-2),2)),0)=0,"",IFERROR(-INDEX(Expenses!D$3:D$999,SMALL(IF((Expenses!E$3:E$999="GBP")*(Expenses!A$3:A$999=DATE(2026,10,8)),ROW(Expenses!A$3:A$999)-2),2)),0)+IFERROR(INDEX(Income!C$3:C$502,SMALL(IF((Income!D$3:D$502="GBP")*(Income!A$3:A$502=DATE(2026,10,8)),ROW(Income!A$3:A$502)-2),2)),0))</f>
        <v/>
      </c>
      <c r="J205" s="126">
        <f t="array" ref="J205">IF(IFERROR(INDEX(Expenses!B$3:B$999,SMALL(IF((Expenses!E$3:E$999="GBP")*(Expenses!A$3:A$999=DATE(2026,10,8)),ROW(Expenses!A$3:A$999)-2),2)),"")&lt;&gt;"",IFERROR(INDEX(Expenses!B$3:B$999,SMALL(IF((Expenses!E$3:E$999="GBP")*(Expenses!A$3:A$999=DATE(2026,10,8)),ROW(Expenses!A$3:A$999)-2),2)),""),IF(IFERROR(INDEX(Income!B$3:B$502,SMALL(IF((Income!D$3:D$502="GBP")*(Income!A$3:A$502=DATE(2026,10,8)),ROW(Income!A$3:A$502)-2),2)),"")&lt;&gt;"",IFERROR(INDEX(Income!B$3:B$502,SMALL(IF((Income!D$3:D$502="GBP")*(Income!A$3:A$502=DATE(2026,10,8)),ROW(Income!A$3:A$502)-2),2)),""),""))</f>
        <v/>
      </c>
      <c r="K205" s="152">
        <f t="array" ref="K205">IF(IFERROR(-INDEX(Expenses!D$3:D$999,SMALL(IF((Expenses!E$3:E$999="GBP")*(Expenses!A$3:A$999=DATE(2026,10,9)),ROW(Expenses!A$3:A$999)-2),2)),0)+IFERROR(INDEX(Income!C$3:C$502,SMALL(IF((Income!D$3:D$502="GBP")*(Income!A$3:A$502=DATE(2026,10,9)),ROW(Income!A$3:A$502)-2),2)),0)=0,"",IFERROR(-INDEX(Expenses!D$3:D$999,SMALL(IF((Expenses!E$3:E$999="GBP")*(Expenses!A$3:A$999=DATE(2026,10,9)),ROW(Expenses!A$3:A$999)-2),2)),0)+IFERROR(INDEX(Income!C$3:C$502,SMALL(IF((Income!D$3:D$502="GBP")*(Income!A$3:A$502=DATE(2026,10,9)),ROW(Income!A$3:A$502)-2),2)),0))</f>
        <v/>
      </c>
      <c r="L205" s="126">
        <f t="array" ref="L205">IF(IFERROR(INDEX(Expenses!B$3:B$999,SMALL(IF((Expenses!E$3:E$999="GBP")*(Expenses!A$3:A$999=DATE(2026,10,9)),ROW(Expenses!A$3:A$999)-2),2)),"")&lt;&gt;"",IFERROR(INDEX(Expenses!B$3:B$999,SMALL(IF((Expenses!E$3:E$999="GBP")*(Expenses!A$3:A$999=DATE(2026,10,9)),ROW(Expenses!A$3:A$999)-2),2)),""),IF(IFERROR(INDEX(Income!B$3:B$502,SMALL(IF((Income!D$3:D$502="GBP")*(Income!A$3:A$502=DATE(2026,10,9)),ROW(Income!A$3:A$502)-2),2)),"")&lt;&gt;"",IFERROR(INDEX(Income!B$3:B$502,SMALL(IF((Income!D$3:D$502="GBP")*(Income!A$3:A$502=DATE(2026,10,9)),ROW(Income!A$3:A$502)-2),2)),""),""))</f>
        <v/>
      </c>
      <c r="M205" s="152">
        <f t="array" ref="M205">IF(IFERROR(-INDEX(Expenses!D$3:D$999,SMALL(IF((Expenses!E$3:E$999="GBP")*(Expenses!A$3:A$999=DATE(2026,10,10)),ROW(Expenses!A$3:A$999)-2),2)),0)+IFERROR(INDEX(Income!C$3:C$502,SMALL(IF((Income!D$3:D$502="GBP")*(Income!A$3:A$502=DATE(2026,10,10)),ROW(Income!A$3:A$502)-2),2)),0)=0,"",IFERROR(-INDEX(Expenses!D$3:D$999,SMALL(IF((Expenses!E$3:E$999="GBP")*(Expenses!A$3:A$999=DATE(2026,10,10)),ROW(Expenses!A$3:A$999)-2),2)),0)+IFERROR(INDEX(Income!C$3:C$502,SMALL(IF((Income!D$3:D$502="GBP")*(Income!A$3:A$502=DATE(2026,10,10)),ROW(Income!A$3:A$502)-2),2)),0))</f>
        <v/>
      </c>
      <c r="N205" s="126">
        <f t="array" ref="N205">IF(IFERROR(INDEX(Expenses!B$3:B$999,SMALL(IF((Expenses!E$3:E$999="GBP")*(Expenses!A$3:A$999=DATE(2026,10,10)),ROW(Expenses!A$3:A$999)-2),2)),"")&lt;&gt;"",IFERROR(INDEX(Expenses!B$3:B$999,SMALL(IF((Expenses!E$3:E$999="GBP")*(Expenses!A$3:A$999=DATE(2026,10,10)),ROW(Expenses!A$3:A$999)-2),2)),""),IF(IFERROR(INDEX(Income!B$3:B$502,SMALL(IF((Income!D$3:D$502="GBP")*(Income!A$3:A$502=DATE(2026,10,10)),ROW(Income!A$3:A$502)-2),2)),"")&lt;&gt;"",IFERROR(INDEX(Income!B$3:B$502,SMALL(IF((Income!D$3:D$502="GBP")*(Income!A$3:A$502=DATE(2026,10,10)),ROW(Income!A$3:A$502)-2),2)),""),""))</f>
        <v/>
      </c>
      <c r="O205" s="152">
        <f t="array" ref="O205">IF(IFERROR(-INDEX(Expenses!D$3:D$999,SMALL(IF((Expenses!E$3:E$999="GBP")*(Expenses!A$3:A$999=DATE(2026,10,11)),ROW(Expenses!A$3:A$999)-2),2)),0)+IFERROR(INDEX(Income!C$3:C$502,SMALL(IF((Income!D$3:D$502="GBP")*(Income!A$3:A$502=DATE(2026,10,11)),ROW(Income!A$3:A$502)-2),2)),0)=0,"",IFERROR(-INDEX(Expenses!D$3:D$999,SMALL(IF((Expenses!E$3:E$999="GBP")*(Expenses!A$3:A$999=DATE(2026,10,11)),ROW(Expenses!A$3:A$999)-2),2)),0)+IFERROR(INDEX(Income!C$3:C$502,SMALL(IF((Income!D$3:D$502="GBP")*(Income!A$3:A$502=DATE(2026,10,11)),ROW(Income!A$3:A$502)-2),2)),0))</f>
        <v/>
      </c>
      <c r="P205" s="126">
        <f t="array" ref="P205">IF(IFERROR(INDEX(Expenses!B$3:B$999,SMALL(IF((Expenses!E$3:E$999="GBP")*(Expenses!A$3:A$999=DATE(2026,10,11)),ROW(Expenses!A$3:A$999)-2),2)),"")&lt;&gt;"",IFERROR(INDEX(Expenses!B$3:B$999,SMALL(IF((Expenses!E$3:E$999="GBP")*(Expenses!A$3:A$999=DATE(2026,10,11)),ROW(Expenses!A$3:A$999)-2),2)),""),IF(IFERROR(INDEX(Income!B$3:B$502,SMALL(IF((Income!D$3:D$502="GBP")*(Income!A$3:A$502=DATE(2026,10,11)),ROW(Income!A$3:A$502)-2),2)),"")&lt;&gt;"",IFERROR(INDEX(Income!B$3:B$502,SMALL(IF((Income!D$3:D$502="GBP")*(Income!A$3:A$502=DATE(2026,10,11)),ROW(Income!A$3:A$502)-2),2)),""),""))</f>
        <v/>
      </c>
      <c r="Q205" s="9" t="n"/>
      <c r="R205" s="9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68">
      <c r="A206" s="9" t="n"/>
      <c r="B206" s="9" t="n"/>
      <c r="C206" s="152">
        <f t="array" ref="C206">IF(IFERROR(-INDEX(Expenses!D$3:D$999,SMALL(IF((Expenses!E$3:E$999="GBP")*(Expenses!A$3:A$999=DATE(2026,10,5)),ROW(Expenses!A$3:A$999)-2),3)),0)+IFERROR(INDEX(Income!C$3:C$502,SMALL(IF((Income!D$3:D$502="GBP")*(Income!A$3:A$502=DATE(2026,10,5)),ROW(Income!A$3:A$502)-2),3)),0)=0,"",IFERROR(-INDEX(Expenses!D$3:D$999,SMALL(IF((Expenses!E$3:E$999="GBP")*(Expenses!A$3:A$999=DATE(2026,10,5)),ROW(Expenses!A$3:A$999)-2),3)),0)+IFERROR(INDEX(Income!C$3:C$502,SMALL(IF((Income!D$3:D$502="GBP")*(Income!A$3:A$502=DATE(2026,10,5)),ROW(Income!A$3:A$502)-2),3)),0))</f>
        <v/>
      </c>
      <c r="D206" s="126">
        <f t="array" ref="D206">IF(IFERROR(INDEX(Expenses!B$3:B$999,SMALL(IF((Expenses!E$3:E$999="GBP")*(Expenses!A$3:A$999=DATE(2026,10,5)),ROW(Expenses!A$3:A$999)-2),3)),"")&lt;&gt;"",IFERROR(INDEX(Expenses!B$3:B$999,SMALL(IF((Expenses!E$3:E$999="GBP")*(Expenses!A$3:A$999=DATE(2026,10,5)),ROW(Expenses!A$3:A$999)-2),3)),""),IF(IFERROR(INDEX(Income!B$3:B$502,SMALL(IF((Income!D$3:D$502="GBP")*(Income!A$3:A$502=DATE(2026,10,5)),ROW(Income!A$3:A$502)-2),3)),"")&lt;&gt;"",IFERROR(INDEX(Income!B$3:B$502,SMALL(IF((Income!D$3:D$502="GBP")*(Income!A$3:A$502=DATE(2026,10,5)),ROW(Income!A$3:A$502)-2),3)),""),""))</f>
        <v/>
      </c>
      <c r="E206" s="152">
        <f t="array" ref="E206">IF(IFERROR(-INDEX(Expenses!D$3:D$999,SMALL(IF((Expenses!E$3:E$999="GBP")*(Expenses!A$3:A$999=DATE(2026,10,6)),ROW(Expenses!A$3:A$999)-2),3)),0)+IFERROR(INDEX(Income!C$3:C$502,SMALL(IF((Income!D$3:D$502="GBP")*(Income!A$3:A$502=DATE(2026,10,6)),ROW(Income!A$3:A$502)-2),3)),0)=0,"",IFERROR(-INDEX(Expenses!D$3:D$999,SMALL(IF((Expenses!E$3:E$999="GBP")*(Expenses!A$3:A$999=DATE(2026,10,6)),ROW(Expenses!A$3:A$999)-2),3)),0)+IFERROR(INDEX(Income!C$3:C$502,SMALL(IF((Income!D$3:D$502="GBP")*(Income!A$3:A$502=DATE(2026,10,6)),ROW(Income!A$3:A$502)-2),3)),0))</f>
        <v/>
      </c>
      <c r="F206" s="126">
        <f t="array" ref="F206">IF(IFERROR(INDEX(Expenses!B$3:B$999,SMALL(IF((Expenses!E$3:E$999="GBP")*(Expenses!A$3:A$999=DATE(2026,10,6)),ROW(Expenses!A$3:A$999)-2),3)),"")&lt;&gt;"",IFERROR(INDEX(Expenses!B$3:B$999,SMALL(IF((Expenses!E$3:E$999="GBP")*(Expenses!A$3:A$999=DATE(2026,10,6)),ROW(Expenses!A$3:A$999)-2),3)),""),IF(IFERROR(INDEX(Income!B$3:B$502,SMALL(IF((Income!D$3:D$502="GBP")*(Income!A$3:A$502=DATE(2026,10,6)),ROW(Income!A$3:A$502)-2),3)),"")&lt;&gt;"",IFERROR(INDEX(Income!B$3:B$502,SMALL(IF((Income!D$3:D$502="GBP")*(Income!A$3:A$502=DATE(2026,10,6)),ROW(Income!A$3:A$502)-2),3)),""),""))</f>
        <v/>
      </c>
      <c r="G206" s="152">
        <f t="array" ref="G206">IF(IFERROR(-INDEX(Expenses!D$3:D$999,SMALL(IF((Expenses!E$3:E$999="GBP")*(Expenses!A$3:A$999=DATE(2026,10,7)),ROW(Expenses!A$3:A$999)-2),3)),0)+IFERROR(INDEX(Income!C$3:C$502,SMALL(IF((Income!D$3:D$502="GBP")*(Income!A$3:A$502=DATE(2026,10,7)),ROW(Income!A$3:A$502)-2),3)),0)=0,"",IFERROR(-INDEX(Expenses!D$3:D$999,SMALL(IF((Expenses!E$3:E$999="GBP")*(Expenses!A$3:A$999=DATE(2026,10,7)),ROW(Expenses!A$3:A$999)-2),3)),0)+IFERROR(INDEX(Income!C$3:C$502,SMALL(IF((Income!D$3:D$502="GBP")*(Income!A$3:A$502=DATE(2026,10,7)),ROW(Income!A$3:A$502)-2),3)),0))</f>
        <v/>
      </c>
      <c r="H206" s="126">
        <f t="array" ref="H206">IF(IFERROR(INDEX(Expenses!B$3:B$999,SMALL(IF((Expenses!E$3:E$999="GBP")*(Expenses!A$3:A$999=DATE(2026,10,7)),ROW(Expenses!A$3:A$999)-2),3)),"")&lt;&gt;"",IFERROR(INDEX(Expenses!B$3:B$999,SMALL(IF((Expenses!E$3:E$999="GBP")*(Expenses!A$3:A$999=DATE(2026,10,7)),ROW(Expenses!A$3:A$999)-2),3)),""),IF(IFERROR(INDEX(Income!B$3:B$502,SMALL(IF((Income!D$3:D$502="GBP")*(Income!A$3:A$502=DATE(2026,10,7)),ROW(Income!A$3:A$502)-2),3)),"")&lt;&gt;"",IFERROR(INDEX(Income!B$3:B$502,SMALL(IF((Income!D$3:D$502="GBP")*(Income!A$3:A$502=DATE(2026,10,7)),ROW(Income!A$3:A$502)-2),3)),""),""))</f>
        <v/>
      </c>
      <c r="I206" s="152">
        <f t="array" ref="I206">IF(IFERROR(-INDEX(Expenses!D$3:D$999,SMALL(IF((Expenses!E$3:E$999="GBP")*(Expenses!A$3:A$999=DATE(2026,10,8)),ROW(Expenses!A$3:A$999)-2),3)),0)+IFERROR(INDEX(Income!C$3:C$502,SMALL(IF((Income!D$3:D$502="GBP")*(Income!A$3:A$502=DATE(2026,10,8)),ROW(Income!A$3:A$502)-2),3)),0)=0,"",IFERROR(-INDEX(Expenses!D$3:D$999,SMALL(IF((Expenses!E$3:E$999="GBP")*(Expenses!A$3:A$999=DATE(2026,10,8)),ROW(Expenses!A$3:A$999)-2),3)),0)+IFERROR(INDEX(Income!C$3:C$502,SMALL(IF((Income!D$3:D$502="GBP")*(Income!A$3:A$502=DATE(2026,10,8)),ROW(Income!A$3:A$502)-2),3)),0))</f>
        <v/>
      </c>
      <c r="J206" s="126">
        <f t="array" ref="J206">IF(IFERROR(INDEX(Expenses!B$3:B$999,SMALL(IF((Expenses!E$3:E$999="GBP")*(Expenses!A$3:A$999=DATE(2026,10,8)),ROW(Expenses!A$3:A$999)-2),3)),"")&lt;&gt;"",IFERROR(INDEX(Expenses!B$3:B$999,SMALL(IF((Expenses!E$3:E$999="GBP")*(Expenses!A$3:A$999=DATE(2026,10,8)),ROW(Expenses!A$3:A$999)-2),3)),""),IF(IFERROR(INDEX(Income!B$3:B$502,SMALL(IF((Income!D$3:D$502="GBP")*(Income!A$3:A$502=DATE(2026,10,8)),ROW(Income!A$3:A$502)-2),3)),"")&lt;&gt;"",IFERROR(INDEX(Income!B$3:B$502,SMALL(IF((Income!D$3:D$502="GBP")*(Income!A$3:A$502=DATE(2026,10,8)),ROW(Income!A$3:A$502)-2),3)),""),""))</f>
        <v/>
      </c>
      <c r="K206" s="152">
        <f t="array" ref="K206">IF(IFERROR(-INDEX(Expenses!D$3:D$999,SMALL(IF((Expenses!E$3:E$999="GBP")*(Expenses!A$3:A$999=DATE(2026,10,9)),ROW(Expenses!A$3:A$999)-2),3)),0)+IFERROR(INDEX(Income!C$3:C$502,SMALL(IF((Income!D$3:D$502="GBP")*(Income!A$3:A$502=DATE(2026,10,9)),ROW(Income!A$3:A$502)-2),3)),0)=0,"",IFERROR(-INDEX(Expenses!D$3:D$999,SMALL(IF((Expenses!E$3:E$999="GBP")*(Expenses!A$3:A$999=DATE(2026,10,9)),ROW(Expenses!A$3:A$999)-2),3)),0)+IFERROR(INDEX(Income!C$3:C$502,SMALL(IF((Income!D$3:D$502="GBP")*(Income!A$3:A$502=DATE(2026,10,9)),ROW(Income!A$3:A$502)-2),3)),0))</f>
        <v/>
      </c>
      <c r="L206" s="126">
        <f t="array" ref="L206">IF(IFERROR(INDEX(Expenses!B$3:B$999,SMALL(IF((Expenses!E$3:E$999="GBP")*(Expenses!A$3:A$999=DATE(2026,10,9)),ROW(Expenses!A$3:A$999)-2),3)),"")&lt;&gt;"",IFERROR(INDEX(Expenses!B$3:B$999,SMALL(IF((Expenses!E$3:E$999="GBP")*(Expenses!A$3:A$999=DATE(2026,10,9)),ROW(Expenses!A$3:A$999)-2),3)),""),IF(IFERROR(INDEX(Income!B$3:B$502,SMALL(IF((Income!D$3:D$502="GBP")*(Income!A$3:A$502=DATE(2026,10,9)),ROW(Income!A$3:A$502)-2),3)),"")&lt;&gt;"",IFERROR(INDEX(Income!B$3:B$502,SMALL(IF((Income!D$3:D$502="GBP")*(Income!A$3:A$502=DATE(2026,10,9)),ROW(Income!A$3:A$502)-2),3)),""),""))</f>
        <v/>
      </c>
      <c r="M206" s="152">
        <f t="array" ref="M206">IF(IFERROR(-INDEX(Expenses!D$3:D$999,SMALL(IF((Expenses!E$3:E$999="GBP")*(Expenses!A$3:A$999=DATE(2026,10,10)),ROW(Expenses!A$3:A$999)-2),3)),0)+IFERROR(INDEX(Income!C$3:C$502,SMALL(IF((Income!D$3:D$502="GBP")*(Income!A$3:A$502=DATE(2026,10,10)),ROW(Income!A$3:A$502)-2),3)),0)=0,"",IFERROR(-INDEX(Expenses!D$3:D$999,SMALL(IF((Expenses!E$3:E$999="GBP")*(Expenses!A$3:A$999=DATE(2026,10,10)),ROW(Expenses!A$3:A$999)-2),3)),0)+IFERROR(INDEX(Income!C$3:C$502,SMALL(IF((Income!D$3:D$502="GBP")*(Income!A$3:A$502=DATE(2026,10,10)),ROW(Income!A$3:A$502)-2),3)),0))</f>
        <v/>
      </c>
      <c r="N206" s="126">
        <f t="array" ref="N206">IF(IFERROR(INDEX(Expenses!B$3:B$999,SMALL(IF((Expenses!E$3:E$999="GBP")*(Expenses!A$3:A$999=DATE(2026,10,10)),ROW(Expenses!A$3:A$999)-2),3)),"")&lt;&gt;"",IFERROR(INDEX(Expenses!B$3:B$999,SMALL(IF((Expenses!E$3:E$999="GBP")*(Expenses!A$3:A$999=DATE(2026,10,10)),ROW(Expenses!A$3:A$999)-2),3)),""),IF(IFERROR(INDEX(Income!B$3:B$502,SMALL(IF((Income!D$3:D$502="GBP")*(Income!A$3:A$502=DATE(2026,10,10)),ROW(Income!A$3:A$502)-2),3)),"")&lt;&gt;"",IFERROR(INDEX(Income!B$3:B$502,SMALL(IF((Income!D$3:D$502="GBP")*(Income!A$3:A$502=DATE(2026,10,10)),ROW(Income!A$3:A$502)-2),3)),""),""))</f>
        <v/>
      </c>
      <c r="O206" s="152">
        <f t="array" ref="O206">IF(IFERROR(-INDEX(Expenses!D$3:D$999,SMALL(IF((Expenses!E$3:E$999="GBP")*(Expenses!A$3:A$999=DATE(2026,10,11)),ROW(Expenses!A$3:A$999)-2),3)),0)+IFERROR(INDEX(Income!C$3:C$502,SMALL(IF((Income!D$3:D$502="GBP")*(Income!A$3:A$502=DATE(2026,10,11)),ROW(Income!A$3:A$502)-2),3)),0)=0,"",IFERROR(-INDEX(Expenses!D$3:D$999,SMALL(IF((Expenses!E$3:E$999="GBP")*(Expenses!A$3:A$999=DATE(2026,10,11)),ROW(Expenses!A$3:A$999)-2),3)),0)+IFERROR(INDEX(Income!C$3:C$502,SMALL(IF((Income!D$3:D$502="GBP")*(Income!A$3:A$502=DATE(2026,10,11)),ROW(Income!A$3:A$502)-2),3)),0))</f>
        <v/>
      </c>
      <c r="P206" s="126">
        <f t="array" ref="P206">IF(IFERROR(INDEX(Expenses!B$3:B$999,SMALL(IF((Expenses!E$3:E$999="GBP")*(Expenses!A$3:A$999=DATE(2026,10,11)),ROW(Expenses!A$3:A$999)-2),3)),"")&lt;&gt;"",IFERROR(INDEX(Expenses!B$3:B$999,SMALL(IF((Expenses!E$3:E$999="GBP")*(Expenses!A$3:A$999=DATE(2026,10,11)),ROW(Expenses!A$3:A$999)-2),3)),""),IF(IFERROR(INDEX(Income!B$3:B$502,SMALL(IF((Income!D$3:D$502="GBP")*(Income!A$3:A$502=DATE(2026,10,11)),ROW(Income!A$3:A$502)-2),3)),"")&lt;&gt;"",IFERROR(INDEX(Income!B$3:B$502,SMALL(IF((Income!D$3:D$502="GBP")*(Income!A$3:A$502=DATE(2026,10,11)),ROW(Income!A$3:A$502)-2),3)),""),""))</f>
        <v/>
      </c>
      <c r="Q206" s="9" t="n"/>
      <c r="R206" s="9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68">
      <c r="A207" s="9" t="n"/>
      <c r="B207" s="9" t="n"/>
      <c r="C207" s="152">
        <f t="array" ref="C207">IF(IFERROR(-INDEX(Expenses!D$3:D$999,SMALL(IF((Expenses!E$3:E$999="GBP")*(Expenses!A$3:A$999=DATE(2026,10,5)),ROW(Expenses!A$3:A$999)-2),4)),0)+IFERROR(INDEX(Income!C$3:C$502,SMALL(IF((Income!D$3:D$502="GBP")*(Income!A$3:A$502=DATE(2026,10,5)),ROW(Income!A$3:A$502)-2),4)),0)=0,"",IFERROR(-INDEX(Expenses!D$3:D$999,SMALL(IF((Expenses!E$3:E$999="GBP")*(Expenses!A$3:A$999=DATE(2026,10,5)),ROW(Expenses!A$3:A$999)-2),4)),0)+IFERROR(INDEX(Income!C$3:C$502,SMALL(IF((Income!D$3:D$502="GBP")*(Income!A$3:A$502=DATE(2026,10,5)),ROW(Income!A$3:A$502)-2),4)),0))</f>
        <v/>
      </c>
      <c r="D207" s="126">
        <f t="array" ref="D207">IF(IFERROR(INDEX(Expenses!B$3:B$999,SMALL(IF((Expenses!E$3:E$999="GBP")*(Expenses!A$3:A$999=DATE(2026,10,5)),ROW(Expenses!A$3:A$999)-2),4)),"")&lt;&gt;"",IFERROR(INDEX(Expenses!B$3:B$999,SMALL(IF((Expenses!E$3:E$999="GBP")*(Expenses!A$3:A$999=DATE(2026,10,5)),ROW(Expenses!A$3:A$999)-2),4)),""),IF(IFERROR(INDEX(Income!B$3:B$502,SMALL(IF((Income!D$3:D$502="GBP")*(Income!A$3:A$502=DATE(2026,10,5)),ROW(Income!A$3:A$502)-2),4)),"")&lt;&gt;"",IFERROR(INDEX(Income!B$3:B$502,SMALL(IF((Income!D$3:D$502="GBP")*(Income!A$3:A$502=DATE(2026,10,5)),ROW(Income!A$3:A$502)-2),4)),""),""))</f>
        <v/>
      </c>
      <c r="E207" s="152">
        <f t="array" ref="E207">IF(IFERROR(-INDEX(Expenses!D$3:D$999,SMALL(IF((Expenses!E$3:E$999="GBP")*(Expenses!A$3:A$999=DATE(2026,10,6)),ROW(Expenses!A$3:A$999)-2),4)),0)+IFERROR(INDEX(Income!C$3:C$502,SMALL(IF((Income!D$3:D$502="GBP")*(Income!A$3:A$502=DATE(2026,10,6)),ROW(Income!A$3:A$502)-2),4)),0)=0,"",IFERROR(-INDEX(Expenses!D$3:D$999,SMALL(IF((Expenses!E$3:E$999="GBP")*(Expenses!A$3:A$999=DATE(2026,10,6)),ROW(Expenses!A$3:A$999)-2),4)),0)+IFERROR(INDEX(Income!C$3:C$502,SMALL(IF((Income!D$3:D$502="GBP")*(Income!A$3:A$502=DATE(2026,10,6)),ROW(Income!A$3:A$502)-2),4)),0))</f>
        <v/>
      </c>
      <c r="F207" s="126">
        <f t="array" ref="F207">IF(IFERROR(INDEX(Expenses!B$3:B$999,SMALL(IF((Expenses!E$3:E$999="GBP")*(Expenses!A$3:A$999=DATE(2026,10,6)),ROW(Expenses!A$3:A$999)-2),4)),"")&lt;&gt;"",IFERROR(INDEX(Expenses!B$3:B$999,SMALL(IF((Expenses!E$3:E$999="GBP")*(Expenses!A$3:A$999=DATE(2026,10,6)),ROW(Expenses!A$3:A$999)-2),4)),""),IF(IFERROR(INDEX(Income!B$3:B$502,SMALL(IF((Income!D$3:D$502="GBP")*(Income!A$3:A$502=DATE(2026,10,6)),ROW(Income!A$3:A$502)-2),4)),"")&lt;&gt;"",IFERROR(INDEX(Income!B$3:B$502,SMALL(IF((Income!D$3:D$502="GBP")*(Income!A$3:A$502=DATE(2026,10,6)),ROW(Income!A$3:A$502)-2),4)),""),""))</f>
        <v/>
      </c>
      <c r="G207" s="152">
        <f t="array" ref="G207">IF(IFERROR(-INDEX(Expenses!D$3:D$999,SMALL(IF((Expenses!E$3:E$999="GBP")*(Expenses!A$3:A$999=DATE(2026,10,7)),ROW(Expenses!A$3:A$999)-2),4)),0)+IFERROR(INDEX(Income!C$3:C$502,SMALL(IF((Income!D$3:D$502="GBP")*(Income!A$3:A$502=DATE(2026,10,7)),ROW(Income!A$3:A$502)-2),4)),0)=0,"",IFERROR(-INDEX(Expenses!D$3:D$999,SMALL(IF((Expenses!E$3:E$999="GBP")*(Expenses!A$3:A$999=DATE(2026,10,7)),ROW(Expenses!A$3:A$999)-2),4)),0)+IFERROR(INDEX(Income!C$3:C$502,SMALL(IF((Income!D$3:D$502="GBP")*(Income!A$3:A$502=DATE(2026,10,7)),ROW(Income!A$3:A$502)-2),4)),0))</f>
        <v/>
      </c>
      <c r="H207" s="126">
        <f t="array" ref="H207">IF(IFERROR(INDEX(Expenses!B$3:B$999,SMALL(IF((Expenses!E$3:E$999="GBP")*(Expenses!A$3:A$999=DATE(2026,10,7)),ROW(Expenses!A$3:A$999)-2),4)),"")&lt;&gt;"",IFERROR(INDEX(Expenses!B$3:B$999,SMALL(IF((Expenses!E$3:E$999="GBP")*(Expenses!A$3:A$999=DATE(2026,10,7)),ROW(Expenses!A$3:A$999)-2),4)),""),IF(IFERROR(INDEX(Income!B$3:B$502,SMALL(IF((Income!D$3:D$502="GBP")*(Income!A$3:A$502=DATE(2026,10,7)),ROW(Income!A$3:A$502)-2),4)),"")&lt;&gt;"",IFERROR(INDEX(Income!B$3:B$502,SMALL(IF((Income!D$3:D$502="GBP")*(Income!A$3:A$502=DATE(2026,10,7)),ROW(Income!A$3:A$502)-2),4)),""),""))</f>
        <v/>
      </c>
      <c r="I207" s="152">
        <f t="array" ref="I207">IF(IFERROR(-INDEX(Expenses!D$3:D$999,SMALL(IF((Expenses!E$3:E$999="GBP")*(Expenses!A$3:A$999=DATE(2026,10,8)),ROW(Expenses!A$3:A$999)-2),4)),0)+IFERROR(INDEX(Income!C$3:C$502,SMALL(IF((Income!D$3:D$502="GBP")*(Income!A$3:A$502=DATE(2026,10,8)),ROW(Income!A$3:A$502)-2),4)),0)=0,"",IFERROR(-INDEX(Expenses!D$3:D$999,SMALL(IF((Expenses!E$3:E$999="GBP")*(Expenses!A$3:A$999=DATE(2026,10,8)),ROW(Expenses!A$3:A$999)-2),4)),0)+IFERROR(INDEX(Income!C$3:C$502,SMALL(IF((Income!D$3:D$502="GBP")*(Income!A$3:A$502=DATE(2026,10,8)),ROW(Income!A$3:A$502)-2),4)),0))</f>
        <v/>
      </c>
      <c r="J207" s="126">
        <f t="array" ref="J207">IF(IFERROR(INDEX(Expenses!B$3:B$999,SMALL(IF((Expenses!E$3:E$999="GBP")*(Expenses!A$3:A$999=DATE(2026,10,8)),ROW(Expenses!A$3:A$999)-2),4)),"")&lt;&gt;"",IFERROR(INDEX(Expenses!B$3:B$999,SMALL(IF((Expenses!E$3:E$999="GBP")*(Expenses!A$3:A$999=DATE(2026,10,8)),ROW(Expenses!A$3:A$999)-2),4)),""),IF(IFERROR(INDEX(Income!B$3:B$502,SMALL(IF((Income!D$3:D$502="GBP")*(Income!A$3:A$502=DATE(2026,10,8)),ROW(Income!A$3:A$502)-2),4)),"")&lt;&gt;"",IFERROR(INDEX(Income!B$3:B$502,SMALL(IF((Income!D$3:D$502="GBP")*(Income!A$3:A$502=DATE(2026,10,8)),ROW(Income!A$3:A$502)-2),4)),""),""))</f>
        <v/>
      </c>
      <c r="K207" s="152">
        <f t="array" ref="K207">IF(IFERROR(-INDEX(Expenses!D$3:D$999,SMALL(IF((Expenses!E$3:E$999="GBP")*(Expenses!A$3:A$999=DATE(2026,10,9)),ROW(Expenses!A$3:A$999)-2),4)),0)+IFERROR(INDEX(Income!C$3:C$502,SMALL(IF((Income!D$3:D$502="GBP")*(Income!A$3:A$502=DATE(2026,10,9)),ROW(Income!A$3:A$502)-2),4)),0)=0,"",IFERROR(-INDEX(Expenses!D$3:D$999,SMALL(IF((Expenses!E$3:E$999="GBP")*(Expenses!A$3:A$999=DATE(2026,10,9)),ROW(Expenses!A$3:A$999)-2),4)),0)+IFERROR(INDEX(Income!C$3:C$502,SMALL(IF((Income!D$3:D$502="GBP")*(Income!A$3:A$502=DATE(2026,10,9)),ROW(Income!A$3:A$502)-2),4)),0))</f>
        <v/>
      </c>
      <c r="L207" s="126">
        <f t="array" ref="L207">IF(IFERROR(INDEX(Expenses!B$3:B$999,SMALL(IF((Expenses!E$3:E$999="GBP")*(Expenses!A$3:A$999=DATE(2026,10,9)),ROW(Expenses!A$3:A$999)-2),4)),"")&lt;&gt;"",IFERROR(INDEX(Expenses!B$3:B$999,SMALL(IF((Expenses!E$3:E$999="GBP")*(Expenses!A$3:A$999=DATE(2026,10,9)),ROW(Expenses!A$3:A$999)-2),4)),""),IF(IFERROR(INDEX(Income!B$3:B$502,SMALL(IF((Income!D$3:D$502="GBP")*(Income!A$3:A$502=DATE(2026,10,9)),ROW(Income!A$3:A$502)-2),4)),"")&lt;&gt;"",IFERROR(INDEX(Income!B$3:B$502,SMALL(IF((Income!D$3:D$502="GBP")*(Income!A$3:A$502=DATE(2026,10,9)),ROW(Income!A$3:A$502)-2),4)),""),""))</f>
        <v/>
      </c>
      <c r="M207" s="152">
        <f t="array" ref="M207">IF(IFERROR(-INDEX(Expenses!D$3:D$999,SMALL(IF((Expenses!E$3:E$999="GBP")*(Expenses!A$3:A$999=DATE(2026,10,10)),ROW(Expenses!A$3:A$999)-2),4)),0)+IFERROR(INDEX(Income!C$3:C$502,SMALL(IF((Income!D$3:D$502="GBP")*(Income!A$3:A$502=DATE(2026,10,10)),ROW(Income!A$3:A$502)-2),4)),0)=0,"",IFERROR(-INDEX(Expenses!D$3:D$999,SMALL(IF((Expenses!E$3:E$999="GBP")*(Expenses!A$3:A$999=DATE(2026,10,10)),ROW(Expenses!A$3:A$999)-2),4)),0)+IFERROR(INDEX(Income!C$3:C$502,SMALL(IF((Income!D$3:D$502="GBP")*(Income!A$3:A$502=DATE(2026,10,10)),ROW(Income!A$3:A$502)-2),4)),0))</f>
        <v/>
      </c>
      <c r="N207" s="126">
        <f t="array" ref="N207">IF(IFERROR(INDEX(Expenses!B$3:B$999,SMALL(IF((Expenses!E$3:E$999="GBP")*(Expenses!A$3:A$999=DATE(2026,10,10)),ROW(Expenses!A$3:A$999)-2),4)),"")&lt;&gt;"",IFERROR(INDEX(Expenses!B$3:B$999,SMALL(IF((Expenses!E$3:E$999="GBP")*(Expenses!A$3:A$999=DATE(2026,10,10)),ROW(Expenses!A$3:A$999)-2),4)),""),IF(IFERROR(INDEX(Income!B$3:B$502,SMALL(IF((Income!D$3:D$502="GBP")*(Income!A$3:A$502=DATE(2026,10,10)),ROW(Income!A$3:A$502)-2),4)),"")&lt;&gt;"",IFERROR(INDEX(Income!B$3:B$502,SMALL(IF((Income!D$3:D$502="GBP")*(Income!A$3:A$502=DATE(2026,10,10)),ROW(Income!A$3:A$502)-2),4)),""),""))</f>
        <v/>
      </c>
      <c r="O207" s="152">
        <f t="array" ref="O207">IF(IFERROR(-INDEX(Expenses!D$3:D$999,SMALL(IF((Expenses!E$3:E$999="GBP")*(Expenses!A$3:A$999=DATE(2026,10,11)),ROW(Expenses!A$3:A$999)-2),4)),0)+IFERROR(INDEX(Income!C$3:C$502,SMALL(IF((Income!D$3:D$502="GBP")*(Income!A$3:A$502=DATE(2026,10,11)),ROW(Income!A$3:A$502)-2),4)),0)=0,"",IFERROR(-INDEX(Expenses!D$3:D$999,SMALL(IF((Expenses!E$3:E$999="GBP")*(Expenses!A$3:A$999=DATE(2026,10,11)),ROW(Expenses!A$3:A$999)-2),4)),0)+IFERROR(INDEX(Income!C$3:C$502,SMALL(IF((Income!D$3:D$502="GBP")*(Income!A$3:A$502=DATE(2026,10,11)),ROW(Income!A$3:A$502)-2),4)),0))</f>
        <v/>
      </c>
      <c r="P207" s="126">
        <f t="array" ref="P207">IF(IFERROR(INDEX(Expenses!B$3:B$999,SMALL(IF((Expenses!E$3:E$999="GBP")*(Expenses!A$3:A$999=DATE(2026,10,11)),ROW(Expenses!A$3:A$999)-2),4)),"")&lt;&gt;"",IFERROR(INDEX(Expenses!B$3:B$999,SMALL(IF((Expenses!E$3:E$999="GBP")*(Expenses!A$3:A$999=DATE(2026,10,11)),ROW(Expenses!A$3:A$999)-2),4)),""),IF(IFERROR(INDEX(Income!B$3:B$502,SMALL(IF((Income!D$3:D$502="GBP")*(Income!A$3:A$502=DATE(2026,10,11)),ROW(Income!A$3:A$502)-2),4)),"")&lt;&gt;"",IFERROR(INDEX(Income!B$3:B$502,SMALL(IF((Income!D$3:D$502="GBP")*(Income!A$3:A$502=DATE(2026,10,11)),ROW(Income!A$3:A$502)-2),4)),""),""))</f>
        <v/>
      </c>
      <c r="Q207" s="9" t="n"/>
      <c r="R207" s="9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68">
      <c r="A208" s="9" t="n"/>
      <c r="B208" s="9" t="n"/>
      <c r="C208" s="152">
        <f t="array" ref="C208">IF(IFERROR(-INDEX(Expenses!D$3:D$999,SMALL(IF((Expenses!E$3:E$999="GBP")*(Expenses!A$3:A$999=DATE(2026,10,5)),ROW(Expenses!A$3:A$999)-2),5)),0)+IFERROR(INDEX(Income!C$3:C$502,SMALL(IF((Income!D$3:D$502="GBP")*(Income!A$3:A$502=DATE(2026,10,5)),ROW(Income!A$3:A$502)-2),5)),0)=0,"",IFERROR(-INDEX(Expenses!D$3:D$999,SMALL(IF((Expenses!E$3:E$999="GBP")*(Expenses!A$3:A$999=DATE(2026,10,5)),ROW(Expenses!A$3:A$999)-2),5)),0)+IFERROR(INDEX(Income!C$3:C$502,SMALL(IF((Income!D$3:D$502="GBP")*(Income!A$3:A$502=DATE(2026,10,5)),ROW(Income!A$3:A$502)-2),5)),0))</f>
        <v/>
      </c>
      <c r="D208" s="126">
        <f t="array" ref="D208">IF(IFERROR(INDEX(Expenses!B$3:B$999,SMALL(IF((Expenses!E$3:E$999="GBP")*(Expenses!A$3:A$999=DATE(2026,10,5)),ROW(Expenses!A$3:A$999)-2),5)),"")&lt;&gt;"",IFERROR(INDEX(Expenses!B$3:B$999,SMALL(IF((Expenses!E$3:E$999="GBP")*(Expenses!A$3:A$999=DATE(2026,10,5)),ROW(Expenses!A$3:A$999)-2),5)),""),IF(IFERROR(INDEX(Income!B$3:B$502,SMALL(IF((Income!D$3:D$502="GBP")*(Income!A$3:A$502=DATE(2026,10,5)),ROW(Income!A$3:A$502)-2),5)),"")&lt;&gt;"",IFERROR(INDEX(Income!B$3:B$502,SMALL(IF((Income!D$3:D$502="GBP")*(Income!A$3:A$502=DATE(2026,10,5)),ROW(Income!A$3:A$502)-2),5)),""),""))</f>
        <v/>
      </c>
      <c r="E208" s="152">
        <f t="array" ref="E208">IF(IFERROR(-INDEX(Expenses!D$3:D$999,SMALL(IF((Expenses!E$3:E$999="GBP")*(Expenses!A$3:A$999=DATE(2026,10,6)),ROW(Expenses!A$3:A$999)-2),5)),0)+IFERROR(INDEX(Income!C$3:C$502,SMALL(IF((Income!D$3:D$502="GBP")*(Income!A$3:A$502=DATE(2026,10,6)),ROW(Income!A$3:A$502)-2),5)),0)=0,"",IFERROR(-INDEX(Expenses!D$3:D$999,SMALL(IF((Expenses!E$3:E$999="GBP")*(Expenses!A$3:A$999=DATE(2026,10,6)),ROW(Expenses!A$3:A$999)-2),5)),0)+IFERROR(INDEX(Income!C$3:C$502,SMALL(IF((Income!D$3:D$502="GBP")*(Income!A$3:A$502=DATE(2026,10,6)),ROW(Income!A$3:A$502)-2),5)),0))</f>
        <v/>
      </c>
      <c r="F208" s="126">
        <f t="array" ref="F208">IF(IFERROR(INDEX(Expenses!B$3:B$999,SMALL(IF((Expenses!E$3:E$999="GBP")*(Expenses!A$3:A$999=DATE(2026,10,6)),ROW(Expenses!A$3:A$999)-2),5)),"")&lt;&gt;"",IFERROR(INDEX(Expenses!B$3:B$999,SMALL(IF((Expenses!E$3:E$999="GBP")*(Expenses!A$3:A$999=DATE(2026,10,6)),ROW(Expenses!A$3:A$999)-2),5)),""),IF(IFERROR(INDEX(Income!B$3:B$502,SMALL(IF((Income!D$3:D$502="GBP")*(Income!A$3:A$502=DATE(2026,10,6)),ROW(Income!A$3:A$502)-2),5)),"")&lt;&gt;"",IFERROR(INDEX(Income!B$3:B$502,SMALL(IF((Income!D$3:D$502="GBP")*(Income!A$3:A$502=DATE(2026,10,6)),ROW(Income!A$3:A$502)-2),5)),""),""))</f>
        <v/>
      </c>
      <c r="G208" s="152">
        <f t="array" ref="G208">IF(IFERROR(-INDEX(Expenses!D$3:D$999,SMALL(IF((Expenses!E$3:E$999="GBP")*(Expenses!A$3:A$999=DATE(2026,10,7)),ROW(Expenses!A$3:A$999)-2),5)),0)+IFERROR(INDEX(Income!C$3:C$502,SMALL(IF((Income!D$3:D$502="GBP")*(Income!A$3:A$502=DATE(2026,10,7)),ROW(Income!A$3:A$502)-2),5)),0)=0,"",IFERROR(-INDEX(Expenses!D$3:D$999,SMALL(IF((Expenses!E$3:E$999="GBP")*(Expenses!A$3:A$999=DATE(2026,10,7)),ROW(Expenses!A$3:A$999)-2),5)),0)+IFERROR(INDEX(Income!C$3:C$502,SMALL(IF((Income!D$3:D$502="GBP")*(Income!A$3:A$502=DATE(2026,10,7)),ROW(Income!A$3:A$502)-2),5)),0))</f>
        <v/>
      </c>
      <c r="H208" s="126">
        <f t="array" ref="H208">IF(IFERROR(INDEX(Expenses!B$3:B$999,SMALL(IF((Expenses!E$3:E$999="GBP")*(Expenses!A$3:A$999=DATE(2026,10,7)),ROW(Expenses!A$3:A$999)-2),5)),"")&lt;&gt;"",IFERROR(INDEX(Expenses!B$3:B$999,SMALL(IF((Expenses!E$3:E$999="GBP")*(Expenses!A$3:A$999=DATE(2026,10,7)),ROW(Expenses!A$3:A$999)-2),5)),""),IF(IFERROR(INDEX(Income!B$3:B$502,SMALL(IF((Income!D$3:D$502="GBP")*(Income!A$3:A$502=DATE(2026,10,7)),ROW(Income!A$3:A$502)-2),5)),"")&lt;&gt;"",IFERROR(INDEX(Income!B$3:B$502,SMALL(IF((Income!D$3:D$502="GBP")*(Income!A$3:A$502=DATE(2026,10,7)),ROW(Income!A$3:A$502)-2),5)),""),""))</f>
        <v/>
      </c>
      <c r="I208" s="152">
        <f t="array" ref="I208">IF(IFERROR(-INDEX(Expenses!D$3:D$999,SMALL(IF((Expenses!E$3:E$999="GBP")*(Expenses!A$3:A$999=DATE(2026,10,8)),ROW(Expenses!A$3:A$999)-2),5)),0)+IFERROR(INDEX(Income!C$3:C$502,SMALL(IF((Income!D$3:D$502="GBP")*(Income!A$3:A$502=DATE(2026,10,8)),ROW(Income!A$3:A$502)-2),5)),0)=0,"",IFERROR(-INDEX(Expenses!D$3:D$999,SMALL(IF((Expenses!E$3:E$999="GBP")*(Expenses!A$3:A$999=DATE(2026,10,8)),ROW(Expenses!A$3:A$999)-2),5)),0)+IFERROR(INDEX(Income!C$3:C$502,SMALL(IF((Income!D$3:D$502="GBP")*(Income!A$3:A$502=DATE(2026,10,8)),ROW(Income!A$3:A$502)-2),5)),0))</f>
        <v/>
      </c>
      <c r="J208" s="126">
        <f t="array" ref="J208">IF(IFERROR(INDEX(Expenses!B$3:B$999,SMALL(IF((Expenses!E$3:E$999="GBP")*(Expenses!A$3:A$999=DATE(2026,10,8)),ROW(Expenses!A$3:A$999)-2),5)),"")&lt;&gt;"",IFERROR(INDEX(Expenses!B$3:B$999,SMALL(IF((Expenses!E$3:E$999="GBP")*(Expenses!A$3:A$999=DATE(2026,10,8)),ROW(Expenses!A$3:A$999)-2),5)),""),IF(IFERROR(INDEX(Income!B$3:B$502,SMALL(IF((Income!D$3:D$502="GBP")*(Income!A$3:A$502=DATE(2026,10,8)),ROW(Income!A$3:A$502)-2),5)),"")&lt;&gt;"",IFERROR(INDEX(Income!B$3:B$502,SMALL(IF((Income!D$3:D$502="GBP")*(Income!A$3:A$502=DATE(2026,10,8)),ROW(Income!A$3:A$502)-2),5)),""),""))</f>
        <v/>
      </c>
      <c r="K208" s="152">
        <f t="array" ref="K208">IF(IFERROR(-INDEX(Expenses!D$3:D$999,SMALL(IF((Expenses!E$3:E$999="GBP")*(Expenses!A$3:A$999=DATE(2026,10,9)),ROW(Expenses!A$3:A$999)-2),5)),0)+IFERROR(INDEX(Income!C$3:C$502,SMALL(IF((Income!D$3:D$502="GBP")*(Income!A$3:A$502=DATE(2026,10,9)),ROW(Income!A$3:A$502)-2),5)),0)=0,"",IFERROR(-INDEX(Expenses!D$3:D$999,SMALL(IF((Expenses!E$3:E$999="GBP")*(Expenses!A$3:A$999=DATE(2026,10,9)),ROW(Expenses!A$3:A$999)-2),5)),0)+IFERROR(INDEX(Income!C$3:C$502,SMALL(IF((Income!D$3:D$502="GBP")*(Income!A$3:A$502=DATE(2026,10,9)),ROW(Income!A$3:A$502)-2),5)),0))</f>
        <v/>
      </c>
      <c r="L208" s="126">
        <f t="array" ref="L208">IF(IFERROR(INDEX(Expenses!B$3:B$999,SMALL(IF((Expenses!E$3:E$999="GBP")*(Expenses!A$3:A$999=DATE(2026,10,9)),ROW(Expenses!A$3:A$999)-2),5)),"")&lt;&gt;"",IFERROR(INDEX(Expenses!B$3:B$999,SMALL(IF((Expenses!E$3:E$999="GBP")*(Expenses!A$3:A$999=DATE(2026,10,9)),ROW(Expenses!A$3:A$999)-2),5)),""),IF(IFERROR(INDEX(Income!B$3:B$502,SMALL(IF((Income!D$3:D$502="GBP")*(Income!A$3:A$502=DATE(2026,10,9)),ROW(Income!A$3:A$502)-2),5)),"")&lt;&gt;"",IFERROR(INDEX(Income!B$3:B$502,SMALL(IF((Income!D$3:D$502="GBP")*(Income!A$3:A$502=DATE(2026,10,9)),ROW(Income!A$3:A$502)-2),5)),""),""))</f>
        <v/>
      </c>
      <c r="M208" s="152">
        <f t="array" ref="M208">IF(IFERROR(-INDEX(Expenses!D$3:D$999,SMALL(IF((Expenses!E$3:E$999="GBP")*(Expenses!A$3:A$999=DATE(2026,10,10)),ROW(Expenses!A$3:A$999)-2),5)),0)+IFERROR(INDEX(Income!C$3:C$502,SMALL(IF((Income!D$3:D$502="GBP")*(Income!A$3:A$502=DATE(2026,10,10)),ROW(Income!A$3:A$502)-2),5)),0)=0,"",IFERROR(-INDEX(Expenses!D$3:D$999,SMALL(IF((Expenses!E$3:E$999="GBP")*(Expenses!A$3:A$999=DATE(2026,10,10)),ROW(Expenses!A$3:A$999)-2),5)),0)+IFERROR(INDEX(Income!C$3:C$502,SMALL(IF((Income!D$3:D$502="GBP")*(Income!A$3:A$502=DATE(2026,10,10)),ROW(Income!A$3:A$502)-2),5)),0))</f>
        <v/>
      </c>
      <c r="N208" s="126">
        <f t="array" ref="N208">IF(IFERROR(INDEX(Expenses!B$3:B$999,SMALL(IF((Expenses!E$3:E$999="GBP")*(Expenses!A$3:A$999=DATE(2026,10,10)),ROW(Expenses!A$3:A$999)-2),5)),"")&lt;&gt;"",IFERROR(INDEX(Expenses!B$3:B$999,SMALL(IF((Expenses!E$3:E$999="GBP")*(Expenses!A$3:A$999=DATE(2026,10,10)),ROW(Expenses!A$3:A$999)-2),5)),""),IF(IFERROR(INDEX(Income!B$3:B$502,SMALL(IF((Income!D$3:D$502="GBP")*(Income!A$3:A$502=DATE(2026,10,10)),ROW(Income!A$3:A$502)-2),5)),"")&lt;&gt;"",IFERROR(INDEX(Income!B$3:B$502,SMALL(IF((Income!D$3:D$502="GBP")*(Income!A$3:A$502=DATE(2026,10,10)),ROW(Income!A$3:A$502)-2),5)),""),""))</f>
        <v/>
      </c>
      <c r="O208" s="152">
        <f t="array" ref="O208">IF(IFERROR(-INDEX(Expenses!D$3:D$999,SMALL(IF((Expenses!E$3:E$999="GBP")*(Expenses!A$3:A$999=DATE(2026,10,11)),ROW(Expenses!A$3:A$999)-2),5)),0)+IFERROR(INDEX(Income!C$3:C$502,SMALL(IF((Income!D$3:D$502="GBP")*(Income!A$3:A$502=DATE(2026,10,11)),ROW(Income!A$3:A$502)-2),5)),0)=0,"",IFERROR(-INDEX(Expenses!D$3:D$999,SMALL(IF((Expenses!E$3:E$999="GBP")*(Expenses!A$3:A$999=DATE(2026,10,11)),ROW(Expenses!A$3:A$999)-2),5)),0)+IFERROR(INDEX(Income!C$3:C$502,SMALL(IF((Income!D$3:D$502="GBP")*(Income!A$3:A$502=DATE(2026,10,11)),ROW(Income!A$3:A$502)-2),5)),0))</f>
        <v/>
      </c>
      <c r="P208" s="126">
        <f t="array" ref="P208">IF(IFERROR(INDEX(Expenses!B$3:B$999,SMALL(IF((Expenses!E$3:E$999="GBP")*(Expenses!A$3:A$999=DATE(2026,10,11)),ROW(Expenses!A$3:A$999)-2),5)),"")&lt;&gt;"",IFERROR(INDEX(Expenses!B$3:B$999,SMALL(IF((Expenses!E$3:E$999="GBP")*(Expenses!A$3:A$999=DATE(2026,10,11)),ROW(Expenses!A$3:A$999)-2),5)),""),IF(IFERROR(INDEX(Income!B$3:B$502,SMALL(IF((Income!D$3:D$502="GBP")*(Income!A$3:A$502=DATE(2026,10,11)),ROW(Income!A$3:A$502)-2),5)),"")&lt;&gt;"",IFERROR(INDEX(Income!B$3:B$502,SMALL(IF((Income!D$3:D$502="GBP")*(Income!A$3:A$502=DATE(2026,10,11)),ROW(Income!A$3:A$502)-2),5)),""),""))</f>
        <v/>
      </c>
      <c r="Q208" s="9" t="n"/>
      <c r="R208" s="9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68">
      <c r="A209" s="151" t="n">
        <v>46307</v>
      </c>
      <c r="B209" s="103" t="n">
        <v>42</v>
      </c>
      <c r="C209" s="152">
        <f t="array" ref="C209">IF(IFERROR(-INDEX(Expenses!D$3:D$999,SMALL(IF((Expenses!E$3:E$999="GBP")*(Expenses!A$3:A$999=DATE(2026,10,12)),ROW(Expenses!A$3:A$999)-2),1)),0)+IFERROR(INDEX(Income!C$3:C$502,SMALL(IF((Income!D$3:D$502="GBP")*(Income!A$3:A$502=DATE(2026,10,12)),ROW(Income!A$3:A$502)-2),1)),0)=0,"",IFERROR(-INDEX(Expenses!D$3:D$999,SMALL(IF((Expenses!E$3:E$999="GBP")*(Expenses!A$3:A$999=DATE(2026,10,12)),ROW(Expenses!A$3:A$999)-2),1)),0)+IFERROR(INDEX(Income!C$3:C$502,SMALL(IF((Income!D$3:D$502="GBP")*(Income!A$3:A$502=DATE(2026,10,12)),ROW(Income!A$3:A$502)-2),1)),0))</f>
        <v/>
      </c>
      <c r="D209" s="126">
        <f t="array" ref="D209">IF(IFERROR(INDEX(Expenses!B$3:B$999,SMALL(IF((Expenses!E$3:E$999="GBP")*(Expenses!A$3:A$999=DATE(2026,10,12)),ROW(Expenses!A$3:A$999)-2),1)),"")&lt;&gt;"",IFERROR(INDEX(Expenses!B$3:B$999,SMALL(IF((Expenses!E$3:E$999="GBP")*(Expenses!A$3:A$999=DATE(2026,10,12)),ROW(Expenses!A$3:A$999)-2),1)),""),IF(IFERROR(INDEX(Income!B$3:B$502,SMALL(IF((Income!D$3:D$502="GBP")*(Income!A$3:A$502=DATE(2026,10,12)),ROW(Income!A$3:A$502)-2),1)),"")&lt;&gt;"",IFERROR(INDEX(Income!B$3:B$502,SMALL(IF((Income!D$3:D$502="GBP")*(Income!A$3:A$502=DATE(2026,10,12)),ROW(Income!A$3:A$502)-2),1)),""),""))</f>
        <v/>
      </c>
      <c r="E209" s="152">
        <f t="array" ref="E209">IF(IFERROR(-INDEX(Expenses!D$3:D$999,SMALL(IF((Expenses!E$3:E$999="GBP")*(Expenses!A$3:A$999=DATE(2026,10,13)),ROW(Expenses!A$3:A$999)-2),1)),0)+IFERROR(INDEX(Income!C$3:C$502,SMALL(IF((Income!D$3:D$502="GBP")*(Income!A$3:A$502=DATE(2026,10,13)),ROW(Income!A$3:A$502)-2),1)),0)=0,"",IFERROR(-INDEX(Expenses!D$3:D$999,SMALL(IF((Expenses!E$3:E$999="GBP")*(Expenses!A$3:A$999=DATE(2026,10,13)),ROW(Expenses!A$3:A$999)-2),1)),0)+IFERROR(INDEX(Income!C$3:C$502,SMALL(IF((Income!D$3:D$502="GBP")*(Income!A$3:A$502=DATE(2026,10,13)),ROW(Income!A$3:A$502)-2),1)),0))</f>
        <v/>
      </c>
      <c r="F209" s="126">
        <f t="array" ref="F209">IF(IFERROR(INDEX(Expenses!B$3:B$999,SMALL(IF((Expenses!E$3:E$999="GBP")*(Expenses!A$3:A$999=DATE(2026,10,13)),ROW(Expenses!A$3:A$999)-2),1)),"")&lt;&gt;"",IFERROR(INDEX(Expenses!B$3:B$999,SMALL(IF((Expenses!E$3:E$999="GBP")*(Expenses!A$3:A$999=DATE(2026,10,13)),ROW(Expenses!A$3:A$999)-2),1)),""),IF(IFERROR(INDEX(Income!B$3:B$502,SMALL(IF((Income!D$3:D$502="GBP")*(Income!A$3:A$502=DATE(2026,10,13)),ROW(Income!A$3:A$502)-2),1)),"")&lt;&gt;"",IFERROR(INDEX(Income!B$3:B$502,SMALL(IF((Income!D$3:D$502="GBP")*(Income!A$3:A$502=DATE(2026,10,13)),ROW(Income!A$3:A$502)-2),1)),""),""))</f>
        <v/>
      </c>
      <c r="G209" s="152">
        <f t="array" ref="G209">IF(IFERROR(-INDEX(Expenses!D$3:D$999,SMALL(IF((Expenses!E$3:E$999="GBP")*(Expenses!A$3:A$999=DATE(2026,10,14)),ROW(Expenses!A$3:A$999)-2),1)),0)+IFERROR(INDEX(Income!C$3:C$502,SMALL(IF((Income!D$3:D$502="GBP")*(Income!A$3:A$502=DATE(2026,10,14)),ROW(Income!A$3:A$502)-2),1)),0)=0,"",IFERROR(-INDEX(Expenses!D$3:D$999,SMALL(IF((Expenses!E$3:E$999="GBP")*(Expenses!A$3:A$999=DATE(2026,10,14)),ROW(Expenses!A$3:A$999)-2),1)),0)+IFERROR(INDEX(Income!C$3:C$502,SMALL(IF((Income!D$3:D$502="GBP")*(Income!A$3:A$502=DATE(2026,10,14)),ROW(Income!A$3:A$502)-2),1)),0))</f>
        <v/>
      </c>
      <c r="H209" s="126">
        <f t="array" ref="H209">IF(IFERROR(INDEX(Expenses!B$3:B$999,SMALL(IF((Expenses!E$3:E$999="GBP")*(Expenses!A$3:A$999=DATE(2026,10,14)),ROW(Expenses!A$3:A$999)-2),1)),"")&lt;&gt;"",IFERROR(INDEX(Expenses!B$3:B$999,SMALL(IF((Expenses!E$3:E$999="GBP")*(Expenses!A$3:A$999=DATE(2026,10,14)),ROW(Expenses!A$3:A$999)-2),1)),""),IF(IFERROR(INDEX(Income!B$3:B$502,SMALL(IF((Income!D$3:D$502="GBP")*(Income!A$3:A$502=DATE(2026,10,14)),ROW(Income!A$3:A$502)-2),1)),"")&lt;&gt;"",IFERROR(INDEX(Income!B$3:B$502,SMALL(IF((Income!D$3:D$502="GBP")*(Income!A$3:A$502=DATE(2026,10,14)),ROW(Income!A$3:A$502)-2),1)),""),""))</f>
        <v/>
      </c>
      <c r="I209" s="152">
        <f t="array" ref="I209">IF(IFERROR(-INDEX(Expenses!D$3:D$999,SMALL(IF((Expenses!E$3:E$999="GBP")*(Expenses!A$3:A$999=DATE(2026,10,15)),ROW(Expenses!A$3:A$999)-2),1)),0)+IFERROR(INDEX(Income!C$3:C$502,SMALL(IF((Income!D$3:D$502="GBP")*(Income!A$3:A$502=DATE(2026,10,15)),ROW(Income!A$3:A$502)-2),1)),0)=0,"",IFERROR(-INDEX(Expenses!D$3:D$999,SMALL(IF((Expenses!E$3:E$999="GBP")*(Expenses!A$3:A$999=DATE(2026,10,15)),ROW(Expenses!A$3:A$999)-2),1)),0)+IFERROR(INDEX(Income!C$3:C$502,SMALL(IF((Income!D$3:D$502="GBP")*(Income!A$3:A$502=DATE(2026,10,15)),ROW(Income!A$3:A$502)-2),1)),0))</f>
        <v/>
      </c>
      <c r="J209" s="126">
        <f t="array" ref="J209">IF(IFERROR(INDEX(Expenses!B$3:B$999,SMALL(IF((Expenses!E$3:E$999="GBP")*(Expenses!A$3:A$999=DATE(2026,10,15)),ROW(Expenses!A$3:A$999)-2),1)),"")&lt;&gt;"",IFERROR(INDEX(Expenses!B$3:B$999,SMALL(IF((Expenses!E$3:E$999="GBP")*(Expenses!A$3:A$999=DATE(2026,10,15)),ROW(Expenses!A$3:A$999)-2),1)),""),IF(IFERROR(INDEX(Income!B$3:B$502,SMALL(IF((Income!D$3:D$502="GBP")*(Income!A$3:A$502=DATE(2026,10,15)),ROW(Income!A$3:A$502)-2),1)),"")&lt;&gt;"",IFERROR(INDEX(Income!B$3:B$502,SMALL(IF((Income!D$3:D$502="GBP")*(Income!A$3:A$502=DATE(2026,10,15)),ROW(Income!A$3:A$502)-2),1)),""),""))</f>
        <v/>
      </c>
      <c r="K209" s="152">
        <f t="array" ref="K209">IF(IFERROR(-INDEX(Expenses!D$3:D$999,SMALL(IF((Expenses!E$3:E$999="GBP")*(Expenses!A$3:A$999=DATE(2026,10,16)),ROW(Expenses!A$3:A$999)-2),1)),0)+IFERROR(INDEX(Income!C$3:C$502,SMALL(IF((Income!D$3:D$502="GBP")*(Income!A$3:A$502=DATE(2026,10,16)),ROW(Income!A$3:A$502)-2),1)),0)=0,"",IFERROR(-INDEX(Expenses!D$3:D$999,SMALL(IF((Expenses!E$3:E$999="GBP")*(Expenses!A$3:A$999=DATE(2026,10,16)),ROW(Expenses!A$3:A$999)-2),1)),0)+IFERROR(INDEX(Income!C$3:C$502,SMALL(IF((Income!D$3:D$502="GBP")*(Income!A$3:A$502=DATE(2026,10,16)),ROW(Income!A$3:A$502)-2),1)),0))</f>
        <v/>
      </c>
      <c r="L209" s="126">
        <f t="array" ref="L209">IF(IFERROR(INDEX(Expenses!B$3:B$999,SMALL(IF((Expenses!E$3:E$999="GBP")*(Expenses!A$3:A$999=DATE(2026,10,16)),ROW(Expenses!A$3:A$999)-2),1)),"")&lt;&gt;"",IFERROR(INDEX(Expenses!B$3:B$999,SMALL(IF((Expenses!E$3:E$999="GBP")*(Expenses!A$3:A$999=DATE(2026,10,16)),ROW(Expenses!A$3:A$999)-2),1)),""),IF(IFERROR(INDEX(Income!B$3:B$502,SMALL(IF((Income!D$3:D$502="GBP")*(Income!A$3:A$502=DATE(2026,10,16)),ROW(Income!A$3:A$502)-2),1)),"")&lt;&gt;"",IFERROR(INDEX(Income!B$3:B$502,SMALL(IF((Income!D$3:D$502="GBP")*(Income!A$3:A$502=DATE(2026,10,16)),ROW(Income!A$3:A$502)-2),1)),""),""))</f>
        <v/>
      </c>
      <c r="M209" s="152">
        <f t="array" ref="M209">IF(IFERROR(-INDEX(Expenses!D$3:D$999,SMALL(IF((Expenses!E$3:E$999="GBP")*(Expenses!A$3:A$999=DATE(2026,10,17)),ROW(Expenses!A$3:A$999)-2),1)),0)+IFERROR(INDEX(Income!C$3:C$502,SMALL(IF((Income!D$3:D$502="GBP")*(Income!A$3:A$502=DATE(2026,10,17)),ROW(Income!A$3:A$502)-2),1)),0)=0,"",IFERROR(-INDEX(Expenses!D$3:D$999,SMALL(IF((Expenses!E$3:E$999="GBP")*(Expenses!A$3:A$999=DATE(2026,10,17)),ROW(Expenses!A$3:A$999)-2),1)),0)+IFERROR(INDEX(Income!C$3:C$502,SMALL(IF((Income!D$3:D$502="GBP")*(Income!A$3:A$502=DATE(2026,10,17)),ROW(Income!A$3:A$502)-2),1)),0))</f>
        <v/>
      </c>
      <c r="N209" s="126">
        <f t="array" ref="N209">IF(IFERROR(INDEX(Expenses!B$3:B$999,SMALL(IF((Expenses!E$3:E$999="GBP")*(Expenses!A$3:A$999=DATE(2026,10,17)),ROW(Expenses!A$3:A$999)-2),1)),"")&lt;&gt;"",IFERROR(INDEX(Expenses!B$3:B$999,SMALL(IF((Expenses!E$3:E$999="GBP")*(Expenses!A$3:A$999=DATE(2026,10,17)),ROW(Expenses!A$3:A$999)-2),1)),""),IF(IFERROR(INDEX(Income!B$3:B$502,SMALL(IF((Income!D$3:D$502="GBP")*(Income!A$3:A$502=DATE(2026,10,17)),ROW(Income!A$3:A$502)-2),1)),"")&lt;&gt;"",IFERROR(INDEX(Income!B$3:B$502,SMALL(IF((Income!D$3:D$502="GBP")*(Income!A$3:A$502=DATE(2026,10,17)),ROW(Income!A$3:A$502)-2),1)),""),""))</f>
        <v/>
      </c>
      <c r="O209" s="152">
        <f t="array" ref="O209">IF(IFERROR(-INDEX(Expenses!D$3:D$999,SMALL(IF((Expenses!E$3:E$999="GBP")*(Expenses!A$3:A$999=DATE(2026,10,18)),ROW(Expenses!A$3:A$999)-2),1)),0)+IFERROR(INDEX(Income!C$3:C$502,SMALL(IF((Income!D$3:D$502="GBP")*(Income!A$3:A$502=DATE(2026,10,18)),ROW(Income!A$3:A$502)-2),1)),0)=0,"",IFERROR(-INDEX(Expenses!D$3:D$999,SMALL(IF((Expenses!E$3:E$999="GBP")*(Expenses!A$3:A$999=DATE(2026,10,18)),ROW(Expenses!A$3:A$999)-2),1)),0)+IFERROR(INDEX(Income!C$3:C$502,SMALL(IF((Income!D$3:D$502="GBP")*(Income!A$3:A$502=DATE(2026,10,18)),ROW(Income!A$3:A$502)-2),1)),0))</f>
        <v/>
      </c>
      <c r="P209" s="126">
        <f t="array" ref="P209">IF(IFERROR(INDEX(Expenses!B$3:B$999,SMALL(IF((Expenses!E$3:E$999="GBP")*(Expenses!A$3:A$999=DATE(2026,10,18)),ROW(Expenses!A$3:A$999)-2),1)),"")&lt;&gt;"",IFERROR(INDEX(Expenses!B$3:B$999,SMALL(IF((Expenses!E$3:E$999="GBP")*(Expenses!A$3:A$999=DATE(2026,10,18)),ROW(Expenses!A$3:A$999)-2),1)),""),IF(IFERROR(INDEX(Income!B$3:B$502,SMALL(IF((Income!D$3:D$502="GBP")*(Income!A$3:A$502=DATE(2026,10,18)),ROW(Income!A$3:A$502)-2),1)),"")&lt;&gt;"",IFERROR(INDEX(Income!B$3:B$502,SMALL(IF((Income!D$3:D$502="GBP")*(Income!A$3:A$502=DATE(2026,10,18)),ROW(Income!A$3:A$502)-2),1)),""),""))</f>
        <v/>
      </c>
      <c r="Q209" s="103" t="n">
        <v>42</v>
      </c>
      <c r="R209" s="134">
        <f>SUM(C209:C213)+SUM(E209:E213)+SUM(G209:G213)+SUM(I209:I213)+SUM(K209:K213)+SUM(M209:M213)+SUM(O209:O213)</f>
        <v/>
      </c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68">
      <c r="A210" s="9" t="n"/>
      <c r="B210" s="9" t="n"/>
      <c r="C210" s="152">
        <f t="array" ref="C210">IF(IFERROR(-INDEX(Expenses!D$3:D$999,SMALL(IF((Expenses!E$3:E$999="GBP")*(Expenses!A$3:A$999=DATE(2026,10,12)),ROW(Expenses!A$3:A$999)-2),2)),0)+IFERROR(INDEX(Income!C$3:C$502,SMALL(IF((Income!D$3:D$502="GBP")*(Income!A$3:A$502=DATE(2026,10,12)),ROW(Income!A$3:A$502)-2),2)),0)=0,"",IFERROR(-INDEX(Expenses!D$3:D$999,SMALL(IF((Expenses!E$3:E$999="GBP")*(Expenses!A$3:A$999=DATE(2026,10,12)),ROW(Expenses!A$3:A$999)-2),2)),0)+IFERROR(INDEX(Income!C$3:C$502,SMALL(IF((Income!D$3:D$502="GBP")*(Income!A$3:A$502=DATE(2026,10,12)),ROW(Income!A$3:A$502)-2),2)),0))</f>
        <v/>
      </c>
      <c r="D210" s="126">
        <f t="array" ref="D210">IF(IFERROR(INDEX(Expenses!B$3:B$999,SMALL(IF((Expenses!E$3:E$999="GBP")*(Expenses!A$3:A$999=DATE(2026,10,12)),ROW(Expenses!A$3:A$999)-2),2)),"")&lt;&gt;"",IFERROR(INDEX(Expenses!B$3:B$999,SMALL(IF((Expenses!E$3:E$999="GBP")*(Expenses!A$3:A$999=DATE(2026,10,12)),ROW(Expenses!A$3:A$999)-2),2)),""),IF(IFERROR(INDEX(Income!B$3:B$502,SMALL(IF((Income!D$3:D$502="GBP")*(Income!A$3:A$502=DATE(2026,10,12)),ROW(Income!A$3:A$502)-2),2)),"")&lt;&gt;"",IFERROR(INDEX(Income!B$3:B$502,SMALL(IF((Income!D$3:D$502="GBP")*(Income!A$3:A$502=DATE(2026,10,12)),ROW(Income!A$3:A$502)-2),2)),""),""))</f>
        <v/>
      </c>
      <c r="E210" s="152">
        <f t="array" ref="E210">IF(IFERROR(-INDEX(Expenses!D$3:D$999,SMALL(IF((Expenses!E$3:E$999="GBP")*(Expenses!A$3:A$999=DATE(2026,10,13)),ROW(Expenses!A$3:A$999)-2),2)),0)+IFERROR(INDEX(Income!C$3:C$502,SMALL(IF((Income!D$3:D$502="GBP")*(Income!A$3:A$502=DATE(2026,10,13)),ROW(Income!A$3:A$502)-2),2)),0)=0,"",IFERROR(-INDEX(Expenses!D$3:D$999,SMALL(IF((Expenses!E$3:E$999="GBP")*(Expenses!A$3:A$999=DATE(2026,10,13)),ROW(Expenses!A$3:A$999)-2),2)),0)+IFERROR(INDEX(Income!C$3:C$502,SMALL(IF((Income!D$3:D$502="GBP")*(Income!A$3:A$502=DATE(2026,10,13)),ROW(Income!A$3:A$502)-2),2)),0))</f>
        <v/>
      </c>
      <c r="F210" s="126">
        <f t="array" ref="F210">IF(IFERROR(INDEX(Expenses!B$3:B$999,SMALL(IF((Expenses!E$3:E$999="GBP")*(Expenses!A$3:A$999=DATE(2026,10,13)),ROW(Expenses!A$3:A$999)-2),2)),"")&lt;&gt;"",IFERROR(INDEX(Expenses!B$3:B$999,SMALL(IF((Expenses!E$3:E$999="GBP")*(Expenses!A$3:A$999=DATE(2026,10,13)),ROW(Expenses!A$3:A$999)-2),2)),""),IF(IFERROR(INDEX(Income!B$3:B$502,SMALL(IF((Income!D$3:D$502="GBP")*(Income!A$3:A$502=DATE(2026,10,13)),ROW(Income!A$3:A$502)-2),2)),"")&lt;&gt;"",IFERROR(INDEX(Income!B$3:B$502,SMALL(IF((Income!D$3:D$502="GBP")*(Income!A$3:A$502=DATE(2026,10,13)),ROW(Income!A$3:A$502)-2),2)),""),""))</f>
        <v/>
      </c>
      <c r="G210" s="152">
        <f t="array" ref="G210">IF(IFERROR(-INDEX(Expenses!D$3:D$999,SMALL(IF((Expenses!E$3:E$999="GBP")*(Expenses!A$3:A$999=DATE(2026,10,14)),ROW(Expenses!A$3:A$999)-2),2)),0)+IFERROR(INDEX(Income!C$3:C$502,SMALL(IF((Income!D$3:D$502="GBP")*(Income!A$3:A$502=DATE(2026,10,14)),ROW(Income!A$3:A$502)-2),2)),0)=0,"",IFERROR(-INDEX(Expenses!D$3:D$999,SMALL(IF((Expenses!E$3:E$999="GBP")*(Expenses!A$3:A$999=DATE(2026,10,14)),ROW(Expenses!A$3:A$999)-2),2)),0)+IFERROR(INDEX(Income!C$3:C$502,SMALL(IF((Income!D$3:D$502="GBP")*(Income!A$3:A$502=DATE(2026,10,14)),ROW(Income!A$3:A$502)-2),2)),0))</f>
        <v/>
      </c>
      <c r="H210" s="126">
        <f t="array" ref="H210">IF(IFERROR(INDEX(Expenses!B$3:B$999,SMALL(IF((Expenses!E$3:E$999="GBP")*(Expenses!A$3:A$999=DATE(2026,10,14)),ROW(Expenses!A$3:A$999)-2),2)),"")&lt;&gt;"",IFERROR(INDEX(Expenses!B$3:B$999,SMALL(IF((Expenses!E$3:E$999="GBP")*(Expenses!A$3:A$999=DATE(2026,10,14)),ROW(Expenses!A$3:A$999)-2),2)),""),IF(IFERROR(INDEX(Income!B$3:B$502,SMALL(IF((Income!D$3:D$502="GBP")*(Income!A$3:A$502=DATE(2026,10,14)),ROW(Income!A$3:A$502)-2),2)),"")&lt;&gt;"",IFERROR(INDEX(Income!B$3:B$502,SMALL(IF((Income!D$3:D$502="GBP")*(Income!A$3:A$502=DATE(2026,10,14)),ROW(Income!A$3:A$502)-2),2)),""),""))</f>
        <v/>
      </c>
      <c r="I210" s="152">
        <f t="array" ref="I210">IF(IFERROR(-INDEX(Expenses!D$3:D$999,SMALL(IF((Expenses!E$3:E$999="GBP")*(Expenses!A$3:A$999=DATE(2026,10,15)),ROW(Expenses!A$3:A$999)-2),2)),0)+IFERROR(INDEX(Income!C$3:C$502,SMALL(IF((Income!D$3:D$502="GBP")*(Income!A$3:A$502=DATE(2026,10,15)),ROW(Income!A$3:A$502)-2),2)),0)=0,"",IFERROR(-INDEX(Expenses!D$3:D$999,SMALL(IF((Expenses!E$3:E$999="GBP")*(Expenses!A$3:A$999=DATE(2026,10,15)),ROW(Expenses!A$3:A$999)-2),2)),0)+IFERROR(INDEX(Income!C$3:C$502,SMALL(IF((Income!D$3:D$502="GBP")*(Income!A$3:A$502=DATE(2026,10,15)),ROW(Income!A$3:A$502)-2),2)),0))</f>
        <v/>
      </c>
      <c r="J210" s="126">
        <f t="array" ref="J210">IF(IFERROR(INDEX(Expenses!B$3:B$999,SMALL(IF((Expenses!E$3:E$999="GBP")*(Expenses!A$3:A$999=DATE(2026,10,15)),ROW(Expenses!A$3:A$999)-2),2)),"")&lt;&gt;"",IFERROR(INDEX(Expenses!B$3:B$999,SMALL(IF((Expenses!E$3:E$999="GBP")*(Expenses!A$3:A$999=DATE(2026,10,15)),ROW(Expenses!A$3:A$999)-2),2)),""),IF(IFERROR(INDEX(Income!B$3:B$502,SMALL(IF((Income!D$3:D$502="GBP")*(Income!A$3:A$502=DATE(2026,10,15)),ROW(Income!A$3:A$502)-2),2)),"")&lt;&gt;"",IFERROR(INDEX(Income!B$3:B$502,SMALL(IF((Income!D$3:D$502="GBP")*(Income!A$3:A$502=DATE(2026,10,15)),ROW(Income!A$3:A$502)-2),2)),""),""))</f>
        <v/>
      </c>
      <c r="K210" s="152">
        <f t="array" ref="K210">IF(IFERROR(-INDEX(Expenses!D$3:D$999,SMALL(IF((Expenses!E$3:E$999="GBP")*(Expenses!A$3:A$999=DATE(2026,10,16)),ROW(Expenses!A$3:A$999)-2),2)),0)+IFERROR(INDEX(Income!C$3:C$502,SMALL(IF((Income!D$3:D$502="GBP")*(Income!A$3:A$502=DATE(2026,10,16)),ROW(Income!A$3:A$502)-2),2)),0)=0,"",IFERROR(-INDEX(Expenses!D$3:D$999,SMALL(IF((Expenses!E$3:E$999="GBP")*(Expenses!A$3:A$999=DATE(2026,10,16)),ROW(Expenses!A$3:A$999)-2),2)),0)+IFERROR(INDEX(Income!C$3:C$502,SMALL(IF((Income!D$3:D$502="GBP")*(Income!A$3:A$502=DATE(2026,10,16)),ROW(Income!A$3:A$502)-2),2)),0))</f>
        <v/>
      </c>
      <c r="L210" s="126">
        <f t="array" ref="L210">IF(IFERROR(INDEX(Expenses!B$3:B$999,SMALL(IF((Expenses!E$3:E$999="GBP")*(Expenses!A$3:A$999=DATE(2026,10,16)),ROW(Expenses!A$3:A$999)-2),2)),"")&lt;&gt;"",IFERROR(INDEX(Expenses!B$3:B$999,SMALL(IF((Expenses!E$3:E$999="GBP")*(Expenses!A$3:A$999=DATE(2026,10,16)),ROW(Expenses!A$3:A$999)-2),2)),""),IF(IFERROR(INDEX(Income!B$3:B$502,SMALL(IF((Income!D$3:D$502="GBP")*(Income!A$3:A$502=DATE(2026,10,16)),ROW(Income!A$3:A$502)-2),2)),"")&lt;&gt;"",IFERROR(INDEX(Income!B$3:B$502,SMALL(IF((Income!D$3:D$502="GBP")*(Income!A$3:A$502=DATE(2026,10,16)),ROW(Income!A$3:A$502)-2),2)),""),""))</f>
        <v/>
      </c>
      <c r="M210" s="152">
        <f t="array" ref="M210">IF(IFERROR(-INDEX(Expenses!D$3:D$999,SMALL(IF((Expenses!E$3:E$999="GBP")*(Expenses!A$3:A$999=DATE(2026,10,17)),ROW(Expenses!A$3:A$999)-2),2)),0)+IFERROR(INDEX(Income!C$3:C$502,SMALL(IF((Income!D$3:D$502="GBP")*(Income!A$3:A$502=DATE(2026,10,17)),ROW(Income!A$3:A$502)-2),2)),0)=0,"",IFERROR(-INDEX(Expenses!D$3:D$999,SMALL(IF((Expenses!E$3:E$999="GBP")*(Expenses!A$3:A$999=DATE(2026,10,17)),ROW(Expenses!A$3:A$999)-2),2)),0)+IFERROR(INDEX(Income!C$3:C$502,SMALL(IF((Income!D$3:D$502="GBP")*(Income!A$3:A$502=DATE(2026,10,17)),ROW(Income!A$3:A$502)-2),2)),0))</f>
        <v/>
      </c>
      <c r="N210" s="126">
        <f t="array" ref="N210">IF(IFERROR(INDEX(Expenses!B$3:B$999,SMALL(IF((Expenses!E$3:E$999="GBP")*(Expenses!A$3:A$999=DATE(2026,10,17)),ROW(Expenses!A$3:A$999)-2),2)),"")&lt;&gt;"",IFERROR(INDEX(Expenses!B$3:B$999,SMALL(IF((Expenses!E$3:E$999="GBP")*(Expenses!A$3:A$999=DATE(2026,10,17)),ROW(Expenses!A$3:A$999)-2),2)),""),IF(IFERROR(INDEX(Income!B$3:B$502,SMALL(IF((Income!D$3:D$502="GBP")*(Income!A$3:A$502=DATE(2026,10,17)),ROW(Income!A$3:A$502)-2),2)),"")&lt;&gt;"",IFERROR(INDEX(Income!B$3:B$502,SMALL(IF((Income!D$3:D$502="GBP")*(Income!A$3:A$502=DATE(2026,10,17)),ROW(Income!A$3:A$502)-2),2)),""),""))</f>
        <v/>
      </c>
      <c r="O210" s="152">
        <f t="array" ref="O210">IF(IFERROR(-INDEX(Expenses!D$3:D$999,SMALL(IF((Expenses!E$3:E$999="GBP")*(Expenses!A$3:A$999=DATE(2026,10,18)),ROW(Expenses!A$3:A$999)-2),2)),0)+IFERROR(INDEX(Income!C$3:C$502,SMALL(IF((Income!D$3:D$502="GBP")*(Income!A$3:A$502=DATE(2026,10,18)),ROW(Income!A$3:A$502)-2),2)),0)=0,"",IFERROR(-INDEX(Expenses!D$3:D$999,SMALL(IF((Expenses!E$3:E$999="GBP")*(Expenses!A$3:A$999=DATE(2026,10,18)),ROW(Expenses!A$3:A$999)-2),2)),0)+IFERROR(INDEX(Income!C$3:C$502,SMALL(IF((Income!D$3:D$502="GBP")*(Income!A$3:A$502=DATE(2026,10,18)),ROW(Income!A$3:A$502)-2),2)),0))</f>
        <v/>
      </c>
      <c r="P210" s="126">
        <f t="array" ref="P210">IF(IFERROR(INDEX(Expenses!B$3:B$999,SMALL(IF((Expenses!E$3:E$999="GBP")*(Expenses!A$3:A$999=DATE(2026,10,18)),ROW(Expenses!A$3:A$999)-2),2)),"")&lt;&gt;"",IFERROR(INDEX(Expenses!B$3:B$999,SMALL(IF((Expenses!E$3:E$999="GBP")*(Expenses!A$3:A$999=DATE(2026,10,18)),ROW(Expenses!A$3:A$999)-2),2)),""),IF(IFERROR(INDEX(Income!B$3:B$502,SMALL(IF((Income!D$3:D$502="GBP")*(Income!A$3:A$502=DATE(2026,10,18)),ROW(Income!A$3:A$502)-2),2)),"")&lt;&gt;"",IFERROR(INDEX(Income!B$3:B$502,SMALL(IF((Income!D$3:D$502="GBP")*(Income!A$3:A$502=DATE(2026,10,18)),ROW(Income!A$3:A$502)-2),2)),""),""))</f>
        <v/>
      </c>
      <c r="Q210" s="9" t="n"/>
      <c r="R210" s="9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68">
      <c r="A211" s="9" t="n"/>
      <c r="B211" s="9" t="n"/>
      <c r="C211" s="152">
        <f t="array" ref="C211">IF(IFERROR(-INDEX(Expenses!D$3:D$999,SMALL(IF((Expenses!E$3:E$999="GBP")*(Expenses!A$3:A$999=DATE(2026,10,12)),ROW(Expenses!A$3:A$999)-2),3)),0)+IFERROR(INDEX(Income!C$3:C$502,SMALL(IF((Income!D$3:D$502="GBP")*(Income!A$3:A$502=DATE(2026,10,12)),ROW(Income!A$3:A$502)-2),3)),0)=0,"",IFERROR(-INDEX(Expenses!D$3:D$999,SMALL(IF((Expenses!E$3:E$999="GBP")*(Expenses!A$3:A$999=DATE(2026,10,12)),ROW(Expenses!A$3:A$999)-2),3)),0)+IFERROR(INDEX(Income!C$3:C$502,SMALL(IF((Income!D$3:D$502="GBP")*(Income!A$3:A$502=DATE(2026,10,12)),ROW(Income!A$3:A$502)-2),3)),0))</f>
        <v/>
      </c>
      <c r="D211" s="126">
        <f t="array" ref="D211">IF(IFERROR(INDEX(Expenses!B$3:B$999,SMALL(IF((Expenses!E$3:E$999="GBP")*(Expenses!A$3:A$999=DATE(2026,10,12)),ROW(Expenses!A$3:A$999)-2),3)),"")&lt;&gt;"",IFERROR(INDEX(Expenses!B$3:B$999,SMALL(IF((Expenses!E$3:E$999="GBP")*(Expenses!A$3:A$999=DATE(2026,10,12)),ROW(Expenses!A$3:A$999)-2),3)),""),IF(IFERROR(INDEX(Income!B$3:B$502,SMALL(IF((Income!D$3:D$502="GBP")*(Income!A$3:A$502=DATE(2026,10,12)),ROW(Income!A$3:A$502)-2),3)),"")&lt;&gt;"",IFERROR(INDEX(Income!B$3:B$502,SMALL(IF((Income!D$3:D$502="GBP")*(Income!A$3:A$502=DATE(2026,10,12)),ROW(Income!A$3:A$502)-2),3)),""),""))</f>
        <v/>
      </c>
      <c r="E211" s="152">
        <f t="array" ref="E211">IF(IFERROR(-INDEX(Expenses!D$3:D$999,SMALL(IF((Expenses!E$3:E$999="GBP")*(Expenses!A$3:A$999=DATE(2026,10,13)),ROW(Expenses!A$3:A$999)-2),3)),0)+IFERROR(INDEX(Income!C$3:C$502,SMALL(IF((Income!D$3:D$502="GBP")*(Income!A$3:A$502=DATE(2026,10,13)),ROW(Income!A$3:A$502)-2),3)),0)=0,"",IFERROR(-INDEX(Expenses!D$3:D$999,SMALL(IF((Expenses!E$3:E$999="GBP")*(Expenses!A$3:A$999=DATE(2026,10,13)),ROW(Expenses!A$3:A$999)-2),3)),0)+IFERROR(INDEX(Income!C$3:C$502,SMALL(IF((Income!D$3:D$502="GBP")*(Income!A$3:A$502=DATE(2026,10,13)),ROW(Income!A$3:A$502)-2),3)),0))</f>
        <v/>
      </c>
      <c r="F211" s="126">
        <f t="array" ref="F211">IF(IFERROR(INDEX(Expenses!B$3:B$999,SMALL(IF((Expenses!E$3:E$999="GBP")*(Expenses!A$3:A$999=DATE(2026,10,13)),ROW(Expenses!A$3:A$999)-2),3)),"")&lt;&gt;"",IFERROR(INDEX(Expenses!B$3:B$999,SMALL(IF((Expenses!E$3:E$999="GBP")*(Expenses!A$3:A$999=DATE(2026,10,13)),ROW(Expenses!A$3:A$999)-2),3)),""),IF(IFERROR(INDEX(Income!B$3:B$502,SMALL(IF((Income!D$3:D$502="GBP")*(Income!A$3:A$502=DATE(2026,10,13)),ROW(Income!A$3:A$502)-2),3)),"")&lt;&gt;"",IFERROR(INDEX(Income!B$3:B$502,SMALL(IF((Income!D$3:D$502="GBP")*(Income!A$3:A$502=DATE(2026,10,13)),ROW(Income!A$3:A$502)-2),3)),""),""))</f>
        <v/>
      </c>
      <c r="G211" s="152">
        <f t="array" ref="G211">IF(IFERROR(-INDEX(Expenses!D$3:D$999,SMALL(IF((Expenses!E$3:E$999="GBP")*(Expenses!A$3:A$999=DATE(2026,10,14)),ROW(Expenses!A$3:A$999)-2),3)),0)+IFERROR(INDEX(Income!C$3:C$502,SMALL(IF((Income!D$3:D$502="GBP")*(Income!A$3:A$502=DATE(2026,10,14)),ROW(Income!A$3:A$502)-2),3)),0)=0,"",IFERROR(-INDEX(Expenses!D$3:D$999,SMALL(IF((Expenses!E$3:E$999="GBP")*(Expenses!A$3:A$999=DATE(2026,10,14)),ROW(Expenses!A$3:A$999)-2),3)),0)+IFERROR(INDEX(Income!C$3:C$502,SMALL(IF((Income!D$3:D$502="GBP")*(Income!A$3:A$502=DATE(2026,10,14)),ROW(Income!A$3:A$502)-2),3)),0))</f>
        <v/>
      </c>
      <c r="H211" s="126">
        <f t="array" ref="H211">IF(IFERROR(INDEX(Expenses!B$3:B$999,SMALL(IF((Expenses!E$3:E$999="GBP")*(Expenses!A$3:A$999=DATE(2026,10,14)),ROW(Expenses!A$3:A$999)-2),3)),"")&lt;&gt;"",IFERROR(INDEX(Expenses!B$3:B$999,SMALL(IF((Expenses!E$3:E$999="GBP")*(Expenses!A$3:A$999=DATE(2026,10,14)),ROW(Expenses!A$3:A$999)-2),3)),""),IF(IFERROR(INDEX(Income!B$3:B$502,SMALL(IF((Income!D$3:D$502="GBP")*(Income!A$3:A$502=DATE(2026,10,14)),ROW(Income!A$3:A$502)-2),3)),"")&lt;&gt;"",IFERROR(INDEX(Income!B$3:B$502,SMALL(IF((Income!D$3:D$502="GBP")*(Income!A$3:A$502=DATE(2026,10,14)),ROW(Income!A$3:A$502)-2),3)),""),""))</f>
        <v/>
      </c>
      <c r="I211" s="152">
        <f t="array" ref="I211">IF(IFERROR(-INDEX(Expenses!D$3:D$999,SMALL(IF((Expenses!E$3:E$999="GBP")*(Expenses!A$3:A$999=DATE(2026,10,15)),ROW(Expenses!A$3:A$999)-2),3)),0)+IFERROR(INDEX(Income!C$3:C$502,SMALL(IF((Income!D$3:D$502="GBP")*(Income!A$3:A$502=DATE(2026,10,15)),ROW(Income!A$3:A$502)-2),3)),0)=0,"",IFERROR(-INDEX(Expenses!D$3:D$999,SMALL(IF((Expenses!E$3:E$999="GBP")*(Expenses!A$3:A$999=DATE(2026,10,15)),ROW(Expenses!A$3:A$999)-2),3)),0)+IFERROR(INDEX(Income!C$3:C$502,SMALL(IF((Income!D$3:D$502="GBP")*(Income!A$3:A$502=DATE(2026,10,15)),ROW(Income!A$3:A$502)-2),3)),0))</f>
        <v/>
      </c>
      <c r="J211" s="126">
        <f t="array" ref="J211">IF(IFERROR(INDEX(Expenses!B$3:B$999,SMALL(IF((Expenses!E$3:E$999="GBP")*(Expenses!A$3:A$999=DATE(2026,10,15)),ROW(Expenses!A$3:A$999)-2),3)),"")&lt;&gt;"",IFERROR(INDEX(Expenses!B$3:B$999,SMALL(IF((Expenses!E$3:E$999="GBP")*(Expenses!A$3:A$999=DATE(2026,10,15)),ROW(Expenses!A$3:A$999)-2),3)),""),IF(IFERROR(INDEX(Income!B$3:B$502,SMALL(IF((Income!D$3:D$502="GBP")*(Income!A$3:A$502=DATE(2026,10,15)),ROW(Income!A$3:A$502)-2),3)),"")&lt;&gt;"",IFERROR(INDEX(Income!B$3:B$502,SMALL(IF((Income!D$3:D$502="GBP")*(Income!A$3:A$502=DATE(2026,10,15)),ROW(Income!A$3:A$502)-2),3)),""),""))</f>
        <v/>
      </c>
      <c r="K211" s="152">
        <f t="array" ref="K211">IF(IFERROR(-INDEX(Expenses!D$3:D$999,SMALL(IF((Expenses!E$3:E$999="GBP")*(Expenses!A$3:A$999=DATE(2026,10,16)),ROW(Expenses!A$3:A$999)-2),3)),0)+IFERROR(INDEX(Income!C$3:C$502,SMALL(IF((Income!D$3:D$502="GBP")*(Income!A$3:A$502=DATE(2026,10,16)),ROW(Income!A$3:A$502)-2),3)),0)=0,"",IFERROR(-INDEX(Expenses!D$3:D$999,SMALL(IF((Expenses!E$3:E$999="GBP")*(Expenses!A$3:A$999=DATE(2026,10,16)),ROW(Expenses!A$3:A$999)-2),3)),0)+IFERROR(INDEX(Income!C$3:C$502,SMALL(IF((Income!D$3:D$502="GBP")*(Income!A$3:A$502=DATE(2026,10,16)),ROW(Income!A$3:A$502)-2),3)),0))</f>
        <v/>
      </c>
      <c r="L211" s="126">
        <f t="array" ref="L211">IF(IFERROR(INDEX(Expenses!B$3:B$999,SMALL(IF((Expenses!E$3:E$999="GBP")*(Expenses!A$3:A$999=DATE(2026,10,16)),ROW(Expenses!A$3:A$999)-2),3)),"")&lt;&gt;"",IFERROR(INDEX(Expenses!B$3:B$999,SMALL(IF((Expenses!E$3:E$999="GBP")*(Expenses!A$3:A$999=DATE(2026,10,16)),ROW(Expenses!A$3:A$999)-2),3)),""),IF(IFERROR(INDEX(Income!B$3:B$502,SMALL(IF((Income!D$3:D$502="GBP")*(Income!A$3:A$502=DATE(2026,10,16)),ROW(Income!A$3:A$502)-2),3)),"")&lt;&gt;"",IFERROR(INDEX(Income!B$3:B$502,SMALL(IF((Income!D$3:D$502="GBP")*(Income!A$3:A$502=DATE(2026,10,16)),ROW(Income!A$3:A$502)-2),3)),""),""))</f>
        <v/>
      </c>
      <c r="M211" s="152">
        <f t="array" ref="M211">IF(IFERROR(-INDEX(Expenses!D$3:D$999,SMALL(IF((Expenses!E$3:E$999="GBP")*(Expenses!A$3:A$999=DATE(2026,10,17)),ROW(Expenses!A$3:A$999)-2),3)),0)+IFERROR(INDEX(Income!C$3:C$502,SMALL(IF((Income!D$3:D$502="GBP")*(Income!A$3:A$502=DATE(2026,10,17)),ROW(Income!A$3:A$502)-2),3)),0)=0,"",IFERROR(-INDEX(Expenses!D$3:D$999,SMALL(IF((Expenses!E$3:E$999="GBP")*(Expenses!A$3:A$999=DATE(2026,10,17)),ROW(Expenses!A$3:A$999)-2),3)),0)+IFERROR(INDEX(Income!C$3:C$502,SMALL(IF((Income!D$3:D$502="GBP")*(Income!A$3:A$502=DATE(2026,10,17)),ROW(Income!A$3:A$502)-2),3)),0))</f>
        <v/>
      </c>
      <c r="N211" s="126">
        <f t="array" ref="N211">IF(IFERROR(INDEX(Expenses!B$3:B$999,SMALL(IF((Expenses!E$3:E$999="GBP")*(Expenses!A$3:A$999=DATE(2026,10,17)),ROW(Expenses!A$3:A$999)-2),3)),"")&lt;&gt;"",IFERROR(INDEX(Expenses!B$3:B$999,SMALL(IF((Expenses!E$3:E$999="GBP")*(Expenses!A$3:A$999=DATE(2026,10,17)),ROW(Expenses!A$3:A$999)-2),3)),""),IF(IFERROR(INDEX(Income!B$3:B$502,SMALL(IF((Income!D$3:D$502="GBP")*(Income!A$3:A$502=DATE(2026,10,17)),ROW(Income!A$3:A$502)-2),3)),"")&lt;&gt;"",IFERROR(INDEX(Income!B$3:B$502,SMALL(IF((Income!D$3:D$502="GBP")*(Income!A$3:A$502=DATE(2026,10,17)),ROW(Income!A$3:A$502)-2),3)),""),""))</f>
        <v/>
      </c>
      <c r="O211" s="152">
        <f t="array" ref="O211">IF(IFERROR(-INDEX(Expenses!D$3:D$999,SMALL(IF((Expenses!E$3:E$999="GBP")*(Expenses!A$3:A$999=DATE(2026,10,18)),ROW(Expenses!A$3:A$999)-2),3)),0)+IFERROR(INDEX(Income!C$3:C$502,SMALL(IF((Income!D$3:D$502="GBP")*(Income!A$3:A$502=DATE(2026,10,18)),ROW(Income!A$3:A$502)-2),3)),0)=0,"",IFERROR(-INDEX(Expenses!D$3:D$999,SMALL(IF((Expenses!E$3:E$999="GBP")*(Expenses!A$3:A$999=DATE(2026,10,18)),ROW(Expenses!A$3:A$999)-2),3)),0)+IFERROR(INDEX(Income!C$3:C$502,SMALL(IF((Income!D$3:D$502="GBP")*(Income!A$3:A$502=DATE(2026,10,18)),ROW(Income!A$3:A$502)-2),3)),0))</f>
        <v/>
      </c>
      <c r="P211" s="126">
        <f t="array" ref="P211">IF(IFERROR(INDEX(Expenses!B$3:B$999,SMALL(IF((Expenses!E$3:E$999="GBP")*(Expenses!A$3:A$999=DATE(2026,10,18)),ROW(Expenses!A$3:A$999)-2),3)),"")&lt;&gt;"",IFERROR(INDEX(Expenses!B$3:B$999,SMALL(IF((Expenses!E$3:E$999="GBP")*(Expenses!A$3:A$999=DATE(2026,10,18)),ROW(Expenses!A$3:A$999)-2),3)),""),IF(IFERROR(INDEX(Income!B$3:B$502,SMALL(IF((Income!D$3:D$502="GBP")*(Income!A$3:A$502=DATE(2026,10,18)),ROW(Income!A$3:A$502)-2),3)),"")&lt;&gt;"",IFERROR(INDEX(Income!B$3:B$502,SMALL(IF((Income!D$3:D$502="GBP")*(Income!A$3:A$502=DATE(2026,10,18)),ROW(Income!A$3:A$502)-2),3)),""),""))</f>
        <v/>
      </c>
      <c r="Q211" s="9" t="n"/>
      <c r="R211" s="9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68">
      <c r="A212" s="9" t="n"/>
      <c r="B212" s="9" t="n"/>
      <c r="C212" s="152">
        <f t="array" ref="C212">IF(IFERROR(-INDEX(Expenses!D$3:D$999,SMALL(IF((Expenses!E$3:E$999="GBP")*(Expenses!A$3:A$999=DATE(2026,10,12)),ROW(Expenses!A$3:A$999)-2),4)),0)+IFERROR(INDEX(Income!C$3:C$502,SMALL(IF((Income!D$3:D$502="GBP")*(Income!A$3:A$502=DATE(2026,10,12)),ROW(Income!A$3:A$502)-2),4)),0)=0,"",IFERROR(-INDEX(Expenses!D$3:D$999,SMALL(IF((Expenses!E$3:E$999="GBP")*(Expenses!A$3:A$999=DATE(2026,10,12)),ROW(Expenses!A$3:A$999)-2),4)),0)+IFERROR(INDEX(Income!C$3:C$502,SMALL(IF((Income!D$3:D$502="GBP")*(Income!A$3:A$502=DATE(2026,10,12)),ROW(Income!A$3:A$502)-2),4)),0))</f>
        <v/>
      </c>
      <c r="D212" s="126">
        <f t="array" ref="D212">IF(IFERROR(INDEX(Expenses!B$3:B$999,SMALL(IF((Expenses!E$3:E$999="GBP")*(Expenses!A$3:A$999=DATE(2026,10,12)),ROW(Expenses!A$3:A$999)-2),4)),"")&lt;&gt;"",IFERROR(INDEX(Expenses!B$3:B$999,SMALL(IF((Expenses!E$3:E$999="GBP")*(Expenses!A$3:A$999=DATE(2026,10,12)),ROW(Expenses!A$3:A$999)-2),4)),""),IF(IFERROR(INDEX(Income!B$3:B$502,SMALL(IF((Income!D$3:D$502="GBP")*(Income!A$3:A$502=DATE(2026,10,12)),ROW(Income!A$3:A$502)-2),4)),"")&lt;&gt;"",IFERROR(INDEX(Income!B$3:B$502,SMALL(IF((Income!D$3:D$502="GBP")*(Income!A$3:A$502=DATE(2026,10,12)),ROW(Income!A$3:A$502)-2),4)),""),""))</f>
        <v/>
      </c>
      <c r="E212" s="152">
        <f t="array" ref="E212">IF(IFERROR(-INDEX(Expenses!D$3:D$999,SMALL(IF((Expenses!E$3:E$999="GBP")*(Expenses!A$3:A$999=DATE(2026,10,13)),ROW(Expenses!A$3:A$999)-2),4)),0)+IFERROR(INDEX(Income!C$3:C$502,SMALL(IF((Income!D$3:D$502="GBP")*(Income!A$3:A$502=DATE(2026,10,13)),ROW(Income!A$3:A$502)-2),4)),0)=0,"",IFERROR(-INDEX(Expenses!D$3:D$999,SMALL(IF((Expenses!E$3:E$999="GBP")*(Expenses!A$3:A$999=DATE(2026,10,13)),ROW(Expenses!A$3:A$999)-2),4)),0)+IFERROR(INDEX(Income!C$3:C$502,SMALL(IF((Income!D$3:D$502="GBP")*(Income!A$3:A$502=DATE(2026,10,13)),ROW(Income!A$3:A$502)-2),4)),0))</f>
        <v/>
      </c>
      <c r="F212" s="126">
        <f t="array" ref="F212">IF(IFERROR(INDEX(Expenses!B$3:B$999,SMALL(IF((Expenses!E$3:E$999="GBP")*(Expenses!A$3:A$999=DATE(2026,10,13)),ROW(Expenses!A$3:A$999)-2),4)),"")&lt;&gt;"",IFERROR(INDEX(Expenses!B$3:B$999,SMALL(IF((Expenses!E$3:E$999="GBP")*(Expenses!A$3:A$999=DATE(2026,10,13)),ROW(Expenses!A$3:A$999)-2),4)),""),IF(IFERROR(INDEX(Income!B$3:B$502,SMALL(IF((Income!D$3:D$502="GBP")*(Income!A$3:A$502=DATE(2026,10,13)),ROW(Income!A$3:A$502)-2),4)),"")&lt;&gt;"",IFERROR(INDEX(Income!B$3:B$502,SMALL(IF((Income!D$3:D$502="GBP")*(Income!A$3:A$502=DATE(2026,10,13)),ROW(Income!A$3:A$502)-2),4)),""),""))</f>
        <v/>
      </c>
      <c r="G212" s="152">
        <f t="array" ref="G212">IF(IFERROR(-INDEX(Expenses!D$3:D$999,SMALL(IF((Expenses!E$3:E$999="GBP")*(Expenses!A$3:A$999=DATE(2026,10,14)),ROW(Expenses!A$3:A$999)-2),4)),0)+IFERROR(INDEX(Income!C$3:C$502,SMALL(IF((Income!D$3:D$502="GBP")*(Income!A$3:A$502=DATE(2026,10,14)),ROW(Income!A$3:A$502)-2),4)),0)=0,"",IFERROR(-INDEX(Expenses!D$3:D$999,SMALL(IF((Expenses!E$3:E$999="GBP")*(Expenses!A$3:A$999=DATE(2026,10,14)),ROW(Expenses!A$3:A$999)-2),4)),0)+IFERROR(INDEX(Income!C$3:C$502,SMALL(IF((Income!D$3:D$502="GBP")*(Income!A$3:A$502=DATE(2026,10,14)),ROW(Income!A$3:A$502)-2),4)),0))</f>
        <v/>
      </c>
      <c r="H212" s="126">
        <f t="array" ref="H212">IF(IFERROR(INDEX(Expenses!B$3:B$999,SMALL(IF((Expenses!E$3:E$999="GBP")*(Expenses!A$3:A$999=DATE(2026,10,14)),ROW(Expenses!A$3:A$999)-2),4)),"")&lt;&gt;"",IFERROR(INDEX(Expenses!B$3:B$999,SMALL(IF((Expenses!E$3:E$999="GBP")*(Expenses!A$3:A$999=DATE(2026,10,14)),ROW(Expenses!A$3:A$999)-2),4)),""),IF(IFERROR(INDEX(Income!B$3:B$502,SMALL(IF((Income!D$3:D$502="GBP")*(Income!A$3:A$502=DATE(2026,10,14)),ROW(Income!A$3:A$502)-2),4)),"")&lt;&gt;"",IFERROR(INDEX(Income!B$3:B$502,SMALL(IF((Income!D$3:D$502="GBP")*(Income!A$3:A$502=DATE(2026,10,14)),ROW(Income!A$3:A$502)-2),4)),""),""))</f>
        <v/>
      </c>
      <c r="I212" s="152">
        <f t="array" ref="I212">IF(IFERROR(-INDEX(Expenses!D$3:D$999,SMALL(IF((Expenses!E$3:E$999="GBP")*(Expenses!A$3:A$999=DATE(2026,10,15)),ROW(Expenses!A$3:A$999)-2),4)),0)+IFERROR(INDEX(Income!C$3:C$502,SMALL(IF((Income!D$3:D$502="GBP")*(Income!A$3:A$502=DATE(2026,10,15)),ROW(Income!A$3:A$502)-2),4)),0)=0,"",IFERROR(-INDEX(Expenses!D$3:D$999,SMALL(IF((Expenses!E$3:E$999="GBP")*(Expenses!A$3:A$999=DATE(2026,10,15)),ROW(Expenses!A$3:A$999)-2),4)),0)+IFERROR(INDEX(Income!C$3:C$502,SMALL(IF((Income!D$3:D$502="GBP")*(Income!A$3:A$502=DATE(2026,10,15)),ROW(Income!A$3:A$502)-2),4)),0))</f>
        <v/>
      </c>
      <c r="J212" s="126">
        <f t="array" ref="J212">IF(IFERROR(INDEX(Expenses!B$3:B$999,SMALL(IF((Expenses!E$3:E$999="GBP")*(Expenses!A$3:A$999=DATE(2026,10,15)),ROW(Expenses!A$3:A$999)-2),4)),"")&lt;&gt;"",IFERROR(INDEX(Expenses!B$3:B$999,SMALL(IF((Expenses!E$3:E$999="GBP")*(Expenses!A$3:A$999=DATE(2026,10,15)),ROW(Expenses!A$3:A$999)-2),4)),""),IF(IFERROR(INDEX(Income!B$3:B$502,SMALL(IF((Income!D$3:D$502="GBP")*(Income!A$3:A$502=DATE(2026,10,15)),ROW(Income!A$3:A$502)-2),4)),"")&lt;&gt;"",IFERROR(INDEX(Income!B$3:B$502,SMALL(IF((Income!D$3:D$502="GBP")*(Income!A$3:A$502=DATE(2026,10,15)),ROW(Income!A$3:A$502)-2),4)),""),""))</f>
        <v/>
      </c>
      <c r="K212" s="152">
        <f t="array" ref="K212">IF(IFERROR(-INDEX(Expenses!D$3:D$999,SMALL(IF((Expenses!E$3:E$999="GBP")*(Expenses!A$3:A$999=DATE(2026,10,16)),ROW(Expenses!A$3:A$999)-2),4)),0)+IFERROR(INDEX(Income!C$3:C$502,SMALL(IF((Income!D$3:D$502="GBP")*(Income!A$3:A$502=DATE(2026,10,16)),ROW(Income!A$3:A$502)-2),4)),0)=0,"",IFERROR(-INDEX(Expenses!D$3:D$999,SMALL(IF((Expenses!E$3:E$999="GBP")*(Expenses!A$3:A$999=DATE(2026,10,16)),ROW(Expenses!A$3:A$999)-2),4)),0)+IFERROR(INDEX(Income!C$3:C$502,SMALL(IF((Income!D$3:D$502="GBP")*(Income!A$3:A$502=DATE(2026,10,16)),ROW(Income!A$3:A$502)-2),4)),0))</f>
        <v/>
      </c>
      <c r="L212" s="126">
        <f t="array" ref="L212">IF(IFERROR(INDEX(Expenses!B$3:B$999,SMALL(IF((Expenses!E$3:E$999="GBP")*(Expenses!A$3:A$999=DATE(2026,10,16)),ROW(Expenses!A$3:A$999)-2),4)),"")&lt;&gt;"",IFERROR(INDEX(Expenses!B$3:B$999,SMALL(IF((Expenses!E$3:E$999="GBP")*(Expenses!A$3:A$999=DATE(2026,10,16)),ROW(Expenses!A$3:A$999)-2),4)),""),IF(IFERROR(INDEX(Income!B$3:B$502,SMALL(IF((Income!D$3:D$502="GBP")*(Income!A$3:A$502=DATE(2026,10,16)),ROW(Income!A$3:A$502)-2),4)),"")&lt;&gt;"",IFERROR(INDEX(Income!B$3:B$502,SMALL(IF((Income!D$3:D$502="GBP")*(Income!A$3:A$502=DATE(2026,10,16)),ROW(Income!A$3:A$502)-2),4)),""),""))</f>
        <v/>
      </c>
      <c r="M212" s="152">
        <f t="array" ref="M212">IF(IFERROR(-INDEX(Expenses!D$3:D$999,SMALL(IF((Expenses!E$3:E$999="GBP")*(Expenses!A$3:A$999=DATE(2026,10,17)),ROW(Expenses!A$3:A$999)-2),4)),0)+IFERROR(INDEX(Income!C$3:C$502,SMALL(IF((Income!D$3:D$502="GBP")*(Income!A$3:A$502=DATE(2026,10,17)),ROW(Income!A$3:A$502)-2),4)),0)=0,"",IFERROR(-INDEX(Expenses!D$3:D$999,SMALL(IF((Expenses!E$3:E$999="GBP")*(Expenses!A$3:A$999=DATE(2026,10,17)),ROW(Expenses!A$3:A$999)-2),4)),0)+IFERROR(INDEX(Income!C$3:C$502,SMALL(IF((Income!D$3:D$502="GBP")*(Income!A$3:A$502=DATE(2026,10,17)),ROW(Income!A$3:A$502)-2),4)),0))</f>
        <v/>
      </c>
      <c r="N212" s="126">
        <f t="array" ref="N212">IF(IFERROR(INDEX(Expenses!B$3:B$999,SMALL(IF((Expenses!E$3:E$999="GBP")*(Expenses!A$3:A$999=DATE(2026,10,17)),ROW(Expenses!A$3:A$999)-2),4)),"")&lt;&gt;"",IFERROR(INDEX(Expenses!B$3:B$999,SMALL(IF((Expenses!E$3:E$999="GBP")*(Expenses!A$3:A$999=DATE(2026,10,17)),ROW(Expenses!A$3:A$999)-2),4)),""),IF(IFERROR(INDEX(Income!B$3:B$502,SMALL(IF((Income!D$3:D$502="GBP")*(Income!A$3:A$502=DATE(2026,10,17)),ROW(Income!A$3:A$502)-2),4)),"")&lt;&gt;"",IFERROR(INDEX(Income!B$3:B$502,SMALL(IF((Income!D$3:D$502="GBP")*(Income!A$3:A$502=DATE(2026,10,17)),ROW(Income!A$3:A$502)-2),4)),""),""))</f>
        <v/>
      </c>
      <c r="O212" s="152">
        <f t="array" ref="O212">IF(IFERROR(-INDEX(Expenses!D$3:D$999,SMALL(IF((Expenses!E$3:E$999="GBP")*(Expenses!A$3:A$999=DATE(2026,10,18)),ROW(Expenses!A$3:A$999)-2),4)),0)+IFERROR(INDEX(Income!C$3:C$502,SMALL(IF((Income!D$3:D$502="GBP")*(Income!A$3:A$502=DATE(2026,10,18)),ROW(Income!A$3:A$502)-2),4)),0)=0,"",IFERROR(-INDEX(Expenses!D$3:D$999,SMALL(IF((Expenses!E$3:E$999="GBP")*(Expenses!A$3:A$999=DATE(2026,10,18)),ROW(Expenses!A$3:A$999)-2),4)),0)+IFERROR(INDEX(Income!C$3:C$502,SMALL(IF((Income!D$3:D$502="GBP")*(Income!A$3:A$502=DATE(2026,10,18)),ROW(Income!A$3:A$502)-2),4)),0))</f>
        <v/>
      </c>
      <c r="P212" s="126">
        <f t="array" ref="P212">IF(IFERROR(INDEX(Expenses!B$3:B$999,SMALL(IF((Expenses!E$3:E$999="GBP")*(Expenses!A$3:A$999=DATE(2026,10,18)),ROW(Expenses!A$3:A$999)-2),4)),"")&lt;&gt;"",IFERROR(INDEX(Expenses!B$3:B$999,SMALL(IF((Expenses!E$3:E$999="GBP")*(Expenses!A$3:A$999=DATE(2026,10,18)),ROW(Expenses!A$3:A$999)-2),4)),""),IF(IFERROR(INDEX(Income!B$3:B$502,SMALL(IF((Income!D$3:D$502="GBP")*(Income!A$3:A$502=DATE(2026,10,18)),ROW(Income!A$3:A$502)-2),4)),"")&lt;&gt;"",IFERROR(INDEX(Income!B$3:B$502,SMALL(IF((Income!D$3:D$502="GBP")*(Income!A$3:A$502=DATE(2026,10,18)),ROW(Income!A$3:A$502)-2),4)),""),""))</f>
        <v/>
      </c>
      <c r="Q212" s="9" t="n"/>
      <c r="R212" s="9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68">
      <c r="A213" s="9" t="n"/>
      <c r="B213" s="9" t="n"/>
      <c r="C213" s="152">
        <f t="array" ref="C213">IF(IFERROR(-INDEX(Expenses!D$3:D$999,SMALL(IF((Expenses!E$3:E$999="GBP")*(Expenses!A$3:A$999=DATE(2026,10,12)),ROW(Expenses!A$3:A$999)-2),5)),0)+IFERROR(INDEX(Income!C$3:C$502,SMALL(IF((Income!D$3:D$502="GBP")*(Income!A$3:A$502=DATE(2026,10,12)),ROW(Income!A$3:A$502)-2),5)),0)=0,"",IFERROR(-INDEX(Expenses!D$3:D$999,SMALL(IF((Expenses!E$3:E$999="GBP")*(Expenses!A$3:A$999=DATE(2026,10,12)),ROW(Expenses!A$3:A$999)-2),5)),0)+IFERROR(INDEX(Income!C$3:C$502,SMALL(IF((Income!D$3:D$502="GBP")*(Income!A$3:A$502=DATE(2026,10,12)),ROW(Income!A$3:A$502)-2),5)),0))</f>
        <v/>
      </c>
      <c r="D213" s="126">
        <f t="array" ref="D213">IF(IFERROR(INDEX(Expenses!B$3:B$999,SMALL(IF((Expenses!E$3:E$999="GBP")*(Expenses!A$3:A$999=DATE(2026,10,12)),ROW(Expenses!A$3:A$999)-2),5)),"")&lt;&gt;"",IFERROR(INDEX(Expenses!B$3:B$999,SMALL(IF((Expenses!E$3:E$999="GBP")*(Expenses!A$3:A$999=DATE(2026,10,12)),ROW(Expenses!A$3:A$999)-2),5)),""),IF(IFERROR(INDEX(Income!B$3:B$502,SMALL(IF((Income!D$3:D$502="GBP")*(Income!A$3:A$502=DATE(2026,10,12)),ROW(Income!A$3:A$502)-2),5)),"")&lt;&gt;"",IFERROR(INDEX(Income!B$3:B$502,SMALL(IF((Income!D$3:D$502="GBP")*(Income!A$3:A$502=DATE(2026,10,12)),ROW(Income!A$3:A$502)-2),5)),""),""))</f>
        <v/>
      </c>
      <c r="E213" s="152">
        <f t="array" ref="E213">IF(IFERROR(-INDEX(Expenses!D$3:D$999,SMALL(IF((Expenses!E$3:E$999="GBP")*(Expenses!A$3:A$999=DATE(2026,10,13)),ROW(Expenses!A$3:A$999)-2),5)),0)+IFERROR(INDEX(Income!C$3:C$502,SMALL(IF((Income!D$3:D$502="GBP")*(Income!A$3:A$502=DATE(2026,10,13)),ROW(Income!A$3:A$502)-2),5)),0)=0,"",IFERROR(-INDEX(Expenses!D$3:D$999,SMALL(IF((Expenses!E$3:E$999="GBP")*(Expenses!A$3:A$999=DATE(2026,10,13)),ROW(Expenses!A$3:A$999)-2),5)),0)+IFERROR(INDEX(Income!C$3:C$502,SMALL(IF((Income!D$3:D$502="GBP")*(Income!A$3:A$502=DATE(2026,10,13)),ROW(Income!A$3:A$502)-2),5)),0))</f>
        <v/>
      </c>
      <c r="F213" s="126">
        <f t="array" ref="F213">IF(IFERROR(INDEX(Expenses!B$3:B$999,SMALL(IF((Expenses!E$3:E$999="GBP")*(Expenses!A$3:A$999=DATE(2026,10,13)),ROW(Expenses!A$3:A$999)-2),5)),"")&lt;&gt;"",IFERROR(INDEX(Expenses!B$3:B$999,SMALL(IF((Expenses!E$3:E$999="GBP")*(Expenses!A$3:A$999=DATE(2026,10,13)),ROW(Expenses!A$3:A$999)-2),5)),""),IF(IFERROR(INDEX(Income!B$3:B$502,SMALL(IF((Income!D$3:D$502="GBP")*(Income!A$3:A$502=DATE(2026,10,13)),ROW(Income!A$3:A$502)-2),5)),"")&lt;&gt;"",IFERROR(INDEX(Income!B$3:B$502,SMALL(IF((Income!D$3:D$502="GBP")*(Income!A$3:A$502=DATE(2026,10,13)),ROW(Income!A$3:A$502)-2),5)),""),""))</f>
        <v/>
      </c>
      <c r="G213" s="152">
        <f t="array" ref="G213">IF(IFERROR(-INDEX(Expenses!D$3:D$999,SMALL(IF((Expenses!E$3:E$999="GBP")*(Expenses!A$3:A$999=DATE(2026,10,14)),ROW(Expenses!A$3:A$999)-2),5)),0)+IFERROR(INDEX(Income!C$3:C$502,SMALL(IF((Income!D$3:D$502="GBP")*(Income!A$3:A$502=DATE(2026,10,14)),ROW(Income!A$3:A$502)-2),5)),0)=0,"",IFERROR(-INDEX(Expenses!D$3:D$999,SMALL(IF((Expenses!E$3:E$999="GBP")*(Expenses!A$3:A$999=DATE(2026,10,14)),ROW(Expenses!A$3:A$999)-2),5)),0)+IFERROR(INDEX(Income!C$3:C$502,SMALL(IF((Income!D$3:D$502="GBP")*(Income!A$3:A$502=DATE(2026,10,14)),ROW(Income!A$3:A$502)-2),5)),0))</f>
        <v/>
      </c>
      <c r="H213" s="126">
        <f t="array" ref="H213">IF(IFERROR(INDEX(Expenses!B$3:B$999,SMALL(IF((Expenses!E$3:E$999="GBP")*(Expenses!A$3:A$999=DATE(2026,10,14)),ROW(Expenses!A$3:A$999)-2),5)),"")&lt;&gt;"",IFERROR(INDEX(Expenses!B$3:B$999,SMALL(IF((Expenses!E$3:E$999="GBP")*(Expenses!A$3:A$999=DATE(2026,10,14)),ROW(Expenses!A$3:A$999)-2),5)),""),IF(IFERROR(INDEX(Income!B$3:B$502,SMALL(IF((Income!D$3:D$502="GBP")*(Income!A$3:A$502=DATE(2026,10,14)),ROW(Income!A$3:A$502)-2),5)),"")&lt;&gt;"",IFERROR(INDEX(Income!B$3:B$502,SMALL(IF((Income!D$3:D$502="GBP")*(Income!A$3:A$502=DATE(2026,10,14)),ROW(Income!A$3:A$502)-2),5)),""),""))</f>
        <v/>
      </c>
      <c r="I213" s="152">
        <f t="array" ref="I213">IF(IFERROR(-INDEX(Expenses!D$3:D$999,SMALL(IF((Expenses!E$3:E$999="GBP")*(Expenses!A$3:A$999=DATE(2026,10,15)),ROW(Expenses!A$3:A$999)-2),5)),0)+IFERROR(INDEX(Income!C$3:C$502,SMALL(IF((Income!D$3:D$502="GBP")*(Income!A$3:A$502=DATE(2026,10,15)),ROW(Income!A$3:A$502)-2),5)),0)=0,"",IFERROR(-INDEX(Expenses!D$3:D$999,SMALL(IF((Expenses!E$3:E$999="GBP")*(Expenses!A$3:A$999=DATE(2026,10,15)),ROW(Expenses!A$3:A$999)-2),5)),0)+IFERROR(INDEX(Income!C$3:C$502,SMALL(IF((Income!D$3:D$502="GBP")*(Income!A$3:A$502=DATE(2026,10,15)),ROW(Income!A$3:A$502)-2),5)),0))</f>
        <v/>
      </c>
      <c r="J213" s="126">
        <f t="array" ref="J213">IF(IFERROR(INDEX(Expenses!B$3:B$999,SMALL(IF((Expenses!E$3:E$999="GBP")*(Expenses!A$3:A$999=DATE(2026,10,15)),ROW(Expenses!A$3:A$999)-2),5)),"")&lt;&gt;"",IFERROR(INDEX(Expenses!B$3:B$999,SMALL(IF((Expenses!E$3:E$999="GBP")*(Expenses!A$3:A$999=DATE(2026,10,15)),ROW(Expenses!A$3:A$999)-2),5)),""),IF(IFERROR(INDEX(Income!B$3:B$502,SMALL(IF((Income!D$3:D$502="GBP")*(Income!A$3:A$502=DATE(2026,10,15)),ROW(Income!A$3:A$502)-2),5)),"")&lt;&gt;"",IFERROR(INDEX(Income!B$3:B$502,SMALL(IF((Income!D$3:D$502="GBP")*(Income!A$3:A$502=DATE(2026,10,15)),ROW(Income!A$3:A$502)-2),5)),""),""))</f>
        <v/>
      </c>
      <c r="K213" s="152">
        <f t="array" ref="K213">IF(IFERROR(-INDEX(Expenses!D$3:D$999,SMALL(IF((Expenses!E$3:E$999="GBP")*(Expenses!A$3:A$999=DATE(2026,10,16)),ROW(Expenses!A$3:A$999)-2),5)),0)+IFERROR(INDEX(Income!C$3:C$502,SMALL(IF((Income!D$3:D$502="GBP")*(Income!A$3:A$502=DATE(2026,10,16)),ROW(Income!A$3:A$502)-2),5)),0)=0,"",IFERROR(-INDEX(Expenses!D$3:D$999,SMALL(IF((Expenses!E$3:E$999="GBP")*(Expenses!A$3:A$999=DATE(2026,10,16)),ROW(Expenses!A$3:A$999)-2),5)),0)+IFERROR(INDEX(Income!C$3:C$502,SMALL(IF((Income!D$3:D$502="GBP")*(Income!A$3:A$502=DATE(2026,10,16)),ROW(Income!A$3:A$502)-2),5)),0))</f>
        <v/>
      </c>
      <c r="L213" s="126">
        <f t="array" ref="L213">IF(IFERROR(INDEX(Expenses!B$3:B$999,SMALL(IF((Expenses!E$3:E$999="GBP")*(Expenses!A$3:A$999=DATE(2026,10,16)),ROW(Expenses!A$3:A$999)-2),5)),"")&lt;&gt;"",IFERROR(INDEX(Expenses!B$3:B$999,SMALL(IF((Expenses!E$3:E$999="GBP")*(Expenses!A$3:A$999=DATE(2026,10,16)),ROW(Expenses!A$3:A$999)-2),5)),""),IF(IFERROR(INDEX(Income!B$3:B$502,SMALL(IF((Income!D$3:D$502="GBP")*(Income!A$3:A$502=DATE(2026,10,16)),ROW(Income!A$3:A$502)-2),5)),"")&lt;&gt;"",IFERROR(INDEX(Income!B$3:B$502,SMALL(IF((Income!D$3:D$502="GBP")*(Income!A$3:A$502=DATE(2026,10,16)),ROW(Income!A$3:A$502)-2),5)),""),""))</f>
        <v/>
      </c>
      <c r="M213" s="152">
        <f t="array" ref="M213">IF(IFERROR(-INDEX(Expenses!D$3:D$999,SMALL(IF((Expenses!E$3:E$999="GBP")*(Expenses!A$3:A$999=DATE(2026,10,17)),ROW(Expenses!A$3:A$999)-2),5)),0)+IFERROR(INDEX(Income!C$3:C$502,SMALL(IF((Income!D$3:D$502="GBP")*(Income!A$3:A$502=DATE(2026,10,17)),ROW(Income!A$3:A$502)-2),5)),0)=0,"",IFERROR(-INDEX(Expenses!D$3:D$999,SMALL(IF((Expenses!E$3:E$999="GBP")*(Expenses!A$3:A$999=DATE(2026,10,17)),ROW(Expenses!A$3:A$999)-2),5)),0)+IFERROR(INDEX(Income!C$3:C$502,SMALL(IF((Income!D$3:D$502="GBP")*(Income!A$3:A$502=DATE(2026,10,17)),ROW(Income!A$3:A$502)-2),5)),0))</f>
        <v/>
      </c>
      <c r="N213" s="126">
        <f t="array" ref="N213">IF(IFERROR(INDEX(Expenses!B$3:B$999,SMALL(IF((Expenses!E$3:E$999="GBP")*(Expenses!A$3:A$999=DATE(2026,10,17)),ROW(Expenses!A$3:A$999)-2),5)),"")&lt;&gt;"",IFERROR(INDEX(Expenses!B$3:B$999,SMALL(IF((Expenses!E$3:E$999="GBP")*(Expenses!A$3:A$999=DATE(2026,10,17)),ROW(Expenses!A$3:A$999)-2),5)),""),IF(IFERROR(INDEX(Income!B$3:B$502,SMALL(IF((Income!D$3:D$502="GBP")*(Income!A$3:A$502=DATE(2026,10,17)),ROW(Income!A$3:A$502)-2),5)),"")&lt;&gt;"",IFERROR(INDEX(Income!B$3:B$502,SMALL(IF((Income!D$3:D$502="GBP")*(Income!A$3:A$502=DATE(2026,10,17)),ROW(Income!A$3:A$502)-2),5)),""),""))</f>
        <v/>
      </c>
      <c r="O213" s="152">
        <f t="array" ref="O213">IF(IFERROR(-INDEX(Expenses!D$3:D$999,SMALL(IF((Expenses!E$3:E$999="GBP")*(Expenses!A$3:A$999=DATE(2026,10,18)),ROW(Expenses!A$3:A$999)-2),5)),0)+IFERROR(INDEX(Income!C$3:C$502,SMALL(IF((Income!D$3:D$502="GBP")*(Income!A$3:A$502=DATE(2026,10,18)),ROW(Income!A$3:A$502)-2),5)),0)=0,"",IFERROR(-INDEX(Expenses!D$3:D$999,SMALL(IF((Expenses!E$3:E$999="GBP")*(Expenses!A$3:A$999=DATE(2026,10,18)),ROW(Expenses!A$3:A$999)-2),5)),0)+IFERROR(INDEX(Income!C$3:C$502,SMALL(IF((Income!D$3:D$502="GBP")*(Income!A$3:A$502=DATE(2026,10,18)),ROW(Income!A$3:A$502)-2),5)),0))</f>
        <v/>
      </c>
      <c r="P213" s="126">
        <f t="array" ref="P213">IF(IFERROR(INDEX(Expenses!B$3:B$999,SMALL(IF((Expenses!E$3:E$999="GBP")*(Expenses!A$3:A$999=DATE(2026,10,18)),ROW(Expenses!A$3:A$999)-2),5)),"")&lt;&gt;"",IFERROR(INDEX(Expenses!B$3:B$999,SMALL(IF((Expenses!E$3:E$999="GBP")*(Expenses!A$3:A$999=DATE(2026,10,18)),ROW(Expenses!A$3:A$999)-2),5)),""),IF(IFERROR(INDEX(Income!B$3:B$502,SMALL(IF((Income!D$3:D$502="GBP")*(Income!A$3:A$502=DATE(2026,10,18)),ROW(Income!A$3:A$502)-2),5)),"")&lt;&gt;"",IFERROR(INDEX(Income!B$3:B$502,SMALL(IF((Income!D$3:D$502="GBP")*(Income!A$3:A$502=DATE(2026,10,18)),ROW(Income!A$3:A$502)-2),5)),""),""))</f>
        <v/>
      </c>
      <c r="Q213" s="9" t="n"/>
      <c r="R213" s="9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68">
      <c r="A214" s="151" t="n">
        <v>46314</v>
      </c>
      <c r="B214" s="103" t="n">
        <v>43</v>
      </c>
      <c r="C214" s="152">
        <f t="array" ref="C214">IF(IFERROR(-INDEX(Expenses!D$3:D$999,SMALL(IF((Expenses!E$3:E$999="GBP")*(Expenses!A$3:A$999=DATE(2026,10,19)),ROW(Expenses!A$3:A$999)-2),1)),0)+IFERROR(INDEX(Income!C$3:C$502,SMALL(IF((Income!D$3:D$502="GBP")*(Income!A$3:A$502=DATE(2026,10,19)),ROW(Income!A$3:A$502)-2),1)),0)=0,"",IFERROR(-INDEX(Expenses!D$3:D$999,SMALL(IF((Expenses!E$3:E$999="GBP")*(Expenses!A$3:A$999=DATE(2026,10,19)),ROW(Expenses!A$3:A$999)-2),1)),0)+IFERROR(INDEX(Income!C$3:C$502,SMALL(IF((Income!D$3:D$502="GBP")*(Income!A$3:A$502=DATE(2026,10,19)),ROW(Income!A$3:A$502)-2),1)),0))</f>
        <v/>
      </c>
      <c r="D214" s="126">
        <f t="array" ref="D214">IF(IFERROR(INDEX(Expenses!B$3:B$999,SMALL(IF((Expenses!E$3:E$999="GBP")*(Expenses!A$3:A$999=DATE(2026,10,19)),ROW(Expenses!A$3:A$999)-2),1)),"")&lt;&gt;"",IFERROR(INDEX(Expenses!B$3:B$999,SMALL(IF((Expenses!E$3:E$999="GBP")*(Expenses!A$3:A$999=DATE(2026,10,19)),ROW(Expenses!A$3:A$999)-2),1)),""),IF(IFERROR(INDEX(Income!B$3:B$502,SMALL(IF((Income!D$3:D$502="GBP")*(Income!A$3:A$502=DATE(2026,10,19)),ROW(Income!A$3:A$502)-2),1)),"")&lt;&gt;"",IFERROR(INDEX(Income!B$3:B$502,SMALL(IF((Income!D$3:D$502="GBP")*(Income!A$3:A$502=DATE(2026,10,19)),ROW(Income!A$3:A$502)-2),1)),""),""))</f>
        <v/>
      </c>
      <c r="E214" s="152">
        <f t="array" ref="E214">IF(IFERROR(-INDEX(Expenses!D$3:D$999,SMALL(IF((Expenses!E$3:E$999="GBP")*(Expenses!A$3:A$999=DATE(2026,10,20)),ROW(Expenses!A$3:A$999)-2),1)),0)+IFERROR(INDEX(Income!C$3:C$502,SMALL(IF((Income!D$3:D$502="GBP")*(Income!A$3:A$502=DATE(2026,10,20)),ROW(Income!A$3:A$502)-2),1)),0)=0,"",IFERROR(-INDEX(Expenses!D$3:D$999,SMALL(IF((Expenses!E$3:E$999="GBP")*(Expenses!A$3:A$999=DATE(2026,10,20)),ROW(Expenses!A$3:A$999)-2),1)),0)+IFERROR(INDEX(Income!C$3:C$502,SMALL(IF((Income!D$3:D$502="GBP")*(Income!A$3:A$502=DATE(2026,10,20)),ROW(Income!A$3:A$502)-2),1)),0))</f>
        <v/>
      </c>
      <c r="F214" s="126">
        <f t="array" ref="F214">IF(IFERROR(INDEX(Expenses!B$3:B$999,SMALL(IF((Expenses!E$3:E$999="GBP")*(Expenses!A$3:A$999=DATE(2026,10,20)),ROW(Expenses!A$3:A$999)-2),1)),"")&lt;&gt;"",IFERROR(INDEX(Expenses!B$3:B$999,SMALL(IF((Expenses!E$3:E$999="GBP")*(Expenses!A$3:A$999=DATE(2026,10,20)),ROW(Expenses!A$3:A$999)-2),1)),""),IF(IFERROR(INDEX(Income!B$3:B$502,SMALL(IF((Income!D$3:D$502="GBP")*(Income!A$3:A$502=DATE(2026,10,20)),ROW(Income!A$3:A$502)-2),1)),"")&lt;&gt;"",IFERROR(INDEX(Income!B$3:B$502,SMALL(IF((Income!D$3:D$502="GBP")*(Income!A$3:A$502=DATE(2026,10,20)),ROW(Income!A$3:A$502)-2),1)),""),""))</f>
        <v/>
      </c>
      <c r="G214" s="152">
        <f t="array" ref="G214">IF(IFERROR(-INDEX(Expenses!D$3:D$999,SMALL(IF((Expenses!E$3:E$999="GBP")*(Expenses!A$3:A$999=DATE(2026,10,21)),ROW(Expenses!A$3:A$999)-2),1)),0)+IFERROR(INDEX(Income!C$3:C$502,SMALL(IF((Income!D$3:D$502="GBP")*(Income!A$3:A$502=DATE(2026,10,21)),ROW(Income!A$3:A$502)-2),1)),0)=0,"",IFERROR(-INDEX(Expenses!D$3:D$999,SMALL(IF((Expenses!E$3:E$999="GBP")*(Expenses!A$3:A$999=DATE(2026,10,21)),ROW(Expenses!A$3:A$999)-2),1)),0)+IFERROR(INDEX(Income!C$3:C$502,SMALL(IF((Income!D$3:D$502="GBP")*(Income!A$3:A$502=DATE(2026,10,21)),ROW(Income!A$3:A$502)-2),1)),0))</f>
        <v/>
      </c>
      <c r="H214" s="126">
        <f t="array" ref="H214">IF(IFERROR(INDEX(Expenses!B$3:B$999,SMALL(IF((Expenses!E$3:E$999="GBP")*(Expenses!A$3:A$999=DATE(2026,10,21)),ROW(Expenses!A$3:A$999)-2),1)),"")&lt;&gt;"",IFERROR(INDEX(Expenses!B$3:B$999,SMALL(IF((Expenses!E$3:E$999="GBP")*(Expenses!A$3:A$999=DATE(2026,10,21)),ROW(Expenses!A$3:A$999)-2),1)),""),IF(IFERROR(INDEX(Income!B$3:B$502,SMALL(IF((Income!D$3:D$502="GBP")*(Income!A$3:A$502=DATE(2026,10,21)),ROW(Income!A$3:A$502)-2),1)),"")&lt;&gt;"",IFERROR(INDEX(Income!B$3:B$502,SMALL(IF((Income!D$3:D$502="GBP")*(Income!A$3:A$502=DATE(2026,10,21)),ROW(Income!A$3:A$502)-2),1)),""),""))</f>
        <v/>
      </c>
      <c r="I214" s="152">
        <f t="array" ref="I214">IF(IFERROR(-INDEX(Expenses!D$3:D$999,SMALL(IF((Expenses!E$3:E$999="GBP")*(Expenses!A$3:A$999=DATE(2026,10,22)),ROW(Expenses!A$3:A$999)-2),1)),0)+IFERROR(INDEX(Income!C$3:C$502,SMALL(IF((Income!D$3:D$502="GBP")*(Income!A$3:A$502=DATE(2026,10,22)),ROW(Income!A$3:A$502)-2),1)),0)=0,"",IFERROR(-INDEX(Expenses!D$3:D$999,SMALL(IF((Expenses!E$3:E$999="GBP")*(Expenses!A$3:A$999=DATE(2026,10,22)),ROW(Expenses!A$3:A$999)-2),1)),0)+IFERROR(INDEX(Income!C$3:C$502,SMALL(IF((Income!D$3:D$502="GBP")*(Income!A$3:A$502=DATE(2026,10,22)),ROW(Income!A$3:A$502)-2),1)),0))</f>
        <v/>
      </c>
      <c r="J214" s="126">
        <f t="array" ref="J214">IF(IFERROR(INDEX(Expenses!B$3:B$999,SMALL(IF((Expenses!E$3:E$999="GBP")*(Expenses!A$3:A$999=DATE(2026,10,22)),ROW(Expenses!A$3:A$999)-2),1)),"")&lt;&gt;"",IFERROR(INDEX(Expenses!B$3:B$999,SMALL(IF((Expenses!E$3:E$999="GBP")*(Expenses!A$3:A$999=DATE(2026,10,22)),ROW(Expenses!A$3:A$999)-2),1)),""),IF(IFERROR(INDEX(Income!B$3:B$502,SMALL(IF((Income!D$3:D$502="GBP")*(Income!A$3:A$502=DATE(2026,10,22)),ROW(Income!A$3:A$502)-2),1)),"")&lt;&gt;"",IFERROR(INDEX(Income!B$3:B$502,SMALL(IF((Income!D$3:D$502="GBP")*(Income!A$3:A$502=DATE(2026,10,22)),ROW(Income!A$3:A$502)-2),1)),""),""))</f>
        <v/>
      </c>
      <c r="K214" s="152">
        <f t="array" ref="K214">IF(IFERROR(-INDEX(Expenses!D$3:D$999,SMALL(IF((Expenses!E$3:E$999="GBP")*(Expenses!A$3:A$999=DATE(2026,10,23)),ROW(Expenses!A$3:A$999)-2),1)),0)+IFERROR(INDEX(Income!C$3:C$502,SMALL(IF((Income!D$3:D$502="GBP")*(Income!A$3:A$502=DATE(2026,10,23)),ROW(Income!A$3:A$502)-2),1)),0)=0,"",IFERROR(-INDEX(Expenses!D$3:D$999,SMALL(IF((Expenses!E$3:E$999="GBP")*(Expenses!A$3:A$999=DATE(2026,10,23)),ROW(Expenses!A$3:A$999)-2),1)),0)+IFERROR(INDEX(Income!C$3:C$502,SMALL(IF((Income!D$3:D$502="GBP")*(Income!A$3:A$502=DATE(2026,10,23)),ROW(Income!A$3:A$502)-2),1)),0))</f>
        <v/>
      </c>
      <c r="L214" s="126">
        <f t="array" ref="L214">IF(IFERROR(INDEX(Expenses!B$3:B$999,SMALL(IF((Expenses!E$3:E$999="GBP")*(Expenses!A$3:A$999=DATE(2026,10,23)),ROW(Expenses!A$3:A$999)-2),1)),"")&lt;&gt;"",IFERROR(INDEX(Expenses!B$3:B$999,SMALL(IF((Expenses!E$3:E$999="GBP")*(Expenses!A$3:A$999=DATE(2026,10,23)),ROW(Expenses!A$3:A$999)-2),1)),""),IF(IFERROR(INDEX(Income!B$3:B$502,SMALL(IF((Income!D$3:D$502="GBP")*(Income!A$3:A$502=DATE(2026,10,23)),ROW(Income!A$3:A$502)-2),1)),"")&lt;&gt;"",IFERROR(INDEX(Income!B$3:B$502,SMALL(IF((Income!D$3:D$502="GBP")*(Income!A$3:A$502=DATE(2026,10,23)),ROW(Income!A$3:A$502)-2),1)),""),""))</f>
        <v/>
      </c>
      <c r="M214" s="152">
        <f t="array" ref="M214">IF(IFERROR(-INDEX(Expenses!D$3:D$999,SMALL(IF((Expenses!E$3:E$999="GBP")*(Expenses!A$3:A$999=DATE(2026,10,24)),ROW(Expenses!A$3:A$999)-2),1)),0)+IFERROR(INDEX(Income!C$3:C$502,SMALL(IF((Income!D$3:D$502="GBP")*(Income!A$3:A$502=DATE(2026,10,24)),ROW(Income!A$3:A$502)-2),1)),0)=0,"",IFERROR(-INDEX(Expenses!D$3:D$999,SMALL(IF((Expenses!E$3:E$999="GBP")*(Expenses!A$3:A$999=DATE(2026,10,24)),ROW(Expenses!A$3:A$999)-2),1)),0)+IFERROR(INDEX(Income!C$3:C$502,SMALL(IF((Income!D$3:D$502="GBP")*(Income!A$3:A$502=DATE(2026,10,24)),ROW(Income!A$3:A$502)-2),1)),0))</f>
        <v/>
      </c>
      <c r="N214" s="126">
        <f t="array" ref="N214">IF(IFERROR(INDEX(Expenses!B$3:B$999,SMALL(IF((Expenses!E$3:E$999="GBP")*(Expenses!A$3:A$999=DATE(2026,10,24)),ROW(Expenses!A$3:A$999)-2),1)),"")&lt;&gt;"",IFERROR(INDEX(Expenses!B$3:B$999,SMALL(IF((Expenses!E$3:E$999="GBP")*(Expenses!A$3:A$999=DATE(2026,10,24)),ROW(Expenses!A$3:A$999)-2),1)),""),IF(IFERROR(INDEX(Income!B$3:B$502,SMALL(IF((Income!D$3:D$502="GBP")*(Income!A$3:A$502=DATE(2026,10,24)),ROW(Income!A$3:A$502)-2),1)),"")&lt;&gt;"",IFERROR(INDEX(Income!B$3:B$502,SMALL(IF((Income!D$3:D$502="GBP")*(Income!A$3:A$502=DATE(2026,10,24)),ROW(Income!A$3:A$502)-2),1)),""),""))</f>
        <v/>
      </c>
      <c r="O214" s="152">
        <f t="array" ref="O214">IF(IFERROR(-INDEX(Expenses!D$3:D$999,SMALL(IF((Expenses!E$3:E$999="GBP")*(Expenses!A$3:A$999=DATE(2026,10,25)),ROW(Expenses!A$3:A$999)-2),1)),0)+IFERROR(INDEX(Income!C$3:C$502,SMALL(IF((Income!D$3:D$502="GBP")*(Income!A$3:A$502=DATE(2026,10,25)),ROW(Income!A$3:A$502)-2),1)),0)=0,"",IFERROR(-INDEX(Expenses!D$3:D$999,SMALL(IF((Expenses!E$3:E$999="GBP")*(Expenses!A$3:A$999=DATE(2026,10,25)),ROW(Expenses!A$3:A$999)-2),1)),0)+IFERROR(INDEX(Income!C$3:C$502,SMALL(IF((Income!D$3:D$502="GBP")*(Income!A$3:A$502=DATE(2026,10,25)),ROW(Income!A$3:A$502)-2),1)),0))</f>
        <v/>
      </c>
      <c r="P214" s="126">
        <f t="array" ref="P214">IF(IFERROR(INDEX(Expenses!B$3:B$999,SMALL(IF((Expenses!E$3:E$999="GBP")*(Expenses!A$3:A$999=DATE(2026,10,25)),ROW(Expenses!A$3:A$999)-2),1)),"")&lt;&gt;"",IFERROR(INDEX(Expenses!B$3:B$999,SMALL(IF((Expenses!E$3:E$999="GBP")*(Expenses!A$3:A$999=DATE(2026,10,25)),ROW(Expenses!A$3:A$999)-2),1)),""),IF(IFERROR(INDEX(Income!B$3:B$502,SMALL(IF((Income!D$3:D$502="GBP")*(Income!A$3:A$502=DATE(2026,10,25)),ROW(Income!A$3:A$502)-2),1)),"")&lt;&gt;"",IFERROR(INDEX(Income!B$3:B$502,SMALL(IF((Income!D$3:D$502="GBP")*(Income!A$3:A$502=DATE(2026,10,25)),ROW(Income!A$3:A$502)-2),1)),""),""))</f>
        <v/>
      </c>
      <c r="Q214" s="103" t="n">
        <v>43</v>
      </c>
      <c r="R214" s="134">
        <f>SUM(C214:C218)+SUM(E214:E218)+SUM(G214:G218)+SUM(I214:I218)+SUM(K214:K218)+SUM(M214:M218)+SUM(O214:O218)</f>
        <v/>
      </c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68">
      <c r="A215" s="9" t="n"/>
      <c r="B215" s="9" t="n"/>
      <c r="C215" s="152">
        <f t="array" ref="C215">IF(IFERROR(-INDEX(Expenses!D$3:D$999,SMALL(IF((Expenses!E$3:E$999="GBP")*(Expenses!A$3:A$999=DATE(2026,10,19)),ROW(Expenses!A$3:A$999)-2),2)),0)+IFERROR(INDEX(Income!C$3:C$502,SMALL(IF((Income!D$3:D$502="GBP")*(Income!A$3:A$502=DATE(2026,10,19)),ROW(Income!A$3:A$502)-2),2)),0)=0,"",IFERROR(-INDEX(Expenses!D$3:D$999,SMALL(IF((Expenses!E$3:E$999="GBP")*(Expenses!A$3:A$999=DATE(2026,10,19)),ROW(Expenses!A$3:A$999)-2),2)),0)+IFERROR(INDEX(Income!C$3:C$502,SMALL(IF((Income!D$3:D$502="GBP")*(Income!A$3:A$502=DATE(2026,10,19)),ROW(Income!A$3:A$502)-2),2)),0))</f>
        <v/>
      </c>
      <c r="D215" s="126">
        <f t="array" ref="D215">IF(IFERROR(INDEX(Expenses!B$3:B$999,SMALL(IF((Expenses!E$3:E$999="GBP")*(Expenses!A$3:A$999=DATE(2026,10,19)),ROW(Expenses!A$3:A$999)-2),2)),"")&lt;&gt;"",IFERROR(INDEX(Expenses!B$3:B$999,SMALL(IF((Expenses!E$3:E$999="GBP")*(Expenses!A$3:A$999=DATE(2026,10,19)),ROW(Expenses!A$3:A$999)-2),2)),""),IF(IFERROR(INDEX(Income!B$3:B$502,SMALL(IF((Income!D$3:D$502="GBP")*(Income!A$3:A$502=DATE(2026,10,19)),ROW(Income!A$3:A$502)-2),2)),"")&lt;&gt;"",IFERROR(INDEX(Income!B$3:B$502,SMALL(IF((Income!D$3:D$502="GBP")*(Income!A$3:A$502=DATE(2026,10,19)),ROW(Income!A$3:A$502)-2),2)),""),""))</f>
        <v/>
      </c>
      <c r="E215" s="152">
        <f t="array" ref="E215">IF(IFERROR(-INDEX(Expenses!D$3:D$999,SMALL(IF((Expenses!E$3:E$999="GBP")*(Expenses!A$3:A$999=DATE(2026,10,20)),ROW(Expenses!A$3:A$999)-2),2)),0)+IFERROR(INDEX(Income!C$3:C$502,SMALL(IF((Income!D$3:D$502="GBP")*(Income!A$3:A$502=DATE(2026,10,20)),ROW(Income!A$3:A$502)-2),2)),0)=0,"",IFERROR(-INDEX(Expenses!D$3:D$999,SMALL(IF((Expenses!E$3:E$999="GBP")*(Expenses!A$3:A$999=DATE(2026,10,20)),ROW(Expenses!A$3:A$999)-2),2)),0)+IFERROR(INDEX(Income!C$3:C$502,SMALL(IF((Income!D$3:D$502="GBP")*(Income!A$3:A$502=DATE(2026,10,20)),ROW(Income!A$3:A$502)-2),2)),0))</f>
        <v/>
      </c>
      <c r="F215" s="126">
        <f t="array" ref="F215">IF(IFERROR(INDEX(Expenses!B$3:B$999,SMALL(IF((Expenses!E$3:E$999="GBP")*(Expenses!A$3:A$999=DATE(2026,10,20)),ROW(Expenses!A$3:A$999)-2),2)),"")&lt;&gt;"",IFERROR(INDEX(Expenses!B$3:B$999,SMALL(IF((Expenses!E$3:E$999="GBP")*(Expenses!A$3:A$999=DATE(2026,10,20)),ROW(Expenses!A$3:A$999)-2),2)),""),IF(IFERROR(INDEX(Income!B$3:B$502,SMALL(IF((Income!D$3:D$502="GBP")*(Income!A$3:A$502=DATE(2026,10,20)),ROW(Income!A$3:A$502)-2),2)),"")&lt;&gt;"",IFERROR(INDEX(Income!B$3:B$502,SMALL(IF((Income!D$3:D$502="GBP")*(Income!A$3:A$502=DATE(2026,10,20)),ROW(Income!A$3:A$502)-2),2)),""),""))</f>
        <v/>
      </c>
      <c r="G215" s="152">
        <f t="array" ref="G215">IF(IFERROR(-INDEX(Expenses!D$3:D$999,SMALL(IF((Expenses!E$3:E$999="GBP")*(Expenses!A$3:A$999=DATE(2026,10,21)),ROW(Expenses!A$3:A$999)-2),2)),0)+IFERROR(INDEX(Income!C$3:C$502,SMALL(IF((Income!D$3:D$502="GBP")*(Income!A$3:A$502=DATE(2026,10,21)),ROW(Income!A$3:A$502)-2),2)),0)=0,"",IFERROR(-INDEX(Expenses!D$3:D$999,SMALL(IF((Expenses!E$3:E$999="GBP")*(Expenses!A$3:A$999=DATE(2026,10,21)),ROW(Expenses!A$3:A$999)-2),2)),0)+IFERROR(INDEX(Income!C$3:C$502,SMALL(IF((Income!D$3:D$502="GBP")*(Income!A$3:A$502=DATE(2026,10,21)),ROW(Income!A$3:A$502)-2),2)),0))</f>
        <v/>
      </c>
      <c r="H215" s="126">
        <f t="array" ref="H215">IF(IFERROR(INDEX(Expenses!B$3:B$999,SMALL(IF((Expenses!E$3:E$999="GBP")*(Expenses!A$3:A$999=DATE(2026,10,21)),ROW(Expenses!A$3:A$999)-2),2)),"")&lt;&gt;"",IFERROR(INDEX(Expenses!B$3:B$999,SMALL(IF((Expenses!E$3:E$999="GBP")*(Expenses!A$3:A$999=DATE(2026,10,21)),ROW(Expenses!A$3:A$999)-2),2)),""),IF(IFERROR(INDEX(Income!B$3:B$502,SMALL(IF((Income!D$3:D$502="GBP")*(Income!A$3:A$502=DATE(2026,10,21)),ROW(Income!A$3:A$502)-2),2)),"")&lt;&gt;"",IFERROR(INDEX(Income!B$3:B$502,SMALL(IF((Income!D$3:D$502="GBP")*(Income!A$3:A$502=DATE(2026,10,21)),ROW(Income!A$3:A$502)-2),2)),""),""))</f>
        <v/>
      </c>
      <c r="I215" s="152">
        <f t="array" ref="I215">IF(IFERROR(-INDEX(Expenses!D$3:D$999,SMALL(IF((Expenses!E$3:E$999="GBP")*(Expenses!A$3:A$999=DATE(2026,10,22)),ROW(Expenses!A$3:A$999)-2),2)),0)+IFERROR(INDEX(Income!C$3:C$502,SMALL(IF((Income!D$3:D$502="GBP")*(Income!A$3:A$502=DATE(2026,10,22)),ROW(Income!A$3:A$502)-2),2)),0)=0,"",IFERROR(-INDEX(Expenses!D$3:D$999,SMALL(IF((Expenses!E$3:E$999="GBP")*(Expenses!A$3:A$999=DATE(2026,10,22)),ROW(Expenses!A$3:A$999)-2),2)),0)+IFERROR(INDEX(Income!C$3:C$502,SMALL(IF((Income!D$3:D$502="GBP")*(Income!A$3:A$502=DATE(2026,10,22)),ROW(Income!A$3:A$502)-2),2)),0))</f>
        <v/>
      </c>
      <c r="J215" s="126">
        <f t="array" ref="J215">IF(IFERROR(INDEX(Expenses!B$3:B$999,SMALL(IF((Expenses!E$3:E$999="GBP")*(Expenses!A$3:A$999=DATE(2026,10,22)),ROW(Expenses!A$3:A$999)-2),2)),"")&lt;&gt;"",IFERROR(INDEX(Expenses!B$3:B$999,SMALL(IF((Expenses!E$3:E$999="GBP")*(Expenses!A$3:A$999=DATE(2026,10,22)),ROW(Expenses!A$3:A$999)-2),2)),""),IF(IFERROR(INDEX(Income!B$3:B$502,SMALL(IF((Income!D$3:D$502="GBP")*(Income!A$3:A$502=DATE(2026,10,22)),ROW(Income!A$3:A$502)-2),2)),"")&lt;&gt;"",IFERROR(INDEX(Income!B$3:B$502,SMALL(IF((Income!D$3:D$502="GBP")*(Income!A$3:A$502=DATE(2026,10,22)),ROW(Income!A$3:A$502)-2),2)),""),""))</f>
        <v/>
      </c>
      <c r="K215" s="152">
        <f t="array" ref="K215">IF(IFERROR(-INDEX(Expenses!D$3:D$999,SMALL(IF((Expenses!E$3:E$999="GBP")*(Expenses!A$3:A$999=DATE(2026,10,23)),ROW(Expenses!A$3:A$999)-2),2)),0)+IFERROR(INDEX(Income!C$3:C$502,SMALL(IF((Income!D$3:D$502="GBP")*(Income!A$3:A$502=DATE(2026,10,23)),ROW(Income!A$3:A$502)-2),2)),0)=0,"",IFERROR(-INDEX(Expenses!D$3:D$999,SMALL(IF((Expenses!E$3:E$999="GBP")*(Expenses!A$3:A$999=DATE(2026,10,23)),ROW(Expenses!A$3:A$999)-2),2)),0)+IFERROR(INDEX(Income!C$3:C$502,SMALL(IF((Income!D$3:D$502="GBP")*(Income!A$3:A$502=DATE(2026,10,23)),ROW(Income!A$3:A$502)-2),2)),0))</f>
        <v/>
      </c>
      <c r="L215" s="126">
        <f t="array" ref="L215">IF(IFERROR(INDEX(Expenses!B$3:B$999,SMALL(IF((Expenses!E$3:E$999="GBP")*(Expenses!A$3:A$999=DATE(2026,10,23)),ROW(Expenses!A$3:A$999)-2),2)),"")&lt;&gt;"",IFERROR(INDEX(Expenses!B$3:B$999,SMALL(IF((Expenses!E$3:E$999="GBP")*(Expenses!A$3:A$999=DATE(2026,10,23)),ROW(Expenses!A$3:A$999)-2),2)),""),IF(IFERROR(INDEX(Income!B$3:B$502,SMALL(IF((Income!D$3:D$502="GBP")*(Income!A$3:A$502=DATE(2026,10,23)),ROW(Income!A$3:A$502)-2),2)),"")&lt;&gt;"",IFERROR(INDEX(Income!B$3:B$502,SMALL(IF((Income!D$3:D$502="GBP")*(Income!A$3:A$502=DATE(2026,10,23)),ROW(Income!A$3:A$502)-2),2)),""),""))</f>
        <v/>
      </c>
      <c r="M215" s="152">
        <f t="array" ref="M215">IF(IFERROR(-INDEX(Expenses!D$3:D$999,SMALL(IF((Expenses!E$3:E$999="GBP")*(Expenses!A$3:A$999=DATE(2026,10,24)),ROW(Expenses!A$3:A$999)-2),2)),0)+IFERROR(INDEX(Income!C$3:C$502,SMALL(IF((Income!D$3:D$502="GBP")*(Income!A$3:A$502=DATE(2026,10,24)),ROW(Income!A$3:A$502)-2),2)),0)=0,"",IFERROR(-INDEX(Expenses!D$3:D$999,SMALL(IF((Expenses!E$3:E$999="GBP")*(Expenses!A$3:A$999=DATE(2026,10,24)),ROW(Expenses!A$3:A$999)-2),2)),0)+IFERROR(INDEX(Income!C$3:C$502,SMALL(IF((Income!D$3:D$502="GBP")*(Income!A$3:A$502=DATE(2026,10,24)),ROW(Income!A$3:A$502)-2),2)),0))</f>
        <v/>
      </c>
      <c r="N215" s="126">
        <f t="array" ref="N215">IF(IFERROR(INDEX(Expenses!B$3:B$999,SMALL(IF((Expenses!E$3:E$999="GBP")*(Expenses!A$3:A$999=DATE(2026,10,24)),ROW(Expenses!A$3:A$999)-2),2)),"")&lt;&gt;"",IFERROR(INDEX(Expenses!B$3:B$999,SMALL(IF((Expenses!E$3:E$999="GBP")*(Expenses!A$3:A$999=DATE(2026,10,24)),ROW(Expenses!A$3:A$999)-2),2)),""),IF(IFERROR(INDEX(Income!B$3:B$502,SMALL(IF((Income!D$3:D$502="GBP")*(Income!A$3:A$502=DATE(2026,10,24)),ROW(Income!A$3:A$502)-2),2)),"")&lt;&gt;"",IFERROR(INDEX(Income!B$3:B$502,SMALL(IF((Income!D$3:D$502="GBP")*(Income!A$3:A$502=DATE(2026,10,24)),ROW(Income!A$3:A$502)-2),2)),""),""))</f>
        <v/>
      </c>
      <c r="O215" s="152">
        <f t="array" ref="O215">IF(IFERROR(-INDEX(Expenses!D$3:D$999,SMALL(IF((Expenses!E$3:E$999="GBP")*(Expenses!A$3:A$999=DATE(2026,10,25)),ROW(Expenses!A$3:A$999)-2),2)),0)+IFERROR(INDEX(Income!C$3:C$502,SMALL(IF((Income!D$3:D$502="GBP")*(Income!A$3:A$502=DATE(2026,10,25)),ROW(Income!A$3:A$502)-2),2)),0)=0,"",IFERROR(-INDEX(Expenses!D$3:D$999,SMALL(IF((Expenses!E$3:E$999="GBP")*(Expenses!A$3:A$999=DATE(2026,10,25)),ROW(Expenses!A$3:A$999)-2),2)),0)+IFERROR(INDEX(Income!C$3:C$502,SMALL(IF((Income!D$3:D$502="GBP")*(Income!A$3:A$502=DATE(2026,10,25)),ROW(Income!A$3:A$502)-2),2)),0))</f>
        <v/>
      </c>
      <c r="P215" s="126">
        <f t="array" ref="P215">IF(IFERROR(INDEX(Expenses!B$3:B$999,SMALL(IF((Expenses!E$3:E$999="GBP")*(Expenses!A$3:A$999=DATE(2026,10,25)),ROW(Expenses!A$3:A$999)-2),2)),"")&lt;&gt;"",IFERROR(INDEX(Expenses!B$3:B$999,SMALL(IF((Expenses!E$3:E$999="GBP")*(Expenses!A$3:A$999=DATE(2026,10,25)),ROW(Expenses!A$3:A$999)-2),2)),""),IF(IFERROR(INDEX(Income!B$3:B$502,SMALL(IF((Income!D$3:D$502="GBP")*(Income!A$3:A$502=DATE(2026,10,25)),ROW(Income!A$3:A$502)-2),2)),"")&lt;&gt;"",IFERROR(INDEX(Income!B$3:B$502,SMALL(IF((Income!D$3:D$502="GBP")*(Income!A$3:A$502=DATE(2026,10,25)),ROW(Income!A$3:A$502)-2),2)),""),""))</f>
        <v/>
      </c>
      <c r="Q215" s="9" t="n"/>
      <c r="R215" s="9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68">
      <c r="A216" s="9" t="n"/>
      <c r="B216" s="9" t="n"/>
      <c r="C216" s="152">
        <f t="array" ref="C216">IF(IFERROR(-INDEX(Expenses!D$3:D$999,SMALL(IF((Expenses!E$3:E$999="GBP")*(Expenses!A$3:A$999=DATE(2026,10,19)),ROW(Expenses!A$3:A$999)-2),3)),0)+IFERROR(INDEX(Income!C$3:C$502,SMALL(IF((Income!D$3:D$502="GBP")*(Income!A$3:A$502=DATE(2026,10,19)),ROW(Income!A$3:A$502)-2),3)),0)=0,"",IFERROR(-INDEX(Expenses!D$3:D$999,SMALL(IF((Expenses!E$3:E$999="GBP")*(Expenses!A$3:A$999=DATE(2026,10,19)),ROW(Expenses!A$3:A$999)-2),3)),0)+IFERROR(INDEX(Income!C$3:C$502,SMALL(IF((Income!D$3:D$502="GBP")*(Income!A$3:A$502=DATE(2026,10,19)),ROW(Income!A$3:A$502)-2),3)),0))</f>
        <v/>
      </c>
      <c r="D216" s="126">
        <f t="array" ref="D216">IF(IFERROR(INDEX(Expenses!B$3:B$999,SMALL(IF((Expenses!E$3:E$999="GBP")*(Expenses!A$3:A$999=DATE(2026,10,19)),ROW(Expenses!A$3:A$999)-2),3)),"")&lt;&gt;"",IFERROR(INDEX(Expenses!B$3:B$999,SMALL(IF((Expenses!E$3:E$999="GBP")*(Expenses!A$3:A$999=DATE(2026,10,19)),ROW(Expenses!A$3:A$999)-2),3)),""),IF(IFERROR(INDEX(Income!B$3:B$502,SMALL(IF((Income!D$3:D$502="GBP")*(Income!A$3:A$502=DATE(2026,10,19)),ROW(Income!A$3:A$502)-2),3)),"")&lt;&gt;"",IFERROR(INDEX(Income!B$3:B$502,SMALL(IF((Income!D$3:D$502="GBP")*(Income!A$3:A$502=DATE(2026,10,19)),ROW(Income!A$3:A$502)-2),3)),""),""))</f>
        <v/>
      </c>
      <c r="E216" s="152">
        <f t="array" ref="E216">IF(IFERROR(-INDEX(Expenses!D$3:D$999,SMALL(IF((Expenses!E$3:E$999="GBP")*(Expenses!A$3:A$999=DATE(2026,10,20)),ROW(Expenses!A$3:A$999)-2),3)),0)+IFERROR(INDEX(Income!C$3:C$502,SMALL(IF((Income!D$3:D$502="GBP")*(Income!A$3:A$502=DATE(2026,10,20)),ROW(Income!A$3:A$502)-2),3)),0)=0,"",IFERROR(-INDEX(Expenses!D$3:D$999,SMALL(IF((Expenses!E$3:E$999="GBP")*(Expenses!A$3:A$999=DATE(2026,10,20)),ROW(Expenses!A$3:A$999)-2),3)),0)+IFERROR(INDEX(Income!C$3:C$502,SMALL(IF((Income!D$3:D$502="GBP")*(Income!A$3:A$502=DATE(2026,10,20)),ROW(Income!A$3:A$502)-2),3)),0))</f>
        <v/>
      </c>
      <c r="F216" s="126">
        <f t="array" ref="F216">IF(IFERROR(INDEX(Expenses!B$3:B$999,SMALL(IF((Expenses!E$3:E$999="GBP")*(Expenses!A$3:A$999=DATE(2026,10,20)),ROW(Expenses!A$3:A$999)-2),3)),"")&lt;&gt;"",IFERROR(INDEX(Expenses!B$3:B$999,SMALL(IF((Expenses!E$3:E$999="GBP")*(Expenses!A$3:A$999=DATE(2026,10,20)),ROW(Expenses!A$3:A$999)-2),3)),""),IF(IFERROR(INDEX(Income!B$3:B$502,SMALL(IF((Income!D$3:D$502="GBP")*(Income!A$3:A$502=DATE(2026,10,20)),ROW(Income!A$3:A$502)-2),3)),"")&lt;&gt;"",IFERROR(INDEX(Income!B$3:B$502,SMALL(IF((Income!D$3:D$502="GBP")*(Income!A$3:A$502=DATE(2026,10,20)),ROW(Income!A$3:A$502)-2),3)),""),""))</f>
        <v/>
      </c>
      <c r="G216" s="152">
        <f t="array" ref="G216">IF(IFERROR(-INDEX(Expenses!D$3:D$999,SMALL(IF((Expenses!E$3:E$999="GBP")*(Expenses!A$3:A$999=DATE(2026,10,21)),ROW(Expenses!A$3:A$999)-2),3)),0)+IFERROR(INDEX(Income!C$3:C$502,SMALL(IF((Income!D$3:D$502="GBP")*(Income!A$3:A$502=DATE(2026,10,21)),ROW(Income!A$3:A$502)-2),3)),0)=0,"",IFERROR(-INDEX(Expenses!D$3:D$999,SMALL(IF((Expenses!E$3:E$999="GBP")*(Expenses!A$3:A$999=DATE(2026,10,21)),ROW(Expenses!A$3:A$999)-2),3)),0)+IFERROR(INDEX(Income!C$3:C$502,SMALL(IF((Income!D$3:D$502="GBP")*(Income!A$3:A$502=DATE(2026,10,21)),ROW(Income!A$3:A$502)-2),3)),0))</f>
        <v/>
      </c>
      <c r="H216" s="126">
        <f t="array" ref="H216">IF(IFERROR(INDEX(Expenses!B$3:B$999,SMALL(IF((Expenses!E$3:E$999="GBP")*(Expenses!A$3:A$999=DATE(2026,10,21)),ROW(Expenses!A$3:A$999)-2),3)),"")&lt;&gt;"",IFERROR(INDEX(Expenses!B$3:B$999,SMALL(IF((Expenses!E$3:E$999="GBP")*(Expenses!A$3:A$999=DATE(2026,10,21)),ROW(Expenses!A$3:A$999)-2),3)),""),IF(IFERROR(INDEX(Income!B$3:B$502,SMALL(IF((Income!D$3:D$502="GBP")*(Income!A$3:A$502=DATE(2026,10,21)),ROW(Income!A$3:A$502)-2),3)),"")&lt;&gt;"",IFERROR(INDEX(Income!B$3:B$502,SMALL(IF((Income!D$3:D$502="GBP")*(Income!A$3:A$502=DATE(2026,10,21)),ROW(Income!A$3:A$502)-2),3)),""),""))</f>
        <v/>
      </c>
      <c r="I216" s="152">
        <f t="array" ref="I216">IF(IFERROR(-INDEX(Expenses!D$3:D$999,SMALL(IF((Expenses!E$3:E$999="GBP")*(Expenses!A$3:A$999=DATE(2026,10,22)),ROW(Expenses!A$3:A$999)-2),3)),0)+IFERROR(INDEX(Income!C$3:C$502,SMALL(IF((Income!D$3:D$502="GBP")*(Income!A$3:A$502=DATE(2026,10,22)),ROW(Income!A$3:A$502)-2),3)),0)=0,"",IFERROR(-INDEX(Expenses!D$3:D$999,SMALL(IF((Expenses!E$3:E$999="GBP")*(Expenses!A$3:A$999=DATE(2026,10,22)),ROW(Expenses!A$3:A$999)-2),3)),0)+IFERROR(INDEX(Income!C$3:C$502,SMALL(IF((Income!D$3:D$502="GBP")*(Income!A$3:A$502=DATE(2026,10,22)),ROW(Income!A$3:A$502)-2),3)),0))</f>
        <v/>
      </c>
      <c r="J216" s="126">
        <f t="array" ref="J216">IF(IFERROR(INDEX(Expenses!B$3:B$999,SMALL(IF((Expenses!E$3:E$999="GBP")*(Expenses!A$3:A$999=DATE(2026,10,22)),ROW(Expenses!A$3:A$999)-2),3)),"")&lt;&gt;"",IFERROR(INDEX(Expenses!B$3:B$999,SMALL(IF((Expenses!E$3:E$999="GBP")*(Expenses!A$3:A$999=DATE(2026,10,22)),ROW(Expenses!A$3:A$999)-2),3)),""),IF(IFERROR(INDEX(Income!B$3:B$502,SMALL(IF((Income!D$3:D$502="GBP")*(Income!A$3:A$502=DATE(2026,10,22)),ROW(Income!A$3:A$502)-2),3)),"")&lt;&gt;"",IFERROR(INDEX(Income!B$3:B$502,SMALL(IF((Income!D$3:D$502="GBP")*(Income!A$3:A$502=DATE(2026,10,22)),ROW(Income!A$3:A$502)-2),3)),""),""))</f>
        <v/>
      </c>
      <c r="K216" s="152">
        <f t="array" ref="K216">IF(IFERROR(-INDEX(Expenses!D$3:D$999,SMALL(IF((Expenses!E$3:E$999="GBP")*(Expenses!A$3:A$999=DATE(2026,10,23)),ROW(Expenses!A$3:A$999)-2),3)),0)+IFERROR(INDEX(Income!C$3:C$502,SMALL(IF((Income!D$3:D$502="GBP")*(Income!A$3:A$502=DATE(2026,10,23)),ROW(Income!A$3:A$502)-2),3)),0)=0,"",IFERROR(-INDEX(Expenses!D$3:D$999,SMALL(IF((Expenses!E$3:E$999="GBP")*(Expenses!A$3:A$999=DATE(2026,10,23)),ROW(Expenses!A$3:A$999)-2),3)),0)+IFERROR(INDEX(Income!C$3:C$502,SMALL(IF((Income!D$3:D$502="GBP")*(Income!A$3:A$502=DATE(2026,10,23)),ROW(Income!A$3:A$502)-2),3)),0))</f>
        <v/>
      </c>
      <c r="L216" s="126">
        <f t="array" ref="L216">IF(IFERROR(INDEX(Expenses!B$3:B$999,SMALL(IF((Expenses!E$3:E$999="GBP")*(Expenses!A$3:A$999=DATE(2026,10,23)),ROW(Expenses!A$3:A$999)-2),3)),"")&lt;&gt;"",IFERROR(INDEX(Expenses!B$3:B$999,SMALL(IF((Expenses!E$3:E$999="GBP")*(Expenses!A$3:A$999=DATE(2026,10,23)),ROW(Expenses!A$3:A$999)-2),3)),""),IF(IFERROR(INDEX(Income!B$3:B$502,SMALL(IF((Income!D$3:D$502="GBP")*(Income!A$3:A$502=DATE(2026,10,23)),ROW(Income!A$3:A$502)-2),3)),"")&lt;&gt;"",IFERROR(INDEX(Income!B$3:B$502,SMALL(IF((Income!D$3:D$502="GBP")*(Income!A$3:A$502=DATE(2026,10,23)),ROW(Income!A$3:A$502)-2),3)),""),""))</f>
        <v/>
      </c>
      <c r="M216" s="152">
        <f t="array" ref="M216">IF(IFERROR(-INDEX(Expenses!D$3:D$999,SMALL(IF((Expenses!E$3:E$999="GBP")*(Expenses!A$3:A$999=DATE(2026,10,24)),ROW(Expenses!A$3:A$999)-2),3)),0)+IFERROR(INDEX(Income!C$3:C$502,SMALL(IF((Income!D$3:D$502="GBP")*(Income!A$3:A$502=DATE(2026,10,24)),ROW(Income!A$3:A$502)-2),3)),0)=0,"",IFERROR(-INDEX(Expenses!D$3:D$999,SMALL(IF((Expenses!E$3:E$999="GBP")*(Expenses!A$3:A$999=DATE(2026,10,24)),ROW(Expenses!A$3:A$999)-2),3)),0)+IFERROR(INDEX(Income!C$3:C$502,SMALL(IF((Income!D$3:D$502="GBP")*(Income!A$3:A$502=DATE(2026,10,24)),ROW(Income!A$3:A$502)-2),3)),0))</f>
        <v/>
      </c>
      <c r="N216" s="126">
        <f t="array" ref="N216">IF(IFERROR(INDEX(Expenses!B$3:B$999,SMALL(IF((Expenses!E$3:E$999="GBP")*(Expenses!A$3:A$999=DATE(2026,10,24)),ROW(Expenses!A$3:A$999)-2),3)),"")&lt;&gt;"",IFERROR(INDEX(Expenses!B$3:B$999,SMALL(IF((Expenses!E$3:E$999="GBP")*(Expenses!A$3:A$999=DATE(2026,10,24)),ROW(Expenses!A$3:A$999)-2),3)),""),IF(IFERROR(INDEX(Income!B$3:B$502,SMALL(IF((Income!D$3:D$502="GBP")*(Income!A$3:A$502=DATE(2026,10,24)),ROW(Income!A$3:A$502)-2),3)),"")&lt;&gt;"",IFERROR(INDEX(Income!B$3:B$502,SMALL(IF((Income!D$3:D$502="GBP")*(Income!A$3:A$502=DATE(2026,10,24)),ROW(Income!A$3:A$502)-2),3)),""),""))</f>
        <v/>
      </c>
      <c r="O216" s="152">
        <f t="array" ref="O216">IF(IFERROR(-INDEX(Expenses!D$3:D$999,SMALL(IF((Expenses!E$3:E$999="GBP")*(Expenses!A$3:A$999=DATE(2026,10,25)),ROW(Expenses!A$3:A$999)-2),3)),0)+IFERROR(INDEX(Income!C$3:C$502,SMALL(IF((Income!D$3:D$502="GBP")*(Income!A$3:A$502=DATE(2026,10,25)),ROW(Income!A$3:A$502)-2),3)),0)=0,"",IFERROR(-INDEX(Expenses!D$3:D$999,SMALL(IF((Expenses!E$3:E$999="GBP")*(Expenses!A$3:A$999=DATE(2026,10,25)),ROW(Expenses!A$3:A$999)-2),3)),0)+IFERROR(INDEX(Income!C$3:C$502,SMALL(IF((Income!D$3:D$502="GBP")*(Income!A$3:A$502=DATE(2026,10,25)),ROW(Income!A$3:A$502)-2),3)),0))</f>
        <v/>
      </c>
      <c r="P216" s="126">
        <f t="array" ref="P216">IF(IFERROR(INDEX(Expenses!B$3:B$999,SMALL(IF((Expenses!E$3:E$999="GBP")*(Expenses!A$3:A$999=DATE(2026,10,25)),ROW(Expenses!A$3:A$999)-2),3)),"")&lt;&gt;"",IFERROR(INDEX(Expenses!B$3:B$999,SMALL(IF((Expenses!E$3:E$999="GBP")*(Expenses!A$3:A$999=DATE(2026,10,25)),ROW(Expenses!A$3:A$999)-2),3)),""),IF(IFERROR(INDEX(Income!B$3:B$502,SMALL(IF((Income!D$3:D$502="GBP")*(Income!A$3:A$502=DATE(2026,10,25)),ROW(Income!A$3:A$502)-2),3)),"")&lt;&gt;"",IFERROR(INDEX(Income!B$3:B$502,SMALL(IF((Income!D$3:D$502="GBP")*(Income!A$3:A$502=DATE(2026,10,25)),ROW(Income!A$3:A$502)-2),3)),""),""))</f>
        <v/>
      </c>
      <c r="Q216" s="9" t="n"/>
      <c r="R216" s="9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68">
      <c r="A217" s="9" t="n"/>
      <c r="B217" s="9" t="n"/>
      <c r="C217" s="152">
        <f t="array" ref="C217">IF(IFERROR(-INDEX(Expenses!D$3:D$999,SMALL(IF((Expenses!E$3:E$999="GBP")*(Expenses!A$3:A$999=DATE(2026,10,19)),ROW(Expenses!A$3:A$999)-2),4)),0)+IFERROR(INDEX(Income!C$3:C$502,SMALL(IF((Income!D$3:D$502="GBP")*(Income!A$3:A$502=DATE(2026,10,19)),ROW(Income!A$3:A$502)-2),4)),0)=0,"",IFERROR(-INDEX(Expenses!D$3:D$999,SMALL(IF((Expenses!E$3:E$999="GBP")*(Expenses!A$3:A$999=DATE(2026,10,19)),ROW(Expenses!A$3:A$999)-2),4)),0)+IFERROR(INDEX(Income!C$3:C$502,SMALL(IF((Income!D$3:D$502="GBP")*(Income!A$3:A$502=DATE(2026,10,19)),ROW(Income!A$3:A$502)-2),4)),0))</f>
        <v/>
      </c>
      <c r="D217" s="126">
        <f t="array" ref="D217">IF(IFERROR(INDEX(Expenses!B$3:B$999,SMALL(IF((Expenses!E$3:E$999="GBP")*(Expenses!A$3:A$999=DATE(2026,10,19)),ROW(Expenses!A$3:A$999)-2),4)),"")&lt;&gt;"",IFERROR(INDEX(Expenses!B$3:B$999,SMALL(IF((Expenses!E$3:E$999="GBP")*(Expenses!A$3:A$999=DATE(2026,10,19)),ROW(Expenses!A$3:A$999)-2),4)),""),IF(IFERROR(INDEX(Income!B$3:B$502,SMALL(IF((Income!D$3:D$502="GBP")*(Income!A$3:A$502=DATE(2026,10,19)),ROW(Income!A$3:A$502)-2),4)),"")&lt;&gt;"",IFERROR(INDEX(Income!B$3:B$502,SMALL(IF((Income!D$3:D$502="GBP")*(Income!A$3:A$502=DATE(2026,10,19)),ROW(Income!A$3:A$502)-2),4)),""),""))</f>
        <v/>
      </c>
      <c r="E217" s="152">
        <f t="array" ref="E217">IF(IFERROR(-INDEX(Expenses!D$3:D$999,SMALL(IF((Expenses!E$3:E$999="GBP")*(Expenses!A$3:A$999=DATE(2026,10,20)),ROW(Expenses!A$3:A$999)-2),4)),0)+IFERROR(INDEX(Income!C$3:C$502,SMALL(IF((Income!D$3:D$502="GBP")*(Income!A$3:A$502=DATE(2026,10,20)),ROW(Income!A$3:A$502)-2),4)),0)=0,"",IFERROR(-INDEX(Expenses!D$3:D$999,SMALL(IF((Expenses!E$3:E$999="GBP")*(Expenses!A$3:A$999=DATE(2026,10,20)),ROW(Expenses!A$3:A$999)-2),4)),0)+IFERROR(INDEX(Income!C$3:C$502,SMALL(IF((Income!D$3:D$502="GBP")*(Income!A$3:A$502=DATE(2026,10,20)),ROW(Income!A$3:A$502)-2),4)),0))</f>
        <v/>
      </c>
      <c r="F217" s="126">
        <f t="array" ref="F217">IF(IFERROR(INDEX(Expenses!B$3:B$999,SMALL(IF((Expenses!E$3:E$999="GBP")*(Expenses!A$3:A$999=DATE(2026,10,20)),ROW(Expenses!A$3:A$999)-2),4)),"")&lt;&gt;"",IFERROR(INDEX(Expenses!B$3:B$999,SMALL(IF((Expenses!E$3:E$999="GBP")*(Expenses!A$3:A$999=DATE(2026,10,20)),ROW(Expenses!A$3:A$999)-2),4)),""),IF(IFERROR(INDEX(Income!B$3:B$502,SMALL(IF((Income!D$3:D$502="GBP")*(Income!A$3:A$502=DATE(2026,10,20)),ROW(Income!A$3:A$502)-2),4)),"")&lt;&gt;"",IFERROR(INDEX(Income!B$3:B$502,SMALL(IF((Income!D$3:D$502="GBP")*(Income!A$3:A$502=DATE(2026,10,20)),ROW(Income!A$3:A$502)-2),4)),""),""))</f>
        <v/>
      </c>
      <c r="G217" s="152">
        <f t="array" ref="G217">IF(IFERROR(-INDEX(Expenses!D$3:D$999,SMALL(IF((Expenses!E$3:E$999="GBP")*(Expenses!A$3:A$999=DATE(2026,10,21)),ROW(Expenses!A$3:A$999)-2),4)),0)+IFERROR(INDEX(Income!C$3:C$502,SMALL(IF((Income!D$3:D$502="GBP")*(Income!A$3:A$502=DATE(2026,10,21)),ROW(Income!A$3:A$502)-2),4)),0)=0,"",IFERROR(-INDEX(Expenses!D$3:D$999,SMALL(IF((Expenses!E$3:E$999="GBP")*(Expenses!A$3:A$999=DATE(2026,10,21)),ROW(Expenses!A$3:A$999)-2),4)),0)+IFERROR(INDEX(Income!C$3:C$502,SMALL(IF((Income!D$3:D$502="GBP")*(Income!A$3:A$502=DATE(2026,10,21)),ROW(Income!A$3:A$502)-2),4)),0))</f>
        <v/>
      </c>
      <c r="H217" s="126">
        <f t="array" ref="H217">IF(IFERROR(INDEX(Expenses!B$3:B$999,SMALL(IF((Expenses!E$3:E$999="GBP")*(Expenses!A$3:A$999=DATE(2026,10,21)),ROW(Expenses!A$3:A$999)-2),4)),"")&lt;&gt;"",IFERROR(INDEX(Expenses!B$3:B$999,SMALL(IF((Expenses!E$3:E$999="GBP")*(Expenses!A$3:A$999=DATE(2026,10,21)),ROW(Expenses!A$3:A$999)-2),4)),""),IF(IFERROR(INDEX(Income!B$3:B$502,SMALL(IF((Income!D$3:D$502="GBP")*(Income!A$3:A$502=DATE(2026,10,21)),ROW(Income!A$3:A$502)-2),4)),"")&lt;&gt;"",IFERROR(INDEX(Income!B$3:B$502,SMALL(IF((Income!D$3:D$502="GBP")*(Income!A$3:A$502=DATE(2026,10,21)),ROW(Income!A$3:A$502)-2),4)),""),""))</f>
        <v/>
      </c>
      <c r="I217" s="152">
        <f t="array" ref="I217">IF(IFERROR(-INDEX(Expenses!D$3:D$999,SMALL(IF((Expenses!E$3:E$999="GBP")*(Expenses!A$3:A$999=DATE(2026,10,22)),ROW(Expenses!A$3:A$999)-2),4)),0)+IFERROR(INDEX(Income!C$3:C$502,SMALL(IF((Income!D$3:D$502="GBP")*(Income!A$3:A$502=DATE(2026,10,22)),ROW(Income!A$3:A$502)-2),4)),0)=0,"",IFERROR(-INDEX(Expenses!D$3:D$999,SMALL(IF((Expenses!E$3:E$999="GBP")*(Expenses!A$3:A$999=DATE(2026,10,22)),ROW(Expenses!A$3:A$999)-2),4)),0)+IFERROR(INDEX(Income!C$3:C$502,SMALL(IF((Income!D$3:D$502="GBP")*(Income!A$3:A$502=DATE(2026,10,22)),ROW(Income!A$3:A$502)-2),4)),0))</f>
        <v/>
      </c>
      <c r="J217" s="126">
        <f t="array" ref="J217">IF(IFERROR(INDEX(Expenses!B$3:B$999,SMALL(IF((Expenses!E$3:E$999="GBP")*(Expenses!A$3:A$999=DATE(2026,10,22)),ROW(Expenses!A$3:A$999)-2),4)),"")&lt;&gt;"",IFERROR(INDEX(Expenses!B$3:B$999,SMALL(IF((Expenses!E$3:E$999="GBP")*(Expenses!A$3:A$999=DATE(2026,10,22)),ROW(Expenses!A$3:A$999)-2),4)),""),IF(IFERROR(INDEX(Income!B$3:B$502,SMALL(IF((Income!D$3:D$502="GBP")*(Income!A$3:A$502=DATE(2026,10,22)),ROW(Income!A$3:A$502)-2),4)),"")&lt;&gt;"",IFERROR(INDEX(Income!B$3:B$502,SMALL(IF((Income!D$3:D$502="GBP")*(Income!A$3:A$502=DATE(2026,10,22)),ROW(Income!A$3:A$502)-2),4)),""),""))</f>
        <v/>
      </c>
      <c r="K217" s="152">
        <f t="array" ref="K217">IF(IFERROR(-INDEX(Expenses!D$3:D$999,SMALL(IF((Expenses!E$3:E$999="GBP")*(Expenses!A$3:A$999=DATE(2026,10,23)),ROW(Expenses!A$3:A$999)-2),4)),0)+IFERROR(INDEX(Income!C$3:C$502,SMALL(IF((Income!D$3:D$502="GBP")*(Income!A$3:A$502=DATE(2026,10,23)),ROW(Income!A$3:A$502)-2),4)),0)=0,"",IFERROR(-INDEX(Expenses!D$3:D$999,SMALL(IF((Expenses!E$3:E$999="GBP")*(Expenses!A$3:A$999=DATE(2026,10,23)),ROW(Expenses!A$3:A$999)-2),4)),0)+IFERROR(INDEX(Income!C$3:C$502,SMALL(IF((Income!D$3:D$502="GBP")*(Income!A$3:A$502=DATE(2026,10,23)),ROW(Income!A$3:A$502)-2),4)),0))</f>
        <v/>
      </c>
      <c r="L217" s="126">
        <f t="array" ref="L217">IF(IFERROR(INDEX(Expenses!B$3:B$999,SMALL(IF((Expenses!E$3:E$999="GBP")*(Expenses!A$3:A$999=DATE(2026,10,23)),ROW(Expenses!A$3:A$999)-2),4)),"")&lt;&gt;"",IFERROR(INDEX(Expenses!B$3:B$999,SMALL(IF((Expenses!E$3:E$999="GBP")*(Expenses!A$3:A$999=DATE(2026,10,23)),ROW(Expenses!A$3:A$999)-2),4)),""),IF(IFERROR(INDEX(Income!B$3:B$502,SMALL(IF((Income!D$3:D$502="GBP")*(Income!A$3:A$502=DATE(2026,10,23)),ROW(Income!A$3:A$502)-2),4)),"")&lt;&gt;"",IFERROR(INDEX(Income!B$3:B$502,SMALL(IF((Income!D$3:D$502="GBP")*(Income!A$3:A$502=DATE(2026,10,23)),ROW(Income!A$3:A$502)-2),4)),""),""))</f>
        <v/>
      </c>
      <c r="M217" s="152">
        <f t="array" ref="M217">IF(IFERROR(-INDEX(Expenses!D$3:D$999,SMALL(IF((Expenses!E$3:E$999="GBP")*(Expenses!A$3:A$999=DATE(2026,10,24)),ROW(Expenses!A$3:A$999)-2),4)),0)+IFERROR(INDEX(Income!C$3:C$502,SMALL(IF((Income!D$3:D$502="GBP")*(Income!A$3:A$502=DATE(2026,10,24)),ROW(Income!A$3:A$502)-2),4)),0)=0,"",IFERROR(-INDEX(Expenses!D$3:D$999,SMALL(IF((Expenses!E$3:E$999="GBP")*(Expenses!A$3:A$999=DATE(2026,10,24)),ROW(Expenses!A$3:A$999)-2),4)),0)+IFERROR(INDEX(Income!C$3:C$502,SMALL(IF((Income!D$3:D$502="GBP")*(Income!A$3:A$502=DATE(2026,10,24)),ROW(Income!A$3:A$502)-2),4)),0))</f>
        <v/>
      </c>
      <c r="N217" s="126">
        <f t="array" ref="N217">IF(IFERROR(INDEX(Expenses!B$3:B$999,SMALL(IF((Expenses!E$3:E$999="GBP")*(Expenses!A$3:A$999=DATE(2026,10,24)),ROW(Expenses!A$3:A$999)-2),4)),"")&lt;&gt;"",IFERROR(INDEX(Expenses!B$3:B$999,SMALL(IF((Expenses!E$3:E$999="GBP")*(Expenses!A$3:A$999=DATE(2026,10,24)),ROW(Expenses!A$3:A$999)-2),4)),""),IF(IFERROR(INDEX(Income!B$3:B$502,SMALL(IF((Income!D$3:D$502="GBP")*(Income!A$3:A$502=DATE(2026,10,24)),ROW(Income!A$3:A$502)-2),4)),"")&lt;&gt;"",IFERROR(INDEX(Income!B$3:B$502,SMALL(IF((Income!D$3:D$502="GBP")*(Income!A$3:A$502=DATE(2026,10,24)),ROW(Income!A$3:A$502)-2),4)),""),""))</f>
        <v/>
      </c>
      <c r="O217" s="152">
        <f t="array" ref="O217">IF(IFERROR(-INDEX(Expenses!D$3:D$999,SMALL(IF((Expenses!E$3:E$999="GBP")*(Expenses!A$3:A$999=DATE(2026,10,25)),ROW(Expenses!A$3:A$999)-2),4)),0)+IFERROR(INDEX(Income!C$3:C$502,SMALL(IF((Income!D$3:D$502="GBP")*(Income!A$3:A$502=DATE(2026,10,25)),ROW(Income!A$3:A$502)-2),4)),0)=0,"",IFERROR(-INDEX(Expenses!D$3:D$999,SMALL(IF((Expenses!E$3:E$999="GBP")*(Expenses!A$3:A$999=DATE(2026,10,25)),ROW(Expenses!A$3:A$999)-2),4)),0)+IFERROR(INDEX(Income!C$3:C$502,SMALL(IF((Income!D$3:D$502="GBP")*(Income!A$3:A$502=DATE(2026,10,25)),ROW(Income!A$3:A$502)-2),4)),0))</f>
        <v/>
      </c>
      <c r="P217" s="126">
        <f t="array" ref="P217">IF(IFERROR(INDEX(Expenses!B$3:B$999,SMALL(IF((Expenses!E$3:E$999="GBP")*(Expenses!A$3:A$999=DATE(2026,10,25)),ROW(Expenses!A$3:A$999)-2),4)),"")&lt;&gt;"",IFERROR(INDEX(Expenses!B$3:B$999,SMALL(IF((Expenses!E$3:E$999="GBP")*(Expenses!A$3:A$999=DATE(2026,10,25)),ROW(Expenses!A$3:A$999)-2),4)),""),IF(IFERROR(INDEX(Income!B$3:B$502,SMALL(IF((Income!D$3:D$502="GBP")*(Income!A$3:A$502=DATE(2026,10,25)),ROW(Income!A$3:A$502)-2),4)),"")&lt;&gt;"",IFERROR(INDEX(Income!B$3:B$502,SMALL(IF((Income!D$3:D$502="GBP")*(Income!A$3:A$502=DATE(2026,10,25)),ROW(Income!A$3:A$502)-2),4)),""),""))</f>
        <v/>
      </c>
      <c r="Q217" s="9" t="n"/>
      <c r="R217" s="9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68">
      <c r="A218" s="9" t="n"/>
      <c r="B218" s="9" t="n"/>
      <c r="C218" s="152">
        <f t="array" ref="C218">IF(IFERROR(-INDEX(Expenses!D$3:D$999,SMALL(IF((Expenses!E$3:E$999="GBP")*(Expenses!A$3:A$999=DATE(2026,10,19)),ROW(Expenses!A$3:A$999)-2),5)),0)+IFERROR(INDEX(Income!C$3:C$502,SMALL(IF((Income!D$3:D$502="GBP")*(Income!A$3:A$502=DATE(2026,10,19)),ROW(Income!A$3:A$502)-2),5)),0)=0,"",IFERROR(-INDEX(Expenses!D$3:D$999,SMALL(IF((Expenses!E$3:E$999="GBP")*(Expenses!A$3:A$999=DATE(2026,10,19)),ROW(Expenses!A$3:A$999)-2),5)),0)+IFERROR(INDEX(Income!C$3:C$502,SMALL(IF((Income!D$3:D$502="GBP")*(Income!A$3:A$502=DATE(2026,10,19)),ROW(Income!A$3:A$502)-2),5)),0))</f>
        <v/>
      </c>
      <c r="D218" s="126">
        <f t="array" ref="D218">IF(IFERROR(INDEX(Expenses!B$3:B$999,SMALL(IF((Expenses!E$3:E$999="GBP")*(Expenses!A$3:A$999=DATE(2026,10,19)),ROW(Expenses!A$3:A$999)-2),5)),"")&lt;&gt;"",IFERROR(INDEX(Expenses!B$3:B$999,SMALL(IF((Expenses!E$3:E$999="GBP")*(Expenses!A$3:A$999=DATE(2026,10,19)),ROW(Expenses!A$3:A$999)-2),5)),""),IF(IFERROR(INDEX(Income!B$3:B$502,SMALL(IF((Income!D$3:D$502="GBP")*(Income!A$3:A$502=DATE(2026,10,19)),ROW(Income!A$3:A$502)-2),5)),"")&lt;&gt;"",IFERROR(INDEX(Income!B$3:B$502,SMALL(IF((Income!D$3:D$502="GBP")*(Income!A$3:A$502=DATE(2026,10,19)),ROW(Income!A$3:A$502)-2),5)),""),""))</f>
        <v/>
      </c>
      <c r="E218" s="152">
        <f t="array" ref="E218">IF(IFERROR(-INDEX(Expenses!D$3:D$999,SMALL(IF((Expenses!E$3:E$999="GBP")*(Expenses!A$3:A$999=DATE(2026,10,20)),ROW(Expenses!A$3:A$999)-2),5)),0)+IFERROR(INDEX(Income!C$3:C$502,SMALL(IF((Income!D$3:D$502="GBP")*(Income!A$3:A$502=DATE(2026,10,20)),ROW(Income!A$3:A$502)-2),5)),0)=0,"",IFERROR(-INDEX(Expenses!D$3:D$999,SMALL(IF((Expenses!E$3:E$999="GBP")*(Expenses!A$3:A$999=DATE(2026,10,20)),ROW(Expenses!A$3:A$999)-2),5)),0)+IFERROR(INDEX(Income!C$3:C$502,SMALL(IF((Income!D$3:D$502="GBP")*(Income!A$3:A$502=DATE(2026,10,20)),ROW(Income!A$3:A$502)-2),5)),0))</f>
        <v/>
      </c>
      <c r="F218" s="126">
        <f t="array" ref="F218">IF(IFERROR(INDEX(Expenses!B$3:B$999,SMALL(IF((Expenses!E$3:E$999="GBP")*(Expenses!A$3:A$999=DATE(2026,10,20)),ROW(Expenses!A$3:A$999)-2),5)),"")&lt;&gt;"",IFERROR(INDEX(Expenses!B$3:B$999,SMALL(IF((Expenses!E$3:E$999="GBP")*(Expenses!A$3:A$999=DATE(2026,10,20)),ROW(Expenses!A$3:A$999)-2),5)),""),IF(IFERROR(INDEX(Income!B$3:B$502,SMALL(IF((Income!D$3:D$502="GBP")*(Income!A$3:A$502=DATE(2026,10,20)),ROW(Income!A$3:A$502)-2),5)),"")&lt;&gt;"",IFERROR(INDEX(Income!B$3:B$502,SMALL(IF((Income!D$3:D$502="GBP")*(Income!A$3:A$502=DATE(2026,10,20)),ROW(Income!A$3:A$502)-2),5)),""),""))</f>
        <v/>
      </c>
      <c r="G218" s="152">
        <f t="array" ref="G218">IF(IFERROR(-INDEX(Expenses!D$3:D$999,SMALL(IF((Expenses!E$3:E$999="GBP")*(Expenses!A$3:A$999=DATE(2026,10,21)),ROW(Expenses!A$3:A$999)-2),5)),0)+IFERROR(INDEX(Income!C$3:C$502,SMALL(IF((Income!D$3:D$502="GBP")*(Income!A$3:A$502=DATE(2026,10,21)),ROW(Income!A$3:A$502)-2),5)),0)=0,"",IFERROR(-INDEX(Expenses!D$3:D$999,SMALL(IF((Expenses!E$3:E$999="GBP")*(Expenses!A$3:A$999=DATE(2026,10,21)),ROW(Expenses!A$3:A$999)-2),5)),0)+IFERROR(INDEX(Income!C$3:C$502,SMALL(IF((Income!D$3:D$502="GBP")*(Income!A$3:A$502=DATE(2026,10,21)),ROW(Income!A$3:A$502)-2),5)),0))</f>
        <v/>
      </c>
      <c r="H218" s="126">
        <f t="array" ref="H218">IF(IFERROR(INDEX(Expenses!B$3:B$999,SMALL(IF((Expenses!E$3:E$999="GBP")*(Expenses!A$3:A$999=DATE(2026,10,21)),ROW(Expenses!A$3:A$999)-2),5)),"")&lt;&gt;"",IFERROR(INDEX(Expenses!B$3:B$999,SMALL(IF((Expenses!E$3:E$999="GBP")*(Expenses!A$3:A$999=DATE(2026,10,21)),ROW(Expenses!A$3:A$999)-2),5)),""),IF(IFERROR(INDEX(Income!B$3:B$502,SMALL(IF((Income!D$3:D$502="GBP")*(Income!A$3:A$502=DATE(2026,10,21)),ROW(Income!A$3:A$502)-2),5)),"")&lt;&gt;"",IFERROR(INDEX(Income!B$3:B$502,SMALL(IF((Income!D$3:D$502="GBP")*(Income!A$3:A$502=DATE(2026,10,21)),ROW(Income!A$3:A$502)-2),5)),""),""))</f>
        <v/>
      </c>
      <c r="I218" s="152">
        <f t="array" ref="I218">IF(IFERROR(-INDEX(Expenses!D$3:D$999,SMALL(IF((Expenses!E$3:E$999="GBP")*(Expenses!A$3:A$999=DATE(2026,10,22)),ROW(Expenses!A$3:A$999)-2),5)),0)+IFERROR(INDEX(Income!C$3:C$502,SMALL(IF((Income!D$3:D$502="GBP")*(Income!A$3:A$502=DATE(2026,10,22)),ROW(Income!A$3:A$502)-2),5)),0)=0,"",IFERROR(-INDEX(Expenses!D$3:D$999,SMALL(IF((Expenses!E$3:E$999="GBP")*(Expenses!A$3:A$999=DATE(2026,10,22)),ROW(Expenses!A$3:A$999)-2),5)),0)+IFERROR(INDEX(Income!C$3:C$502,SMALL(IF((Income!D$3:D$502="GBP")*(Income!A$3:A$502=DATE(2026,10,22)),ROW(Income!A$3:A$502)-2),5)),0))</f>
        <v/>
      </c>
      <c r="J218" s="126">
        <f t="array" ref="J218">IF(IFERROR(INDEX(Expenses!B$3:B$999,SMALL(IF((Expenses!E$3:E$999="GBP")*(Expenses!A$3:A$999=DATE(2026,10,22)),ROW(Expenses!A$3:A$999)-2),5)),"")&lt;&gt;"",IFERROR(INDEX(Expenses!B$3:B$999,SMALL(IF((Expenses!E$3:E$999="GBP")*(Expenses!A$3:A$999=DATE(2026,10,22)),ROW(Expenses!A$3:A$999)-2),5)),""),IF(IFERROR(INDEX(Income!B$3:B$502,SMALL(IF((Income!D$3:D$502="GBP")*(Income!A$3:A$502=DATE(2026,10,22)),ROW(Income!A$3:A$502)-2),5)),"")&lt;&gt;"",IFERROR(INDEX(Income!B$3:B$502,SMALL(IF((Income!D$3:D$502="GBP")*(Income!A$3:A$502=DATE(2026,10,22)),ROW(Income!A$3:A$502)-2),5)),""),""))</f>
        <v/>
      </c>
      <c r="K218" s="152">
        <f t="array" ref="K218">IF(IFERROR(-INDEX(Expenses!D$3:D$999,SMALL(IF((Expenses!E$3:E$999="GBP")*(Expenses!A$3:A$999=DATE(2026,10,23)),ROW(Expenses!A$3:A$999)-2),5)),0)+IFERROR(INDEX(Income!C$3:C$502,SMALL(IF((Income!D$3:D$502="GBP")*(Income!A$3:A$502=DATE(2026,10,23)),ROW(Income!A$3:A$502)-2),5)),0)=0,"",IFERROR(-INDEX(Expenses!D$3:D$999,SMALL(IF((Expenses!E$3:E$999="GBP")*(Expenses!A$3:A$999=DATE(2026,10,23)),ROW(Expenses!A$3:A$999)-2),5)),0)+IFERROR(INDEX(Income!C$3:C$502,SMALL(IF((Income!D$3:D$502="GBP")*(Income!A$3:A$502=DATE(2026,10,23)),ROW(Income!A$3:A$502)-2),5)),0))</f>
        <v/>
      </c>
      <c r="L218" s="126">
        <f t="array" ref="L218">IF(IFERROR(INDEX(Expenses!B$3:B$999,SMALL(IF((Expenses!E$3:E$999="GBP")*(Expenses!A$3:A$999=DATE(2026,10,23)),ROW(Expenses!A$3:A$999)-2),5)),"")&lt;&gt;"",IFERROR(INDEX(Expenses!B$3:B$999,SMALL(IF((Expenses!E$3:E$999="GBP")*(Expenses!A$3:A$999=DATE(2026,10,23)),ROW(Expenses!A$3:A$999)-2),5)),""),IF(IFERROR(INDEX(Income!B$3:B$502,SMALL(IF((Income!D$3:D$502="GBP")*(Income!A$3:A$502=DATE(2026,10,23)),ROW(Income!A$3:A$502)-2),5)),"")&lt;&gt;"",IFERROR(INDEX(Income!B$3:B$502,SMALL(IF((Income!D$3:D$502="GBP")*(Income!A$3:A$502=DATE(2026,10,23)),ROW(Income!A$3:A$502)-2),5)),""),""))</f>
        <v/>
      </c>
      <c r="M218" s="152">
        <f t="array" ref="M218">IF(IFERROR(-INDEX(Expenses!D$3:D$999,SMALL(IF((Expenses!E$3:E$999="GBP")*(Expenses!A$3:A$999=DATE(2026,10,24)),ROW(Expenses!A$3:A$999)-2),5)),0)+IFERROR(INDEX(Income!C$3:C$502,SMALL(IF((Income!D$3:D$502="GBP")*(Income!A$3:A$502=DATE(2026,10,24)),ROW(Income!A$3:A$502)-2),5)),0)=0,"",IFERROR(-INDEX(Expenses!D$3:D$999,SMALL(IF((Expenses!E$3:E$999="GBP")*(Expenses!A$3:A$999=DATE(2026,10,24)),ROW(Expenses!A$3:A$999)-2),5)),0)+IFERROR(INDEX(Income!C$3:C$502,SMALL(IF((Income!D$3:D$502="GBP")*(Income!A$3:A$502=DATE(2026,10,24)),ROW(Income!A$3:A$502)-2),5)),0))</f>
        <v/>
      </c>
      <c r="N218" s="126">
        <f t="array" ref="N218">IF(IFERROR(INDEX(Expenses!B$3:B$999,SMALL(IF((Expenses!E$3:E$999="GBP")*(Expenses!A$3:A$999=DATE(2026,10,24)),ROW(Expenses!A$3:A$999)-2),5)),"")&lt;&gt;"",IFERROR(INDEX(Expenses!B$3:B$999,SMALL(IF((Expenses!E$3:E$999="GBP")*(Expenses!A$3:A$999=DATE(2026,10,24)),ROW(Expenses!A$3:A$999)-2),5)),""),IF(IFERROR(INDEX(Income!B$3:B$502,SMALL(IF((Income!D$3:D$502="GBP")*(Income!A$3:A$502=DATE(2026,10,24)),ROW(Income!A$3:A$502)-2),5)),"")&lt;&gt;"",IFERROR(INDEX(Income!B$3:B$502,SMALL(IF((Income!D$3:D$502="GBP")*(Income!A$3:A$502=DATE(2026,10,24)),ROW(Income!A$3:A$502)-2),5)),""),""))</f>
        <v/>
      </c>
      <c r="O218" s="152">
        <f t="array" ref="O218">IF(IFERROR(-INDEX(Expenses!D$3:D$999,SMALL(IF((Expenses!E$3:E$999="GBP")*(Expenses!A$3:A$999=DATE(2026,10,25)),ROW(Expenses!A$3:A$999)-2),5)),0)+IFERROR(INDEX(Income!C$3:C$502,SMALL(IF((Income!D$3:D$502="GBP")*(Income!A$3:A$502=DATE(2026,10,25)),ROW(Income!A$3:A$502)-2),5)),0)=0,"",IFERROR(-INDEX(Expenses!D$3:D$999,SMALL(IF((Expenses!E$3:E$999="GBP")*(Expenses!A$3:A$999=DATE(2026,10,25)),ROW(Expenses!A$3:A$999)-2),5)),0)+IFERROR(INDEX(Income!C$3:C$502,SMALL(IF((Income!D$3:D$502="GBP")*(Income!A$3:A$502=DATE(2026,10,25)),ROW(Income!A$3:A$502)-2),5)),0))</f>
        <v/>
      </c>
      <c r="P218" s="126">
        <f t="array" ref="P218">IF(IFERROR(INDEX(Expenses!B$3:B$999,SMALL(IF((Expenses!E$3:E$999="GBP")*(Expenses!A$3:A$999=DATE(2026,10,25)),ROW(Expenses!A$3:A$999)-2),5)),"")&lt;&gt;"",IFERROR(INDEX(Expenses!B$3:B$999,SMALL(IF((Expenses!E$3:E$999="GBP")*(Expenses!A$3:A$999=DATE(2026,10,25)),ROW(Expenses!A$3:A$999)-2),5)),""),IF(IFERROR(INDEX(Income!B$3:B$502,SMALL(IF((Income!D$3:D$502="GBP")*(Income!A$3:A$502=DATE(2026,10,25)),ROW(Income!A$3:A$502)-2),5)),"")&lt;&gt;"",IFERROR(INDEX(Income!B$3:B$502,SMALL(IF((Income!D$3:D$502="GBP")*(Income!A$3:A$502=DATE(2026,10,25)),ROW(Income!A$3:A$502)-2),5)),""),""))</f>
        <v/>
      </c>
      <c r="Q218" s="9" t="n"/>
      <c r="R218" s="9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68">
      <c r="A219" s="151" t="n">
        <v>46321</v>
      </c>
      <c r="B219" s="103" t="n">
        <v>44</v>
      </c>
      <c r="C219" s="152">
        <f t="array" ref="C219">IF(IFERROR(-INDEX(Expenses!D$3:D$999,SMALL(IF((Expenses!E$3:E$999="GBP")*(Expenses!A$3:A$999=DATE(2026,10,26)),ROW(Expenses!A$3:A$999)-2),1)),0)+IFERROR(INDEX(Income!C$3:C$502,SMALL(IF((Income!D$3:D$502="GBP")*(Income!A$3:A$502=DATE(2026,10,26)),ROW(Income!A$3:A$502)-2),1)),0)=0,"",IFERROR(-INDEX(Expenses!D$3:D$999,SMALL(IF((Expenses!E$3:E$999="GBP")*(Expenses!A$3:A$999=DATE(2026,10,26)),ROW(Expenses!A$3:A$999)-2),1)),0)+IFERROR(INDEX(Income!C$3:C$502,SMALL(IF((Income!D$3:D$502="GBP")*(Income!A$3:A$502=DATE(2026,10,26)),ROW(Income!A$3:A$502)-2),1)),0))</f>
        <v/>
      </c>
      <c r="D219" s="126">
        <f t="array" ref="D219">IF(IFERROR(INDEX(Expenses!B$3:B$999,SMALL(IF((Expenses!E$3:E$999="GBP")*(Expenses!A$3:A$999=DATE(2026,10,26)),ROW(Expenses!A$3:A$999)-2),1)),"")&lt;&gt;"",IFERROR(INDEX(Expenses!B$3:B$999,SMALL(IF((Expenses!E$3:E$999="GBP")*(Expenses!A$3:A$999=DATE(2026,10,26)),ROW(Expenses!A$3:A$999)-2),1)),""),IF(IFERROR(INDEX(Income!B$3:B$502,SMALL(IF((Income!D$3:D$502="GBP")*(Income!A$3:A$502=DATE(2026,10,26)),ROW(Income!A$3:A$502)-2),1)),"")&lt;&gt;"",IFERROR(INDEX(Income!B$3:B$502,SMALL(IF((Income!D$3:D$502="GBP")*(Income!A$3:A$502=DATE(2026,10,26)),ROW(Income!A$3:A$502)-2),1)),""),""))</f>
        <v/>
      </c>
      <c r="E219" s="152">
        <f t="array" ref="E219">IF(IFERROR(-INDEX(Expenses!D$3:D$999,SMALL(IF((Expenses!E$3:E$999="GBP")*(Expenses!A$3:A$999=DATE(2026,10,27)),ROW(Expenses!A$3:A$999)-2),1)),0)+IFERROR(INDEX(Income!C$3:C$502,SMALL(IF((Income!D$3:D$502="GBP")*(Income!A$3:A$502=DATE(2026,10,27)),ROW(Income!A$3:A$502)-2),1)),0)=0,"",IFERROR(-INDEX(Expenses!D$3:D$999,SMALL(IF((Expenses!E$3:E$999="GBP")*(Expenses!A$3:A$999=DATE(2026,10,27)),ROW(Expenses!A$3:A$999)-2),1)),0)+IFERROR(INDEX(Income!C$3:C$502,SMALL(IF((Income!D$3:D$502="GBP")*(Income!A$3:A$502=DATE(2026,10,27)),ROW(Income!A$3:A$502)-2),1)),0))</f>
        <v/>
      </c>
      <c r="F219" s="126">
        <f t="array" ref="F219">IF(IFERROR(INDEX(Expenses!B$3:B$999,SMALL(IF((Expenses!E$3:E$999="GBP")*(Expenses!A$3:A$999=DATE(2026,10,27)),ROW(Expenses!A$3:A$999)-2),1)),"")&lt;&gt;"",IFERROR(INDEX(Expenses!B$3:B$999,SMALL(IF((Expenses!E$3:E$999="GBP")*(Expenses!A$3:A$999=DATE(2026,10,27)),ROW(Expenses!A$3:A$999)-2),1)),""),IF(IFERROR(INDEX(Income!B$3:B$502,SMALL(IF((Income!D$3:D$502="GBP")*(Income!A$3:A$502=DATE(2026,10,27)),ROW(Income!A$3:A$502)-2),1)),"")&lt;&gt;"",IFERROR(INDEX(Income!B$3:B$502,SMALL(IF((Income!D$3:D$502="GBP")*(Income!A$3:A$502=DATE(2026,10,27)),ROW(Income!A$3:A$502)-2),1)),""),""))</f>
        <v/>
      </c>
      <c r="G219" s="152">
        <f t="array" ref="G219">IF(IFERROR(-INDEX(Expenses!D$3:D$999,SMALL(IF((Expenses!E$3:E$999="GBP")*(Expenses!A$3:A$999=DATE(2026,10,28)),ROW(Expenses!A$3:A$999)-2),1)),0)+IFERROR(INDEX(Income!C$3:C$502,SMALL(IF((Income!D$3:D$502="GBP")*(Income!A$3:A$502=DATE(2026,10,28)),ROW(Income!A$3:A$502)-2),1)),0)=0,"",IFERROR(-INDEX(Expenses!D$3:D$999,SMALL(IF((Expenses!E$3:E$999="GBP")*(Expenses!A$3:A$999=DATE(2026,10,28)),ROW(Expenses!A$3:A$999)-2),1)),0)+IFERROR(INDEX(Income!C$3:C$502,SMALL(IF((Income!D$3:D$502="GBP")*(Income!A$3:A$502=DATE(2026,10,28)),ROW(Income!A$3:A$502)-2),1)),0))</f>
        <v/>
      </c>
      <c r="H219" s="126">
        <f t="array" ref="H219">IF(IFERROR(INDEX(Expenses!B$3:B$999,SMALL(IF((Expenses!E$3:E$999="GBP")*(Expenses!A$3:A$999=DATE(2026,10,28)),ROW(Expenses!A$3:A$999)-2),1)),"")&lt;&gt;"",IFERROR(INDEX(Expenses!B$3:B$999,SMALL(IF((Expenses!E$3:E$999="GBP")*(Expenses!A$3:A$999=DATE(2026,10,28)),ROW(Expenses!A$3:A$999)-2),1)),""),IF(IFERROR(INDEX(Income!B$3:B$502,SMALL(IF((Income!D$3:D$502="GBP")*(Income!A$3:A$502=DATE(2026,10,28)),ROW(Income!A$3:A$502)-2),1)),"")&lt;&gt;"",IFERROR(INDEX(Income!B$3:B$502,SMALL(IF((Income!D$3:D$502="GBP")*(Income!A$3:A$502=DATE(2026,10,28)),ROW(Income!A$3:A$502)-2),1)),""),""))</f>
        <v/>
      </c>
      <c r="I219" s="152">
        <f t="array" ref="I219">IF(IFERROR(-INDEX(Expenses!D$3:D$999,SMALL(IF((Expenses!E$3:E$999="GBP")*(Expenses!A$3:A$999=DATE(2026,10,29)),ROW(Expenses!A$3:A$999)-2),1)),0)+IFERROR(INDEX(Income!C$3:C$502,SMALL(IF((Income!D$3:D$502="GBP")*(Income!A$3:A$502=DATE(2026,10,29)),ROW(Income!A$3:A$502)-2),1)),0)=0,"",IFERROR(-INDEX(Expenses!D$3:D$999,SMALL(IF((Expenses!E$3:E$999="GBP")*(Expenses!A$3:A$999=DATE(2026,10,29)),ROW(Expenses!A$3:A$999)-2),1)),0)+IFERROR(INDEX(Income!C$3:C$502,SMALL(IF((Income!D$3:D$502="GBP")*(Income!A$3:A$502=DATE(2026,10,29)),ROW(Income!A$3:A$502)-2),1)),0))</f>
        <v/>
      </c>
      <c r="J219" s="126">
        <f t="array" ref="J219">IF(IFERROR(INDEX(Expenses!B$3:B$999,SMALL(IF((Expenses!E$3:E$999="GBP")*(Expenses!A$3:A$999=DATE(2026,10,29)),ROW(Expenses!A$3:A$999)-2),1)),"")&lt;&gt;"",IFERROR(INDEX(Expenses!B$3:B$999,SMALL(IF((Expenses!E$3:E$999="GBP")*(Expenses!A$3:A$999=DATE(2026,10,29)),ROW(Expenses!A$3:A$999)-2),1)),""),IF(IFERROR(INDEX(Income!B$3:B$502,SMALL(IF((Income!D$3:D$502="GBP")*(Income!A$3:A$502=DATE(2026,10,29)),ROW(Income!A$3:A$502)-2),1)),"")&lt;&gt;"",IFERROR(INDEX(Income!B$3:B$502,SMALL(IF((Income!D$3:D$502="GBP")*(Income!A$3:A$502=DATE(2026,10,29)),ROW(Income!A$3:A$502)-2),1)),""),""))</f>
        <v/>
      </c>
      <c r="K219" s="152">
        <f t="array" ref="K219">IF(IFERROR(-INDEX(Expenses!D$3:D$999,SMALL(IF((Expenses!E$3:E$999="GBP")*(Expenses!A$3:A$999=DATE(2026,10,30)),ROW(Expenses!A$3:A$999)-2),1)),0)+IFERROR(INDEX(Income!C$3:C$502,SMALL(IF((Income!D$3:D$502="GBP")*(Income!A$3:A$502=DATE(2026,10,30)),ROW(Income!A$3:A$502)-2),1)),0)=0,"",IFERROR(-INDEX(Expenses!D$3:D$999,SMALL(IF((Expenses!E$3:E$999="GBP")*(Expenses!A$3:A$999=DATE(2026,10,30)),ROW(Expenses!A$3:A$999)-2),1)),0)+IFERROR(INDEX(Income!C$3:C$502,SMALL(IF((Income!D$3:D$502="GBP")*(Income!A$3:A$502=DATE(2026,10,30)),ROW(Income!A$3:A$502)-2),1)),0))</f>
        <v/>
      </c>
      <c r="L219" s="126">
        <f t="array" ref="L219">IF(IFERROR(INDEX(Expenses!B$3:B$999,SMALL(IF((Expenses!E$3:E$999="GBP")*(Expenses!A$3:A$999=DATE(2026,10,30)),ROW(Expenses!A$3:A$999)-2),1)),"")&lt;&gt;"",IFERROR(INDEX(Expenses!B$3:B$999,SMALL(IF((Expenses!E$3:E$999="GBP")*(Expenses!A$3:A$999=DATE(2026,10,30)),ROW(Expenses!A$3:A$999)-2),1)),""),IF(IFERROR(INDEX(Income!B$3:B$502,SMALL(IF((Income!D$3:D$502="GBP")*(Income!A$3:A$502=DATE(2026,10,30)),ROW(Income!A$3:A$502)-2),1)),"")&lt;&gt;"",IFERROR(INDEX(Income!B$3:B$502,SMALL(IF((Income!D$3:D$502="GBP")*(Income!A$3:A$502=DATE(2026,10,30)),ROW(Income!A$3:A$502)-2),1)),""),""))</f>
        <v/>
      </c>
      <c r="M219" s="152">
        <f t="array" ref="M219">IF(IFERROR(-INDEX(Expenses!D$3:D$999,SMALL(IF((Expenses!E$3:E$999="GBP")*(Expenses!A$3:A$999=DATE(2026,10,31)),ROW(Expenses!A$3:A$999)-2),1)),0)+IFERROR(INDEX(Income!C$3:C$502,SMALL(IF((Income!D$3:D$502="GBP")*(Income!A$3:A$502=DATE(2026,10,31)),ROW(Income!A$3:A$502)-2),1)),0)=0,"",IFERROR(-INDEX(Expenses!D$3:D$999,SMALL(IF((Expenses!E$3:E$999="GBP")*(Expenses!A$3:A$999=DATE(2026,10,31)),ROW(Expenses!A$3:A$999)-2),1)),0)+IFERROR(INDEX(Income!C$3:C$502,SMALL(IF((Income!D$3:D$502="GBP")*(Income!A$3:A$502=DATE(2026,10,31)),ROW(Income!A$3:A$502)-2),1)),0))</f>
        <v/>
      </c>
      <c r="N219" s="126">
        <f t="array" ref="N219">IF(IFERROR(INDEX(Expenses!B$3:B$999,SMALL(IF((Expenses!E$3:E$999="GBP")*(Expenses!A$3:A$999=DATE(2026,10,31)),ROW(Expenses!A$3:A$999)-2),1)),"")&lt;&gt;"",IFERROR(INDEX(Expenses!B$3:B$999,SMALL(IF((Expenses!E$3:E$999="GBP")*(Expenses!A$3:A$999=DATE(2026,10,31)),ROW(Expenses!A$3:A$999)-2),1)),""),IF(IFERROR(INDEX(Income!B$3:B$502,SMALL(IF((Income!D$3:D$502="GBP")*(Income!A$3:A$502=DATE(2026,10,31)),ROW(Income!A$3:A$502)-2),1)),"")&lt;&gt;"",IFERROR(INDEX(Income!B$3:B$502,SMALL(IF((Income!D$3:D$502="GBP")*(Income!A$3:A$502=DATE(2026,10,31)),ROW(Income!A$3:A$502)-2),1)),""),""))</f>
        <v/>
      </c>
      <c r="O219" s="152">
        <f t="array" ref="O219">IF(IFERROR(-INDEX(Expenses!D$3:D$999,SMALL(IF((Expenses!E$3:E$999="GBP")*(Expenses!A$3:A$999=DATE(2026,11,1)),ROW(Expenses!A$3:A$999)-2),1)),0)+IFERROR(INDEX(Income!C$3:C$502,SMALL(IF((Income!D$3:D$502="GBP")*(Income!A$3:A$502=DATE(2026,11,1)),ROW(Income!A$3:A$502)-2),1)),0)=0,"",IFERROR(-INDEX(Expenses!D$3:D$999,SMALL(IF((Expenses!E$3:E$999="GBP")*(Expenses!A$3:A$999=DATE(2026,11,1)),ROW(Expenses!A$3:A$999)-2),1)),0)+IFERROR(INDEX(Income!C$3:C$502,SMALL(IF((Income!D$3:D$502="GBP")*(Income!A$3:A$502=DATE(2026,11,1)),ROW(Income!A$3:A$502)-2),1)),0))</f>
        <v/>
      </c>
      <c r="P219" s="126">
        <f t="array" ref="P219">IF(IFERROR(INDEX(Expenses!B$3:B$999,SMALL(IF((Expenses!E$3:E$999="GBP")*(Expenses!A$3:A$999=DATE(2026,11,1)),ROW(Expenses!A$3:A$999)-2),1)),"")&lt;&gt;"",IFERROR(INDEX(Expenses!B$3:B$999,SMALL(IF((Expenses!E$3:E$999="GBP")*(Expenses!A$3:A$999=DATE(2026,11,1)),ROW(Expenses!A$3:A$999)-2),1)),""),IF(IFERROR(INDEX(Income!B$3:B$502,SMALL(IF((Income!D$3:D$502="GBP")*(Income!A$3:A$502=DATE(2026,11,1)),ROW(Income!A$3:A$502)-2),1)),"")&lt;&gt;"",IFERROR(INDEX(Income!B$3:B$502,SMALL(IF((Income!D$3:D$502="GBP")*(Income!A$3:A$502=DATE(2026,11,1)),ROW(Income!A$3:A$502)-2),1)),""),""))</f>
        <v/>
      </c>
      <c r="Q219" s="103" t="n">
        <v>44</v>
      </c>
      <c r="R219" s="134">
        <f>SUM(C219:C223)+SUM(E219:E223)+SUM(G219:G223)+SUM(I219:I223)+SUM(K219:K223)+SUM(M219:M223)+SUM(O219:O223)</f>
        <v/>
      </c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68">
      <c r="A220" s="9" t="n"/>
      <c r="B220" s="9" t="n"/>
      <c r="C220" s="152">
        <f t="array" ref="C220">IF(IFERROR(-INDEX(Expenses!D$3:D$999,SMALL(IF((Expenses!E$3:E$999="GBP")*(Expenses!A$3:A$999=DATE(2026,10,26)),ROW(Expenses!A$3:A$999)-2),2)),0)+IFERROR(INDEX(Income!C$3:C$502,SMALL(IF((Income!D$3:D$502="GBP")*(Income!A$3:A$502=DATE(2026,10,26)),ROW(Income!A$3:A$502)-2),2)),0)=0,"",IFERROR(-INDEX(Expenses!D$3:D$999,SMALL(IF((Expenses!E$3:E$999="GBP")*(Expenses!A$3:A$999=DATE(2026,10,26)),ROW(Expenses!A$3:A$999)-2),2)),0)+IFERROR(INDEX(Income!C$3:C$502,SMALL(IF((Income!D$3:D$502="GBP")*(Income!A$3:A$502=DATE(2026,10,26)),ROW(Income!A$3:A$502)-2),2)),0))</f>
        <v/>
      </c>
      <c r="D220" s="126">
        <f t="array" ref="D220">IF(IFERROR(INDEX(Expenses!B$3:B$999,SMALL(IF((Expenses!E$3:E$999="GBP")*(Expenses!A$3:A$999=DATE(2026,10,26)),ROW(Expenses!A$3:A$999)-2),2)),"")&lt;&gt;"",IFERROR(INDEX(Expenses!B$3:B$999,SMALL(IF((Expenses!E$3:E$999="GBP")*(Expenses!A$3:A$999=DATE(2026,10,26)),ROW(Expenses!A$3:A$999)-2),2)),""),IF(IFERROR(INDEX(Income!B$3:B$502,SMALL(IF((Income!D$3:D$502="GBP")*(Income!A$3:A$502=DATE(2026,10,26)),ROW(Income!A$3:A$502)-2),2)),"")&lt;&gt;"",IFERROR(INDEX(Income!B$3:B$502,SMALL(IF((Income!D$3:D$502="GBP")*(Income!A$3:A$502=DATE(2026,10,26)),ROW(Income!A$3:A$502)-2),2)),""),""))</f>
        <v/>
      </c>
      <c r="E220" s="152">
        <f t="array" ref="E220">IF(IFERROR(-INDEX(Expenses!D$3:D$999,SMALL(IF((Expenses!E$3:E$999="GBP")*(Expenses!A$3:A$999=DATE(2026,10,27)),ROW(Expenses!A$3:A$999)-2),2)),0)+IFERROR(INDEX(Income!C$3:C$502,SMALL(IF((Income!D$3:D$502="GBP")*(Income!A$3:A$502=DATE(2026,10,27)),ROW(Income!A$3:A$502)-2),2)),0)=0,"",IFERROR(-INDEX(Expenses!D$3:D$999,SMALL(IF((Expenses!E$3:E$999="GBP")*(Expenses!A$3:A$999=DATE(2026,10,27)),ROW(Expenses!A$3:A$999)-2),2)),0)+IFERROR(INDEX(Income!C$3:C$502,SMALL(IF((Income!D$3:D$502="GBP")*(Income!A$3:A$502=DATE(2026,10,27)),ROW(Income!A$3:A$502)-2),2)),0))</f>
        <v/>
      </c>
      <c r="F220" s="126">
        <f t="array" ref="F220">IF(IFERROR(INDEX(Expenses!B$3:B$999,SMALL(IF((Expenses!E$3:E$999="GBP")*(Expenses!A$3:A$999=DATE(2026,10,27)),ROW(Expenses!A$3:A$999)-2),2)),"")&lt;&gt;"",IFERROR(INDEX(Expenses!B$3:B$999,SMALL(IF((Expenses!E$3:E$999="GBP")*(Expenses!A$3:A$999=DATE(2026,10,27)),ROW(Expenses!A$3:A$999)-2),2)),""),IF(IFERROR(INDEX(Income!B$3:B$502,SMALL(IF((Income!D$3:D$502="GBP")*(Income!A$3:A$502=DATE(2026,10,27)),ROW(Income!A$3:A$502)-2),2)),"")&lt;&gt;"",IFERROR(INDEX(Income!B$3:B$502,SMALL(IF((Income!D$3:D$502="GBP")*(Income!A$3:A$502=DATE(2026,10,27)),ROW(Income!A$3:A$502)-2),2)),""),""))</f>
        <v/>
      </c>
      <c r="G220" s="152">
        <f t="array" ref="G220">IF(IFERROR(-INDEX(Expenses!D$3:D$999,SMALL(IF((Expenses!E$3:E$999="GBP")*(Expenses!A$3:A$999=DATE(2026,10,28)),ROW(Expenses!A$3:A$999)-2),2)),0)+IFERROR(INDEX(Income!C$3:C$502,SMALL(IF((Income!D$3:D$502="GBP")*(Income!A$3:A$502=DATE(2026,10,28)),ROW(Income!A$3:A$502)-2),2)),0)=0,"",IFERROR(-INDEX(Expenses!D$3:D$999,SMALL(IF((Expenses!E$3:E$999="GBP")*(Expenses!A$3:A$999=DATE(2026,10,28)),ROW(Expenses!A$3:A$999)-2),2)),0)+IFERROR(INDEX(Income!C$3:C$502,SMALL(IF((Income!D$3:D$502="GBP")*(Income!A$3:A$502=DATE(2026,10,28)),ROW(Income!A$3:A$502)-2),2)),0))</f>
        <v/>
      </c>
      <c r="H220" s="126">
        <f t="array" ref="H220">IF(IFERROR(INDEX(Expenses!B$3:B$999,SMALL(IF((Expenses!E$3:E$999="GBP")*(Expenses!A$3:A$999=DATE(2026,10,28)),ROW(Expenses!A$3:A$999)-2),2)),"")&lt;&gt;"",IFERROR(INDEX(Expenses!B$3:B$999,SMALL(IF((Expenses!E$3:E$999="GBP")*(Expenses!A$3:A$999=DATE(2026,10,28)),ROW(Expenses!A$3:A$999)-2),2)),""),IF(IFERROR(INDEX(Income!B$3:B$502,SMALL(IF((Income!D$3:D$502="GBP")*(Income!A$3:A$502=DATE(2026,10,28)),ROW(Income!A$3:A$502)-2),2)),"")&lt;&gt;"",IFERROR(INDEX(Income!B$3:B$502,SMALL(IF((Income!D$3:D$502="GBP")*(Income!A$3:A$502=DATE(2026,10,28)),ROW(Income!A$3:A$502)-2),2)),""),""))</f>
        <v/>
      </c>
      <c r="I220" s="152">
        <f t="array" ref="I220">IF(IFERROR(-INDEX(Expenses!D$3:D$999,SMALL(IF((Expenses!E$3:E$999="GBP")*(Expenses!A$3:A$999=DATE(2026,10,29)),ROW(Expenses!A$3:A$999)-2),2)),0)+IFERROR(INDEX(Income!C$3:C$502,SMALL(IF((Income!D$3:D$502="GBP")*(Income!A$3:A$502=DATE(2026,10,29)),ROW(Income!A$3:A$502)-2),2)),0)=0,"",IFERROR(-INDEX(Expenses!D$3:D$999,SMALL(IF((Expenses!E$3:E$999="GBP")*(Expenses!A$3:A$999=DATE(2026,10,29)),ROW(Expenses!A$3:A$999)-2),2)),0)+IFERROR(INDEX(Income!C$3:C$502,SMALL(IF((Income!D$3:D$502="GBP")*(Income!A$3:A$502=DATE(2026,10,29)),ROW(Income!A$3:A$502)-2),2)),0))</f>
        <v/>
      </c>
      <c r="J220" s="126">
        <f t="array" ref="J220">IF(IFERROR(INDEX(Expenses!B$3:B$999,SMALL(IF((Expenses!E$3:E$999="GBP")*(Expenses!A$3:A$999=DATE(2026,10,29)),ROW(Expenses!A$3:A$999)-2),2)),"")&lt;&gt;"",IFERROR(INDEX(Expenses!B$3:B$999,SMALL(IF((Expenses!E$3:E$999="GBP")*(Expenses!A$3:A$999=DATE(2026,10,29)),ROW(Expenses!A$3:A$999)-2),2)),""),IF(IFERROR(INDEX(Income!B$3:B$502,SMALL(IF((Income!D$3:D$502="GBP")*(Income!A$3:A$502=DATE(2026,10,29)),ROW(Income!A$3:A$502)-2),2)),"")&lt;&gt;"",IFERROR(INDEX(Income!B$3:B$502,SMALL(IF((Income!D$3:D$502="GBP")*(Income!A$3:A$502=DATE(2026,10,29)),ROW(Income!A$3:A$502)-2),2)),""),""))</f>
        <v/>
      </c>
      <c r="K220" s="152">
        <f t="array" ref="K220">IF(IFERROR(-INDEX(Expenses!D$3:D$999,SMALL(IF((Expenses!E$3:E$999="GBP")*(Expenses!A$3:A$999=DATE(2026,10,30)),ROW(Expenses!A$3:A$999)-2),2)),0)+IFERROR(INDEX(Income!C$3:C$502,SMALL(IF((Income!D$3:D$502="GBP")*(Income!A$3:A$502=DATE(2026,10,30)),ROW(Income!A$3:A$502)-2),2)),0)=0,"",IFERROR(-INDEX(Expenses!D$3:D$999,SMALL(IF((Expenses!E$3:E$999="GBP")*(Expenses!A$3:A$999=DATE(2026,10,30)),ROW(Expenses!A$3:A$999)-2),2)),0)+IFERROR(INDEX(Income!C$3:C$502,SMALL(IF((Income!D$3:D$502="GBP")*(Income!A$3:A$502=DATE(2026,10,30)),ROW(Income!A$3:A$502)-2),2)),0))</f>
        <v/>
      </c>
      <c r="L220" s="126">
        <f t="array" ref="L220">IF(IFERROR(INDEX(Expenses!B$3:B$999,SMALL(IF((Expenses!E$3:E$999="GBP")*(Expenses!A$3:A$999=DATE(2026,10,30)),ROW(Expenses!A$3:A$999)-2),2)),"")&lt;&gt;"",IFERROR(INDEX(Expenses!B$3:B$999,SMALL(IF((Expenses!E$3:E$999="GBP")*(Expenses!A$3:A$999=DATE(2026,10,30)),ROW(Expenses!A$3:A$999)-2),2)),""),IF(IFERROR(INDEX(Income!B$3:B$502,SMALL(IF((Income!D$3:D$502="GBP")*(Income!A$3:A$502=DATE(2026,10,30)),ROW(Income!A$3:A$502)-2),2)),"")&lt;&gt;"",IFERROR(INDEX(Income!B$3:B$502,SMALL(IF((Income!D$3:D$502="GBP")*(Income!A$3:A$502=DATE(2026,10,30)),ROW(Income!A$3:A$502)-2),2)),""),""))</f>
        <v/>
      </c>
      <c r="M220" s="152">
        <f t="array" ref="M220">IF(IFERROR(-INDEX(Expenses!D$3:D$999,SMALL(IF((Expenses!E$3:E$999="GBP")*(Expenses!A$3:A$999=DATE(2026,10,31)),ROW(Expenses!A$3:A$999)-2),2)),0)+IFERROR(INDEX(Income!C$3:C$502,SMALL(IF((Income!D$3:D$502="GBP")*(Income!A$3:A$502=DATE(2026,10,31)),ROW(Income!A$3:A$502)-2),2)),0)=0,"",IFERROR(-INDEX(Expenses!D$3:D$999,SMALL(IF((Expenses!E$3:E$999="GBP")*(Expenses!A$3:A$999=DATE(2026,10,31)),ROW(Expenses!A$3:A$999)-2),2)),0)+IFERROR(INDEX(Income!C$3:C$502,SMALL(IF((Income!D$3:D$502="GBP")*(Income!A$3:A$502=DATE(2026,10,31)),ROW(Income!A$3:A$502)-2),2)),0))</f>
        <v/>
      </c>
      <c r="N220" s="126">
        <f t="array" ref="N220">IF(IFERROR(INDEX(Expenses!B$3:B$999,SMALL(IF((Expenses!E$3:E$999="GBP")*(Expenses!A$3:A$999=DATE(2026,10,31)),ROW(Expenses!A$3:A$999)-2),2)),"")&lt;&gt;"",IFERROR(INDEX(Expenses!B$3:B$999,SMALL(IF((Expenses!E$3:E$999="GBP")*(Expenses!A$3:A$999=DATE(2026,10,31)),ROW(Expenses!A$3:A$999)-2),2)),""),IF(IFERROR(INDEX(Income!B$3:B$502,SMALL(IF((Income!D$3:D$502="GBP")*(Income!A$3:A$502=DATE(2026,10,31)),ROW(Income!A$3:A$502)-2),2)),"")&lt;&gt;"",IFERROR(INDEX(Income!B$3:B$502,SMALL(IF((Income!D$3:D$502="GBP")*(Income!A$3:A$502=DATE(2026,10,31)),ROW(Income!A$3:A$502)-2),2)),""),""))</f>
        <v/>
      </c>
      <c r="O220" s="152">
        <f t="array" ref="O220">IF(IFERROR(-INDEX(Expenses!D$3:D$999,SMALL(IF((Expenses!E$3:E$999="GBP")*(Expenses!A$3:A$999=DATE(2026,11,1)),ROW(Expenses!A$3:A$999)-2),2)),0)+IFERROR(INDEX(Income!C$3:C$502,SMALL(IF((Income!D$3:D$502="GBP")*(Income!A$3:A$502=DATE(2026,11,1)),ROW(Income!A$3:A$502)-2),2)),0)=0,"",IFERROR(-INDEX(Expenses!D$3:D$999,SMALL(IF((Expenses!E$3:E$999="GBP")*(Expenses!A$3:A$999=DATE(2026,11,1)),ROW(Expenses!A$3:A$999)-2),2)),0)+IFERROR(INDEX(Income!C$3:C$502,SMALL(IF((Income!D$3:D$502="GBP")*(Income!A$3:A$502=DATE(2026,11,1)),ROW(Income!A$3:A$502)-2),2)),0))</f>
        <v/>
      </c>
      <c r="P220" s="126">
        <f t="array" ref="P220">IF(IFERROR(INDEX(Expenses!B$3:B$999,SMALL(IF((Expenses!E$3:E$999="GBP")*(Expenses!A$3:A$999=DATE(2026,11,1)),ROW(Expenses!A$3:A$999)-2),2)),"")&lt;&gt;"",IFERROR(INDEX(Expenses!B$3:B$999,SMALL(IF((Expenses!E$3:E$999="GBP")*(Expenses!A$3:A$999=DATE(2026,11,1)),ROW(Expenses!A$3:A$999)-2),2)),""),IF(IFERROR(INDEX(Income!B$3:B$502,SMALL(IF((Income!D$3:D$502="GBP")*(Income!A$3:A$502=DATE(2026,11,1)),ROW(Income!A$3:A$502)-2),2)),"")&lt;&gt;"",IFERROR(INDEX(Income!B$3:B$502,SMALL(IF((Income!D$3:D$502="GBP")*(Income!A$3:A$502=DATE(2026,11,1)),ROW(Income!A$3:A$502)-2),2)),""),""))</f>
        <v/>
      </c>
      <c r="Q220" s="9" t="n"/>
      <c r="R220" s="9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68">
      <c r="A221" s="9" t="n"/>
      <c r="B221" s="9" t="n"/>
      <c r="C221" s="152">
        <f t="array" ref="C221">IF(IFERROR(-INDEX(Expenses!D$3:D$999,SMALL(IF((Expenses!E$3:E$999="GBP")*(Expenses!A$3:A$999=DATE(2026,10,26)),ROW(Expenses!A$3:A$999)-2),3)),0)+IFERROR(INDEX(Income!C$3:C$502,SMALL(IF((Income!D$3:D$502="GBP")*(Income!A$3:A$502=DATE(2026,10,26)),ROW(Income!A$3:A$502)-2),3)),0)=0,"",IFERROR(-INDEX(Expenses!D$3:D$999,SMALL(IF((Expenses!E$3:E$999="GBP")*(Expenses!A$3:A$999=DATE(2026,10,26)),ROW(Expenses!A$3:A$999)-2),3)),0)+IFERROR(INDEX(Income!C$3:C$502,SMALL(IF((Income!D$3:D$502="GBP")*(Income!A$3:A$502=DATE(2026,10,26)),ROW(Income!A$3:A$502)-2),3)),0))</f>
        <v/>
      </c>
      <c r="D221" s="126">
        <f t="array" ref="D221">IF(IFERROR(INDEX(Expenses!B$3:B$999,SMALL(IF((Expenses!E$3:E$999="GBP")*(Expenses!A$3:A$999=DATE(2026,10,26)),ROW(Expenses!A$3:A$999)-2),3)),"")&lt;&gt;"",IFERROR(INDEX(Expenses!B$3:B$999,SMALL(IF((Expenses!E$3:E$999="GBP")*(Expenses!A$3:A$999=DATE(2026,10,26)),ROW(Expenses!A$3:A$999)-2),3)),""),IF(IFERROR(INDEX(Income!B$3:B$502,SMALL(IF((Income!D$3:D$502="GBP")*(Income!A$3:A$502=DATE(2026,10,26)),ROW(Income!A$3:A$502)-2),3)),"")&lt;&gt;"",IFERROR(INDEX(Income!B$3:B$502,SMALL(IF((Income!D$3:D$502="GBP")*(Income!A$3:A$502=DATE(2026,10,26)),ROW(Income!A$3:A$502)-2),3)),""),""))</f>
        <v/>
      </c>
      <c r="E221" s="152">
        <f t="array" ref="E221">IF(IFERROR(-INDEX(Expenses!D$3:D$999,SMALL(IF((Expenses!E$3:E$999="GBP")*(Expenses!A$3:A$999=DATE(2026,10,27)),ROW(Expenses!A$3:A$999)-2),3)),0)+IFERROR(INDEX(Income!C$3:C$502,SMALL(IF((Income!D$3:D$502="GBP")*(Income!A$3:A$502=DATE(2026,10,27)),ROW(Income!A$3:A$502)-2),3)),0)=0,"",IFERROR(-INDEX(Expenses!D$3:D$999,SMALL(IF((Expenses!E$3:E$999="GBP")*(Expenses!A$3:A$999=DATE(2026,10,27)),ROW(Expenses!A$3:A$999)-2),3)),0)+IFERROR(INDEX(Income!C$3:C$502,SMALL(IF((Income!D$3:D$502="GBP")*(Income!A$3:A$502=DATE(2026,10,27)),ROW(Income!A$3:A$502)-2),3)),0))</f>
        <v/>
      </c>
      <c r="F221" s="126">
        <f t="array" ref="F221">IF(IFERROR(INDEX(Expenses!B$3:B$999,SMALL(IF((Expenses!E$3:E$999="GBP")*(Expenses!A$3:A$999=DATE(2026,10,27)),ROW(Expenses!A$3:A$999)-2),3)),"")&lt;&gt;"",IFERROR(INDEX(Expenses!B$3:B$999,SMALL(IF((Expenses!E$3:E$999="GBP")*(Expenses!A$3:A$999=DATE(2026,10,27)),ROW(Expenses!A$3:A$999)-2),3)),""),IF(IFERROR(INDEX(Income!B$3:B$502,SMALL(IF((Income!D$3:D$502="GBP")*(Income!A$3:A$502=DATE(2026,10,27)),ROW(Income!A$3:A$502)-2),3)),"")&lt;&gt;"",IFERROR(INDEX(Income!B$3:B$502,SMALL(IF((Income!D$3:D$502="GBP")*(Income!A$3:A$502=DATE(2026,10,27)),ROW(Income!A$3:A$502)-2),3)),""),""))</f>
        <v/>
      </c>
      <c r="G221" s="152">
        <f t="array" ref="G221">IF(IFERROR(-INDEX(Expenses!D$3:D$999,SMALL(IF((Expenses!E$3:E$999="GBP")*(Expenses!A$3:A$999=DATE(2026,10,28)),ROW(Expenses!A$3:A$999)-2),3)),0)+IFERROR(INDEX(Income!C$3:C$502,SMALL(IF((Income!D$3:D$502="GBP")*(Income!A$3:A$502=DATE(2026,10,28)),ROW(Income!A$3:A$502)-2),3)),0)=0,"",IFERROR(-INDEX(Expenses!D$3:D$999,SMALL(IF((Expenses!E$3:E$999="GBP")*(Expenses!A$3:A$999=DATE(2026,10,28)),ROW(Expenses!A$3:A$999)-2),3)),0)+IFERROR(INDEX(Income!C$3:C$502,SMALL(IF((Income!D$3:D$502="GBP")*(Income!A$3:A$502=DATE(2026,10,28)),ROW(Income!A$3:A$502)-2),3)),0))</f>
        <v/>
      </c>
      <c r="H221" s="126">
        <f t="array" ref="H221">IF(IFERROR(INDEX(Expenses!B$3:B$999,SMALL(IF((Expenses!E$3:E$999="GBP")*(Expenses!A$3:A$999=DATE(2026,10,28)),ROW(Expenses!A$3:A$999)-2),3)),"")&lt;&gt;"",IFERROR(INDEX(Expenses!B$3:B$999,SMALL(IF((Expenses!E$3:E$999="GBP")*(Expenses!A$3:A$999=DATE(2026,10,28)),ROW(Expenses!A$3:A$999)-2),3)),""),IF(IFERROR(INDEX(Income!B$3:B$502,SMALL(IF((Income!D$3:D$502="GBP")*(Income!A$3:A$502=DATE(2026,10,28)),ROW(Income!A$3:A$502)-2),3)),"")&lt;&gt;"",IFERROR(INDEX(Income!B$3:B$502,SMALL(IF((Income!D$3:D$502="GBP")*(Income!A$3:A$502=DATE(2026,10,28)),ROW(Income!A$3:A$502)-2),3)),""),""))</f>
        <v/>
      </c>
      <c r="I221" s="152">
        <f t="array" ref="I221">IF(IFERROR(-INDEX(Expenses!D$3:D$999,SMALL(IF((Expenses!E$3:E$999="GBP")*(Expenses!A$3:A$999=DATE(2026,10,29)),ROW(Expenses!A$3:A$999)-2),3)),0)+IFERROR(INDEX(Income!C$3:C$502,SMALL(IF((Income!D$3:D$502="GBP")*(Income!A$3:A$502=DATE(2026,10,29)),ROW(Income!A$3:A$502)-2),3)),0)=0,"",IFERROR(-INDEX(Expenses!D$3:D$999,SMALL(IF((Expenses!E$3:E$999="GBP")*(Expenses!A$3:A$999=DATE(2026,10,29)),ROW(Expenses!A$3:A$999)-2),3)),0)+IFERROR(INDEX(Income!C$3:C$502,SMALL(IF((Income!D$3:D$502="GBP")*(Income!A$3:A$502=DATE(2026,10,29)),ROW(Income!A$3:A$502)-2),3)),0))</f>
        <v/>
      </c>
      <c r="J221" s="126">
        <f t="array" ref="J221">IF(IFERROR(INDEX(Expenses!B$3:B$999,SMALL(IF((Expenses!E$3:E$999="GBP")*(Expenses!A$3:A$999=DATE(2026,10,29)),ROW(Expenses!A$3:A$999)-2),3)),"")&lt;&gt;"",IFERROR(INDEX(Expenses!B$3:B$999,SMALL(IF((Expenses!E$3:E$999="GBP")*(Expenses!A$3:A$999=DATE(2026,10,29)),ROW(Expenses!A$3:A$999)-2),3)),""),IF(IFERROR(INDEX(Income!B$3:B$502,SMALL(IF((Income!D$3:D$502="GBP")*(Income!A$3:A$502=DATE(2026,10,29)),ROW(Income!A$3:A$502)-2),3)),"")&lt;&gt;"",IFERROR(INDEX(Income!B$3:B$502,SMALL(IF((Income!D$3:D$502="GBP")*(Income!A$3:A$502=DATE(2026,10,29)),ROW(Income!A$3:A$502)-2),3)),""),""))</f>
        <v/>
      </c>
      <c r="K221" s="152">
        <f t="array" ref="K221">IF(IFERROR(-INDEX(Expenses!D$3:D$999,SMALL(IF((Expenses!E$3:E$999="GBP")*(Expenses!A$3:A$999=DATE(2026,10,30)),ROW(Expenses!A$3:A$999)-2),3)),0)+IFERROR(INDEX(Income!C$3:C$502,SMALL(IF((Income!D$3:D$502="GBP")*(Income!A$3:A$502=DATE(2026,10,30)),ROW(Income!A$3:A$502)-2),3)),0)=0,"",IFERROR(-INDEX(Expenses!D$3:D$999,SMALL(IF((Expenses!E$3:E$999="GBP")*(Expenses!A$3:A$999=DATE(2026,10,30)),ROW(Expenses!A$3:A$999)-2),3)),0)+IFERROR(INDEX(Income!C$3:C$502,SMALL(IF((Income!D$3:D$502="GBP")*(Income!A$3:A$502=DATE(2026,10,30)),ROW(Income!A$3:A$502)-2),3)),0))</f>
        <v/>
      </c>
      <c r="L221" s="126">
        <f t="array" ref="L221">IF(IFERROR(INDEX(Expenses!B$3:B$999,SMALL(IF((Expenses!E$3:E$999="GBP")*(Expenses!A$3:A$999=DATE(2026,10,30)),ROW(Expenses!A$3:A$999)-2),3)),"")&lt;&gt;"",IFERROR(INDEX(Expenses!B$3:B$999,SMALL(IF((Expenses!E$3:E$999="GBP")*(Expenses!A$3:A$999=DATE(2026,10,30)),ROW(Expenses!A$3:A$999)-2),3)),""),IF(IFERROR(INDEX(Income!B$3:B$502,SMALL(IF((Income!D$3:D$502="GBP")*(Income!A$3:A$502=DATE(2026,10,30)),ROW(Income!A$3:A$502)-2),3)),"")&lt;&gt;"",IFERROR(INDEX(Income!B$3:B$502,SMALL(IF((Income!D$3:D$502="GBP")*(Income!A$3:A$502=DATE(2026,10,30)),ROW(Income!A$3:A$502)-2),3)),""),""))</f>
        <v/>
      </c>
      <c r="M221" s="152">
        <f t="array" ref="M221">IF(IFERROR(-INDEX(Expenses!D$3:D$999,SMALL(IF((Expenses!E$3:E$999="GBP")*(Expenses!A$3:A$999=DATE(2026,10,31)),ROW(Expenses!A$3:A$999)-2),3)),0)+IFERROR(INDEX(Income!C$3:C$502,SMALL(IF((Income!D$3:D$502="GBP")*(Income!A$3:A$502=DATE(2026,10,31)),ROW(Income!A$3:A$502)-2),3)),0)=0,"",IFERROR(-INDEX(Expenses!D$3:D$999,SMALL(IF((Expenses!E$3:E$999="GBP")*(Expenses!A$3:A$999=DATE(2026,10,31)),ROW(Expenses!A$3:A$999)-2),3)),0)+IFERROR(INDEX(Income!C$3:C$502,SMALL(IF((Income!D$3:D$502="GBP")*(Income!A$3:A$502=DATE(2026,10,31)),ROW(Income!A$3:A$502)-2),3)),0))</f>
        <v/>
      </c>
      <c r="N221" s="126">
        <f t="array" ref="N221">IF(IFERROR(INDEX(Expenses!B$3:B$999,SMALL(IF((Expenses!E$3:E$999="GBP")*(Expenses!A$3:A$999=DATE(2026,10,31)),ROW(Expenses!A$3:A$999)-2),3)),"")&lt;&gt;"",IFERROR(INDEX(Expenses!B$3:B$999,SMALL(IF((Expenses!E$3:E$999="GBP")*(Expenses!A$3:A$999=DATE(2026,10,31)),ROW(Expenses!A$3:A$999)-2),3)),""),IF(IFERROR(INDEX(Income!B$3:B$502,SMALL(IF((Income!D$3:D$502="GBP")*(Income!A$3:A$502=DATE(2026,10,31)),ROW(Income!A$3:A$502)-2),3)),"")&lt;&gt;"",IFERROR(INDEX(Income!B$3:B$502,SMALL(IF((Income!D$3:D$502="GBP")*(Income!A$3:A$502=DATE(2026,10,31)),ROW(Income!A$3:A$502)-2),3)),""),""))</f>
        <v/>
      </c>
      <c r="O221" s="152">
        <f t="array" ref="O221">IF(IFERROR(-INDEX(Expenses!D$3:D$999,SMALL(IF((Expenses!E$3:E$999="GBP")*(Expenses!A$3:A$999=DATE(2026,11,1)),ROW(Expenses!A$3:A$999)-2),3)),0)+IFERROR(INDEX(Income!C$3:C$502,SMALL(IF((Income!D$3:D$502="GBP")*(Income!A$3:A$502=DATE(2026,11,1)),ROW(Income!A$3:A$502)-2),3)),0)=0,"",IFERROR(-INDEX(Expenses!D$3:D$999,SMALL(IF((Expenses!E$3:E$999="GBP")*(Expenses!A$3:A$999=DATE(2026,11,1)),ROW(Expenses!A$3:A$999)-2),3)),0)+IFERROR(INDEX(Income!C$3:C$502,SMALL(IF((Income!D$3:D$502="GBP")*(Income!A$3:A$502=DATE(2026,11,1)),ROW(Income!A$3:A$502)-2),3)),0))</f>
        <v/>
      </c>
      <c r="P221" s="126">
        <f t="array" ref="P221">IF(IFERROR(INDEX(Expenses!B$3:B$999,SMALL(IF((Expenses!E$3:E$999="GBP")*(Expenses!A$3:A$999=DATE(2026,11,1)),ROW(Expenses!A$3:A$999)-2),3)),"")&lt;&gt;"",IFERROR(INDEX(Expenses!B$3:B$999,SMALL(IF((Expenses!E$3:E$999="GBP")*(Expenses!A$3:A$999=DATE(2026,11,1)),ROW(Expenses!A$3:A$999)-2),3)),""),IF(IFERROR(INDEX(Income!B$3:B$502,SMALL(IF((Income!D$3:D$502="GBP")*(Income!A$3:A$502=DATE(2026,11,1)),ROW(Income!A$3:A$502)-2),3)),"")&lt;&gt;"",IFERROR(INDEX(Income!B$3:B$502,SMALL(IF((Income!D$3:D$502="GBP")*(Income!A$3:A$502=DATE(2026,11,1)),ROW(Income!A$3:A$502)-2),3)),""),""))</f>
        <v/>
      </c>
      <c r="Q221" s="9" t="n"/>
      <c r="R221" s="9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68">
      <c r="A222" s="9" t="n"/>
      <c r="B222" s="9" t="n"/>
      <c r="C222" s="152">
        <f t="array" ref="C222">IF(IFERROR(-INDEX(Expenses!D$3:D$999,SMALL(IF((Expenses!E$3:E$999="GBP")*(Expenses!A$3:A$999=DATE(2026,10,26)),ROW(Expenses!A$3:A$999)-2),4)),0)+IFERROR(INDEX(Income!C$3:C$502,SMALL(IF((Income!D$3:D$502="GBP")*(Income!A$3:A$502=DATE(2026,10,26)),ROW(Income!A$3:A$502)-2),4)),0)=0,"",IFERROR(-INDEX(Expenses!D$3:D$999,SMALL(IF((Expenses!E$3:E$999="GBP")*(Expenses!A$3:A$999=DATE(2026,10,26)),ROW(Expenses!A$3:A$999)-2),4)),0)+IFERROR(INDEX(Income!C$3:C$502,SMALL(IF((Income!D$3:D$502="GBP")*(Income!A$3:A$502=DATE(2026,10,26)),ROW(Income!A$3:A$502)-2),4)),0))</f>
        <v/>
      </c>
      <c r="D222" s="126">
        <f t="array" ref="D222">IF(IFERROR(INDEX(Expenses!B$3:B$999,SMALL(IF((Expenses!E$3:E$999="GBP")*(Expenses!A$3:A$999=DATE(2026,10,26)),ROW(Expenses!A$3:A$999)-2),4)),"")&lt;&gt;"",IFERROR(INDEX(Expenses!B$3:B$999,SMALL(IF((Expenses!E$3:E$999="GBP")*(Expenses!A$3:A$999=DATE(2026,10,26)),ROW(Expenses!A$3:A$999)-2),4)),""),IF(IFERROR(INDEX(Income!B$3:B$502,SMALL(IF((Income!D$3:D$502="GBP")*(Income!A$3:A$502=DATE(2026,10,26)),ROW(Income!A$3:A$502)-2),4)),"")&lt;&gt;"",IFERROR(INDEX(Income!B$3:B$502,SMALL(IF((Income!D$3:D$502="GBP")*(Income!A$3:A$502=DATE(2026,10,26)),ROW(Income!A$3:A$502)-2),4)),""),""))</f>
        <v/>
      </c>
      <c r="E222" s="152">
        <f t="array" ref="E222">IF(IFERROR(-INDEX(Expenses!D$3:D$999,SMALL(IF((Expenses!E$3:E$999="GBP")*(Expenses!A$3:A$999=DATE(2026,10,27)),ROW(Expenses!A$3:A$999)-2),4)),0)+IFERROR(INDEX(Income!C$3:C$502,SMALL(IF((Income!D$3:D$502="GBP")*(Income!A$3:A$502=DATE(2026,10,27)),ROW(Income!A$3:A$502)-2),4)),0)=0,"",IFERROR(-INDEX(Expenses!D$3:D$999,SMALL(IF((Expenses!E$3:E$999="GBP")*(Expenses!A$3:A$999=DATE(2026,10,27)),ROW(Expenses!A$3:A$999)-2),4)),0)+IFERROR(INDEX(Income!C$3:C$502,SMALL(IF((Income!D$3:D$502="GBP")*(Income!A$3:A$502=DATE(2026,10,27)),ROW(Income!A$3:A$502)-2),4)),0))</f>
        <v/>
      </c>
      <c r="F222" s="126">
        <f t="array" ref="F222">IF(IFERROR(INDEX(Expenses!B$3:B$999,SMALL(IF((Expenses!E$3:E$999="GBP")*(Expenses!A$3:A$999=DATE(2026,10,27)),ROW(Expenses!A$3:A$999)-2),4)),"")&lt;&gt;"",IFERROR(INDEX(Expenses!B$3:B$999,SMALL(IF((Expenses!E$3:E$999="GBP")*(Expenses!A$3:A$999=DATE(2026,10,27)),ROW(Expenses!A$3:A$999)-2),4)),""),IF(IFERROR(INDEX(Income!B$3:B$502,SMALL(IF((Income!D$3:D$502="GBP")*(Income!A$3:A$502=DATE(2026,10,27)),ROW(Income!A$3:A$502)-2),4)),"")&lt;&gt;"",IFERROR(INDEX(Income!B$3:B$502,SMALL(IF((Income!D$3:D$502="GBP")*(Income!A$3:A$502=DATE(2026,10,27)),ROW(Income!A$3:A$502)-2),4)),""),""))</f>
        <v/>
      </c>
      <c r="G222" s="152">
        <f t="array" ref="G222">IF(IFERROR(-INDEX(Expenses!D$3:D$999,SMALL(IF((Expenses!E$3:E$999="GBP")*(Expenses!A$3:A$999=DATE(2026,10,28)),ROW(Expenses!A$3:A$999)-2),4)),0)+IFERROR(INDEX(Income!C$3:C$502,SMALL(IF((Income!D$3:D$502="GBP")*(Income!A$3:A$502=DATE(2026,10,28)),ROW(Income!A$3:A$502)-2),4)),0)=0,"",IFERROR(-INDEX(Expenses!D$3:D$999,SMALL(IF((Expenses!E$3:E$999="GBP")*(Expenses!A$3:A$999=DATE(2026,10,28)),ROW(Expenses!A$3:A$999)-2),4)),0)+IFERROR(INDEX(Income!C$3:C$502,SMALL(IF((Income!D$3:D$502="GBP")*(Income!A$3:A$502=DATE(2026,10,28)),ROW(Income!A$3:A$502)-2),4)),0))</f>
        <v/>
      </c>
      <c r="H222" s="126">
        <f t="array" ref="H222">IF(IFERROR(INDEX(Expenses!B$3:B$999,SMALL(IF((Expenses!E$3:E$999="GBP")*(Expenses!A$3:A$999=DATE(2026,10,28)),ROW(Expenses!A$3:A$999)-2),4)),"")&lt;&gt;"",IFERROR(INDEX(Expenses!B$3:B$999,SMALL(IF((Expenses!E$3:E$999="GBP")*(Expenses!A$3:A$999=DATE(2026,10,28)),ROW(Expenses!A$3:A$999)-2),4)),""),IF(IFERROR(INDEX(Income!B$3:B$502,SMALL(IF((Income!D$3:D$502="GBP")*(Income!A$3:A$502=DATE(2026,10,28)),ROW(Income!A$3:A$502)-2),4)),"")&lt;&gt;"",IFERROR(INDEX(Income!B$3:B$502,SMALL(IF((Income!D$3:D$502="GBP")*(Income!A$3:A$502=DATE(2026,10,28)),ROW(Income!A$3:A$502)-2),4)),""),""))</f>
        <v/>
      </c>
      <c r="I222" s="152">
        <f t="array" ref="I222">IF(IFERROR(-INDEX(Expenses!D$3:D$999,SMALL(IF((Expenses!E$3:E$999="GBP")*(Expenses!A$3:A$999=DATE(2026,10,29)),ROW(Expenses!A$3:A$999)-2),4)),0)+IFERROR(INDEX(Income!C$3:C$502,SMALL(IF((Income!D$3:D$502="GBP")*(Income!A$3:A$502=DATE(2026,10,29)),ROW(Income!A$3:A$502)-2),4)),0)=0,"",IFERROR(-INDEX(Expenses!D$3:D$999,SMALL(IF((Expenses!E$3:E$999="GBP")*(Expenses!A$3:A$999=DATE(2026,10,29)),ROW(Expenses!A$3:A$999)-2),4)),0)+IFERROR(INDEX(Income!C$3:C$502,SMALL(IF((Income!D$3:D$502="GBP")*(Income!A$3:A$502=DATE(2026,10,29)),ROW(Income!A$3:A$502)-2),4)),0))</f>
        <v/>
      </c>
      <c r="J222" s="126">
        <f t="array" ref="J222">IF(IFERROR(INDEX(Expenses!B$3:B$999,SMALL(IF((Expenses!E$3:E$999="GBP")*(Expenses!A$3:A$999=DATE(2026,10,29)),ROW(Expenses!A$3:A$999)-2),4)),"")&lt;&gt;"",IFERROR(INDEX(Expenses!B$3:B$999,SMALL(IF((Expenses!E$3:E$999="GBP")*(Expenses!A$3:A$999=DATE(2026,10,29)),ROW(Expenses!A$3:A$999)-2),4)),""),IF(IFERROR(INDEX(Income!B$3:B$502,SMALL(IF((Income!D$3:D$502="GBP")*(Income!A$3:A$502=DATE(2026,10,29)),ROW(Income!A$3:A$502)-2),4)),"")&lt;&gt;"",IFERROR(INDEX(Income!B$3:B$502,SMALL(IF((Income!D$3:D$502="GBP")*(Income!A$3:A$502=DATE(2026,10,29)),ROW(Income!A$3:A$502)-2),4)),""),""))</f>
        <v/>
      </c>
      <c r="K222" s="152">
        <f t="array" ref="K222">IF(IFERROR(-INDEX(Expenses!D$3:D$999,SMALL(IF((Expenses!E$3:E$999="GBP")*(Expenses!A$3:A$999=DATE(2026,10,30)),ROW(Expenses!A$3:A$999)-2),4)),0)+IFERROR(INDEX(Income!C$3:C$502,SMALL(IF((Income!D$3:D$502="GBP")*(Income!A$3:A$502=DATE(2026,10,30)),ROW(Income!A$3:A$502)-2),4)),0)=0,"",IFERROR(-INDEX(Expenses!D$3:D$999,SMALL(IF((Expenses!E$3:E$999="GBP")*(Expenses!A$3:A$999=DATE(2026,10,30)),ROW(Expenses!A$3:A$999)-2),4)),0)+IFERROR(INDEX(Income!C$3:C$502,SMALL(IF((Income!D$3:D$502="GBP")*(Income!A$3:A$502=DATE(2026,10,30)),ROW(Income!A$3:A$502)-2),4)),0))</f>
        <v/>
      </c>
      <c r="L222" s="126">
        <f t="array" ref="L222">IF(IFERROR(INDEX(Expenses!B$3:B$999,SMALL(IF((Expenses!E$3:E$999="GBP")*(Expenses!A$3:A$999=DATE(2026,10,30)),ROW(Expenses!A$3:A$999)-2),4)),"")&lt;&gt;"",IFERROR(INDEX(Expenses!B$3:B$999,SMALL(IF((Expenses!E$3:E$999="GBP")*(Expenses!A$3:A$999=DATE(2026,10,30)),ROW(Expenses!A$3:A$999)-2),4)),""),IF(IFERROR(INDEX(Income!B$3:B$502,SMALL(IF((Income!D$3:D$502="GBP")*(Income!A$3:A$502=DATE(2026,10,30)),ROW(Income!A$3:A$502)-2),4)),"")&lt;&gt;"",IFERROR(INDEX(Income!B$3:B$502,SMALL(IF((Income!D$3:D$502="GBP")*(Income!A$3:A$502=DATE(2026,10,30)),ROW(Income!A$3:A$502)-2),4)),""),""))</f>
        <v/>
      </c>
      <c r="M222" s="152">
        <f t="array" ref="M222">IF(IFERROR(-INDEX(Expenses!D$3:D$999,SMALL(IF((Expenses!E$3:E$999="GBP")*(Expenses!A$3:A$999=DATE(2026,10,31)),ROW(Expenses!A$3:A$999)-2),4)),0)+IFERROR(INDEX(Income!C$3:C$502,SMALL(IF((Income!D$3:D$502="GBP")*(Income!A$3:A$502=DATE(2026,10,31)),ROW(Income!A$3:A$502)-2),4)),0)=0,"",IFERROR(-INDEX(Expenses!D$3:D$999,SMALL(IF((Expenses!E$3:E$999="GBP")*(Expenses!A$3:A$999=DATE(2026,10,31)),ROW(Expenses!A$3:A$999)-2),4)),0)+IFERROR(INDEX(Income!C$3:C$502,SMALL(IF((Income!D$3:D$502="GBP")*(Income!A$3:A$502=DATE(2026,10,31)),ROW(Income!A$3:A$502)-2),4)),0))</f>
        <v/>
      </c>
      <c r="N222" s="126">
        <f t="array" ref="N222">IF(IFERROR(INDEX(Expenses!B$3:B$999,SMALL(IF((Expenses!E$3:E$999="GBP")*(Expenses!A$3:A$999=DATE(2026,10,31)),ROW(Expenses!A$3:A$999)-2),4)),"")&lt;&gt;"",IFERROR(INDEX(Expenses!B$3:B$999,SMALL(IF((Expenses!E$3:E$999="GBP")*(Expenses!A$3:A$999=DATE(2026,10,31)),ROW(Expenses!A$3:A$999)-2),4)),""),IF(IFERROR(INDEX(Income!B$3:B$502,SMALL(IF((Income!D$3:D$502="GBP")*(Income!A$3:A$502=DATE(2026,10,31)),ROW(Income!A$3:A$502)-2),4)),"")&lt;&gt;"",IFERROR(INDEX(Income!B$3:B$502,SMALL(IF((Income!D$3:D$502="GBP")*(Income!A$3:A$502=DATE(2026,10,31)),ROW(Income!A$3:A$502)-2),4)),""),""))</f>
        <v/>
      </c>
      <c r="O222" s="152">
        <f t="array" ref="O222">IF(IFERROR(-INDEX(Expenses!D$3:D$999,SMALL(IF((Expenses!E$3:E$999="GBP")*(Expenses!A$3:A$999=DATE(2026,11,1)),ROW(Expenses!A$3:A$999)-2),4)),0)+IFERROR(INDEX(Income!C$3:C$502,SMALL(IF((Income!D$3:D$502="GBP")*(Income!A$3:A$502=DATE(2026,11,1)),ROW(Income!A$3:A$502)-2),4)),0)=0,"",IFERROR(-INDEX(Expenses!D$3:D$999,SMALL(IF((Expenses!E$3:E$999="GBP")*(Expenses!A$3:A$999=DATE(2026,11,1)),ROW(Expenses!A$3:A$999)-2),4)),0)+IFERROR(INDEX(Income!C$3:C$502,SMALL(IF((Income!D$3:D$502="GBP")*(Income!A$3:A$502=DATE(2026,11,1)),ROW(Income!A$3:A$502)-2),4)),0))</f>
        <v/>
      </c>
      <c r="P222" s="126">
        <f t="array" ref="P222">IF(IFERROR(INDEX(Expenses!B$3:B$999,SMALL(IF((Expenses!E$3:E$999="GBP")*(Expenses!A$3:A$999=DATE(2026,11,1)),ROW(Expenses!A$3:A$999)-2),4)),"")&lt;&gt;"",IFERROR(INDEX(Expenses!B$3:B$999,SMALL(IF((Expenses!E$3:E$999="GBP")*(Expenses!A$3:A$999=DATE(2026,11,1)),ROW(Expenses!A$3:A$999)-2),4)),""),IF(IFERROR(INDEX(Income!B$3:B$502,SMALL(IF((Income!D$3:D$502="GBP")*(Income!A$3:A$502=DATE(2026,11,1)),ROW(Income!A$3:A$502)-2),4)),"")&lt;&gt;"",IFERROR(INDEX(Income!B$3:B$502,SMALL(IF((Income!D$3:D$502="GBP")*(Income!A$3:A$502=DATE(2026,11,1)),ROW(Income!A$3:A$502)-2),4)),""),""))</f>
        <v/>
      </c>
      <c r="Q222" s="9" t="n"/>
      <c r="R222" s="9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68">
      <c r="A223" s="9" t="n"/>
      <c r="B223" s="9" t="n"/>
      <c r="C223" s="152">
        <f t="array" ref="C223">IF(IFERROR(-INDEX(Expenses!D$3:D$999,SMALL(IF((Expenses!E$3:E$999="GBP")*(Expenses!A$3:A$999=DATE(2026,10,26)),ROW(Expenses!A$3:A$999)-2),5)),0)+IFERROR(INDEX(Income!C$3:C$502,SMALL(IF((Income!D$3:D$502="GBP")*(Income!A$3:A$502=DATE(2026,10,26)),ROW(Income!A$3:A$502)-2),5)),0)=0,"",IFERROR(-INDEX(Expenses!D$3:D$999,SMALL(IF((Expenses!E$3:E$999="GBP")*(Expenses!A$3:A$999=DATE(2026,10,26)),ROW(Expenses!A$3:A$999)-2),5)),0)+IFERROR(INDEX(Income!C$3:C$502,SMALL(IF((Income!D$3:D$502="GBP")*(Income!A$3:A$502=DATE(2026,10,26)),ROW(Income!A$3:A$502)-2),5)),0))</f>
        <v/>
      </c>
      <c r="D223" s="126">
        <f t="array" ref="D223">IF(IFERROR(INDEX(Expenses!B$3:B$999,SMALL(IF((Expenses!E$3:E$999="GBP")*(Expenses!A$3:A$999=DATE(2026,10,26)),ROW(Expenses!A$3:A$999)-2),5)),"")&lt;&gt;"",IFERROR(INDEX(Expenses!B$3:B$999,SMALL(IF((Expenses!E$3:E$999="GBP")*(Expenses!A$3:A$999=DATE(2026,10,26)),ROW(Expenses!A$3:A$999)-2),5)),""),IF(IFERROR(INDEX(Income!B$3:B$502,SMALL(IF((Income!D$3:D$502="GBP")*(Income!A$3:A$502=DATE(2026,10,26)),ROW(Income!A$3:A$502)-2),5)),"")&lt;&gt;"",IFERROR(INDEX(Income!B$3:B$502,SMALL(IF((Income!D$3:D$502="GBP")*(Income!A$3:A$502=DATE(2026,10,26)),ROW(Income!A$3:A$502)-2),5)),""),""))</f>
        <v/>
      </c>
      <c r="E223" s="152">
        <f t="array" ref="E223">IF(IFERROR(-INDEX(Expenses!D$3:D$999,SMALL(IF((Expenses!E$3:E$999="GBP")*(Expenses!A$3:A$999=DATE(2026,10,27)),ROW(Expenses!A$3:A$999)-2),5)),0)+IFERROR(INDEX(Income!C$3:C$502,SMALL(IF((Income!D$3:D$502="GBP")*(Income!A$3:A$502=DATE(2026,10,27)),ROW(Income!A$3:A$502)-2),5)),0)=0,"",IFERROR(-INDEX(Expenses!D$3:D$999,SMALL(IF((Expenses!E$3:E$999="GBP")*(Expenses!A$3:A$999=DATE(2026,10,27)),ROW(Expenses!A$3:A$999)-2),5)),0)+IFERROR(INDEX(Income!C$3:C$502,SMALL(IF((Income!D$3:D$502="GBP")*(Income!A$3:A$502=DATE(2026,10,27)),ROW(Income!A$3:A$502)-2),5)),0))</f>
        <v/>
      </c>
      <c r="F223" s="126">
        <f t="array" ref="F223">IF(IFERROR(INDEX(Expenses!B$3:B$999,SMALL(IF((Expenses!E$3:E$999="GBP")*(Expenses!A$3:A$999=DATE(2026,10,27)),ROW(Expenses!A$3:A$999)-2),5)),"")&lt;&gt;"",IFERROR(INDEX(Expenses!B$3:B$999,SMALL(IF((Expenses!E$3:E$999="GBP")*(Expenses!A$3:A$999=DATE(2026,10,27)),ROW(Expenses!A$3:A$999)-2),5)),""),IF(IFERROR(INDEX(Income!B$3:B$502,SMALL(IF((Income!D$3:D$502="GBP")*(Income!A$3:A$502=DATE(2026,10,27)),ROW(Income!A$3:A$502)-2),5)),"")&lt;&gt;"",IFERROR(INDEX(Income!B$3:B$502,SMALL(IF((Income!D$3:D$502="GBP")*(Income!A$3:A$502=DATE(2026,10,27)),ROW(Income!A$3:A$502)-2),5)),""),""))</f>
        <v/>
      </c>
      <c r="G223" s="152">
        <f t="array" ref="G223">IF(IFERROR(-INDEX(Expenses!D$3:D$999,SMALL(IF((Expenses!E$3:E$999="GBP")*(Expenses!A$3:A$999=DATE(2026,10,28)),ROW(Expenses!A$3:A$999)-2),5)),0)+IFERROR(INDEX(Income!C$3:C$502,SMALL(IF((Income!D$3:D$502="GBP")*(Income!A$3:A$502=DATE(2026,10,28)),ROW(Income!A$3:A$502)-2),5)),0)=0,"",IFERROR(-INDEX(Expenses!D$3:D$999,SMALL(IF((Expenses!E$3:E$999="GBP")*(Expenses!A$3:A$999=DATE(2026,10,28)),ROW(Expenses!A$3:A$999)-2),5)),0)+IFERROR(INDEX(Income!C$3:C$502,SMALL(IF((Income!D$3:D$502="GBP")*(Income!A$3:A$502=DATE(2026,10,28)),ROW(Income!A$3:A$502)-2),5)),0))</f>
        <v/>
      </c>
      <c r="H223" s="126">
        <f t="array" ref="H223">IF(IFERROR(INDEX(Expenses!B$3:B$999,SMALL(IF((Expenses!E$3:E$999="GBP")*(Expenses!A$3:A$999=DATE(2026,10,28)),ROW(Expenses!A$3:A$999)-2),5)),"")&lt;&gt;"",IFERROR(INDEX(Expenses!B$3:B$999,SMALL(IF((Expenses!E$3:E$999="GBP")*(Expenses!A$3:A$999=DATE(2026,10,28)),ROW(Expenses!A$3:A$999)-2),5)),""),IF(IFERROR(INDEX(Income!B$3:B$502,SMALL(IF((Income!D$3:D$502="GBP")*(Income!A$3:A$502=DATE(2026,10,28)),ROW(Income!A$3:A$502)-2),5)),"")&lt;&gt;"",IFERROR(INDEX(Income!B$3:B$502,SMALL(IF((Income!D$3:D$502="GBP")*(Income!A$3:A$502=DATE(2026,10,28)),ROW(Income!A$3:A$502)-2),5)),""),""))</f>
        <v/>
      </c>
      <c r="I223" s="152">
        <f t="array" ref="I223">IF(IFERROR(-INDEX(Expenses!D$3:D$999,SMALL(IF((Expenses!E$3:E$999="GBP")*(Expenses!A$3:A$999=DATE(2026,10,29)),ROW(Expenses!A$3:A$999)-2),5)),0)+IFERROR(INDEX(Income!C$3:C$502,SMALL(IF((Income!D$3:D$502="GBP")*(Income!A$3:A$502=DATE(2026,10,29)),ROW(Income!A$3:A$502)-2),5)),0)=0,"",IFERROR(-INDEX(Expenses!D$3:D$999,SMALL(IF((Expenses!E$3:E$999="GBP")*(Expenses!A$3:A$999=DATE(2026,10,29)),ROW(Expenses!A$3:A$999)-2),5)),0)+IFERROR(INDEX(Income!C$3:C$502,SMALL(IF((Income!D$3:D$502="GBP")*(Income!A$3:A$502=DATE(2026,10,29)),ROW(Income!A$3:A$502)-2),5)),0))</f>
        <v/>
      </c>
      <c r="J223" s="126">
        <f t="array" ref="J223">IF(IFERROR(INDEX(Expenses!B$3:B$999,SMALL(IF((Expenses!E$3:E$999="GBP")*(Expenses!A$3:A$999=DATE(2026,10,29)),ROW(Expenses!A$3:A$999)-2),5)),"")&lt;&gt;"",IFERROR(INDEX(Expenses!B$3:B$999,SMALL(IF((Expenses!E$3:E$999="GBP")*(Expenses!A$3:A$999=DATE(2026,10,29)),ROW(Expenses!A$3:A$999)-2),5)),""),IF(IFERROR(INDEX(Income!B$3:B$502,SMALL(IF((Income!D$3:D$502="GBP")*(Income!A$3:A$502=DATE(2026,10,29)),ROW(Income!A$3:A$502)-2),5)),"")&lt;&gt;"",IFERROR(INDEX(Income!B$3:B$502,SMALL(IF((Income!D$3:D$502="GBP")*(Income!A$3:A$502=DATE(2026,10,29)),ROW(Income!A$3:A$502)-2),5)),""),""))</f>
        <v/>
      </c>
      <c r="K223" s="152">
        <f t="array" ref="K223">IF(IFERROR(-INDEX(Expenses!D$3:D$999,SMALL(IF((Expenses!E$3:E$999="GBP")*(Expenses!A$3:A$999=DATE(2026,10,30)),ROW(Expenses!A$3:A$999)-2),5)),0)+IFERROR(INDEX(Income!C$3:C$502,SMALL(IF((Income!D$3:D$502="GBP")*(Income!A$3:A$502=DATE(2026,10,30)),ROW(Income!A$3:A$502)-2),5)),0)=0,"",IFERROR(-INDEX(Expenses!D$3:D$999,SMALL(IF((Expenses!E$3:E$999="GBP")*(Expenses!A$3:A$999=DATE(2026,10,30)),ROW(Expenses!A$3:A$999)-2),5)),0)+IFERROR(INDEX(Income!C$3:C$502,SMALL(IF((Income!D$3:D$502="GBP")*(Income!A$3:A$502=DATE(2026,10,30)),ROW(Income!A$3:A$502)-2),5)),0))</f>
        <v/>
      </c>
      <c r="L223" s="126">
        <f t="array" ref="L223">IF(IFERROR(INDEX(Expenses!B$3:B$999,SMALL(IF((Expenses!E$3:E$999="GBP")*(Expenses!A$3:A$999=DATE(2026,10,30)),ROW(Expenses!A$3:A$999)-2),5)),"")&lt;&gt;"",IFERROR(INDEX(Expenses!B$3:B$999,SMALL(IF((Expenses!E$3:E$999="GBP")*(Expenses!A$3:A$999=DATE(2026,10,30)),ROW(Expenses!A$3:A$999)-2),5)),""),IF(IFERROR(INDEX(Income!B$3:B$502,SMALL(IF((Income!D$3:D$502="GBP")*(Income!A$3:A$502=DATE(2026,10,30)),ROW(Income!A$3:A$502)-2),5)),"")&lt;&gt;"",IFERROR(INDEX(Income!B$3:B$502,SMALL(IF((Income!D$3:D$502="GBP")*(Income!A$3:A$502=DATE(2026,10,30)),ROW(Income!A$3:A$502)-2),5)),""),""))</f>
        <v/>
      </c>
      <c r="M223" s="152">
        <f t="array" ref="M223">IF(IFERROR(-INDEX(Expenses!D$3:D$999,SMALL(IF((Expenses!E$3:E$999="GBP")*(Expenses!A$3:A$999=DATE(2026,10,31)),ROW(Expenses!A$3:A$999)-2),5)),0)+IFERROR(INDEX(Income!C$3:C$502,SMALL(IF((Income!D$3:D$502="GBP")*(Income!A$3:A$502=DATE(2026,10,31)),ROW(Income!A$3:A$502)-2),5)),0)=0,"",IFERROR(-INDEX(Expenses!D$3:D$999,SMALL(IF((Expenses!E$3:E$999="GBP")*(Expenses!A$3:A$999=DATE(2026,10,31)),ROW(Expenses!A$3:A$999)-2),5)),0)+IFERROR(INDEX(Income!C$3:C$502,SMALL(IF((Income!D$3:D$502="GBP")*(Income!A$3:A$502=DATE(2026,10,31)),ROW(Income!A$3:A$502)-2),5)),0))</f>
        <v/>
      </c>
      <c r="N223" s="126">
        <f t="array" ref="N223">IF(IFERROR(INDEX(Expenses!B$3:B$999,SMALL(IF((Expenses!E$3:E$999="GBP")*(Expenses!A$3:A$999=DATE(2026,10,31)),ROW(Expenses!A$3:A$999)-2),5)),"")&lt;&gt;"",IFERROR(INDEX(Expenses!B$3:B$999,SMALL(IF((Expenses!E$3:E$999="GBP")*(Expenses!A$3:A$999=DATE(2026,10,31)),ROW(Expenses!A$3:A$999)-2),5)),""),IF(IFERROR(INDEX(Income!B$3:B$502,SMALL(IF((Income!D$3:D$502="GBP")*(Income!A$3:A$502=DATE(2026,10,31)),ROW(Income!A$3:A$502)-2),5)),"")&lt;&gt;"",IFERROR(INDEX(Income!B$3:B$502,SMALL(IF((Income!D$3:D$502="GBP")*(Income!A$3:A$502=DATE(2026,10,31)),ROW(Income!A$3:A$502)-2),5)),""),""))</f>
        <v/>
      </c>
      <c r="O223" s="152">
        <f t="array" ref="O223">IF(IFERROR(-INDEX(Expenses!D$3:D$999,SMALL(IF((Expenses!E$3:E$999="GBP")*(Expenses!A$3:A$999=DATE(2026,11,1)),ROW(Expenses!A$3:A$999)-2),5)),0)+IFERROR(INDEX(Income!C$3:C$502,SMALL(IF((Income!D$3:D$502="GBP")*(Income!A$3:A$502=DATE(2026,11,1)),ROW(Income!A$3:A$502)-2),5)),0)=0,"",IFERROR(-INDEX(Expenses!D$3:D$999,SMALL(IF((Expenses!E$3:E$999="GBP")*(Expenses!A$3:A$999=DATE(2026,11,1)),ROW(Expenses!A$3:A$999)-2),5)),0)+IFERROR(INDEX(Income!C$3:C$502,SMALL(IF((Income!D$3:D$502="GBP")*(Income!A$3:A$502=DATE(2026,11,1)),ROW(Income!A$3:A$502)-2),5)),0))</f>
        <v/>
      </c>
      <c r="P223" s="126">
        <f t="array" ref="P223">IF(IFERROR(INDEX(Expenses!B$3:B$999,SMALL(IF((Expenses!E$3:E$999="GBP")*(Expenses!A$3:A$999=DATE(2026,11,1)),ROW(Expenses!A$3:A$999)-2),5)),"")&lt;&gt;"",IFERROR(INDEX(Expenses!B$3:B$999,SMALL(IF((Expenses!E$3:E$999="GBP")*(Expenses!A$3:A$999=DATE(2026,11,1)),ROW(Expenses!A$3:A$999)-2),5)),""),IF(IFERROR(INDEX(Income!B$3:B$502,SMALL(IF((Income!D$3:D$502="GBP")*(Income!A$3:A$502=DATE(2026,11,1)),ROW(Income!A$3:A$502)-2),5)),"")&lt;&gt;"",IFERROR(INDEX(Income!B$3:B$502,SMALL(IF((Income!D$3:D$502="GBP")*(Income!A$3:A$502=DATE(2026,11,1)),ROW(Income!A$3:A$502)-2),5)),""),""))</f>
        <v/>
      </c>
      <c r="Q223" s="9" t="n"/>
      <c r="R223" s="9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68">
      <c r="A224" s="151" t="n">
        <v>46328</v>
      </c>
      <c r="B224" s="103" t="n">
        <v>45</v>
      </c>
      <c r="C224" s="152">
        <f t="array" ref="C224">IF(IFERROR(-INDEX(Expenses!D$3:D$999,SMALL(IF((Expenses!E$3:E$999="GBP")*(Expenses!A$3:A$999=DATE(2026,11,2)),ROW(Expenses!A$3:A$999)-2),1)),0)+IFERROR(INDEX(Income!C$3:C$502,SMALL(IF((Income!D$3:D$502="GBP")*(Income!A$3:A$502=DATE(2026,11,2)),ROW(Income!A$3:A$502)-2),1)),0)=0,"",IFERROR(-INDEX(Expenses!D$3:D$999,SMALL(IF((Expenses!E$3:E$999="GBP")*(Expenses!A$3:A$999=DATE(2026,11,2)),ROW(Expenses!A$3:A$999)-2),1)),0)+IFERROR(INDEX(Income!C$3:C$502,SMALL(IF((Income!D$3:D$502="GBP")*(Income!A$3:A$502=DATE(2026,11,2)),ROW(Income!A$3:A$502)-2),1)),0))</f>
        <v/>
      </c>
      <c r="D224" s="126">
        <f t="array" ref="D224">IF(IFERROR(INDEX(Expenses!B$3:B$999,SMALL(IF((Expenses!E$3:E$999="GBP")*(Expenses!A$3:A$999=DATE(2026,11,2)),ROW(Expenses!A$3:A$999)-2),1)),"")&lt;&gt;"",IFERROR(INDEX(Expenses!B$3:B$999,SMALL(IF((Expenses!E$3:E$999="GBP")*(Expenses!A$3:A$999=DATE(2026,11,2)),ROW(Expenses!A$3:A$999)-2),1)),""),IF(IFERROR(INDEX(Income!B$3:B$502,SMALL(IF((Income!D$3:D$502="GBP")*(Income!A$3:A$502=DATE(2026,11,2)),ROW(Income!A$3:A$502)-2),1)),"")&lt;&gt;"",IFERROR(INDEX(Income!B$3:B$502,SMALL(IF((Income!D$3:D$502="GBP")*(Income!A$3:A$502=DATE(2026,11,2)),ROW(Income!A$3:A$502)-2),1)),""),""))</f>
        <v/>
      </c>
      <c r="E224" s="152">
        <f t="array" ref="E224">IF(IFERROR(-INDEX(Expenses!D$3:D$999,SMALL(IF((Expenses!E$3:E$999="GBP")*(Expenses!A$3:A$999=DATE(2026,11,3)),ROW(Expenses!A$3:A$999)-2),1)),0)+IFERROR(INDEX(Income!C$3:C$502,SMALL(IF((Income!D$3:D$502="GBP")*(Income!A$3:A$502=DATE(2026,11,3)),ROW(Income!A$3:A$502)-2),1)),0)=0,"",IFERROR(-INDEX(Expenses!D$3:D$999,SMALL(IF((Expenses!E$3:E$999="GBP")*(Expenses!A$3:A$999=DATE(2026,11,3)),ROW(Expenses!A$3:A$999)-2),1)),0)+IFERROR(INDEX(Income!C$3:C$502,SMALL(IF((Income!D$3:D$502="GBP")*(Income!A$3:A$502=DATE(2026,11,3)),ROW(Income!A$3:A$502)-2),1)),0))</f>
        <v/>
      </c>
      <c r="F224" s="126">
        <f t="array" ref="F224">IF(IFERROR(INDEX(Expenses!B$3:B$999,SMALL(IF((Expenses!E$3:E$999="GBP")*(Expenses!A$3:A$999=DATE(2026,11,3)),ROW(Expenses!A$3:A$999)-2),1)),"")&lt;&gt;"",IFERROR(INDEX(Expenses!B$3:B$999,SMALL(IF((Expenses!E$3:E$999="GBP")*(Expenses!A$3:A$999=DATE(2026,11,3)),ROW(Expenses!A$3:A$999)-2),1)),""),IF(IFERROR(INDEX(Income!B$3:B$502,SMALL(IF((Income!D$3:D$502="GBP")*(Income!A$3:A$502=DATE(2026,11,3)),ROW(Income!A$3:A$502)-2),1)),"")&lt;&gt;"",IFERROR(INDEX(Income!B$3:B$502,SMALL(IF((Income!D$3:D$502="GBP")*(Income!A$3:A$502=DATE(2026,11,3)),ROW(Income!A$3:A$502)-2),1)),""),""))</f>
        <v/>
      </c>
      <c r="G224" s="152">
        <f t="array" ref="G224">IF(IFERROR(-INDEX(Expenses!D$3:D$999,SMALL(IF((Expenses!E$3:E$999="GBP")*(Expenses!A$3:A$999=DATE(2026,11,4)),ROW(Expenses!A$3:A$999)-2),1)),0)+IFERROR(INDEX(Income!C$3:C$502,SMALL(IF((Income!D$3:D$502="GBP")*(Income!A$3:A$502=DATE(2026,11,4)),ROW(Income!A$3:A$502)-2),1)),0)=0,"",IFERROR(-INDEX(Expenses!D$3:D$999,SMALL(IF((Expenses!E$3:E$999="GBP")*(Expenses!A$3:A$999=DATE(2026,11,4)),ROW(Expenses!A$3:A$999)-2),1)),0)+IFERROR(INDEX(Income!C$3:C$502,SMALL(IF((Income!D$3:D$502="GBP")*(Income!A$3:A$502=DATE(2026,11,4)),ROW(Income!A$3:A$502)-2),1)),0))</f>
        <v/>
      </c>
      <c r="H224" s="126">
        <f t="array" ref="H224">IF(IFERROR(INDEX(Expenses!B$3:B$999,SMALL(IF((Expenses!E$3:E$999="GBP")*(Expenses!A$3:A$999=DATE(2026,11,4)),ROW(Expenses!A$3:A$999)-2),1)),"")&lt;&gt;"",IFERROR(INDEX(Expenses!B$3:B$999,SMALL(IF((Expenses!E$3:E$999="GBP")*(Expenses!A$3:A$999=DATE(2026,11,4)),ROW(Expenses!A$3:A$999)-2),1)),""),IF(IFERROR(INDEX(Income!B$3:B$502,SMALL(IF((Income!D$3:D$502="GBP")*(Income!A$3:A$502=DATE(2026,11,4)),ROW(Income!A$3:A$502)-2),1)),"")&lt;&gt;"",IFERROR(INDEX(Income!B$3:B$502,SMALL(IF((Income!D$3:D$502="GBP")*(Income!A$3:A$502=DATE(2026,11,4)),ROW(Income!A$3:A$502)-2),1)),""),""))</f>
        <v/>
      </c>
      <c r="I224" s="152">
        <f t="array" ref="I224">IF(IFERROR(-INDEX(Expenses!D$3:D$999,SMALL(IF((Expenses!E$3:E$999="GBP")*(Expenses!A$3:A$999=DATE(2026,11,5)),ROW(Expenses!A$3:A$999)-2),1)),0)+IFERROR(INDEX(Income!C$3:C$502,SMALL(IF((Income!D$3:D$502="GBP")*(Income!A$3:A$502=DATE(2026,11,5)),ROW(Income!A$3:A$502)-2),1)),0)=0,"",IFERROR(-INDEX(Expenses!D$3:D$999,SMALL(IF((Expenses!E$3:E$999="GBP")*(Expenses!A$3:A$999=DATE(2026,11,5)),ROW(Expenses!A$3:A$999)-2),1)),0)+IFERROR(INDEX(Income!C$3:C$502,SMALL(IF((Income!D$3:D$502="GBP")*(Income!A$3:A$502=DATE(2026,11,5)),ROW(Income!A$3:A$502)-2),1)),0))</f>
        <v/>
      </c>
      <c r="J224" s="126">
        <f t="array" ref="J224">IF(IFERROR(INDEX(Expenses!B$3:B$999,SMALL(IF((Expenses!E$3:E$999="GBP")*(Expenses!A$3:A$999=DATE(2026,11,5)),ROW(Expenses!A$3:A$999)-2),1)),"")&lt;&gt;"",IFERROR(INDEX(Expenses!B$3:B$999,SMALL(IF((Expenses!E$3:E$999="GBP")*(Expenses!A$3:A$999=DATE(2026,11,5)),ROW(Expenses!A$3:A$999)-2),1)),""),IF(IFERROR(INDEX(Income!B$3:B$502,SMALL(IF((Income!D$3:D$502="GBP")*(Income!A$3:A$502=DATE(2026,11,5)),ROW(Income!A$3:A$502)-2),1)),"")&lt;&gt;"",IFERROR(INDEX(Income!B$3:B$502,SMALL(IF((Income!D$3:D$502="GBP")*(Income!A$3:A$502=DATE(2026,11,5)),ROW(Income!A$3:A$502)-2),1)),""),""))</f>
        <v/>
      </c>
      <c r="K224" s="152">
        <f t="array" ref="K224">IF(IFERROR(-INDEX(Expenses!D$3:D$999,SMALL(IF((Expenses!E$3:E$999="GBP")*(Expenses!A$3:A$999=DATE(2026,11,6)),ROW(Expenses!A$3:A$999)-2),1)),0)+IFERROR(INDEX(Income!C$3:C$502,SMALL(IF((Income!D$3:D$502="GBP")*(Income!A$3:A$502=DATE(2026,11,6)),ROW(Income!A$3:A$502)-2),1)),0)=0,"",IFERROR(-INDEX(Expenses!D$3:D$999,SMALL(IF((Expenses!E$3:E$999="GBP")*(Expenses!A$3:A$999=DATE(2026,11,6)),ROW(Expenses!A$3:A$999)-2),1)),0)+IFERROR(INDEX(Income!C$3:C$502,SMALL(IF((Income!D$3:D$502="GBP")*(Income!A$3:A$502=DATE(2026,11,6)),ROW(Income!A$3:A$502)-2),1)),0))</f>
        <v/>
      </c>
      <c r="L224" s="126">
        <f t="array" ref="L224">IF(IFERROR(INDEX(Expenses!B$3:B$999,SMALL(IF((Expenses!E$3:E$999="GBP")*(Expenses!A$3:A$999=DATE(2026,11,6)),ROW(Expenses!A$3:A$999)-2),1)),"")&lt;&gt;"",IFERROR(INDEX(Expenses!B$3:B$999,SMALL(IF((Expenses!E$3:E$999="GBP")*(Expenses!A$3:A$999=DATE(2026,11,6)),ROW(Expenses!A$3:A$999)-2),1)),""),IF(IFERROR(INDEX(Income!B$3:B$502,SMALL(IF((Income!D$3:D$502="GBP")*(Income!A$3:A$502=DATE(2026,11,6)),ROW(Income!A$3:A$502)-2),1)),"")&lt;&gt;"",IFERROR(INDEX(Income!B$3:B$502,SMALL(IF((Income!D$3:D$502="GBP")*(Income!A$3:A$502=DATE(2026,11,6)),ROW(Income!A$3:A$502)-2),1)),""),""))</f>
        <v/>
      </c>
      <c r="M224" s="152">
        <f t="array" ref="M224">IF(IFERROR(-INDEX(Expenses!D$3:D$999,SMALL(IF((Expenses!E$3:E$999="GBP")*(Expenses!A$3:A$999=DATE(2026,11,7)),ROW(Expenses!A$3:A$999)-2),1)),0)+IFERROR(INDEX(Income!C$3:C$502,SMALL(IF((Income!D$3:D$502="GBP")*(Income!A$3:A$502=DATE(2026,11,7)),ROW(Income!A$3:A$502)-2),1)),0)=0,"",IFERROR(-INDEX(Expenses!D$3:D$999,SMALL(IF((Expenses!E$3:E$999="GBP")*(Expenses!A$3:A$999=DATE(2026,11,7)),ROW(Expenses!A$3:A$999)-2),1)),0)+IFERROR(INDEX(Income!C$3:C$502,SMALL(IF((Income!D$3:D$502="GBP")*(Income!A$3:A$502=DATE(2026,11,7)),ROW(Income!A$3:A$502)-2),1)),0))</f>
        <v/>
      </c>
      <c r="N224" s="126">
        <f t="array" ref="N224">IF(IFERROR(INDEX(Expenses!B$3:B$999,SMALL(IF((Expenses!E$3:E$999="GBP")*(Expenses!A$3:A$999=DATE(2026,11,7)),ROW(Expenses!A$3:A$999)-2),1)),"")&lt;&gt;"",IFERROR(INDEX(Expenses!B$3:B$999,SMALL(IF((Expenses!E$3:E$999="GBP")*(Expenses!A$3:A$999=DATE(2026,11,7)),ROW(Expenses!A$3:A$999)-2),1)),""),IF(IFERROR(INDEX(Income!B$3:B$502,SMALL(IF((Income!D$3:D$502="GBP")*(Income!A$3:A$502=DATE(2026,11,7)),ROW(Income!A$3:A$502)-2),1)),"")&lt;&gt;"",IFERROR(INDEX(Income!B$3:B$502,SMALL(IF((Income!D$3:D$502="GBP")*(Income!A$3:A$502=DATE(2026,11,7)),ROW(Income!A$3:A$502)-2),1)),""),""))</f>
        <v/>
      </c>
      <c r="O224" s="152">
        <f t="array" ref="O224">IF(IFERROR(-INDEX(Expenses!D$3:D$999,SMALL(IF((Expenses!E$3:E$999="GBP")*(Expenses!A$3:A$999=DATE(2026,11,8)),ROW(Expenses!A$3:A$999)-2),1)),0)+IFERROR(INDEX(Income!C$3:C$502,SMALL(IF((Income!D$3:D$502="GBP")*(Income!A$3:A$502=DATE(2026,11,8)),ROW(Income!A$3:A$502)-2),1)),0)=0,"",IFERROR(-INDEX(Expenses!D$3:D$999,SMALL(IF((Expenses!E$3:E$999="GBP")*(Expenses!A$3:A$999=DATE(2026,11,8)),ROW(Expenses!A$3:A$999)-2),1)),0)+IFERROR(INDEX(Income!C$3:C$502,SMALL(IF((Income!D$3:D$502="GBP")*(Income!A$3:A$502=DATE(2026,11,8)),ROW(Income!A$3:A$502)-2),1)),0))</f>
        <v/>
      </c>
      <c r="P224" s="126">
        <f t="array" ref="P224">IF(IFERROR(INDEX(Expenses!B$3:B$999,SMALL(IF((Expenses!E$3:E$999="GBP")*(Expenses!A$3:A$999=DATE(2026,11,8)),ROW(Expenses!A$3:A$999)-2),1)),"")&lt;&gt;"",IFERROR(INDEX(Expenses!B$3:B$999,SMALL(IF((Expenses!E$3:E$999="GBP")*(Expenses!A$3:A$999=DATE(2026,11,8)),ROW(Expenses!A$3:A$999)-2),1)),""),IF(IFERROR(INDEX(Income!B$3:B$502,SMALL(IF((Income!D$3:D$502="GBP")*(Income!A$3:A$502=DATE(2026,11,8)),ROW(Income!A$3:A$502)-2),1)),"")&lt;&gt;"",IFERROR(INDEX(Income!B$3:B$502,SMALL(IF((Income!D$3:D$502="GBP")*(Income!A$3:A$502=DATE(2026,11,8)),ROW(Income!A$3:A$502)-2),1)),""),""))</f>
        <v/>
      </c>
      <c r="Q224" s="103" t="n">
        <v>45</v>
      </c>
      <c r="R224" s="134">
        <f>SUM(C224:C228)+SUM(E224:E228)+SUM(G224:G228)+SUM(I224:I228)+SUM(K224:K228)+SUM(M224:M228)+SUM(O224:O228)</f>
        <v/>
      </c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68">
      <c r="A225" s="9" t="n"/>
      <c r="B225" s="9" t="n"/>
      <c r="C225" s="152">
        <f t="array" ref="C225">IF(IFERROR(-INDEX(Expenses!D$3:D$999,SMALL(IF((Expenses!E$3:E$999="GBP")*(Expenses!A$3:A$999=DATE(2026,11,2)),ROW(Expenses!A$3:A$999)-2),2)),0)+IFERROR(INDEX(Income!C$3:C$502,SMALL(IF((Income!D$3:D$502="GBP")*(Income!A$3:A$502=DATE(2026,11,2)),ROW(Income!A$3:A$502)-2),2)),0)=0,"",IFERROR(-INDEX(Expenses!D$3:D$999,SMALL(IF((Expenses!E$3:E$999="GBP")*(Expenses!A$3:A$999=DATE(2026,11,2)),ROW(Expenses!A$3:A$999)-2),2)),0)+IFERROR(INDEX(Income!C$3:C$502,SMALL(IF((Income!D$3:D$502="GBP")*(Income!A$3:A$502=DATE(2026,11,2)),ROW(Income!A$3:A$502)-2),2)),0))</f>
        <v/>
      </c>
      <c r="D225" s="126">
        <f t="array" ref="D225">IF(IFERROR(INDEX(Expenses!B$3:B$999,SMALL(IF((Expenses!E$3:E$999="GBP")*(Expenses!A$3:A$999=DATE(2026,11,2)),ROW(Expenses!A$3:A$999)-2),2)),"")&lt;&gt;"",IFERROR(INDEX(Expenses!B$3:B$999,SMALL(IF((Expenses!E$3:E$999="GBP")*(Expenses!A$3:A$999=DATE(2026,11,2)),ROW(Expenses!A$3:A$999)-2),2)),""),IF(IFERROR(INDEX(Income!B$3:B$502,SMALL(IF((Income!D$3:D$502="GBP")*(Income!A$3:A$502=DATE(2026,11,2)),ROW(Income!A$3:A$502)-2),2)),"")&lt;&gt;"",IFERROR(INDEX(Income!B$3:B$502,SMALL(IF((Income!D$3:D$502="GBP")*(Income!A$3:A$502=DATE(2026,11,2)),ROW(Income!A$3:A$502)-2),2)),""),""))</f>
        <v/>
      </c>
      <c r="E225" s="152">
        <f t="array" ref="E225">IF(IFERROR(-INDEX(Expenses!D$3:D$999,SMALL(IF((Expenses!E$3:E$999="GBP")*(Expenses!A$3:A$999=DATE(2026,11,3)),ROW(Expenses!A$3:A$999)-2),2)),0)+IFERROR(INDEX(Income!C$3:C$502,SMALL(IF((Income!D$3:D$502="GBP")*(Income!A$3:A$502=DATE(2026,11,3)),ROW(Income!A$3:A$502)-2),2)),0)=0,"",IFERROR(-INDEX(Expenses!D$3:D$999,SMALL(IF((Expenses!E$3:E$999="GBP")*(Expenses!A$3:A$999=DATE(2026,11,3)),ROW(Expenses!A$3:A$999)-2),2)),0)+IFERROR(INDEX(Income!C$3:C$502,SMALL(IF((Income!D$3:D$502="GBP")*(Income!A$3:A$502=DATE(2026,11,3)),ROW(Income!A$3:A$502)-2),2)),0))</f>
        <v/>
      </c>
      <c r="F225" s="126">
        <f t="array" ref="F225">IF(IFERROR(INDEX(Expenses!B$3:B$999,SMALL(IF((Expenses!E$3:E$999="GBP")*(Expenses!A$3:A$999=DATE(2026,11,3)),ROW(Expenses!A$3:A$999)-2),2)),"")&lt;&gt;"",IFERROR(INDEX(Expenses!B$3:B$999,SMALL(IF((Expenses!E$3:E$999="GBP")*(Expenses!A$3:A$999=DATE(2026,11,3)),ROW(Expenses!A$3:A$999)-2),2)),""),IF(IFERROR(INDEX(Income!B$3:B$502,SMALL(IF((Income!D$3:D$502="GBP")*(Income!A$3:A$502=DATE(2026,11,3)),ROW(Income!A$3:A$502)-2),2)),"")&lt;&gt;"",IFERROR(INDEX(Income!B$3:B$502,SMALL(IF((Income!D$3:D$502="GBP")*(Income!A$3:A$502=DATE(2026,11,3)),ROW(Income!A$3:A$502)-2),2)),""),""))</f>
        <v/>
      </c>
      <c r="G225" s="152">
        <f t="array" ref="G225">IF(IFERROR(-INDEX(Expenses!D$3:D$999,SMALL(IF((Expenses!E$3:E$999="GBP")*(Expenses!A$3:A$999=DATE(2026,11,4)),ROW(Expenses!A$3:A$999)-2),2)),0)+IFERROR(INDEX(Income!C$3:C$502,SMALL(IF((Income!D$3:D$502="GBP")*(Income!A$3:A$502=DATE(2026,11,4)),ROW(Income!A$3:A$502)-2),2)),0)=0,"",IFERROR(-INDEX(Expenses!D$3:D$999,SMALL(IF((Expenses!E$3:E$999="GBP")*(Expenses!A$3:A$999=DATE(2026,11,4)),ROW(Expenses!A$3:A$999)-2),2)),0)+IFERROR(INDEX(Income!C$3:C$502,SMALL(IF((Income!D$3:D$502="GBP")*(Income!A$3:A$502=DATE(2026,11,4)),ROW(Income!A$3:A$502)-2),2)),0))</f>
        <v/>
      </c>
      <c r="H225" s="126">
        <f t="array" ref="H225">IF(IFERROR(INDEX(Expenses!B$3:B$999,SMALL(IF((Expenses!E$3:E$999="GBP")*(Expenses!A$3:A$999=DATE(2026,11,4)),ROW(Expenses!A$3:A$999)-2),2)),"")&lt;&gt;"",IFERROR(INDEX(Expenses!B$3:B$999,SMALL(IF((Expenses!E$3:E$999="GBP")*(Expenses!A$3:A$999=DATE(2026,11,4)),ROW(Expenses!A$3:A$999)-2),2)),""),IF(IFERROR(INDEX(Income!B$3:B$502,SMALL(IF((Income!D$3:D$502="GBP")*(Income!A$3:A$502=DATE(2026,11,4)),ROW(Income!A$3:A$502)-2),2)),"")&lt;&gt;"",IFERROR(INDEX(Income!B$3:B$502,SMALL(IF((Income!D$3:D$502="GBP")*(Income!A$3:A$502=DATE(2026,11,4)),ROW(Income!A$3:A$502)-2),2)),""),""))</f>
        <v/>
      </c>
      <c r="I225" s="152">
        <f t="array" ref="I225">IF(IFERROR(-INDEX(Expenses!D$3:D$999,SMALL(IF((Expenses!E$3:E$999="GBP")*(Expenses!A$3:A$999=DATE(2026,11,5)),ROW(Expenses!A$3:A$999)-2),2)),0)+IFERROR(INDEX(Income!C$3:C$502,SMALL(IF((Income!D$3:D$502="GBP")*(Income!A$3:A$502=DATE(2026,11,5)),ROW(Income!A$3:A$502)-2),2)),0)=0,"",IFERROR(-INDEX(Expenses!D$3:D$999,SMALL(IF((Expenses!E$3:E$999="GBP")*(Expenses!A$3:A$999=DATE(2026,11,5)),ROW(Expenses!A$3:A$999)-2),2)),0)+IFERROR(INDEX(Income!C$3:C$502,SMALL(IF((Income!D$3:D$502="GBP")*(Income!A$3:A$502=DATE(2026,11,5)),ROW(Income!A$3:A$502)-2),2)),0))</f>
        <v/>
      </c>
      <c r="J225" s="126">
        <f t="array" ref="J225">IF(IFERROR(INDEX(Expenses!B$3:B$999,SMALL(IF((Expenses!E$3:E$999="GBP")*(Expenses!A$3:A$999=DATE(2026,11,5)),ROW(Expenses!A$3:A$999)-2),2)),"")&lt;&gt;"",IFERROR(INDEX(Expenses!B$3:B$999,SMALL(IF((Expenses!E$3:E$999="GBP")*(Expenses!A$3:A$999=DATE(2026,11,5)),ROW(Expenses!A$3:A$999)-2),2)),""),IF(IFERROR(INDEX(Income!B$3:B$502,SMALL(IF((Income!D$3:D$502="GBP")*(Income!A$3:A$502=DATE(2026,11,5)),ROW(Income!A$3:A$502)-2),2)),"")&lt;&gt;"",IFERROR(INDEX(Income!B$3:B$502,SMALL(IF((Income!D$3:D$502="GBP")*(Income!A$3:A$502=DATE(2026,11,5)),ROW(Income!A$3:A$502)-2),2)),""),""))</f>
        <v/>
      </c>
      <c r="K225" s="152">
        <f t="array" ref="K225">IF(IFERROR(-INDEX(Expenses!D$3:D$999,SMALL(IF((Expenses!E$3:E$999="GBP")*(Expenses!A$3:A$999=DATE(2026,11,6)),ROW(Expenses!A$3:A$999)-2),2)),0)+IFERROR(INDEX(Income!C$3:C$502,SMALL(IF((Income!D$3:D$502="GBP")*(Income!A$3:A$502=DATE(2026,11,6)),ROW(Income!A$3:A$502)-2),2)),0)=0,"",IFERROR(-INDEX(Expenses!D$3:D$999,SMALL(IF((Expenses!E$3:E$999="GBP")*(Expenses!A$3:A$999=DATE(2026,11,6)),ROW(Expenses!A$3:A$999)-2),2)),0)+IFERROR(INDEX(Income!C$3:C$502,SMALL(IF((Income!D$3:D$502="GBP")*(Income!A$3:A$502=DATE(2026,11,6)),ROW(Income!A$3:A$502)-2),2)),0))</f>
        <v/>
      </c>
      <c r="L225" s="126">
        <f t="array" ref="L225">IF(IFERROR(INDEX(Expenses!B$3:B$999,SMALL(IF((Expenses!E$3:E$999="GBP")*(Expenses!A$3:A$999=DATE(2026,11,6)),ROW(Expenses!A$3:A$999)-2),2)),"")&lt;&gt;"",IFERROR(INDEX(Expenses!B$3:B$999,SMALL(IF((Expenses!E$3:E$999="GBP")*(Expenses!A$3:A$999=DATE(2026,11,6)),ROW(Expenses!A$3:A$999)-2),2)),""),IF(IFERROR(INDEX(Income!B$3:B$502,SMALL(IF((Income!D$3:D$502="GBP")*(Income!A$3:A$502=DATE(2026,11,6)),ROW(Income!A$3:A$502)-2),2)),"")&lt;&gt;"",IFERROR(INDEX(Income!B$3:B$502,SMALL(IF((Income!D$3:D$502="GBP")*(Income!A$3:A$502=DATE(2026,11,6)),ROW(Income!A$3:A$502)-2),2)),""),""))</f>
        <v/>
      </c>
      <c r="M225" s="152">
        <f t="array" ref="M225">IF(IFERROR(-INDEX(Expenses!D$3:D$999,SMALL(IF((Expenses!E$3:E$999="GBP")*(Expenses!A$3:A$999=DATE(2026,11,7)),ROW(Expenses!A$3:A$999)-2),2)),0)+IFERROR(INDEX(Income!C$3:C$502,SMALL(IF((Income!D$3:D$502="GBP")*(Income!A$3:A$502=DATE(2026,11,7)),ROW(Income!A$3:A$502)-2),2)),0)=0,"",IFERROR(-INDEX(Expenses!D$3:D$999,SMALL(IF((Expenses!E$3:E$999="GBP")*(Expenses!A$3:A$999=DATE(2026,11,7)),ROW(Expenses!A$3:A$999)-2),2)),0)+IFERROR(INDEX(Income!C$3:C$502,SMALL(IF((Income!D$3:D$502="GBP")*(Income!A$3:A$502=DATE(2026,11,7)),ROW(Income!A$3:A$502)-2),2)),0))</f>
        <v/>
      </c>
      <c r="N225" s="126">
        <f t="array" ref="N225">IF(IFERROR(INDEX(Expenses!B$3:B$999,SMALL(IF((Expenses!E$3:E$999="GBP")*(Expenses!A$3:A$999=DATE(2026,11,7)),ROW(Expenses!A$3:A$999)-2),2)),"")&lt;&gt;"",IFERROR(INDEX(Expenses!B$3:B$999,SMALL(IF((Expenses!E$3:E$999="GBP")*(Expenses!A$3:A$999=DATE(2026,11,7)),ROW(Expenses!A$3:A$999)-2),2)),""),IF(IFERROR(INDEX(Income!B$3:B$502,SMALL(IF((Income!D$3:D$502="GBP")*(Income!A$3:A$502=DATE(2026,11,7)),ROW(Income!A$3:A$502)-2),2)),"")&lt;&gt;"",IFERROR(INDEX(Income!B$3:B$502,SMALL(IF((Income!D$3:D$502="GBP")*(Income!A$3:A$502=DATE(2026,11,7)),ROW(Income!A$3:A$502)-2),2)),""),""))</f>
        <v/>
      </c>
      <c r="O225" s="152">
        <f t="array" ref="O225">IF(IFERROR(-INDEX(Expenses!D$3:D$999,SMALL(IF((Expenses!E$3:E$999="GBP")*(Expenses!A$3:A$999=DATE(2026,11,8)),ROW(Expenses!A$3:A$999)-2),2)),0)+IFERROR(INDEX(Income!C$3:C$502,SMALL(IF((Income!D$3:D$502="GBP")*(Income!A$3:A$502=DATE(2026,11,8)),ROW(Income!A$3:A$502)-2),2)),0)=0,"",IFERROR(-INDEX(Expenses!D$3:D$999,SMALL(IF((Expenses!E$3:E$999="GBP")*(Expenses!A$3:A$999=DATE(2026,11,8)),ROW(Expenses!A$3:A$999)-2),2)),0)+IFERROR(INDEX(Income!C$3:C$502,SMALL(IF((Income!D$3:D$502="GBP")*(Income!A$3:A$502=DATE(2026,11,8)),ROW(Income!A$3:A$502)-2),2)),0))</f>
        <v/>
      </c>
      <c r="P225" s="126">
        <f t="array" ref="P225">IF(IFERROR(INDEX(Expenses!B$3:B$999,SMALL(IF((Expenses!E$3:E$999="GBP")*(Expenses!A$3:A$999=DATE(2026,11,8)),ROW(Expenses!A$3:A$999)-2),2)),"")&lt;&gt;"",IFERROR(INDEX(Expenses!B$3:B$999,SMALL(IF((Expenses!E$3:E$999="GBP")*(Expenses!A$3:A$999=DATE(2026,11,8)),ROW(Expenses!A$3:A$999)-2),2)),""),IF(IFERROR(INDEX(Income!B$3:B$502,SMALL(IF((Income!D$3:D$502="GBP")*(Income!A$3:A$502=DATE(2026,11,8)),ROW(Income!A$3:A$502)-2),2)),"")&lt;&gt;"",IFERROR(INDEX(Income!B$3:B$502,SMALL(IF((Income!D$3:D$502="GBP")*(Income!A$3:A$502=DATE(2026,11,8)),ROW(Income!A$3:A$502)-2),2)),""),""))</f>
        <v/>
      </c>
      <c r="Q225" s="9" t="n"/>
      <c r="R225" s="9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68">
      <c r="A226" s="9" t="n"/>
      <c r="B226" s="9" t="n"/>
      <c r="C226" s="152">
        <f t="array" ref="C226">IF(IFERROR(-INDEX(Expenses!D$3:D$999,SMALL(IF((Expenses!E$3:E$999="GBP")*(Expenses!A$3:A$999=DATE(2026,11,2)),ROW(Expenses!A$3:A$999)-2),3)),0)+IFERROR(INDEX(Income!C$3:C$502,SMALL(IF((Income!D$3:D$502="GBP")*(Income!A$3:A$502=DATE(2026,11,2)),ROW(Income!A$3:A$502)-2),3)),0)=0,"",IFERROR(-INDEX(Expenses!D$3:D$999,SMALL(IF((Expenses!E$3:E$999="GBP")*(Expenses!A$3:A$999=DATE(2026,11,2)),ROW(Expenses!A$3:A$999)-2),3)),0)+IFERROR(INDEX(Income!C$3:C$502,SMALL(IF((Income!D$3:D$502="GBP")*(Income!A$3:A$502=DATE(2026,11,2)),ROW(Income!A$3:A$502)-2),3)),0))</f>
        <v/>
      </c>
      <c r="D226" s="126">
        <f t="array" ref="D226">IF(IFERROR(INDEX(Expenses!B$3:B$999,SMALL(IF((Expenses!E$3:E$999="GBP")*(Expenses!A$3:A$999=DATE(2026,11,2)),ROW(Expenses!A$3:A$999)-2),3)),"")&lt;&gt;"",IFERROR(INDEX(Expenses!B$3:B$999,SMALL(IF((Expenses!E$3:E$999="GBP")*(Expenses!A$3:A$999=DATE(2026,11,2)),ROW(Expenses!A$3:A$999)-2),3)),""),IF(IFERROR(INDEX(Income!B$3:B$502,SMALL(IF((Income!D$3:D$502="GBP")*(Income!A$3:A$502=DATE(2026,11,2)),ROW(Income!A$3:A$502)-2),3)),"")&lt;&gt;"",IFERROR(INDEX(Income!B$3:B$502,SMALL(IF((Income!D$3:D$502="GBP")*(Income!A$3:A$502=DATE(2026,11,2)),ROW(Income!A$3:A$502)-2),3)),""),""))</f>
        <v/>
      </c>
      <c r="E226" s="152">
        <f t="array" ref="E226">IF(IFERROR(-INDEX(Expenses!D$3:D$999,SMALL(IF((Expenses!E$3:E$999="GBP")*(Expenses!A$3:A$999=DATE(2026,11,3)),ROW(Expenses!A$3:A$999)-2),3)),0)+IFERROR(INDEX(Income!C$3:C$502,SMALL(IF((Income!D$3:D$502="GBP")*(Income!A$3:A$502=DATE(2026,11,3)),ROW(Income!A$3:A$502)-2),3)),0)=0,"",IFERROR(-INDEX(Expenses!D$3:D$999,SMALL(IF((Expenses!E$3:E$999="GBP")*(Expenses!A$3:A$999=DATE(2026,11,3)),ROW(Expenses!A$3:A$999)-2),3)),0)+IFERROR(INDEX(Income!C$3:C$502,SMALL(IF((Income!D$3:D$502="GBP")*(Income!A$3:A$502=DATE(2026,11,3)),ROW(Income!A$3:A$502)-2),3)),0))</f>
        <v/>
      </c>
      <c r="F226" s="126">
        <f t="array" ref="F226">IF(IFERROR(INDEX(Expenses!B$3:B$999,SMALL(IF((Expenses!E$3:E$999="GBP")*(Expenses!A$3:A$999=DATE(2026,11,3)),ROW(Expenses!A$3:A$999)-2),3)),"")&lt;&gt;"",IFERROR(INDEX(Expenses!B$3:B$999,SMALL(IF((Expenses!E$3:E$999="GBP")*(Expenses!A$3:A$999=DATE(2026,11,3)),ROW(Expenses!A$3:A$999)-2),3)),""),IF(IFERROR(INDEX(Income!B$3:B$502,SMALL(IF((Income!D$3:D$502="GBP")*(Income!A$3:A$502=DATE(2026,11,3)),ROW(Income!A$3:A$502)-2),3)),"")&lt;&gt;"",IFERROR(INDEX(Income!B$3:B$502,SMALL(IF((Income!D$3:D$502="GBP")*(Income!A$3:A$502=DATE(2026,11,3)),ROW(Income!A$3:A$502)-2),3)),""),""))</f>
        <v/>
      </c>
      <c r="G226" s="152">
        <f t="array" ref="G226">IF(IFERROR(-INDEX(Expenses!D$3:D$999,SMALL(IF((Expenses!E$3:E$999="GBP")*(Expenses!A$3:A$999=DATE(2026,11,4)),ROW(Expenses!A$3:A$999)-2),3)),0)+IFERROR(INDEX(Income!C$3:C$502,SMALL(IF((Income!D$3:D$502="GBP")*(Income!A$3:A$502=DATE(2026,11,4)),ROW(Income!A$3:A$502)-2),3)),0)=0,"",IFERROR(-INDEX(Expenses!D$3:D$999,SMALL(IF((Expenses!E$3:E$999="GBP")*(Expenses!A$3:A$999=DATE(2026,11,4)),ROW(Expenses!A$3:A$999)-2),3)),0)+IFERROR(INDEX(Income!C$3:C$502,SMALL(IF((Income!D$3:D$502="GBP")*(Income!A$3:A$502=DATE(2026,11,4)),ROW(Income!A$3:A$502)-2),3)),0))</f>
        <v/>
      </c>
      <c r="H226" s="126">
        <f t="array" ref="H226">IF(IFERROR(INDEX(Expenses!B$3:B$999,SMALL(IF((Expenses!E$3:E$999="GBP")*(Expenses!A$3:A$999=DATE(2026,11,4)),ROW(Expenses!A$3:A$999)-2),3)),"")&lt;&gt;"",IFERROR(INDEX(Expenses!B$3:B$999,SMALL(IF((Expenses!E$3:E$999="GBP")*(Expenses!A$3:A$999=DATE(2026,11,4)),ROW(Expenses!A$3:A$999)-2),3)),""),IF(IFERROR(INDEX(Income!B$3:B$502,SMALL(IF((Income!D$3:D$502="GBP")*(Income!A$3:A$502=DATE(2026,11,4)),ROW(Income!A$3:A$502)-2),3)),"")&lt;&gt;"",IFERROR(INDEX(Income!B$3:B$502,SMALL(IF((Income!D$3:D$502="GBP")*(Income!A$3:A$502=DATE(2026,11,4)),ROW(Income!A$3:A$502)-2),3)),""),""))</f>
        <v/>
      </c>
      <c r="I226" s="152">
        <f t="array" ref="I226">IF(IFERROR(-INDEX(Expenses!D$3:D$999,SMALL(IF((Expenses!E$3:E$999="GBP")*(Expenses!A$3:A$999=DATE(2026,11,5)),ROW(Expenses!A$3:A$999)-2),3)),0)+IFERROR(INDEX(Income!C$3:C$502,SMALL(IF((Income!D$3:D$502="GBP")*(Income!A$3:A$502=DATE(2026,11,5)),ROW(Income!A$3:A$502)-2),3)),0)=0,"",IFERROR(-INDEX(Expenses!D$3:D$999,SMALL(IF((Expenses!E$3:E$999="GBP")*(Expenses!A$3:A$999=DATE(2026,11,5)),ROW(Expenses!A$3:A$999)-2),3)),0)+IFERROR(INDEX(Income!C$3:C$502,SMALL(IF((Income!D$3:D$502="GBP")*(Income!A$3:A$502=DATE(2026,11,5)),ROW(Income!A$3:A$502)-2),3)),0))</f>
        <v/>
      </c>
      <c r="J226" s="126">
        <f t="array" ref="J226">IF(IFERROR(INDEX(Expenses!B$3:B$999,SMALL(IF((Expenses!E$3:E$999="GBP")*(Expenses!A$3:A$999=DATE(2026,11,5)),ROW(Expenses!A$3:A$999)-2),3)),"")&lt;&gt;"",IFERROR(INDEX(Expenses!B$3:B$999,SMALL(IF((Expenses!E$3:E$999="GBP")*(Expenses!A$3:A$999=DATE(2026,11,5)),ROW(Expenses!A$3:A$999)-2),3)),""),IF(IFERROR(INDEX(Income!B$3:B$502,SMALL(IF((Income!D$3:D$502="GBP")*(Income!A$3:A$502=DATE(2026,11,5)),ROW(Income!A$3:A$502)-2),3)),"")&lt;&gt;"",IFERROR(INDEX(Income!B$3:B$502,SMALL(IF((Income!D$3:D$502="GBP")*(Income!A$3:A$502=DATE(2026,11,5)),ROW(Income!A$3:A$502)-2),3)),""),""))</f>
        <v/>
      </c>
      <c r="K226" s="152">
        <f t="array" ref="K226">IF(IFERROR(-INDEX(Expenses!D$3:D$999,SMALL(IF((Expenses!E$3:E$999="GBP")*(Expenses!A$3:A$999=DATE(2026,11,6)),ROW(Expenses!A$3:A$999)-2),3)),0)+IFERROR(INDEX(Income!C$3:C$502,SMALL(IF((Income!D$3:D$502="GBP")*(Income!A$3:A$502=DATE(2026,11,6)),ROW(Income!A$3:A$502)-2),3)),0)=0,"",IFERROR(-INDEX(Expenses!D$3:D$999,SMALL(IF((Expenses!E$3:E$999="GBP")*(Expenses!A$3:A$999=DATE(2026,11,6)),ROW(Expenses!A$3:A$999)-2),3)),0)+IFERROR(INDEX(Income!C$3:C$502,SMALL(IF((Income!D$3:D$502="GBP")*(Income!A$3:A$502=DATE(2026,11,6)),ROW(Income!A$3:A$502)-2),3)),0))</f>
        <v/>
      </c>
      <c r="L226" s="126">
        <f t="array" ref="L226">IF(IFERROR(INDEX(Expenses!B$3:B$999,SMALL(IF((Expenses!E$3:E$999="GBP")*(Expenses!A$3:A$999=DATE(2026,11,6)),ROW(Expenses!A$3:A$999)-2),3)),"")&lt;&gt;"",IFERROR(INDEX(Expenses!B$3:B$999,SMALL(IF((Expenses!E$3:E$999="GBP")*(Expenses!A$3:A$999=DATE(2026,11,6)),ROW(Expenses!A$3:A$999)-2),3)),""),IF(IFERROR(INDEX(Income!B$3:B$502,SMALL(IF((Income!D$3:D$502="GBP")*(Income!A$3:A$502=DATE(2026,11,6)),ROW(Income!A$3:A$502)-2),3)),"")&lt;&gt;"",IFERROR(INDEX(Income!B$3:B$502,SMALL(IF((Income!D$3:D$502="GBP")*(Income!A$3:A$502=DATE(2026,11,6)),ROW(Income!A$3:A$502)-2),3)),""),""))</f>
        <v/>
      </c>
      <c r="M226" s="152">
        <f t="array" ref="M226">IF(IFERROR(-INDEX(Expenses!D$3:D$999,SMALL(IF((Expenses!E$3:E$999="GBP")*(Expenses!A$3:A$999=DATE(2026,11,7)),ROW(Expenses!A$3:A$999)-2),3)),0)+IFERROR(INDEX(Income!C$3:C$502,SMALL(IF((Income!D$3:D$502="GBP")*(Income!A$3:A$502=DATE(2026,11,7)),ROW(Income!A$3:A$502)-2),3)),0)=0,"",IFERROR(-INDEX(Expenses!D$3:D$999,SMALL(IF((Expenses!E$3:E$999="GBP")*(Expenses!A$3:A$999=DATE(2026,11,7)),ROW(Expenses!A$3:A$999)-2),3)),0)+IFERROR(INDEX(Income!C$3:C$502,SMALL(IF((Income!D$3:D$502="GBP")*(Income!A$3:A$502=DATE(2026,11,7)),ROW(Income!A$3:A$502)-2),3)),0))</f>
        <v/>
      </c>
      <c r="N226" s="126">
        <f t="array" ref="N226">IF(IFERROR(INDEX(Expenses!B$3:B$999,SMALL(IF((Expenses!E$3:E$999="GBP")*(Expenses!A$3:A$999=DATE(2026,11,7)),ROW(Expenses!A$3:A$999)-2),3)),"")&lt;&gt;"",IFERROR(INDEX(Expenses!B$3:B$999,SMALL(IF((Expenses!E$3:E$999="GBP")*(Expenses!A$3:A$999=DATE(2026,11,7)),ROW(Expenses!A$3:A$999)-2),3)),""),IF(IFERROR(INDEX(Income!B$3:B$502,SMALL(IF((Income!D$3:D$502="GBP")*(Income!A$3:A$502=DATE(2026,11,7)),ROW(Income!A$3:A$502)-2),3)),"")&lt;&gt;"",IFERROR(INDEX(Income!B$3:B$502,SMALL(IF((Income!D$3:D$502="GBP")*(Income!A$3:A$502=DATE(2026,11,7)),ROW(Income!A$3:A$502)-2),3)),""),""))</f>
        <v/>
      </c>
      <c r="O226" s="152">
        <f t="array" ref="O226">IF(IFERROR(-INDEX(Expenses!D$3:D$999,SMALL(IF((Expenses!E$3:E$999="GBP")*(Expenses!A$3:A$999=DATE(2026,11,8)),ROW(Expenses!A$3:A$999)-2),3)),0)+IFERROR(INDEX(Income!C$3:C$502,SMALL(IF((Income!D$3:D$502="GBP")*(Income!A$3:A$502=DATE(2026,11,8)),ROW(Income!A$3:A$502)-2),3)),0)=0,"",IFERROR(-INDEX(Expenses!D$3:D$999,SMALL(IF((Expenses!E$3:E$999="GBP")*(Expenses!A$3:A$999=DATE(2026,11,8)),ROW(Expenses!A$3:A$999)-2),3)),0)+IFERROR(INDEX(Income!C$3:C$502,SMALL(IF((Income!D$3:D$502="GBP")*(Income!A$3:A$502=DATE(2026,11,8)),ROW(Income!A$3:A$502)-2),3)),0))</f>
        <v/>
      </c>
      <c r="P226" s="126">
        <f t="array" ref="P226">IF(IFERROR(INDEX(Expenses!B$3:B$999,SMALL(IF((Expenses!E$3:E$999="GBP")*(Expenses!A$3:A$999=DATE(2026,11,8)),ROW(Expenses!A$3:A$999)-2),3)),"")&lt;&gt;"",IFERROR(INDEX(Expenses!B$3:B$999,SMALL(IF((Expenses!E$3:E$999="GBP")*(Expenses!A$3:A$999=DATE(2026,11,8)),ROW(Expenses!A$3:A$999)-2),3)),""),IF(IFERROR(INDEX(Income!B$3:B$502,SMALL(IF((Income!D$3:D$502="GBP")*(Income!A$3:A$502=DATE(2026,11,8)),ROW(Income!A$3:A$502)-2),3)),"")&lt;&gt;"",IFERROR(INDEX(Income!B$3:B$502,SMALL(IF((Income!D$3:D$502="GBP")*(Income!A$3:A$502=DATE(2026,11,8)),ROW(Income!A$3:A$502)-2),3)),""),""))</f>
        <v/>
      </c>
      <c r="Q226" s="9" t="n"/>
      <c r="R226" s="9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68">
      <c r="A227" s="9" t="n"/>
      <c r="B227" s="9" t="n"/>
      <c r="C227" s="152">
        <f t="array" ref="C227">IF(IFERROR(-INDEX(Expenses!D$3:D$999,SMALL(IF((Expenses!E$3:E$999="GBP")*(Expenses!A$3:A$999=DATE(2026,11,2)),ROW(Expenses!A$3:A$999)-2),4)),0)+IFERROR(INDEX(Income!C$3:C$502,SMALL(IF((Income!D$3:D$502="GBP")*(Income!A$3:A$502=DATE(2026,11,2)),ROW(Income!A$3:A$502)-2),4)),0)=0,"",IFERROR(-INDEX(Expenses!D$3:D$999,SMALL(IF((Expenses!E$3:E$999="GBP")*(Expenses!A$3:A$999=DATE(2026,11,2)),ROW(Expenses!A$3:A$999)-2),4)),0)+IFERROR(INDEX(Income!C$3:C$502,SMALL(IF((Income!D$3:D$502="GBP")*(Income!A$3:A$502=DATE(2026,11,2)),ROW(Income!A$3:A$502)-2),4)),0))</f>
        <v/>
      </c>
      <c r="D227" s="126">
        <f t="array" ref="D227">IF(IFERROR(INDEX(Expenses!B$3:B$999,SMALL(IF((Expenses!E$3:E$999="GBP")*(Expenses!A$3:A$999=DATE(2026,11,2)),ROW(Expenses!A$3:A$999)-2),4)),"")&lt;&gt;"",IFERROR(INDEX(Expenses!B$3:B$999,SMALL(IF((Expenses!E$3:E$999="GBP")*(Expenses!A$3:A$999=DATE(2026,11,2)),ROW(Expenses!A$3:A$999)-2),4)),""),IF(IFERROR(INDEX(Income!B$3:B$502,SMALL(IF((Income!D$3:D$502="GBP")*(Income!A$3:A$502=DATE(2026,11,2)),ROW(Income!A$3:A$502)-2),4)),"")&lt;&gt;"",IFERROR(INDEX(Income!B$3:B$502,SMALL(IF((Income!D$3:D$502="GBP")*(Income!A$3:A$502=DATE(2026,11,2)),ROW(Income!A$3:A$502)-2),4)),""),""))</f>
        <v/>
      </c>
      <c r="E227" s="152">
        <f t="array" ref="E227">IF(IFERROR(-INDEX(Expenses!D$3:D$999,SMALL(IF((Expenses!E$3:E$999="GBP")*(Expenses!A$3:A$999=DATE(2026,11,3)),ROW(Expenses!A$3:A$999)-2),4)),0)+IFERROR(INDEX(Income!C$3:C$502,SMALL(IF((Income!D$3:D$502="GBP")*(Income!A$3:A$502=DATE(2026,11,3)),ROW(Income!A$3:A$502)-2),4)),0)=0,"",IFERROR(-INDEX(Expenses!D$3:D$999,SMALL(IF((Expenses!E$3:E$999="GBP")*(Expenses!A$3:A$999=DATE(2026,11,3)),ROW(Expenses!A$3:A$999)-2),4)),0)+IFERROR(INDEX(Income!C$3:C$502,SMALL(IF((Income!D$3:D$502="GBP")*(Income!A$3:A$502=DATE(2026,11,3)),ROW(Income!A$3:A$502)-2),4)),0))</f>
        <v/>
      </c>
      <c r="F227" s="126">
        <f t="array" ref="F227">IF(IFERROR(INDEX(Expenses!B$3:B$999,SMALL(IF((Expenses!E$3:E$999="GBP")*(Expenses!A$3:A$999=DATE(2026,11,3)),ROW(Expenses!A$3:A$999)-2),4)),"")&lt;&gt;"",IFERROR(INDEX(Expenses!B$3:B$999,SMALL(IF((Expenses!E$3:E$999="GBP")*(Expenses!A$3:A$999=DATE(2026,11,3)),ROW(Expenses!A$3:A$999)-2),4)),""),IF(IFERROR(INDEX(Income!B$3:B$502,SMALL(IF((Income!D$3:D$502="GBP")*(Income!A$3:A$502=DATE(2026,11,3)),ROW(Income!A$3:A$502)-2),4)),"")&lt;&gt;"",IFERROR(INDEX(Income!B$3:B$502,SMALL(IF((Income!D$3:D$502="GBP")*(Income!A$3:A$502=DATE(2026,11,3)),ROW(Income!A$3:A$502)-2),4)),""),""))</f>
        <v/>
      </c>
      <c r="G227" s="152">
        <f t="array" ref="G227">IF(IFERROR(-INDEX(Expenses!D$3:D$999,SMALL(IF((Expenses!E$3:E$999="GBP")*(Expenses!A$3:A$999=DATE(2026,11,4)),ROW(Expenses!A$3:A$999)-2),4)),0)+IFERROR(INDEX(Income!C$3:C$502,SMALL(IF((Income!D$3:D$502="GBP")*(Income!A$3:A$502=DATE(2026,11,4)),ROW(Income!A$3:A$502)-2),4)),0)=0,"",IFERROR(-INDEX(Expenses!D$3:D$999,SMALL(IF((Expenses!E$3:E$999="GBP")*(Expenses!A$3:A$999=DATE(2026,11,4)),ROW(Expenses!A$3:A$999)-2),4)),0)+IFERROR(INDEX(Income!C$3:C$502,SMALL(IF((Income!D$3:D$502="GBP")*(Income!A$3:A$502=DATE(2026,11,4)),ROW(Income!A$3:A$502)-2),4)),0))</f>
        <v/>
      </c>
      <c r="H227" s="126">
        <f t="array" ref="H227">IF(IFERROR(INDEX(Expenses!B$3:B$999,SMALL(IF((Expenses!E$3:E$999="GBP")*(Expenses!A$3:A$999=DATE(2026,11,4)),ROW(Expenses!A$3:A$999)-2),4)),"")&lt;&gt;"",IFERROR(INDEX(Expenses!B$3:B$999,SMALL(IF((Expenses!E$3:E$999="GBP")*(Expenses!A$3:A$999=DATE(2026,11,4)),ROW(Expenses!A$3:A$999)-2),4)),""),IF(IFERROR(INDEX(Income!B$3:B$502,SMALL(IF((Income!D$3:D$502="GBP")*(Income!A$3:A$502=DATE(2026,11,4)),ROW(Income!A$3:A$502)-2),4)),"")&lt;&gt;"",IFERROR(INDEX(Income!B$3:B$502,SMALL(IF((Income!D$3:D$502="GBP")*(Income!A$3:A$502=DATE(2026,11,4)),ROW(Income!A$3:A$502)-2),4)),""),""))</f>
        <v/>
      </c>
      <c r="I227" s="152">
        <f t="array" ref="I227">IF(IFERROR(-INDEX(Expenses!D$3:D$999,SMALL(IF((Expenses!E$3:E$999="GBP")*(Expenses!A$3:A$999=DATE(2026,11,5)),ROW(Expenses!A$3:A$999)-2),4)),0)+IFERROR(INDEX(Income!C$3:C$502,SMALL(IF((Income!D$3:D$502="GBP")*(Income!A$3:A$502=DATE(2026,11,5)),ROW(Income!A$3:A$502)-2),4)),0)=0,"",IFERROR(-INDEX(Expenses!D$3:D$999,SMALL(IF((Expenses!E$3:E$999="GBP")*(Expenses!A$3:A$999=DATE(2026,11,5)),ROW(Expenses!A$3:A$999)-2),4)),0)+IFERROR(INDEX(Income!C$3:C$502,SMALL(IF((Income!D$3:D$502="GBP")*(Income!A$3:A$502=DATE(2026,11,5)),ROW(Income!A$3:A$502)-2),4)),0))</f>
        <v/>
      </c>
      <c r="J227" s="126">
        <f t="array" ref="J227">IF(IFERROR(INDEX(Expenses!B$3:B$999,SMALL(IF((Expenses!E$3:E$999="GBP")*(Expenses!A$3:A$999=DATE(2026,11,5)),ROW(Expenses!A$3:A$999)-2),4)),"")&lt;&gt;"",IFERROR(INDEX(Expenses!B$3:B$999,SMALL(IF((Expenses!E$3:E$999="GBP")*(Expenses!A$3:A$999=DATE(2026,11,5)),ROW(Expenses!A$3:A$999)-2),4)),""),IF(IFERROR(INDEX(Income!B$3:B$502,SMALL(IF((Income!D$3:D$502="GBP")*(Income!A$3:A$502=DATE(2026,11,5)),ROW(Income!A$3:A$502)-2),4)),"")&lt;&gt;"",IFERROR(INDEX(Income!B$3:B$502,SMALL(IF((Income!D$3:D$502="GBP")*(Income!A$3:A$502=DATE(2026,11,5)),ROW(Income!A$3:A$502)-2),4)),""),""))</f>
        <v/>
      </c>
      <c r="K227" s="152">
        <f t="array" ref="K227">IF(IFERROR(-INDEX(Expenses!D$3:D$999,SMALL(IF((Expenses!E$3:E$999="GBP")*(Expenses!A$3:A$999=DATE(2026,11,6)),ROW(Expenses!A$3:A$999)-2),4)),0)+IFERROR(INDEX(Income!C$3:C$502,SMALL(IF((Income!D$3:D$502="GBP")*(Income!A$3:A$502=DATE(2026,11,6)),ROW(Income!A$3:A$502)-2),4)),0)=0,"",IFERROR(-INDEX(Expenses!D$3:D$999,SMALL(IF((Expenses!E$3:E$999="GBP")*(Expenses!A$3:A$999=DATE(2026,11,6)),ROW(Expenses!A$3:A$999)-2),4)),0)+IFERROR(INDEX(Income!C$3:C$502,SMALL(IF((Income!D$3:D$502="GBP")*(Income!A$3:A$502=DATE(2026,11,6)),ROW(Income!A$3:A$502)-2),4)),0))</f>
        <v/>
      </c>
      <c r="L227" s="126">
        <f t="array" ref="L227">IF(IFERROR(INDEX(Expenses!B$3:B$999,SMALL(IF((Expenses!E$3:E$999="GBP")*(Expenses!A$3:A$999=DATE(2026,11,6)),ROW(Expenses!A$3:A$999)-2),4)),"")&lt;&gt;"",IFERROR(INDEX(Expenses!B$3:B$999,SMALL(IF((Expenses!E$3:E$999="GBP")*(Expenses!A$3:A$999=DATE(2026,11,6)),ROW(Expenses!A$3:A$999)-2),4)),""),IF(IFERROR(INDEX(Income!B$3:B$502,SMALL(IF((Income!D$3:D$502="GBP")*(Income!A$3:A$502=DATE(2026,11,6)),ROW(Income!A$3:A$502)-2),4)),"")&lt;&gt;"",IFERROR(INDEX(Income!B$3:B$502,SMALL(IF((Income!D$3:D$502="GBP")*(Income!A$3:A$502=DATE(2026,11,6)),ROW(Income!A$3:A$502)-2),4)),""),""))</f>
        <v/>
      </c>
      <c r="M227" s="152">
        <f t="array" ref="M227">IF(IFERROR(-INDEX(Expenses!D$3:D$999,SMALL(IF((Expenses!E$3:E$999="GBP")*(Expenses!A$3:A$999=DATE(2026,11,7)),ROW(Expenses!A$3:A$999)-2),4)),0)+IFERROR(INDEX(Income!C$3:C$502,SMALL(IF((Income!D$3:D$502="GBP")*(Income!A$3:A$502=DATE(2026,11,7)),ROW(Income!A$3:A$502)-2),4)),0)=0,"",IFERROR(-INDEX(Expenses!D$3:D$999,SMALL(IF((Expenses!E$3:E$999="GBP")*(Expenses!A$3:A$999=DATE(2026,11,7)),ROW(Expenses!A$3:A$999)-2),4)),0)+IFERROR(INDEX(Income!C$3:C$502,SMALL(IF((Income!D$3:D$502="GBP")*(Income!A$3:A$502=DATE(2026,11,7)),ROW(Income!A$3:A$502)-2),4)),0))</f>
        <v/>
      </c>
      <c r="N227" s="126">
        <f t="array" ref="N227">IF(IFERROR(INDEX(Expenses!B$3:B$999,SMALL(IF((Expenses!E$3:E$999="GBP")*(Expenses!A$3:A$999=DATE(2026,11,7)),ROW(Expenses!A$3:A$999)-2),4)),"")&lt;&gt;"",IFERROR(INDEX(Expenses!B$3:B$999,SMALL(IF((Expenses!E$3:E$999="GBP")*(Expenses!A$3:A$999=DATE(2026,11,7)),ROW(Expenses!A$3:A$999)-2),4)),""),IF(IFERROR(INDEX(Income!B$3:B$502,SMALL(IF((Income!D$3:D$502="GBP")*(Income!A$3:A$502=DATE(2026,11,7)),ROW(Income!A$3:A$502)-2),4)),"")&lt;&gt;"",IFERROR(INDEX(Income!B$3:B$502,SMALL(IF((Income!D$3:D$502="GBP")*(Income!A$3:A$502=DATE(2026,11,7)),ROW(Income!A$3:A$502)-2),4)),""),""))</f>
        <v/>
      </c>
      <c r="O227" s="152">
        <f t="array" ref="O227">IF(IFERROR(-INDEX(Expenses!D$3:D$999,SMALL(IF((Expenses!E$3:E$999="GBP")*(Expenses!A$3:A$999=DATE(2026,11,8)),ROW(Expenses!A$3:A$999)-2),4)),0)+IFERROR(INDEX(Income!C$3:C$502,SMALL(IF((Income!D$3:D$502="GBP")*(Income!A$3:A$502=DATE(2026,11,8)),ROW(Income!A$3:A$502)-2),4)),0)=0,"",IFERROR(-INDEX(Expenses!D$3:D$999,SMALL(IF((Expenses!E$3:E$999="GBP")*(Expenses!A$3:A$999=DATE(2026,11,8)),ROW(Expenses!A$3:A$999)-2),4)),0)+IFERROR(INDEX(Income!C$3:C$502,SMALL(IF((Income!D$3:D$502="GBP")*(Income!A$3:A$502=DATE(2026,11,8)),ROW(Income!A$3:A$502)-2),4)),0))</f>
        <v/>
      </c>
      <c r="P227" s="126">
        <f t="array" ref="P227">IF(IFERROR(INDEX(Expenses!B$3:B$999,SMALL(IF((Expenses!E$3:E$999="GBP")*(Expenses!A$3:A$999=DATE(2026,11,8)),ROW(Expenses!A$3:A$999)-2),4)),"")&lt;&gt;"",IFERROR(INDEX(Expenses!B$3:B$999,SMALL(IF((Expenses!E$3:E$999="GBP")*(Expenses!A$3:A$999=DATE(2026,11,8)),ROW(Expenses!A$3:A$999)-2),4)),""),IF(IFERROR(INDEX(Income!B$3:B$502,SMALL(IF((Income!D$3:D$502="GBP")*(Income!A$3:A$502=DATE(2026,11,8)),ROW(Income!A$3:A$502)-2),4)),"")&lt;&gt;"",IFERROR(INDEX(Income!B$3:B$502,SMALL(IF((Income!D$3:D$502="GBP")*(Income!A$3:A$502=DATE(2026,11,8)),ROW(Income!A$3:A$502)-2),4)),""),""))</f>
        <v/>
      </c>
      <c r="Q227" s="9" t="n"/>
      <c r="R227" s="9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68">
      <c r="A228" s="9" t="n"/>
      <c r="B228" s="9" t="n"/>
      <c r="C228" s="152">
        <f t="array" ref="C228">IF(IFERROR(-INDEX(Expenses!D$3:D$999,SMALL(IF((Expenses!E$3:E$999="GBP")*(Expenses!A$3:A$999=DATE(2026,11,2)),ROW(Expenses!A$3:A$999)-2),5)),0)+IFERROR(INDEX(Income!C$3:C$502,SMALL(IF((Income!D$3:D$502="GBP")*(Income!A$3:A$502=DATE(2026,11,2)),ROW(Income!A$3:A$502)-2),5)),0)=0,"",IFERROR(-INDEX(Expenses!D$3:D$999,SMALL(IF((Expenses!E$3:E$999="GBP")*(Expenses!A$3:A$999=DATE(2026,11,2)),ROW(Expenses!A$3:A$999)-2),5)),0)+IFERROR(INDEX(Income!C$3:C$502,SMALL(IF((Income!D$3:D$502="GBP")*(Income!A$3:A$502=DATE(2026,11,2)),ROW(Income!A$3:A$502)-2),5)),0))</f>
        <v/>
      </c>
      <c r="D228" s="126">
        <f t="array" ref="D228">IF(IFERROR(INDEX(Expenses!B$3:B$999,SMALL(IF((Expenses!E$3:E$999="GBP")*(Expenses!A$3:A$999=DATE(2026,11,2)),ROW(Expenses!A$3:A$999)-2),5)),"")&lt;&gt;"",IFERROR(INDEX(Expenses!B$3:B$999,SMALL(IF((Expenses!E$3:E$999="GBP")*(Expenses!A$3:A$999=DATE(2026,11,2)),ROW(Expenses!A$3:A$999)-2),5)),""),IF(IFERROR(INDEX(Income!B$3:B$502,SMALL(IF((Income!D$3:D$502="GBP")*(Income!A$3:A$502=DATE(2026,11,2)),ROW(Income!A$3:A$502)-2),5)),"")&lt;&gt;"",IFERROR(INDEX(Income!B$3:B$502,SMALL(IF((Income!D$3:D$502="GBP")*(Income!A$3:A$502=DATE(2026,11,2)),ROW(Income!A$3:A$502)-2),5)),""),""))</f>
        <v/>
      </c>
      <c r="E228" s="152">
        <f t="array" ref="E228">IF(IFERROR(-INDEX(Expenses!D$3:D$999,SMALL(IF((Expenses!E$3:E$999="GBP")*(Expenses!A$3:A$999=DATE(2026,11,3)),ROW(Expenses!A$3:A$999)-2),5)),0)+IFERROR(INDEX(Income!C$3:C$502,SMALL(IF((Income!D$3:D$502="GBP")*(Income!A$3:A$502=DATE(2026,11,3)),ROW(Income!A$3:A$502)-2),5)),0)=0,"",IFERROR(-INDEX(Expenses!D$3:D$999,SMALL(IF((Expenses!E$3:E$999="GBP")*(Expenses!A$3:A$999=DATE(2026,11,3)),ROW(Expenses!A$3:A$999)-2),5)),0)+IFERROR(INDEX(Income!C$3:C$502,SMALL(IF((Income!D$3:D$502="GBP")*(Income!A$3:A$502=DATE(2026,11,3)),ROW(Income!A$3:A$502)-2),5)),0))</f>
        <v/>
      </c>
      <c r="F228" s="126">
        <f t="array" ref="F228">IF(IFERROR(INDEX(Expenses!B$3:B$999,SMALL(IF((Expenses!E$3:E$999="GBP")*(Expenses!A$3:A$999=DATE(2026,11,3)),ROW(Expenses!A$3:A$999)-2),5)),"")&lt;&gt;"",IFERROR(INDEX(Expenses!B$3:B$999,SMALL(IF((Expenses!E$3:E$999="GBP")*(Expenses!A$3:A$999=DATE(2026,11,3)),ROW(Expenses!A$3:A$999)-2),5)),""),IF(IFERROR(INDEX(Income!B$3:B$502,SMALL(IF((Income!D$3:D$502="GBP")*(Income!A$3:A$502=DATE(2026,11,3)),ROW(Income!A$3:A$502)-2),5)),"")&lt;&gt;"",IFERROR(INDEX(Income!B$3:B$502,SMALL(IF((Income!D$3:D$502="GBP")*(Income!A$3:A$502=DATE(2026,11,3)),ROW(Income!A$3:A$502)-2),5)),""),""))</f>
        <v/>
      </c>
      <c r="G228" s="152">
        <f t="array" ref="G228">IF(IFERROR(-INDEX(Expenses!D$3:D$999,SMALL(IF((Expenses!E$3:E$999="GBP")*(Expenses!A$3:A$999=DATE(2026,11,4)),ROW(Expenses!A$3:A$999)-2),5)),0)+IFERROR(INDEX(Income!C$3:C$502,SMALL(IF((Income!D$3:D$502="GBP")*(Income!A$3:A$502=DATE(2026,11,4)),ROW(Income!A$3:A$502)-2),5)),0)=0,"",IFERROR(-INDEX(Expenses!D$3:D$999,SMALL(IF((Expenses!E$3:E$999="GBP")*(Expenses!A$3:A$999=DATE(2026,11,4)),ROW(Expenses!A$3:A$999)-2),5)),0)+IFERROR(INDEX(Income!C$3:C$502,SMALL(IF((Income!D$3:D$502="GBP")*(Income!A$3:A$502=DATE(2026,11,4)),ROW(Income!A$3:A$502)-2),5)),0))</f>
        <v/>
      </c>
      <c r="H228" s="126">
        <f t="array" ref="H228">IF(IFERROR(INDEX(Expenses!B$3:B$999,SMALL(IF((Expenses!E$3:E$999="GBP")*(Expenses!A$3:A$999=DATE(2026,11,4)),ROW(Expenses!A$3:A$999)-2),5)),"")&lt;&gt;"",IFERROR(INDEX(Expenses!B$3:B$999,SMALL(IF((Expenses!E$3:E$999="GBP")*(Expenses!A$3:A$999=DATE(2026,11,4)),ROW(Expenses!A$3:A$999)-2),5)),""),IF(IFERROR(INDEX(Income!B$3:B$502,SMALL(IF((Income!D$3:D$502="GBP")*(Income!A$3:A$502=DATE(2026,11,4)),ROW(Income!A$3:A$502)-2),5)),"")&lt;&gt;"",IFERROR(INDEX(Income!B$3:B$502,SMALL(IF((Income!D$3:D$502="GBP")*(Income!A$3:A$502=DATE(2026,11,4)),ROW(Income!A$3:A$502)-2),5)),""),""))</f>
        <v/>
      </c>
      <c r="I228" s="152">
        <f t="array" ref="I228">IF(IFERROR(-INDEX(Expenses!D$3:D$999,SMALL(IF((Expenses!E$3:E$999="GBP")*(Expenses!A$3:A$999=DATE(2026,11,5)),ROW(Expenses!A$3:A$999)-2),5)),0)+IFERROR(INDEX(Income!C$3:C$502,SMALL(IF((Income!D$3:D$502="GBP")*(Income!A$3:A$502=DATE(2026,11,5)),ROW(Income!A$3:A$502)-2),5)),0)=0,"",IFERROR(-INDEX(Expenses!D$3:D$999,SMALL(IF((Expenses!E$3:E$999="GBP")*(Expenses!A$3:A$999=DATE(2026,11,5)),ROW(Expenses!A$3:A$999)-2),5)),0)+IFERROR(INDEX(Income!C$3:C$502,SMALL(IF((Income!D$3:D$502="GBP")*(Income!A$3:A$502=DATE(2026,11,5)),ROW(Income!A$3:A$502)-2),5)),0))</f>
        <v/>
      </c>
      <c r="J228" s="126">
        <f t="array" ref="J228">IF(IFERROR(INDEX(Expenses!B$3:B$999,SMALL(IF((Expenses!E$3:E$999="GBP")*(Expenses!A$3:A$999=DATE(2026,11,5)),ROW(Expenses!A$3:A$999)-2),5)),"")&lt;&gt;"",IFERROR(INDEX(Expenses!B$3:B$999,SMALL(IF((Expenses!E$3:E$999="GBP")*(Expenses!A$3:A$999=DATE(2026,11,5)),ROW(Expenses!A$3:A$999)-2),5)),""),IF(IFERROR(INDEX(Income!B$3:B$502,SMALL(IF((Income!D$3:D$502="GBP")*(Income!A$3:A$502=DATE(2026,11,5)),ROW(Income!A$3:A$502)-2),5)),"")&lt;&gt;"",IFERROR(INDEX(Income!B$3:B$502,SMALL(IF((Income!D$3:D$502="GBP")*(Income!A$3:A$502=DATE(2026,11,5)),ROW(Income!A$3:A$502)-2),5)),""),""))</f>
        <v/>
      </c>
      <c r="K228" s="152">
        <f t="array" ref="K228">IF(IFERROR(-INDEX(Expenses!D$3:D$999,SMALL(IF((Expenses!E$3:E$999="GBP")*(Expenses!A$3:A$999=DATE(2026,11,6)),ROW(Expenses!A$3:A$999)-2),5)),0)+IFERROR(INDEX(Income!C$3:C$502,SMALL(IF((Income!D$3:D$502="GBP")*(Income!A$3:A$502=DATE(2026,11,6)),ROW(Income!A$3:A$502)-2),5)),0)=0,"",IFERROR(-INDEX(Expenses!D$3:D$999,SMALL(IF((Expenses!E$3:E$999="GBP")*(Expenses!A$3:A$999=DATE(2026,11,6)),ROW(Expenses!A$3:A$999)-2),5)),0)+IFERROR(INDEX(Income!C$3:C$502,SMALL(IF((Income!D$3:D$502="GBP")*(Income!A$3:A$502=DATE(2026,11,6)),ROW(Income!A$3:A$502)-2),5)),0))</f>
        <v/>
      </c>
      <c r="L228" s="126">
        <f t="array" ref="L228">IF(IFERROR(INDEX(Expenses!B$3:B$999,SMALL(IF((Expenses!E$3:E$999="GBP")*(Expenses!A$3:A$999=DATE(2026,11,6)),ROW(Expenses!A$3:A$999)-2),5)),"")&lt;&gt;"",IFERROR(INDEX(Expenses!B$3:B$999,SMALL(IF((Expenses!E$3:E$999="GBP")*(Expenses!A$3:A$999=DATE(2026,11,6)),ROW(Expenses!A$3:A$999)-2),5)),""),IF(IFERROR(INDEX(Income!B$3:B$502,SMALL(IF((Income!D$3:D$502="GBP")*(Income!A$3:A$502=DATE(2026,11,6)),ROW(Income!A$3:A$502)-2),5)),"")&lt;&gt;"",IFERROR(INDEX(Income!B$3:B$502,SMALL(IF((Income!D$3:D$502="GBP")*(Income!A$3:A$502=DATE(2026,11,6)),ROW(Income!A$3:A$502)-2),5)),""),""))</f>
        <v/>
      </c>
      <c r="M228" s="152">
        <f t="array" ref="M228">IF(IFERROR(-INDEX(Expenses!D$3:D$999,SMALL(IF((Expenses!E$3:E$999="GBP")*(Expenses!A$3:A$999=DATE(2026,11,7)),ROW(Expenses!A$3:A$999)-2),5)),0)+IFERROR(INDEX(Income!C$3:C$502,SMALL(IF((Income!D$3:D$502="GBP")*(Income!A$3:A$502=DATE(2026,11,7)),ROW(Income!A$3:A$502)-2),5)),0)=0,"",IFERROR(-INDEX(Expenses!D$3:D$999,SMALL(IF((Expenses!E$3:E$999="GBP")*(Expenses!A$3:A$999=DATE(2026,11,7)),ROW(Expenses!A$3:A$999)-2),5)),0)+IFERROR(INDEX(Income!C$3:C$502,SMALL(IF((Income!D$3:D$502="GBP")*(Income!A$3:A$502=DATE(2026,11,7)),ROW(Income!A$3:A$502)-2),5)),0))</f>
        <v/>
      </c>
      <c r="N228" s="126">
        <f t="array" ref="N228">IF(IFERROR(INDEX(Expenses!B$3:B$999,SMALL(IF((Expenses!E$3:E$999="GBP")*(Expenses!A$3:A$999=DATE(2026,11,7)),ROW(Expenses!A$3:A$999)-2),5)),"")&lt;&gt;"",IFERROR(INDEX(Expenses!B$3:B$999,SMALL(IF((Expenses!E$3:E$999="GBP")*(Expenses!A$3:A$999=DATE(2026,11,7)),ROW(Expenses!A$3:A$999)-2),5)),""),IF(IFERROR(INDEX(Income!B$3:B$502,SMALL(IF((Income!D$3:D$502="GBP")*(Income!A$3:A$502=DATE(2026,11,7)),ROW(Income!A$3:A$502)-2),5)),"")&lt;&gt;"",IFERROR(INDEX(Income!B$3:B$502,SMALL(IF((Income!D$3:D$502="GBP")*(Income!A$3:A$502=DATE(2026,11,7)),ROW(Income!A$3:A$502)-2),5)),""),""))</f>
        <v/>
      </c>
      <c r="O228" s="152">
        <f t="array" ref="O228">IF(IFERROR(-INDEX(Expenses!D$3:D$999,SMALL(IF((Expenses!E$3:E$999="GBP")*(Expenses!A$3:A$999=DATE(2026,11,8)),ROW(Expenses!A$3:A$999)-2),5)),0)+IFERROR(INDEX(Income!C$3:C$502,SMALL(IF((Income!D$3:D$502="GBP")*(Income!A$3:A$502=DATE(2026,11,8)),ROW(Income!A$3:A$502)-2),5)),0)=0,"",IFERROR(-INDEX(Expenses!D$3:D$999,SMALL(IF((Expenses!E$3:E$999="GBP")*(Expenses!A$3:A$999=DATE(2026,11,8)),ROW(Expenses!A$3:A$999)-2),5)),0)+IFERROR(INDEX(Income!C$3:C$502,SMALL(IF((Income!D$3:D$502="GBP")*(Income!A$3:A$502=DATE(2026,11,8)),ROW(Income!A$3:A$502)-2),5)),0))</f>
        <v/>
      </c>
      <c r="P228" s="126">
        <f t="array" ref="P228">IF(IFERROR(INDEX(Expenses!B$3:B$999,SMALL(IF((Expenses!E$3:E$999="GBP")*(Expenses!A$3:A$999=DATE(2026,11,8)),ROW(Expenses!A$3:A$999)-2),5)),"")&lt;&gt;"",IFERROR(INDEX(Expenses!B$3:B$999,SMALL(IF((Expenses!E$3:E$999="GBP")*(Expenses!A$3:A$999=DATE(2026,11,8)),ROW(Expenses!A$3:A$999)-2),5)),""),IF(IFERROR(INDEX(Income!B$3:B$502,SMALL(IF((Income!D$3:D$502="GBP")*(Income!A$3:A$502=DATE(2026,11,8)),ROW(Income!A$3:A$502)-2),5)),"")&lt;&gt;"",IFERROR(INDEX(Income!B$3:B$502,SMALL(IF((Income!D$3:D$502="GBP")*(Income!A$3:A$502=DATE(2026,11,8)),ROW(Income!A$3:A$502)-2),5)),""),""))</f>
        <v/>
      </c>
      <c r="Q228" s="9" t="n"/>
      <c r="R228" s="9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68">
      <c r="A229" s="151" t="n">
        <v>46335</v>
      </c>
      <c r="B229" s="103" t="n">
        <v>46</v>
      </c>
      <c r="C229" s="152">
        <f t="array" ref="C229">IF(IFERROR(-INDEX(Expenses!D$3:D$999,SMALL(IF((Expenses!E$3:E$999="GBP")*(Expenses!A$3:A$999=DATE(2026,11,9)),ROW(Expenses!A$3:A$999)-2),1)),0)+IFERROR(INDEX(Income!C$3:C$502,SMALL(IF((Income!D$3:D$502="GBP")*(Income!A$3:A$502=DATE(2026,11,9)),ROW(Income!A$3:A$502)-2),1)),0)=0,"",IFERROR(-INDEX(Expenses!D$3:D$999,SMALL(IF((Expenses!E$3:E$999="GBP")*(Expenses!A$3:A$999=DATE(2026,11,9)),ROW(Expenses!A$3:A$999)-2),1)),0)+IFERROR(INDEX(Income!C$3:C$502,SMALL(IF((Income!D$3:D$502="GBP")*(Income!A$3:A$502=DATE(2026,11,9)),ROW(Income!A$3:A$502)-2),1)),0))</f>
        <v/>
      </c>
      <c r="D229" s="126">
        <f t="array" ref="D229">IF(IFERROR(INDEX(Expenses!B$3:B$999,SMALL(IF((Expenses!E$3:E$999="GBP")*(Expenses!A$3:A$999=DATE(2026,11,9)),ROW(Expenses!A$3:A$999)-2),1)),"")&lt;&gt;"",IFERROR(INDEX(Expenses!B$3:B$999,SMALL(IF((Expenses!E$3:E$999="GBP")*(Expenses!A$3:A$999=DATE(2026,11,9)),ROW(Expenses!A$3:A$999)-2),1)),""),IF(IFERROR(INDEX(Income!B$3:B$502,SMALL(IF((Income!D$3:D$502="GBP")*(Income!A$3:A$502=DATE(2026,11,9)),ROW(Income!A$3:A$502)-2),1)),"")&lt;&gt;"",IFERROR(INDEX(Income!B$3:B$502,SMALL(IF((Income!D$3:D$502="GBP")*(Income!A$3:A$502=DATE(2026,11,9)),ROW(Income!A$3:A$502)-2),1)),""),""))</f>
        <v/>
      </c>
      <c r="E229" s="152">
        <f t="array" ref="E229">IF(IFERROR(-INDEX(Expenses!D$3:D$999,SMALL(IF((Expenses!E$3:E$999="GBP")*(Expenses!A$3:A$999=DATE(2026,11,10)),ROW(Expenses!A$3:A$999)-2),1)),0)+IFERROR(INDEX(Income!C$3:C$502,SMALL(IF((Income!D$3:D$502="GBP")*(Income!A$3:A$502=DATE(2026,11,10)),ROW(Income!A$3:A$502)-2),1)),0)=0,"",IFERROR(-INDEX(Expenses!D$3:D$999,SMALL(IF((Expenses!E$3:E$999="GBP")*(Expenses!A$3:A$999=DATE(2026,11,10)),ROW(Expenses!A$3:A$999)-2),1)),0)+IFERROR(INDEX(Income!C$3:C$502,SMALL(IF((Income!D$3:D$502="GBP")*(Income!A$3:A$502=DATE(2026,11,10)),ROW(Income!A$3:A$502)-2),1)),0))</f>
        <v/>
      </c>
      <c r="F229" s="126">
        <f t="array" ref="F229">IF(IFERROR(INDEX(Expenses!B$3:B$999,SMALL(IF((Expenses!E$3:E$999="GBP")*(Expenses!A$3:A$999=DATE(2026,11,10)),ROW(Expenses!A$3:A$999)-2),1)),"")&lt;&gt;"",IFERROR(INDEX(Expenses!B$3:B$999,SMALL(IF((Expenses!E$3:E$999="GBP")*(Expenses!A$3:A$999=DATE(2026,11,10)),ROW(Expenses!A$3:A$999)-2),1)),""),IF(IFERROR(INDEX(Income!B$3:B$502,SMALL(IF((Income!D$3:D$502="GBP")*(Income!A$3:A$502=DATE(2026,11,10)),ROW(Income!A$3:A$502)-2),1)),"")&lt;&gt;"",IFERROR(INDEX(Income!B$3:B$502,SMALL(IF((Income!D$3:D$502="GBP")*(Income!A$3:A$502=DATE(2026,11,10)),ROW(Income!A$3:A$502)-2),1)),""),""))</f>
        <v/>
      </c>
      <c r="G229" s="152">
        <f t="array" ref="G229">IF(IFERROR(-INDEX(Expenses!D$3:D$999,SMALL(IF((Expenses!E$3:E$999="GBP")*(Expenses!A$3:A$999=DATE(2026,11,11)),ROW(Expenses!A$3:A$999)-2),1)),0)+IFERROR(INDEX(Income!C$3:C$502,SMALL(IF((Income!D$3:D$502="GBP")*(Income!A$3:A$502=DATE(2026,11,11)),ROW(Income!A$3:A$502)-2),1)),0)=0,"",IFERROR(-INDEX(Expenses!D$3:D$999,SMALL(IF((Expenses!E$3:E$999="GBP")*(Expenses!A$3:A$999=DATE(2026,11,11)),ROW(Expenses!A$3:A$999)-2),1)),0)+IFERROR(INDEX(Income!C$3:C$502,SMALL(IF((Income!D$3:D$502="GBP")*(Income!A$3:A$502=DATE(2026,11,11)),ROW(Income!A$3:A$502)-2),1)),0))</f>
        <v/>
      </c>
      <c r="H229" s="126">
        <f t="array" ref="H229">IF(IFERROR(INDEX(Expenses!B$3:B$999,SMALL(IF((Expenses!E$3:E$999="GBP")*(Expenses!A$3:A$999=DATE(2026,11,11)),ROW(Expenses!A$3:A$999)-2),1)),"")&lt;&gt;"",IFERROR(INDEX(Expenses!B$3:B$999,SMALL(IF((Expenses!E$3:E$999="GBP")*(Expenses!A$3:A$999=DATE(2026,11,11)),ROW(Expenses!A$3:A$999)-2),1)),""),IF(IFERROR(INDEX(Income!B$3:B$502,SMALL(IF((Income!D$3:D$502="GBP")*(Income!A$3:A$502=DATE(2026,11,11)),ROW(Income!A$3:A$502)-2),1)),"")&lt;&gt;"",IFERROR(INDEX(Income!B$3:B$502,SMALL(IF((Income!D$3:D$502="GBP")*(Income!A$3:A$502=DATE(2026,11,11)),ROW(Income!A$3:A$502)-2),1)),""),""))</f>
        <v/>
      </c>
      <c r="I229" s="152">
        <f t="array" ref="I229">IF(IFERROR(-INDEX(Expenses!D$3:D$999,SMALL(IF((Expenses!E$3:E$999="GBP")*(Expenses!A$3:A$999=DATE(2026,11,12)),ROW(Expenses!A$3:A$999)-2),1)),0)+IFERROR(INDEX(Income!C$3:C$502,SMALL(IF((Income!D$3:D$502="GBP")*(Income!A$3:A$502=DATE(2026,11,12)),ROW(Income!A$3:A$502)-2),1)),0)=0,"",IFERROR(-INDEX(Expenses!D$3:D$999,SMALL(IF((Expenses!E$3:E$999="GBP")*(Expenses!A$3:A$999=DATE(2026,11,12)),ROW(Expenses!A$3:A$999)-2),1)),0)+IFERROR(INDEX(Income!C$3:C$502,SMALL(IF((Income!D$3:D$502="GBP")*(Income!A$3:A$502=DATE(2026,11,12)),ROW(Income!A$3:A$502)-2),1)),0))</f>
        <v/>
      </c>
      <c r="J229" s="126">
        <f t="array" ref="J229">IF(IFERROR(INDEX(Expenses!B$3:B$999,SMALL(IF((Expenses!E$3:E$999="GBP")*(Expenses!A$3:A$999=DATE(2026,11,12)),ROW(Expenses!A$3:A$999)-2),1)),"")&lt;&gt;"",IFERROR(INDEX(Expenses!B$3:B$999,SMALL(IF((Expenses!E$3:E$999="GBP")*(Expenses!A$3:A$999=DATE(2026,11,12)),ROW(Expenses!A$3:A$999)-2),1)),""),IF(IFERROR(INDEX(Income!B$3:B$502,SMALL(IF((Income!D$3:D$502="GBP")*(Income!A$3:A$502=DATE(2026,11,12)),ROW(Income!A$3:A$502)-2),1)),"")&lt;&gt;"",IFERROR(INDEX(Income!B$3:B$502,SMALL(IF((Income!D$3:D$502="GBP")*(Income!A$3:A$502=DATE(2026,11,12)),ROW(Income!A$3:A$502)-2),1)),""),""))</f>
        <v/>
      </c>
      <c r="K229" s="152">
        <f t="array" ref="K229">IF(IFERROR(-INDEX(Expenses!D$3:D$999,SMALL(IF((Expenses!E$3:E$999="GBP")*(Expenses!A$3:A$999=DATE(2026,11,13)),ROW(Expenses!A$3:A$999)-2),1)),0)+IFERROR(INDEX(Income!C$3:C$502,SMALL(IF((Income!D$3:D$502="GBP")*(Income!A$3:A$502=DATE(2026,11,13)),ROW(Income!A$3:A$502)-2),1)),0)=0,"",IFERROR(-INDEX(Expenses!D$3:D$999,SMALL(IF((Expenses!E$3:E$999="GBP")*(Expenses!A$3:A$999=DATE(2026,11,13)),ROW(Expenses!A$3:A$999)-2),1)),0)+IFERROR(INDEX(Income!C$3:C$502,SMALL(IF((Income!D$3:D$502="GBP")*(Income!A$3:A$502=DATE(2026,11,13)),ROW(Income!A$3:A$502)-2),1)),0))</f>
        <v/>
      </c>
      <c r="L229" s="126">
        <f t="array" ref="L229">IF(IFERROR(INDEX(Expenses!B$3:B$999,SMALL(IF((Expenses!E$3:E$999="GBP")*(Expenses!A$3:A$999=DATE(2026,11,13)),ROW(Expenses!A$3:A$999)-2),1)),"")&lt;&gt;"",IFERROR(INDEX(Expenses!B$3:B$999,SMALL(IF((Expenses!E$3:E$999="GBP")*(Expenses!A$3:A$999=DATE(2026,11,13)),ROW(Expenses!A$3:A$999)-2),1)),""),IF(IFERROR(INDEX(Income!B$3:B$502,SMALL(IF((Income!D$3:D$502="GBP")*(Income!A$3:A$502=DATE(2026,11,13)),ROW(Income!A$3:A$502)-2),1)),"")&lt;&gt;"",IFERROR(INDEX(Income!B$3:B$502,SMALL(IF((Income!D$3:D$502="GBP")*(Income!A$3:A$502=DATE(2026,11,13)),ROW(Income!A$3:A$502)-2),1)),""),""))</f>
        <v/>
      </c>
      <c r="M229" s="152">
        <f t="array" ref="M229">IF(IFERROR(-INDEX(Expenses!D$3:D$999,SMALL(IF((Expenses!E$3:E$999="GBP")*(Expenses!A$3:A$999=DATE(2026,11,14)),ROW(Expenses!A$3:A$999)-2),1)),0)+IFERROR(INDEX(Income!C$3:C$502,SMALL(IF((Income!D$3:D$502="GBP")*(Income!A$3:A$502=DATE(2026,11,14)),ROW(Income!A$3:A$502)-2),1)),0)=0,"",IFERROR(-INDEX(Expenses!D$3:D$999,SMALL(IF((Expenses!E$3:E$999="GBP")*(Expenses!A$3:A$999=DATE(2026,11,14)),ROW(Expenses!A$3:A$999)-2),1)),0)+IFERROR(INDEX(Income!C$3:C$502,SMALL(IF((Income!D$3:D$502="GBP")*(Income!A$3:A$502=DATE(2026,11,14)),ROW(Income!A$3:A$502)-2),1)),0))</f>
        <v/>
      </c>
      <c r="N229" s="126">
        <f t="array" ref="N229">IF(IFERROR(INDEX(Expenses!B$3:B$999,SMALL(IF((Expenses!E$3:E$999="GBP")*(Expenses!A$3:A$999=DATE(2026,11,14)),ROW(Expenses!A$3:A$999)-2),1)),"")&lt;&gt;"",IFERROR(INDEX(Expenses!B$3:B$999,SMALL(IF((Expenses!E$3:E$999="GBP")*(Expenses!A$3:A$999=DATE(2026,11,14)),ROW(Expenses!A$3:A$999)-2),1)),""),IF(IFERROR(INDEX(Income!B$3:B$502,SMALL(IF((Income!D$3:D$502="GBP")*(Income!A$3:A$502=DATE(2026,11,14)),ROW(Income!A$3:A$502)-2),1)),"")&lt;&gt;"",IFERROR(INDEX(Income!B$3:B$502,SMALL(IF((Income!D$3:D$502="GBP")*(Income!A$3:A$502=DATE(2026,11,14)),ROW(Income!A$3:A$502)-2),1)),""),""))</f>
        <v/>
      </c>
      <c r="O229" s="152">
        <f t="array" ref="O229">IF(IFERROR(-INDEX(Expenses!D$3:D$999,SMALL(IF((Expenses!E$3:E$999="GBP")*(Expenses!A$3:A$999=DATE(2026,11,15)),ROW(Expenses!A$3:A$999)-2),1)),0)+IFERROR(INDEX(Income!C$3:C$502,SMALL(IF((Income!D$3:D$502="GBP")*(Income!A$3:A$502=DATE(2026,11,15)),ROW(Income!A$3:A$502)-2),1)),0)=0,"",IFERROR(-INDEX(Expenses!D$3:D$999,SMALL(IF((Expenses!E$3:E$999="GBP")*(Expenses!A$3:A$999=DATE(2026,11,15)),ROW(Expenses!A$3:A$999)-2),1)),0)+IFERROR(INDEX(Income!C$3:C$502,SMALL(IF((Income!D$3:D$502="GBP")*(Income!A$3:A$502=DATE(2026,11,15)),ROW(Income!A$3:A$502)-2),1)),0))</f>
        <v/>
      </c>
      <c r="P229" s="126">
        <f t="array" ref="P229">IF(IFERROR(INDEX(Expenses!B$3:B$999,SMALL(IF((Expenses!E$3:E$999="GBP")*(Expenses!A$3:A$999=DATE(2026,11,15)),ROW(Expenses!A$3:A$999)-2),1)),"")&lt;&gt;"",IFERROR(INDEX(Expenses!B$3:B$999,SMALL(IF((Expenses!E$3:E$999="GBP")*(Expenses!A$3:A$999=DATE(2026,11,15)),ROW(Expenses!A$3:A$999)-2),1)),""),IF(IFERROR(INDEX(Income!B$3:B$502,SMALL(IF((Income!D$3:D$502="GBP")*(Income!A$3:A$502=DATE(2026,11,15)),ROW(Income!A$3:A$502)-2),1)),"")&lt;&gt;"",IFERROR(INDEX(Income!B$3:B$502,SMALL(IF((Income!D$3:D$502="GBP")*(Income!A$3:A$502=DATE(2026,11,15)),ROW(Income!A$3:A$502)-2),1)),""),""))</f>
        <v/>
      </c>
      <c r="Q229" s="103" t="n">
        <v>46</v>
      </c>
      <c r="R229" s="134">
        <f>SUM(C229:C233)+SUM(E229:E233)+SUM(G229:G233)+SUM(I229:I233)+SUM(K229:K233)+SUM(M229:M233)+SUM(O229:O233)</f>
        <v/>
      </c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68">
      <c r="A230" s="9" t="n"/>
      <c r="B230" s="9" t="n"/>
      <c r="C230" s="152">
        <f t="array" ref="C230">IF(IFERROR(-INDEX(Expenses!D$3:D$999,SMALL(IF((Expenses!E$3:E$999="GBP")*(Expenses!A$3:A$999=DATE(2026,11,9)),ROW(Expenses!A$3:A$999)-2),2)),0)+IFERROR(INDEX(Income!C$3:C$502,SMALL(IF((Income!D$3:D$502="GBP")*(Income!A$3:A$502=DATE(2026,11,9)),ROW(Income!A$3:A$502)-2),2)),0)=0,"",IFERROR(-INDEX(Expenses!D$3:D$999,SMALL(IF((Expenses!E$3:E$999="GBP")*(Expenses!A$3:A$999=DATE(2026,11,9)),ROW(Expenses!A$3:A$999)-2),2)),0)+IFERROR(INDEX(Income!C$3:C$502,SMALL(IF((Income!D$3:D$502="GBP")*(Income!A$3:A$502=DATE(2026,11,9)),ROW(Income!A$3:A$502)-2),2)),0))</f>
        <v/>
      </c>
      <c r="D230" s="126">
        <f t="array" ref="D230">IF(IFERROR(INDEX(Expenses!B$3:B$999,SMALL(IF((Expenses!E$3:E$999="GBP")*(Expenses!A$3:A$999=DATE(2026,11,9)),ROW(Expenses!A$3:A$999)-2),2)),"")&lt;&gt;"",IFERROR(INDEX(Expenses!B$3:B$999,SMALL(IF((Expenses!E$3:E$999="GBP")*(Expenses!A$3:A$999=DATE(2026,11,9)),ROW(Expenses!A$3:A$999)-2),2)),""),IF(IFERROR(INDEX(Income!B$3:B$502,SMALL(IF((Income!D$3:D$502="GBP")*(Income!A$3:A$502=DATE(2026,11,9)),ROW(Income!A$3:A$502)-2),2)),"")&lt;&gt;"",IFERROR(INDEX(Income!B$3:B$502,SMALL(IF((Income!D$3:D$502="GBP")*(Income!A$3:A$502=DATE(2026,11,9)),ROW(Income!A$3:A$502)-2),2)),""),""))</f>
        <v/>
      </c>
      <c r="E230" s="152">
        <f t="array" ref="E230">IF(IFERROR(-INDEX(Expenses!D$3:D$999,SMALL(IF((Expenses!E$3:E$999="GBP")*(Expenses!A$3:A$999=DATE(2026,11,10)),ROW(Expenses!A$3:A$999)-2),2)),0)+IFERROR(INDEX(Income!C$3:C$502,SMALL(IF((Income!D$3:D$502="GBP")*(Income!A$3:A$502=DATE(2026,11,10)),ROW(Income!A$3:A$502)-2),2)),0)=0,"",IFERROR(-INDEX(Expenses!D$3:D$999,SMALL(IF((Expenses!E$3:E$999="GBP")*(Expenses!A$3:A$999=DATE(2026,11,10)),ROW(Expenses!A$3:A$999)-2),2)),0)+IFERROR(INDEX(Income!C$3:C$502,SMALL(IF((Income!D$3:D$502="GBP")*(Income!A$3:A$502=DATE(2026,11,10)),ROW(Income!A$3:A$502)-2),2)),0))</f>
        <v/>
      </c>
      <c r="F230" s="126">
        <f t="array" ref="F230">IF(IFERROR(INDEX(Expenses!B$3:B$999,SMALL(IF((Expenses!E$3:E$999="GBP")*(Expenses!A$3:A$999=DATE(2026,11,10)),ROW(Expenses!A$3:A$999)-2),2)),"")&lt;&gt;"",IFERROR(INDEX(Expenses!B$3:B$999,SMALL(IF((Expenses!E$3:E$999="GBP")*(Expenses!A$3:A$999=DATE(2026,11,10)),ROW(Expenses!A$3:A$999)-2),2)),""),IF(IFERROR(INDEX(Income!B$3:B$502,SMALL(IF((Income!D$3:D$502="GBP")*(Income!A$3:A$502=DATE(2026,11,10)),ROW(Income!A$3:A$502)-2),2)),"")&lt;&gt;"",IFERROR(INDEX(Income!B$3:B$502,SMALL(IF((Income!D$3:D$502="GBP")*(Income!A$3:A$502=DATE(2026,11,10)),ROW(Income!A$3:A$502)-2),2)),""),""))</f>
        <v/>
      </c>
      <c r="G230" s="152">
        <f t="array" ref="G230">IF(IFERROR(-INDEX(Expenses!D$3:D$999,SMALL(IF((Expenses!E$3:E$999="GBP")*(Expenses!A$3:A$999=DATE(2026,11,11)),ROW(Expenses!A$3:A$999)-2),2)),0)+IFERROR(INDEX(Income!C$3:C$502,SMALL(IF((Income!D$3:D$502="GBP")*(Income!A$3:A$502=DATE(2026,11,11)),ROW(Income!A$3:A$502)-2),2)),0)=0,"",IFERROR(-INDEX(Expenses!D$3:D$999,SMALL(IF((Expenses!E$3:E$999="GBP")*(Expenses!A$3:A$999=DATE(2026,11,11)),ROW(Expenses!A$3:A$999)-2),2)),0)+IFERROR(INDEX(Income!C$3:C$502,SMALL(IF((Income!D$3:D$502="GBP")*(Income!A$3:A$502=DATE(2026,11,11)),ROW(Income!A$3:A$502)-2),2)),0))</f>
        <v/>
      </c>
      <c r="H230" s="126">
        <f t="array" ref="H230">IF(IFERROR(INDEX(Expenses!B$3:B$999,SMALL(IF((Expenses!E$3:E$999="GBP")*(Expenses!A$3:A$999=DATE(2026,11,11)),ROW(Expenses!A$3:A$999)-2),2)),"")&lt;&gt;"",IFERROR(INDEX(Expenses!B$3:B$999,SMALL(IF((Expenses!E$3:E$999="GBP")*(Expenses!A$3:A$999=DATE(2026,11,11)),ROW(Expenses!A$3:A$999)-2),2)),""),IF(IFERROR(INDEX(Income!B$3:B$502,SMALL(IF((Income!D$3:D$502="GBP")*(Income!A$3:A$502=DATE(2026,11,11)),ROW(Income!A$3:A$502)-2),2)),"")&lt;&gt;"",IFERROR(INDEX(Income!B$3:B$502,SMALL(IF((Income!D$3:D$502="GBP")*(Income!A$3:A$502=DATE(2026,11,11)),ROW(Income!A$3:A$502)-2),2)),""),""))</f>
        <v/>
      </c>
      <c r="I230" s="152">
        <f t="array" ref="I230">IF(IFERROR(-INDEX(Expenses!D$3:D$999,SMALL(IF((Expenses!E$3:E$999="GBP")*(Expenses!A$3:A$999=DATE(2026,11,12)),ROW(Expenses!A$3:A$999)-2),2)),0)+IFERROR(INDEX(Income!C$3:C$502,SMALL(IF((Income!D$3:D$502="GBP")*(Income!A$3:A$502=DATE(2026,11,12)),ROW(Income!A$3:A$502)-2),2)),0)=0,"",IFERROR(-INDEX(Expenses!D$3:D$999,SMALL(IF((Expenses!E$3:E$999="GBP")*(Expenses!A$3:A$999=DATE(2026,11,12)),ROW(Expenses!A$3:A$999)-2),2)),0)+IFERROR(INDEX(Income!C$3:C$502,SMALL(IF((Income!D$3:D$502="GBP")*(Income!A$3:A$502=DATE(2026,11,12)),ROW(Income!A$3:A$502)-2),2)),0))</f>
        <v/>
      </c>
      <c r="J230" s="126">
        <f t="array" ref="J230">IF(IFERROR(INDEX(Expenses!B$3:B$999,SMALL(IF((Expenses!E$3:E$999="GBP")*(Expenses!A$3:A$999=DATE(2026,11,12)),ROW(Expenses!A$3:A$999)-2),2)),"")&lt;&gt;"",IFERROR(INDEX(Expenses!B$3:B$999,SMALL(IF((Expenses!E$3:E$999="GBP")*(Expenses!A$3:A$999=DATE(2026,11,12)),ROW(Expenses!A$3:A$999)-2),2)),""),IF(IFERROR(INDEX(Income!B$3:B$502,SMALL(IF((Income!D$3:D$502="GBP")*(Income!A$3:A$502=DATE(2026,11,12)),ROW(Income!A$3:A$502)-2),2)),"")&lt;&gt;"",IFERROR(INDEX(Income!B$3:B$502,SMALL(IF((Income!D$3:D$502="GBP")*(Income!A$3:A$502=DATE(2026,11,12)),ROW(Income!A$3:A$502)-2),2)),""),""))</f>
        <v/>
      </c>
      <c r="K230" s="152">
        <f t="array" ref="K230">IF(IFERROR(-INDEX(Expenses!D$3:D$999,SMALL(IF((Expenses!E$3:E$999="GBP")*(Expenses!A$3:A$999=DATE(2026,11,13)),ROW(Expenses!A$3:A$999)-2),2)),0)+IFERROR(INDEX(Income!C$3:C$502,SMALL(IF((Income!D$3:D$502="GBP")*(Income!A$3:A$502=DATE(2026,11,13)),ROW(Income!A$3:A$502)-2),2)),0)=0,"",IFERROR(-INDEX(Expenses!D$3:D$999,SMALL(IF((Expenses!E$3:E$999="GBP")*(Expenses!A$3:A$999=DATE(2026,11,13)),ROW(Expenses!A$3:A$999)-2),2)),0)+IFERROR(INDEX(Income!C$3:C$502,SMALL(IF((Income!D$3:D$502="GBP")*(Income!A$3:A$502=DATE(2026,11,13)),ROW(Income!A$3:A$502)-2),2)),0))</f>
        <v/>
      </c>
      <c r="L230" s="126">
        <f t="array" ref="L230">IF(IFERROR(INDEX(Expenses!B$3:B$999,SMALL(IF((Expenses!E$3:E$999="GBP")*(Expenses!A$3:A$999=DATE(2026,11,13)),ROW(Expenses!A$3:A$999)-2),2)),"")&lt;&gt;"",IFERROR(INDEX(Expenses!B$3:B$999,SMALL(IF((Expenses!E$3:E$999="GBP")*(Expenses!A$3:A$999=DATE(2026,11,13)),ROW(Expenses!A$3:A$999)-2),2)),""),IF(IFERROR(INDEX(Income!B$3:B$502,SMALL(IF((Income!D$3:D$502="GBP")*(Income!A$3:A$502=DATE(2026,11,13)),ROW(Income!A$3:A$502)-2),2)),"")&lt;&gt;"",IFERROR(INDEX(Income!B$3:B$502,SMALL(IF((Income!D$3:D$502="GBP")*(Income!A$3:A$502=DATE(2026,11,13)),ROW(Income!A$3:A$502)-2),2)),""),""))</f>
        <v/>
      </c>
      <c r="M230" s="152">
        <f t="array" ref="M230">IF(IFERROR(-INDEX(Expenses!D$3:D$999,SMALL(IF((Expenses!E$3:E$999="GBP")*(Expenses!A$3:A$999=DATE(2026,11,14)),ROW(Expenses!A$3:A$999)-2),2)),0)+IFERROR(INDEX(Income!C$3:C$502,SMALL(IF((Income!D$3:D$502="GBP")*(Income!A$3:A$502=DATE(2026,11,14)),ROW(Income!A$3:A$502)-2),2)),0)=0,"",IFERROR(-INDEX(Expenses!D$3:D$999,SMALL(IF((Expenses!E$3:E$999="GBP")*(Expenses!A$3:A$999=DATE(2026,11,14)),ROW(Expenses!A$3:A$999)-2),2)),0)+IFERROR(INDEX(Income!C$3:C$502,SMALL(IF((Income!D$3:D$502="GBP")*(Income!A$3:A$502=DATE(2026,11,14)),ROW(Income!A$3:A$502)-2),2)),0))</f>
        <v/>
      </c>
      <c r="N230" s="126">
        <f t="array" ref="N230">IF(IFERROR(INDEX(Expenses!B$3:B$999,SMALL(IF((Expenses!E$3:E$999="GBP")*(Expenses!A$3:A$999=DATE(2026,11,14)),ROW(Expenses!A$3:A$999)-2),2)),"")&lt;&gt;"",IFERROR(INDEX(Expenses!B$3:B$999,SMALL(IF((Expenses!E$3:E$999="GBP")*(Expenses!A$3:A$999=DATE(2026,11,14)),ROW(Expenses!A$3:A$999)-2),2)),""),IF(IFERROR(INDEX(Income!B$3:B$502,SMALL(IF((Income!D$3:D$502="GBP")*(Income!A$3:A$502=DATE(2026,11,14)),ROW(Income!A$3:A$502)-2),2)),"")&lt;&gt;"",IFERROR(INDEX(Income!B$3:B$502,SMALL(IF((Income!D$3:D$502="GBP")*(Income!A$3:A$502=DATE(2026,11,14)),ROW(Income!A$3:A$502)-2),2)),""),""))</f>
        <v/>
      </c>
      <c r="O230" s="152">
        <f t="array" ref="O230">IF(IFERROR(-INDEX(Expenses!D$3:D$999,SMALL(IF((Expenses!E$3:E$999="GBP")*(Expenses!A$3:A$999=DATE(2026,11,15)),ROW(Expenses!A$3:A$999)-2),2)),0)+IFERROR(INDEX(Income!C$3:C$502,SMALL(IF((Income!D$3:D$502="GBP")*(Income!A$3:A$502=DATE(2026,11,15)),ROW(Income!A$3:A$502)-2),2)),0)=0,"",IFERROR(-INDEX(Expenses!D$3:D$999,SMALL(IF((Expenses!E$3:E$999="GBP")*(Expenses!A$3:A$999=DATE(2026,11,15)),ROW(Expenses!A$3:A$999)-2),2)),0)+IFERROR(INDEX(Income!C$3:C$502,SMALL(IF((Income!D$3:D$502="GBP")*(Income!A$3:A$502=DATE(2026,11,15)),ROW(Income!A$3:A$502)-2),2)),0))</f>
        <v/>
      </c>
      <c r="P230" s="126">
        <f t="array" ref="P230">IF(IFERROR(INDEX(Expenses!B$3:B$999,SMALL(IF((Expenses!E$3:E$999="GBP")*(Expenses!A$3:A$999=DATE(2026,11,15)),ROW(Expenses!A$3:A$999)-2),2)),"")&lt;&gt;"",IFERROR(INDEX(Expenses!B$3:B$999,SMALL(IF((Expenses!E$3:E$999="GBP")*(Expenses!A$3:A$999=DATE(2026,11,15)),ROW(Expenses!A$3:A$999)-2),2)),""),IF(IFERROR(INDEX(Income!B$3:B$502,SMALL(IF((Income!D$3:D$502="GBP")*(Income!A$3:A$502=DATE(2026,11,15)),ROW(Income!A$3:A$502)-2),2)),"")&lt;&gt;"",IFERROR(INDEX(Income!B$3:B$502,SMALL(IF((Income!D$3:D$502="GBP")*(Income!A$3:A$502=DATE(2026,11,15)),ROW(Income!A$3:A$502)-2),2)),""),""))</f>
        <v/>
      </c>
      <c r="Q230" s="9" t="n"/>
      <c r="R230" s="9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68">
      <c r="A231" s="9" t="n"/>
      <c r="B231" s="9" t="n"/>
      <c r="C231" s="152">
        <f t="array" ref="C231">IF(IFERROR(-INDEX(Expenses!D$3:D$999,SMALL(IF((Expenses!E$3:E$999="GBP")*(Expenses!A$3:A$999=DATE(2026,11,9)),ROW(Expenses!A$3:A$999)-2),3)),0)+IFERROR(INDEX(Income!C$3:C$502,SMALL(IF((Income!D$3:D$502="GBP")*(Income!A$3:A$502=DATE(2026,11,9)),ROW(Income!A$3:A$502)-2),3)),0)=0,"",IFERROR(-INDEX(Expenses!D$3:D$999,SMALL(IF((Expenses!E$3:E$999="GBP")*(Expenses!A$3:A$999=DATE(2026,11,9)),ROW(Expenses!A$3:A$999)-2),3)),0)+IFERROR(INDEX(Income!C$3:C$502,SMALL(IF((Income!D$3:D$502="GBP")*(Income!A$3:A$502=DATE(2026,11,9)),ROW(Income!A$3:A$502)-2),3)),0))</f>
        <v/>
      </c>
      <c r="D231" s="126">
        <f t="array" ref="D231">IF(IFERROR(INDEX(Expenses!B$3:B$999,SMALL(IF((Expenses!E$3:E$999="GBP")*(Expenses!A$3:A$999=DATE(2026,11,9)),ROW(Expenses!A$3:A$999)-2),3)),"")&lt;&gt;"",IFERROR(INDEX(Expenses!B$3:B$999,SMALL(IF((Expenses!E$3:E$999="GBP")*(Expenses!A$3:A$999=DATE(2026,11,9)),ROW(Expenses!A$3:A$999)-2),3)),""),IF(IFERROR(INDEX(Income!B$3:B$502,SMALL(IF((Income!D$3:D$502="GBP")*(Income!A$3:A$502=DATE(2026,11,9)),ROW(Income!A$3:A$502)-2),3)),"")&lt;&gt;"",IFERROR(INDEX(Income!B$3:B$502,SMALL(IF((Income!D$3:D$502="GBP")*(Income!A$3:A$502=DATE(2026,11,9)),ROW(Income!A$3:A$502)-2),3)),""),""))</f>
        <v/>
      </c>
      <c r="E231" s="152">
        <f t="array" ref="E231">IF(IFERROR(-INDEX(Expenses!D$3:D$999,SMALL(IF((Expenses!E$3:E$999="GBP")*(Expenses!A$3:A$999=DATE(2026,11,10)),ROW(Expenses!A$3:A$999)-2),3)),0)+IFERROR(INDEX(Income!C$3:C$502,SMALL(IF((Income!D$3:D$502="GBP")*(Income!A$3:A$502=DATE(2026,11,10)),ROW(Income!A$3:A$502)-2),3)),0)=0,"",IFERROR(-INDEX(Expenses!D$3:D$999,SMALL(IF((Expenses!E$3:E$999="GBP")*(Expenses!A$3:A$999=DATE(2026,11,10)),ROW(Expenses!A$3:A$999)-2),3)),0)+IFERROR(INDEX(Income!C$3:C$502,SMALL(IF((Income!D$3:D$502="GBP")*(Income!A$3:A$502=DATE(2026,11,10)),ROW(Income!A$3:A$502)-2),3)),0))</f>
        <v/>
      </c>
      <c r="F231" s="126">
        <f t="array" ref="F231">IF(IFERROR(INDEX(Expenses!B$3:B$999,SMALL(IF((Expenses!E$3:E$999="GBP")*(Expenses!A$3:A$999=DATE(2026,11,10)),ROW(Expenses!A$3:A$999)-2),3)),"")&lt;&gt;"",IFERROR(INDEX(Expenses!B$3:B$999,SMALL(IF((Expenses!E$3:E$999="GBP")*(Expenses!A$3:A$999=DATE(2026,11,10)),ROW(Expenses!A$3:A$999)-2),3)),""),IF(IFERROR(INDEX(Income!B$3:B$502,SMALL(IF((Income!D$3:D$502="GBP")*(Income!A$3:A$502=DATE(2026,11,10)),ROW(Income!A$3:A$502)-2),3)),"")&lt;&gt;"",IFERROR(INDEX(Income!B$3:B$502,SMALL(IF((Income!D$3:D$502="GBP")*(Income!A$3:A$502=DATE(2026,11,10)),ROW(Income!A$3:A$502)-2),3)),""),""))</f>
        <v/>
      </c>
      <c r="G231" s="152">
        <f t="array" ref="G231">IF(IFERROR(-INDEX(Expenses!D$3:D$999,SMALL(IF((Expenses!E$3:E$999="GBP")*(Expenses!A$3:A$999=DATE(2026,11,11)),ROW(Expenses!A$3:A$999)-2),3)),0)+IFERROR(INDEX(Income!C$3:C$502,SMALL(IF((Income!D$3:D$502="GBP")*(Income!A$3:A$502=DATE(2026,11,11)),ROW(Income!A$3:A$502)-2),3)),0)=0,"",IFERROR(-INDEX(Expenses!D$3:D$999,SMALL(IF((Expenses!E$3:E$999="GBP")*(Expenses!A$3:A$999=DATE(2026,11,11)),ROW(Expenses!A$3:A$999)-2),3)),0)+IFERROR(INDEX(Income!C$3:C$502,SMALL(IF((Income!D$3:D$502="GBP")*(Income!A$3:A$502=DATE(2026,11,11)),ROW(Income!A$3:A$502)-2),3)),0))</f>
        <v/>
      </c>
      <c r="H231" s="126">
        <f t="array" ref="H231">IF(IFERROR(INDEX(Expenses!B$3:B$999,SMALL(IF((Expenses!E$3:E$999="GBP")*(Expenses!A$3:A$999=DATE(2026,11,11)),ROW(Expenses!A$3:A$999)-2),3)),"")&lt;&gt;"",IFERROR(INDEX(Expenses!B$3:B$999,SMALL(IF((Expenses!E$3:E$999="GBP")*(Expenses!A$3:A$999=DATE(2026,11,11)),ROW(Expenses!A$3:A$999)-2),3)),""),IF(IFERROR(INDEX(Income!B$3:B$502,SMALL(IF((Income!D$3:D$502="GBP")*(Income!A$3:A$502=DATE(2026,11,11)),ROW(Income!A$3:A$502)-2),3)),"")&lt;&gt;"",IFERROR(INDEX(Income!B$3:B$502,SMALL(IF((Income!D$3:D$502="GBP")*(Income!A$3:A$502=DATE(2026,11,11)),ROW(Income!A$3:A$502)-2),3)),""),""))</f>
        <v/>
      </c>
      <c r="I231" s="152">
        <f t="array" ref="I231">IF(IFERROR(-INDEX(Expenses!D$3:D$999,SMALL(IF((Expenses!E$3:E$999="GBP")*(Expenses!A$3:A$999=DATE(2026,11,12)),ROW(Expenses!A$3:A$999)-2),3)),0)+IFERROR(INDEX(Income!C$3:C$502,SMALL(IF((Income!D$3:D$502="GBP")*(Income!A$3:A$502=DATE(2026,11,12)),ROW(Income!A$3:A$502)-2),3)),0)=0,"",IFERROR(-INDEX(Expenses!D$3:D$999,SMALL(IF((Expenses!E$3:E$999="GBP")*(Expenses!A$3:A$999=DATE(2026,11,12)),ROW(Expenses!A$3:A$999)-2),3)),0)+IFERROR(INDEX(Income!C$3:C$502,SMALL(IF((Income!D$3:D$502="GBP")*(Income!A$3:A$502=DATE(2026,11,12)),ROW(Income!A$3:A$502)-2),3)),0))</f>
        <v/>
      </c>
      <c r="J231" s="126">
        <f t="array" ref="J231">IF(IFERROR(INDEX(Expenses!B$3:B$999,SMALL(IF((Expenses!E$3:E$999="GBP")*(Expenses!A$3:A$999=DATE(2026,11,12)),ROW(Expenses!A$3:A$999)-2),3)),"")&lt;&gt;"",IFERROR(INDEX(Expenses!B$3:B$999,SMALL(IF((Expenses!E$3:E$999="GBP")*(Expenses!A$3:A$999=DATE(2026,11,12)),ROW(Expenses!A$3:A$999)-2),3)),""),IF(IFERROR(INDEX(Income!B$3:B$502,SMALL(IF((Income!D$3:D$502="GBP")*(Income!A$3:A$502=DATE(2026,11,12)),ROW(Income!A$3:A$502)-2),3)),"")&lt;&gt;"",IFERROR(INDEX(Income!B$3:B$502,SMALL(IF((Income!D$3:D$502="GBP")*(Income!A$3:A$502=DATE(2026,11,12)),ROW(Income!A$3:A$502)-2),3)),""),""))</f>
        <v/>
      </c>
      <c r="K231" s="152">
        <f t="array" ref="K231">IF(IFERROR(-INDEX(Expenses!D$3:D$999,SMALL(IF((Expenses!E$3:E$999="GBP")*(Expenses!A$3:A$999=DATE(2026,11,13)),ROW(Expenses!A$3:A$999)-2),3)),0)+IFERROR(INDEX(Income!C$3:C$502,SMALL(IF((Income!D$3:D$502="GBP")*(Income!A$3:A$502=DATE(2026,11,13)),ROW(Income!A$3:A$502)-2),3)),0)=0,"",IFERROR(-INDEX(Expenses!D$3:D$999,SMALL(IF((Expenses!E$3:E$999="GBP")*(Expenses!A$3:A$999=DATE(2026,11,13)),ROW(Expenses!A$3:A$999)-2),3)),0)+IFERROR(INDEX(Income!C$3:C$502,SMALL(IF((Income!D$3:D$502="GBP")*(Income!A$3:A$502=DATE(2026,11,13)),ROW(Income!A$3:A$502)-2),3)),0))</f>
        <v/>
      </c>
      <c r="L231" s="126">
        <f t="array" ref="L231">IF(IFERROR(INDEX(Expenses!B$3:B$999,SMALL(IF((Expenses!E$3:E$999="GBP")*(Expenses!A$3:A$999=DATE(2026,11,13)),ROW(Expenses!A$3:A$999)-2),3)),"")&lt;&gt;"",IFERROR(INDEX(Expenses!B$3:B$999,SMALL(IF((Expenses!E$3:E$999="GBP")*(Expenses!A$3:A$999=DATE(2026,11,13)),ROW(Expenses!A$3:A$999)-2),3)),""),IF(IFERROR(INDEX(Income!B$3:B$502,SMALL(IF((Income!D$3:D$502="GBP")*(Income!A$3:A$502=DATE(2026,11,13)),ROW(Income!A$3:A$502)-2),3)),"")&lt;&gt;"",IFERROR(INDEX(Income!B$3:B$502,SMALL(IF((Income!D$3:D$502="GBP")*(Income!A$3:A$502=DATE(2026,11,13)),ROW(Income!A$3:A$502)-2),3)),""),""))</f>
        <v/>
      </c>
      <c r="M231" s="152">
        <f t="array" ref="M231">IF(IFERROR(-INDEX(Expenses!D$3:D$999,SMALL(IF((Expenses!E$3:E$999="GBP")*(Expenses!A$3:A$999=DATE(2026,11,14)),ROW(Expenses!A$3:A$999)-2),3)),0)+IFERROR(INDEX(Income!C$3:C$502,SMALL(IF((Income!D$3:D$502="GBP")*(Income!A$3:A$502=DATE(2026,11,14)),ROW(Income!A$3:A$502)-2),3)),0)=0,"",IFERROR(-INDEX(Expenses!D$3:D$999,SMALL(IF((Expenses!E$3:E$999="GBP")*(Expenses!A$3:A$999=DATE(2026,11,14)),ROW(Expenses!A$3:A$999)-2),3)),0)+IFERROR(INDEX(Income!C$3:C$502,SMALL(IF((Income!D$3:D$502="GBP")*(Income!A$3:A$502=DATE(2026,11,14)),ROW(Income!A$3:A$502)-2),3)),0))</f>
        <v/>
      </c>
      <c r="N231" s="126">
        <f t="array" ref="N231">IF(IFERROR(INDEX(Expenses!B$3:B$999,SMALL(IF((Expenses!E$3:E$999="GBP")*(Expenses!A$3:A$999=DATE(2026,11,14)),ROW(Expenses!A$3:A$999)-2),3)),"")&lt;&gt;"",IFERROR(INDEX(Expenses!B$3:B$999,SMALL(IF((Expenses!E$3:E$999="GBP")*(Expenses!A$3:A$999=DATE(2026,11,14)),ROW(Expenses!A$3:A$999)-2),3)),""),IF(IFERROR(INDEX(Income!B$3:B$502,SMALL(IF((Income!D$3:D$502="GBP")*(Income!A$3:A$502=DATE(2026,11,14)),ROW(Income!A$3:A$502)-2),3)),"")&lt;&gt;"",IFERROR(INDEX(Income!B$3:B$502,SMALL(IF((Income!D$3:D$502="GBP")*(Income!A$3:A$502=DATE(2026,11,14)),ROW(Income!A$3:A$502)-2),3)),""),""))</f>
        <v/>
      </c>
      <c r="O231" s="152">
        <f t="array" ref="O231">IF(IFERROR(-INDEX(Expenses!D$3:D$999,SMALL(IF((Expenses!E$3:E$999="GBP")*(Expenses!A$3:A$999=DATE(2026,11,15)),ROW(Expenses!A$3:A$999)-2),3)),0)+IFERROR(INDEX(Income!C$3:C$502,SMALL(IF((Income!D$3:D$502="GBP")*(Income!A$3:A$502=DATE(2026,11,15)),ROW(Income!A$3:A$502)-2),3)),0)=0,"",IFERROR(-INDEX(Expenses!D$3:D$999,SMALL(IF((Expenses!E$3:E$999="GBP")*(Expenses!A$3:A$999=DATE(2026,11,15)),ROW(Expenses!A$3:A$999)-2),3)),0)+IFERROR(INDEX(Income!C$3:C$502,SMALL(IF((Income!D$3:D$502="GBP")*(Income!A$3:A$502=DATE(2026,11,15)),ROW(Income!A$3:A$502)-2),3)),0))</f>
        <v/>
      </c>
      <c r="P231" s="126">
        <f t="array" ref="P231">IF(IFERROR(INDEX(Expenses!B$3:B$999,SMALL(IF((Expenses!E$3:E$999="GBP")*(Expenses!A$3:A$999=DATE(2026,11,15)),ROW(Expenses!A$3:A$999)-2),3)),"")&lt;&gt;"",IFERROR(INDEX(Expenses!B$3:B$999,SMALL(IF((Expenses!E$3:E$999="GBP")*(Expenses!A$3:A$999=DATE(2026,11,15)),ROW(Expenses!A$3:A$999)-2),3)),""),IF(IFERROR(INDEX(Income!B$3:B$502,SMALL(IF((Income!D$3:D$502="GBP")*(Income!A$3:A$502=DATE(2026,11,15)),ROW(Income!A$3:A$502)-2),3)),"")&lt;&gt;"",IFERROR(INDEX(Income!B$3:B$502,SMALL(IF((Income!D$3:D$502="GBP")*(Income!A$3:A$502=DATE(2026,11,15)),ROW(Income!A$3:A$502)-2),3)),""),""))</f>
        <v/>
      </c>
      <c r="Q231" s="9" t="n"/>
      <c r="R231" s="9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68">
      <c r="A232" s="9" t="n"/>
      <c r="B232" s="9" t="n"/>
      <c r="C232" s="152">
        <f t="array" ref="C232">IF(IFERROR(-INDEX(Expenses!D$3:D$999,SMALL(IF((Expenses!E$3:E$999="GBP")*(Expenses!A$3:A$999=DATE(2026,11,9)),ROW(Expenses!A$3:A$999)-2),4)),0)+IFERROR(INDEX(Income!C$3:C$502,SMALL(IF((Income!D$3:D$502="GBP")*(Income!A$3:A$502=DATE(2026,11,9)),ROW(Income!A$3:A$502)-2),4)),0)=0,"",IFERROR(-INDEX(Expenses!D$3:D$999,SMALL(IF((Expenses!E$3:E$999="GBP")*(Expenses!A$3:A$999=DATE(2026,11,9)),ROW(Expenses!A$3:A$999)-2),4)),0)+IFERROR(INDEX(Income!C$3:C$502,SMALL(IF((Income!D$3:D$502="GBP")*(Income!A$3:A$502=DATE(2026,11,9)),ROW(Income!A$3:A$502)-2),4)),0))</f>
        <v/>
      </c>
      <c r="D232" s="126">
        <f t="array" ref="D232">IF(IFERROR(INDEX(Expenses!B$3:B$999,SMALL(IF((Expenses!E$3:E$999="GBP")*(Expenses!A$3:A$999=DATE(2026,11,9)),ROW(Expenses!A$3:A$999)-2),4)),"")&lt;&gt;"",IFERROR(INDEX(Expenses!B$3:B$999,SMALL(IF((Expenses!E$3:E$999="GBP")*(Expenses!A$3:A$999=DATE(2026,11,9)),ROW(Expenses!A$3:A$999)-2),4)),""),IF(IFERROR(INDEX(Income!B$3:B$502,SMALL(IF((Income!D$3:D$502="GBP")*(Income!A$3:A$502=DATE(2026,11,9)),ROW(Income!A$3:A$502)-2),4)),"")&lt;&gt;"",IFERROR(INDEX(Income!B$3:B$502,SMALL(IF((Income!D$3:D$502="GBP")*(Income!A$3:A$502=DATE(2026,11,9)),ROW(Income!A$3:A$502)-2),4)),""),""))</f>
        <v/>
      </c>
      <c r="E232" s="152">
        <f t="array" ref="E232">IF(IFERROR(-INDEX(Expenses!D$3:D$999,SMALL(IF((Expenses!E$3:E$999="GBP")*(Expenses!A$3:A$999=DATE(2026,11,10)),ROW(Expenses!A$3:A$999)-2),4)),0)+IFERROR(INDEX(Income!C$3:C$502,SMALL(IF((Income!D$3:D$502="GBP")*(Income!A$3:A$502=DATE(2026,11,10)),ROW(Income!A$3:A$502)-2),4)),0)=0,"",IFERROR(-INDEX(Expenses!D$3:D$999,SMALL(IF((Expenses!E$3:E$999="GBP")*(Expenses!A$3:A$999=DATE(2026,11,10)),ROW(Expenses!A$3:A$999)-2),4)),0)+IFERROR(INDEX(Income!C$3:C$502,SMALL(IF((Income!D$3:D$502="GBP")*(Income!A$3:A$502=DATE(2026,11,10)),ROW(Income!A$3:A$502)-2),4)),0))</f>
        <v/>
      </c>
      <c r="F232" s="126">
        <f t="array" ref="F232">IF(IFERROR(INDEX(Expenses!B$3:B$999,SMALL(IF((Expenses!E$3:E$999="GBP")*(Expenses!A$3:A$999=DATE(2026,11,10)),ROW(Expenses!A$3:A$999)-2),4)),"")&lt;&gt;"",IFERROR(INDEX(Expenses!B$3:B$999,SMALL(IF((Expenses!E$3:E$999="GBP")*(Expenses!A$3:A$999=DATE(2026,11,10)),ROW(Expenses!A$3:A$999)-2),4)),""),IF(IFERROR(INDEX(Income!B$3:B$502,SMALL(IF((Income!D$3:D$502="GBP")*(Income!A$3:A$502=DATE(2026,11,10)),ROW(Income!A$3:A$502)-2),4)),"")&lt;&gt;"",IFERROR(INDEX(Income!B$3:B$502,SMALL(IF((Income!D$3:D$502="GBP")*(Income!A$3:A$502=DATE(2026,11,10)),ROW(Income!A$3:A$502)-2),4)),""),""))</f>
        <v/>
      </c>
      <c r="G232" s="152">
        <f t="array" ref="G232">IF(IFERROR(-INDEX(Expenses!D$3:D$999,SMALL(IF((Expenses!E$3:E$999="GBP")*(Expenses!A$3:A$999=DATE(2026,11,11)),ROW(Expenses!A$3:A$999)-2),4)),0)+IFERROR(INDEX(Income!C$3:C$502,SMALL(IF((Income!D$3:D$502="GBP")*(Income!A$3:A$502=DATE(2026,11,11)),ROW(Income!A$3:A$502)-2),4)),0)=0,"",IFERROR(-INDEX(Expenses!D$3:D$999,SMALL(IF((Expenses!E$3:E$999="GBP")*(Expenses!A$3:A$999=DATE(2026,11,11)),ROW(Expenses!A$3:A$999)-2),4)),0)+IFERROR(INDEX(Income!C$3:C$502,SMALL(IF((Income!D$3:D$502="GBP")*(Income!A$3:A$502=DATE(2026,11,11)),ROW(Income!A$3:A$502)-2),4)),0))</f>
        <v/>
      </c>
      <c r="H232" s="126">
        <f t="array" ref="H232">IF(IFERROR(INDEX(Expenses!B$3:B$999,SMALL(IF((Expenses!E$3:E$999="GBP")*(Expenses!A$3:A$999=DATE(2026,11,11)),ROW(Expenses!A$3:A$999)-2),4)),"")&lt;&gt;"",IFERROR(INDEX(Expenses!B$3:B$999,SMALL(IF((Expenses!E$3:E$999="GBP")*(Expenses!A$3:A$999=DATE(2026,11,11)),ROW(Expenses!A$3:A$999)-2),4)),""),IF(IFERROR(INDEX(Income!B$3:B$502,SMALL(IF((Income!D$3:D$502="GBP")*(Income!A$3:A$502=DATE(2026,11,11)),ROW(Income!A$3:A$502)-2),4)),"")&lt;&gt;"",IFERROR(INDEX(Income!B$3:B$502,SMALL(IF((Income!D$3:D$502="GBP")*(Income!A$3:A$502=DATE(2026,11,11)),ROW(Income!A$3:A$502)-2),4)),""),""))</f>
        <v/>
      </c>
      <c r="I232" s="152">
        <f t="array" ref="I232">IF(IFERROR(-INDEX(Expenses!D$3:D$999,SMALL(IF((Expenses!E$3:E$999="GBP")*(Expenses!A$3:A$999=DATE(2026,11,12)),ROW(Expenses!A$3:A$999)-2),4)),0)+IFERROR(INDEX(Income!C$3:C$502,SMALL(IF((Income!D$3:D$502="GBP")*(Income!A$3:A$502=DATE(2026,11,12)),ROW(Income!A$3:A$502)-2),4)),0)=0,"",IFERROR(-INDEX(Expenses!D$3:D$999,SMALL(IF((Expenses!E$3:E$999="GBP")*(Expenses!A$3:A$999=DATE(2026,11,12)),ROW(Expenses!A$3:A$999)-2),4)),0)+IFERROR(INDEX(Income!C$3:C$502,SMALL(IF((Income!D$3:D$502="GBP")*(Income!A$3:A$502=DATE(2026,11,12)),ROW(Income!A$3:A$502)-2),4)),0))</f>
        <v/>
      </c>
      <c r="J232" s="126">
        <f t="array" ref="J232">IF(IFERROR(INDEX(Expenses!B$3:B$999,SMALL(IF((Expenses!E$3:E$999="GBP")*(Expenses!A$3:A$999=DATE(2026,11,12)),ROW(Expenses!A$3:A$999)-2),4)),"")&lt;&gt;"",IFERROR(INDEX(Expenses!B$3:B$999,SMALL(IF((Expenses!E$3:E$999="GBP")*(Expenses!A$3:A$999=DATE(2026,11,12)),ROW(Expenses!A$3:A$999)-2),4)),""),IF(IFERROR(INDEX(Income!B$3:B$502,SMALL(IF((Income!D$3:D$502="GBP")*(Income!A$3:A$502=DATE(2026,11,12)),ROW(Income!A$3:A$502)-2),4)),"")&lt;&gt;"",IFERROR(INDEX(Income!B$3:B$502,SMALL(IF((Income!D$3:D$502="GBP")*(Income!A$3:A$502=DATE(2026,11,12)),ROW(Income!A$3:A$502)-2),4)),""),""))</f>
        <v/>
      </c>
      <c r="K232" s="152">
        <f t="array" ref="K232">IF(IFERROR(-INDEX(Expenses!D$3:D$999,SMALL(IF((Expenses!E$3:E$999="GBP")*(Expenses!A$3:A$999=DATE(2026,11,13)),ROW(Expenses!A$3:A$999)-2),4)),0)+IFERROR(INDEX(Income!C$3:C$502,SMALL(IF((Income!D$3:D$502="GBP")*(Income!A$3:A$502=DATE(2026,11,13)),ROW(Income!A$3:A$502)-2),4)),0)=0,"",IFERROR(-INDEX(Expenses!D$3:D$999,SMALL(IF((Expenses!E$3:E$999="GBP")*(Expenses!A$3:A$999=DATE(2026,11,13)),ROW(Expenses!A$3:A$999)-2),4)),0)+IFERROR(INDEX(Income!C$3:C$502,SMALL(IF((Income!D$3:D$502="GBP")*(Income!A$3:A$502=DATE(2026,11,13)),ROW(Income!A$3:A$502)-2),4)),0))</f>
        <v/>
      </c>
      <c r="L232" s="126">
        <f t="array" ref="L232">IF(IFERROR(INDEX(Expenses!B$3:B$999,SMALL(IF((Expenses!E$3:E$999="GBP")*(Expenses!A$3:A$999=DATE(2026,11,13)),ROW(Expenses!A$3:A$999)-2),4)),"")&lt;&gt;"",IFERROR(INDEX(Expenses!B$3:B$999,SMALL(IF((Expenses!E$3:E$999="GBP")*(Expenses!A$3:A$999=DATE(2026,11,13)),ROW(Expenses!A$3:A$999)-2),4)),""),IF(IFERROR(INDEX(Income!B$3:B$502,SMALL(IF((Income!D$3:D$502="GBP")*(Income!A$3:A$502=DATE(2026,11,13)),ROW(Income!A$3:A$502)-2),4)),"")&lt;&gt;"",IFERROR(INDEX(Income!B$3:B$502,SMALL(IF((Income!D$3:D$502="GBP")*(Income!A$3:A$502=DATE(2026,11,13)),ROW(Income!A$3:A$502)-2),4)),""),""))</f>
        <v/>
      </c>
      <c r="M232" s="152">
        <f t="array" ref="M232">IF(IFERROR(-INDEX(Expenses!D$3:D$999,SMALL(IF((Expenses!E$3:E$999="GBP")*(Expenses!A$3:A$999=DATE(2026,11,14)),ROW(Expenses!A$3:A$999)-2),4)),0)+IFERROR(INDEX(Income!C$3:C$502,SMALL(IF((Income!D$3:D$502="GBP")*(Income!A$3:A$502=DATE(2026,11,14)),ROW(Income!A$3:A$502)-2),4)),0)=0,"",IFERROR(-INDEX(Expenses!D$3:D$999,SMALL(IF((Expenses!E$3:E$999="GBP")*(Expenses!A$3:A$999=DATE(2026,11,14)),ROW(Expenses!A$3:A$999)-2),4)),0)+IFERROR(INDEX(Income!C$3:C$502,SMALL(IF((Income!D$3:D$502="GBP")*(Income!A$3:A$502=DATE(2026,11,14)),ROW(Income!A$3:A$502)-2),4)),0))</f>
        <v/>
      </c>
      <c r="N232" s="126">
        <f t="array" ref="N232">IF(IFERROR(INDEX(Expenses!B$3:B$999,SMALL(IF((Expenses!E$3:E$999="GBP")*(Expenses!A$3:A$999=DATE(2026,11,14)),ROW(Expenses!A$3:A$999)-2),4)),"")&lt;&gt;"",IFERROR(INDEX(Expenses!B$3:B$999,SMALL(IF((Expenses!E$3:E$999="GBP")*(Expenses!A$3:A$999=DATE(2026,11,14)),ROW(Expenses!A$3:A$999)-2),4)),""),IF(IFERROR(INDEX(Income!B$3:B$502,SMALL(IF((Income!D$3:D$502="GBP")*(Income!A$3:A$502=DATE(2026,11,14)),ROW(Income!A$3:A$502)-2),4)),"")&lt;&gt;"",IFERROR(INDEX(Income!B$3:B$502,SMALL(IF((Income!D$3:D$502="GBP")*(Income!A$3:A$502=DATE(2026,11,14)),ROW(Income!A$3:A$502)-2),4)),""),""))</f>
        <v/>
      </c>
      <c r="O232" s="152">
        <f t="array" ref="O232">IF(IFERROR(-INDEX(Expenses!D$3:D$999,SMALL(IF((Expenses!E$3:E$999="GBP")*(Expenses!A$3:A$999=DATE(2026,11,15)),ROW(Expenses!A$3:A$999)-2),4)),0)+IFERROR(INDEX(Income!C$3:C$502,SMALL(IF((Income!D$3:D$502="GBP")*(Income!A$3:A$502=DATE(2026,11,15)),ROW(Income!A$3:A$502)-2),4)),0)=0,"",IFERROR(-INDEX(Expenses!D$3:D$999,SMALL(IF((Expenses!E$3:E$999="GBP")*(Expenses!A$3:A$999=DATE(2026,11,15)),ROW(Expenses!A$3:A$999)-2),4)),0)+IFERROR(INDEX(Income!C$3:C$502,SMALL(IF((Income!D$3:D$502="GBP")*(Income!A$3:A$502=DATE(2026,11,15)),ROW(Income!A$3:A$502)-2),4)),0))</f>
        <v/>
      </c>
      <c r="P232" s="126">
        <f t="array" ref="P232">IF(IFERROR(INDEX(Expenses!B$3:B$999,SMALL(IF((Expenses!E$3:E$999="GBP")*(Expenses!A$3:A$999=DATE(2026,11,15)),ROW(Expenses!A$3:A$999)-2),4)),"")&lt;&gt;"",IFERROR(INDEX(Expenses!B$3:B$999,SMALL(IF((Expenses!E$3:E$999="GBP")*(Expenses!A$3:A$999=DATE(2026,11,15)),ROW(Expenses!A$3:A$999)-2),4)),""),IF(IFERROR(INDEX(Income!B$3:B$502,SMALL(IF((Income!D$3:D$502="GBP")*(Income!A$3:A$502=DATE(2026,11,15)),ROW(Income!A$3:A$502)-2),4)),"")&lt;&gt;"",IFERROR(INDEX(Income!B$3:B$502,SMALL(IF((Income!D$3:D$502="GBP")*(Income!A$3:A$502=DATE(2026,11,15)),ROW(Income!A$3:A$502)-2),4)),""),""))</f>
        <v/>
      </c>
      <c r="Q232" s="9" t="n"/>
      <c r="R232" s="9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68">
      <c r="A233" s="9" t="n"/>
      <c r="B233" s="9" t="n"/>
      <c r="C233" s="152">
        <f t="array" ref="C233">IF(IFERROR(-INDEX(Expenses!D$3:D$999,SMALL(IF((Expenses!E$3:E$999="GBP")*(Expenses!A$3:A$999=DATE(2026,11,9)),ROW(Expenses!A$3:A$999)-2),5)),0)+IFERROR(INDEX(Income!C$3:C$502,SMALL(IF((Income!D$3:D$502="GBP")*(Income!A$3:A$502=DATE(2026,11,9)),ROW(Income!A$3:A$502)-2),5)),0)=0,"",IFERROR(-INDEX(Expenses!D$3:D$999,SMALL(IF((Expenses!E$3:E$999="GBP")*(Expenses!A$3:A$999=DATE(2026,11,9)),ROW(Expenses!A$3:A$999)-2),5)),0)+IFERROR(INDEX(Income!C$3:C$502,SMALL(IF((Income!D$3:D$502="GBP")*(Income!A$3:A$502=DATE(2026,11,9)),ROW(Income!A$3:A$502)-2),5)),0))</f>
        <v/>
      </c>
      <c r="D233" s="126">
        <f t="array" ref="D233">IF(IFERROR(INDEX(Expenses!B$3:B$999,SMALL(IF((Expenses!E$3:E$999="GBP")*(Expenses!A$3:A$999=DATE(2026,11,9)),ROW(Expenses!A$3:A$999)-2),5)),"")&lt;&gt;"",IFERROR(INDEX(Expenses!B$3:B$999,SMALL(IF((Expenses!E$3:E$999="GBP")*(Expenses!A$3:A$999=DATE(2026,11,9)),ROW(Expenses!A$3:A$999)-2),5)),""),IF(IFERROR(INDEX(Income!B$3:B$502,SMALL(IF((Income!D$3:D$502="GBP")*(Income!A$3:A$502=DATE(2026,11,9)),ROW(Income!A$3:A$502)-2),5)),"")&lt;&gt;"",IFERROR(INDEX(Income!B$3:B$502,SMALL(IF((Income!D$3:D$502="GBP")*(Income!A$3:A$502=DATE(2026,11,9)),ROW(Income!A$3:A$502)-2),5)),""),""))</f>
        <v/>
      </c>
      <c r="E233" s="152">
        <f t="array" ref="E233">IF(IFERROR(-INDEX(Expenses!D$3:D$999,SMALL(IF((Expenses!E$3:E$999="GBP")*(Expenses!A$3:A$999=DATE(2026,11,10)),ROW(Expenses!A$3:A$999)-2),5)),0)+IFERROR(INDEX(Income!C$3:C$502,SMALL(IF((Income!D$3:D$502="GBP")*(Income!A$3:A$502=DATE(2026,11,10)),ROW(Income!A$3:A$502)-2),5)),0)=0,"",IFERROR(-INDEX(Expenses!D$3:D$999,SMALL(IF((Expenses!E$3:E$999="GBP")*(Expenses!A$3:A$999=DATE(2026,11,10)),ROW(Expenses!A$3:A$999)-2),5)),0)+IFERROR(INDEX(Income!C$3:C$502,SMALL(IF((Income!D$3:D$502="GBP")*(Income!A$3:A$502=DATE(2026,11,10)),ROW(Income!A$3:A$502)-2),5)),0))</f>
        <v/>
      </c>
      <c r="F233" s="126">
        <f t="array" ref="F233">IF(IFERROR(INDEX(Expenses!B$3:B$999,SMALL(IF((Expenses!E$3:E$999="GBP")*(Expenses!A$3:A$999=DATE(2026,11,10)),ROW(Expenses!A$3:A$999)-2),5)),"")&lt;&gt;"",IFERROR(INDEX(Expenses!B$3:B$999,SMALL(IF((Expenses!E$3:E$999="GBP")*(Expenses!A$3:A$999=DATE(2026,11,10)),ROW(Expenses!A$3:A$999)-2),5)),""),IF(IFERROR(INDEX(Income!B$3:B$502,SMALL(IF((Income!D$3:D$502="GBP")*(Income!A$3:A$502=DATE(2026,11,10)),ROW(Income!A$3:A$502)-2),5)),"")&lt;&gt;"",IFERROR(INDEX(Income!B$3:B$502,SMALL(IF((Income!D$3:D$502="GBP")*(Income!A$3:A$502=DATE(2026,11,10)),ROW(Income!A$3:A$502)-2),5)),""),""))</f>
        <v/>
      </c>
      <c r="G233" s="152">
        <f t="array" ref="G233">IF(IFERROR(-INDEX(Expenses!D$3:D$999,SMALL(IF((Expenses!E$3:E$999="GBP")*(Expenses!A$3:A$999=DATE(2026,11,11)),ROW(Expenses!A$3:A$999)-2),5)),0)+IFERROR(INDEX(Income!C$3:C$502,SMALL(IF((Income!D$3:D$502="GBP")*(Income!A$3:A$502=DATE(2026,11,11)),ROW(Income!A$3:A$502)-2),5)),0)=0,"",IFERROR(-INDEX(Expenses!D$3:D$999,SMALL(IF((Expenses!E$3:E$999="GBP")*(Expenses!A$3:A$999=DATE(2026,11,11)),ROW(Expenses!A$3:A$999)-2),5)),0)+IFERROR(INDEX(Income!C$3:C$502,SMALL(IF((Income!D$3:D$502="GBP")*(Income!A$3:A$502=DATE(2026,11,11)),ROW(Income!A$3:A$502)-2),5)),0))</f>
        <v/>
      </c>
      <c r="H233" s="126">
        <f t="array" ref="H233">IF(IFERROR(INDEX(Expenses!B$3:B$999,SMALL(IF((Expenses!E$3:E$999="GBP")*(Expenses!A$3:A$999=DATE(2026,11,11)),ROW(Expenses!A$3:A$999)-2),5)),"")&lt;&gt;"",IFERROR(INDEX(Expenses!B$3:B$999,SMALL(IF((Expenses!E$3:E$999="GBP")*(Expenses!A$3:A$999=DATE(2026,11,11)),ROW(Expenses!A$3:A$999)-2),5)),""),IF(IFERROR(INDEX(Income!B$3:B$502,SMALL(IF((Income!D$3:D$502="GBP")*(Income!A$3:A$502=DATE(2026,11,11)),ROW(Income!A$3:A$502)-2),5)),"")&lt;&gt;"",IFERROR(INDEX(Income!B$3:B$502,SMALL(IF((Income!D$3:D$502="GBP")*(Income!A$3:A$502=DATE(2026,11,11)),ROW(Income!A$3:A$502)-2),5)),""),""))</f>
        <v/>
      </c>
      <c r="I233" s="152">
        <f t="array" ref="I233">IF(IFERROR(-INDEX(Expenses!D$3:D$999,SMALL(IF((Expenses!E$3:E$999="GBP")*(Expenses!A$3:A$999=DATE(2026,11,12)),ROW(Expenses!A$3:A$999)-2),5)),0)+IFERROR(INDEX(Income!C$3:C$502,SMALL(IF((Income!D$3:D$502="GBP")*(Income!A$3:A$502=DATE(2026,11,12)),ROW(Income!A$3:A$502)-2),5)),0)=0,"",IFERROR(-INDEX(Expenses!D$3:D$999,SMALL(IF((Expenses!E$3:E$999="GBP")*(Expenses!A$3:A$999=DATE(2026,11,12)),ROW(Expenses!A$3:A$999)-2),5)),0)+IFERROR(INDEX(Income!C$3:C$502,SMALL(IF((Income!D$3:D$502="GBP")*(Income!A$3:A$502=DATE(2026,11,12)),ROW(Income!A$3:A$502)-2),5)),0))</f>
        <v/>
      </c>
      <c r="J233" s="126">
        <f t="array" ref="J233">IF(IFERROR(INDEX(Expenses!B$3:B$999,SMALL(IF((Expenses!E$3:E$999="GBP")*(Expenses!A$3:A$999=DATE(2026,11,12)),ROW(Expenses!A$3:A$999)-2),5)),"")&lt;&gt;"",IFERROR(INDEX(Expenses!B$3:B$999,SMALL(IF((Expenses!E$3:E$999="GBP")*(Expenses!A$3:A$999=DATE(2026,11,12)),ROW(Expenses!A$3:A$999)-2),5)),""),IF(IFERROR(INDEX(Income!B$3:B$502,SMALL(IF((Income!D$3:D$502="GBP")*(Income!A$3:A$502=DATE(2026,11,12)),ROW(Income!A$3:A$502)-2),5)),"")&lt;&gt;"",IFERROR(INDEX(Income!B$3:B$502,SMALL(IF((Income!D$3:D$502="GBP")*(Income!A$3:A$502=DATE(2026,11,12)),ROW(Income!A$3:A$502)-2),5)),""),""))</f>
        <v/>
      </c>
      <c r="K233" s="152">
        <f t="array" ref="K233">IF(IFERROR(-INDEX(Expenses!D$3:D$999,SMALL(IF((Expenses!E$3:E$999="GBP")*(Expenses!A$3:A$999=DATE(2026,11,13)),ROW(Expenses!A$3:A$999)-2),5)),0)+IFERROR(INDEX(Income!C$3:C$502,SMALL(IF((Income!D$3:D$502="GBP")*(Income!A$3:A$502=DATE(2026,11,13)),ROW(Income!A$3:A$502)-2),5)),0)=0,"",IFERROR(-INDEX(Expenses!D$3:D$999,SMALL(IF((Expenses!E$3:E$999="GBP")*(Expenses!A$3:A$999=DATE(2026,11,13)),ROW(Expenses!A$3:A$999)-2),5)),0)+IFERROR(INDEX(Income!C$3:C$502,SMALL(IF((Income!D$3:D$502="GBP")*(Income!A$3:A$502=DATE(2026,11,13)),ROW(Income!A$3:A$502)-2),5)),0))</f>
        <v/>
      </c>
      <c r="L233" s="126">
        <f t="array" ref="L233">IF(IFERROR(INDEX(Expenses!B$3:B$999,SMALL(IF((Expenses!E$3:E$999="GBP")*(Expenses!A$3:A$999=DATE(2026,11,13)),ROW(Expenses!A$3:A$999)-2),5)),"")&lt;&gt;"",IFERROR(INDEX(Expenses!B$3:B$999,SMALL(IF((Expenses!E$3:E$999="GBP")*(Expenses!A$3:A$999=DATE(2026,11,13)),ROW(Expenses!A$3:A$999)-2),5)),""),IF(IFERROR(INDEX(Income!B$3:B$502,SMALL(IF((Income!D$3:D$502="GBP")*(Income!A$3:A$502=DATE(2026,11,13)),ROW(Income!A$3:A$502)-2),5)),"")&lt;&gt;"",IFERROR(INDEX(Income!B$3:B$502,SMALL(IF((Income!D$3:D$502="GBP")*(Income!A$3:A$502=DATE(2026,11,13)),ROW(Income!A$3:A$502)-2),5)),""),""))</f>
        <v/>
      </c>
      <c r="M233" s="152">
        <f t="array" ref="M233">IF(IFERROR(-INDEX(Expenses!D$3:D$999,SMALL(IF((Expenses!E$3:E$999="GBP")*(Expenses!A$3:A$999=DATE(2026,11,14)),ROW(Expenses!A$3:A$999)-2),5)),0)+IFERROR(INDEX(Income!C$3:C$502,SMALL(IF((Income!D$3:D$502="GBP")*(Income!A$3:A$502=DATE(2026,11,14)),ROW(Income!A$3:A$502)-2),5)),0)=0,"",IFERROR(-INDEX(Expenses!D$3:D$999,SMALL(IF((Expenses!E$3:E$999="GBP")*(Expenses!A$3:A$999=DATE(2026,11,14)),ROW(Expenses!A$3:A$999)-2),5)),0)+IFERROR(INDEX(Income!C$3:C$502,SMALL(IF((Income!D$3:D$502="GBP")*(Income!A$3:A$502=DATE(2026,11,14)),ROW(Income!A$3:A$502)-2),5)),0))</f>
        <v/>
      </c>
      <c r="N233" s="126">
        <f t="array" ref="N233">IF(IFERROR(INDEX(Expenses!B$3:B$999,SMALL(IF((Expenses!E$3:E$999="GBP")*(Expenses!A$3:A$999=DATE(2026,11,14)),ROW(Expenses!A$3:A$999)-2),5)),"")&lt;&gt;"",IFERROR(INDEX(Expenses!B$3:B$999,SMALL(IF((Expenses!E$3:E$999="GBP")*(Expenses!A$3:A$999=DATE(2026,11,14)),ROW(Expenses!A$3:A$999)-2),5)),""),IF(IFERROR(INDEX(Income!B$3:B$502,SMALL(IF((Income!D$3:D$502="GBP")*(Income!A$3:A$502=DATE(2026,11,14)),ROW(Income!A$3:A$502)-2),5)),"")&lt;&gt;"",IFERROR(INDEX(Income!B$3:B$502,SMALL(IF((Income!D$3:D$502="GBP")*(Income!A$3:A$502=DATE(2026,11,14)),ROW(Income!A$3:A$502)-2),5)),""),""))</f>
        <v/>
      </c>
      <c r="O233" s="152">
        <f t="array" ref="O233">IF(IFERROR(-INDEX(Expenses!D$3:D$999,SMALL(IF((Expenses!E$3:E$999="GBP")*(Expenses!A$3:A$999=DATE(2026,11,15)),ROW(Expenses!A$3:A$999)-2),5)),0)+IFERROR(INDEX(Income!C$3:C$502,SMALL(IF((Income!D$3:D$502="GBP")*(Income!A$3:A$502=DATE(2026,11,15)),ROW(Income!A$3:A$502)-2),5)),0)=0,"",IFERROR(-INDEX(Expenses!D$3:D$999,SMALL(IF((Expenses!E$3:E$999="GBP")*(Expenses!A$3:A$999=DATE(2026,11,15)),ROW(Expenses!A$3:A$999)-2),5)),0)+IFERROR(INDEX(Income!C$3:C$502,SMALL(IF((Income!D$3:D$502="GBP")*(Income!A$3:A$502=DATE(2026,11,15)),ROW(Income!A$3:A$502)-2),5)),0))</f>
        <v/>
      </c>
      <c r="P233" s="126">
        <f t="array" ref="P233">IF(IFERROR(INDEX(Expenses!B$3:B$999,SMALL(IF((Expenses!E$3:E$999="GBP")*(Expenses!A$3:A$999=DATE(2026,11,15)),ROW(Expenses!A$3:A$999)-2),5)),"")&lt;&gt;"",IFERROR(INDEX(Expenses!B$3:B$999,SMALL(IF((Expenses!E$3:E$999="GBP")*(Expenses!A$3:A$999=DATE(2026,11,15)),ROW(Expenses!A$3:A$999)-2),5)),""),IF(IFERROR(INDEX(Income!B$3:B$502,SMALL(IF((Income!D$3:D$502="GBP")*(Income!A$3:A$502=DATE(2026,11,15)),ROW(Income!A$3:A$502)-2),5)),"")&lt;&gt;"",IFERROR(INDEX(Income!B$3:B$502,SMALL(IF((Income!D$3:D$502="GBP")*(Income!A$3:A$502=DATE(2026,11,15)),ROW(Income!A$3:A$502)-2),5)),""),""))</f>
        <v/>
      </c>
      <c r="Q233" s="9" t="n"/>
      <c r="R233" s="9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68">
      <c r="A234" s="151" t="n">
        <v>46342</v>
      </c>
      <c r="B234" s="103" t="n">
        <v>47</v>
      </c>
      <c r="C234" s="152">
        <f t="array" ref="C234">IF(IFERROR(-INDEX(Expenses!D$3:D$999,SMALL(IF((Expenses!E$3:E$999="GBP")*(Expenses!A$3:A$999=DATE(2026,11,16)),ROW(Expenses!A$3:A$999)-2),1)),0)+IFERROR(INDEX(Income!C$3:C$502,SMALL(IF((Income!D$3:D$502="GBP")*(Income!A$3:A$502=DATE(2026,11,16)),ROW(Income!A$3:A$502)-2),1)),0)=0,"",IFERROR(-INDEX(Expenses!D$3:D$999,SMALL(IF((Expenses!E$3:E$999="GBP")*(Expenses!A$3:A$999=DATE(2026,11,16)),ROW(Expenses!A$3:A$999)-2),1)),0)+IFERROR(INDEX(Income!C$3:C$502,SMALL(IF((Income!D$3:D$502="GBP")*(Income!A$3:A$502=DATE(2026,11,16)),ROW(Income!A$3:A$502)-2),1)),0))</f>
        <v/>
      </c>
      <c r="D234" s="126">
        <f t="array" ref="D234">IF(IFERROR(INDEX(Expenses!B$3:B$999,SMALL(IF((Expenses!E$3:E$999="GBP")*(Expenses!A$3:A$999=DATE(2026,11,16)),ROW(Expenses!A$3:A$999)-2),1)),"")&lt;&gt;"",IFERROR(INDEX(Expenses!B$3:B$999,SMALL(IF((Expenses!E$3:E$999="GBP")*(Expenses!A$3:A$999=DATE(2026,11,16)),ROW(Expenses!A$3:A$999)-2),1)),""),IF(IFERROR(INDEX(Income!B$3:B$502,SMALL(IF((Income!D$3:D$502="GBP")*(Income!A$3:A$502=DATE(2026,11,16)),ROW(Income!A$3:A$502)-2),1)),"")&lt;&gt;"",IFERROR(INDEX(Income!B$3:B$502,SMALL(IF((Income!D$3:D$502="GBP")*(Income!A$3:A$502=DATE(2026,11,16)),ROW(Income!A$3:A$502)-2),1)),""),""))</f>
        <v/>
      </c>
      <c r="E234" s="152">
        <f t="array" ref="E234">IF(IFERROR(-INDEX(Expenses!D$3:D$999,SMALL(IF((Expenses!E$3:E$999="GBP")*(Expenses!A$3:A$999=DATE(2026,11,17)),ROW(Expenses!A$3:A$999)-2),1)),0)+IFERROR(INDEX(Income!C$3:C$502,SMALL(IF((Income!D$3:D$502="GBP")*(Income!A$3:A$502=DATE(2026,11,17)),ROW(Income!A$3:A$502)-2),1)),0)=0,"",IFERROR(-INDEX(Expenses!D$3:D$999,SMALL(IF((Expenses!E$3:E$999="GBP")*(Expenses!A$3:A$999=DATE(2026,11,17)),ROW(Expenses!A$3:A$999)-2),1)),0)+IFERROR(INDEX(Income!C$3:C$502,SMALL(IF((Income!D$3:D$502="GBP")*(Income!A$3:A$502=DATE(2026,11,17)),ROW(Income!A$3:A$502)-2),1)),0))</f>
        <v/>
      </c>
      <c r="F234" s="126">
        <f t="array" ref="F234">IF(IFERROR(INDEX(Expenses!B$3:B$999,SMALL(IF((Expenses!E$3:E$999="GBP")*(Expenses!A$3:A$999=DATE(2026,11,17)),ROW(Expenses!A$3:A$999)-2),1)),"")&lt;&gt;"",IFERROR(INDEX(Expenses!B$3:B$999,SMALL(IF((Expenses!E$3:E$999="GBP")*(Expenses!A$3:A$999=DATE(2026,11,17)),ROW(Expenses!A$3:A$999)-2),1)),""),IF(IFERROR(INDEX(Income!B$3:B$502,SMALL(IF((Income!D$3:D$502="GBP")*(Income!A$3:A$502=DATE(2026,11,17)),ROW(Income!A$3:A$502)-2),1)),"")&lt;&gt;"",IFERROR(INDEX(Income!B$3:B$502,SMALL(IF((Income!D$3:D$502="GBP")*(Income!A$3:A$502=DATE(2026,11,17)),ROW(Income!A$3:A$502)-2),1)),""),""))</f>
        <v/>
      </c>
      <c r="G234" s="152">
        <f t="array" ref="G234">IF(IFERROR(-INDEX(Expenses!D$3:D$999,SMALL(IF((Expenses!E$3:E$999="GBP")*(Expenses!A$3:A$999=DATE(2026,11,18)),ROW(Expenses!A$3:A$999)-2),1)),0)+IFERROR(INDEX(Income!C$3:C$502,SMALL(IF((Income!D$3:D$502="GBP")*(Income!A$3:A$502=DATE(2026,11,18)),ROW(Income!A$3:A$502)-2),1)),0)=0,"",IFERROR(-INDEX(Expenses!D$3:D$999,SMALL(IF((Expenses!E$3:E$999="GBP")*(Expenses!A$3:A$999=DATE(2026,11,18)),ROW(Expenses!A$3:A$999)-2),1)),0)+IFERROR(INDEX(Income!C$3:C$502,SMALL(IF((Income!D$3:D$502="GBP")*(Income!A$3:A$502=DATE(2026,11,18)),ROW(Income!A$3:A$502)-2),1)),0))</f>
        <v/>
      </c>
      <c r="H234" s="126">
        <f t="array" ref="H234">IF(IFERROR(INDEX(Expenses!B$3:B$999,SMALL(IF((Expenses!E$3:E$999="GBP")*(Expenses!A$3:A$999=DATE(2026,11,18)),ROW(Expenses!A$3:A$999)-2),1)),"")&lt;&gt;"",IFERROR(INDEX(Expenses!B$3:B$999,SMALL(IF((Expenses!E$3:E$999="GBP")*(Expenses!A$3:A$999=DATE(2026,11,18)),ROW(Expenses!A$3:A$999)-2),1)),""),IF(IFERROR(INDEX(Income!B$3:B$502,SMALL(IF((Income!D$3:D$502="GBP")*(Income!A$3:A$502=DATE(2026,11,18)),ROW(Income!A$3:A$502)-2),1)),"")&lt;&gt;"",IFERROR(INDEX(Income!B$3:B$502,SMALL(IF((Income!D$3:D$502="GBP")*(Income!A$3:A$502=DATE(2026,11,18)),ROW(Income!A$3:A$502)-2),1)),""),""))</f>
        <v/>
      </c>
      <c r="I234" s="152">
        <f t="array" ref="I234">IF(IFERROR(-INDEX(Expenses!D$3:D$999,SMALL(IF((Expenses!E$3:E$999="GBP")*(Expenses!A$3:A$999=DATE(2026,11,19)),ROW(Expenses!A$3:A$999)-2),1)),0)+IFERROR(INDEX(Income!C$3:C$502,SMALL(IF((Income!D$3:D$502="GBP")*(Income!A$3:A$502=DATE(2026,11,19)),ROW(Income!A$3:A$502)-2),1)),0)=0,"",IFERROR(-INDEX(Expenses!D$3:D$999,SMALL(IF((Expenses!E$3:E$999="GBP")*(Expenses!A$3:A$999=DATE(2026,11,19)),ROW(Expenses!A$3:A$999)-2),1)),0)+IFERROR(INDEX(Income!C$3:C$502,SMALL(IF((Income!D$3:D$502="GBP")*(Income!A$3:A$502=DATE(2026,11,19)),ROW(Income!A$3:A$502)-2),1)),0))</f>
        <v/>
      </c>
      <c r="J234" s="126">
        <f t="array" ref="J234">IF(IFERROR(INDEX(Expenses!B$3:B$999,SMALL(IF((Expenses!E$3:E$999="GBP")*(Expenses!A$3:A$999=DATE(2026,11,19)),ROW(Expenses!A$3:A$999)-2),1)),"")&lt;&gt;"",IFERROR(INDEX(Expenses!B$3:B$999,SMALL(IF((Expenses!E$3:E$999="GBP")*(Expenses!A$3:A$999=DATE(2026,11,19)),ROW(Expenses!A$3:A$999)-2),1)),""),IF(IFERROR(INDEX(Income!B$3:B$502,SMALL(IF((Income!D$3:D$502="GBP")*(Income!A$3:A$502=DATE(2026,11,19)),ROW(Income!A$3:A$502)-2),1)),"")&lt;&gt;"",IFERROR(INDEX(Income!B$3:B$502,SMALL(IF((Income!D$3:D$502="GBP")*(Income!A$3:A$502=DATE(2026,11,19)),ROW(Income!A$3:A$502)-2),1)),""),""))</f>
        <v/>
      </c>
      <c r="K234" s="152">
        <f t="array" ref="K234">IF(IFERROR(-INDEX(Expenses!D$3:D$999,SMALL(IF((Expenses!E$3:E$999="GBP")*(Expenses!A$3:A$999=DATE(2026,11,20)),ROW(Expenses!A$3:A$999)-2),1)),0)+IFERROR(INDEX(Income!C$3:C$502,SMALL(IF((Income!D$3:D$502="GBP")*(Income!A$3:A$502=DATE(2026,11,20)),ROW(Income!A$3:A$502)-2),1)),0)=0,"",IFERROR(-INDEX(Expenses!D$3:D$999,SMALL(IF((Expenses!E$3:E$999="GBP")*(Expenses!A$3:A$999=DATE(2026,11,20)),ROW(Expenses!A$3:A$999)-2),1)),0)+IFERROR(INDEX(Income!C$3:C$502,SMALL(IF((Income!D$3:D$502="GBP")*(Income!A$3:A$502=DATE(2026,11,20)),ROW(Income!A$3:A$502)-2),1)),0))</f>
        <v/>
      </c>
      <c r="L234" s="126">
        <f t="array" ref="L234">IF(IFERROR(INDEX(Expenses!B$3:B$999,SMALL(IF((Expenses!E$3:E$999="GBP")*(Expenses!A$3:A$999=DATE(2026,11,20)),ROW(Expenses!A$3:A$999)-2),1)),"")&lt;&gt;"",IFERROR(INDEX(Expenses!B$3:B$999,SMALL(IF((Expenses!E$3:E$999="GBP")*(Expenses!A$3:A$999=DATE(2026,11,20)),ROW(Expenses!A$3:A$999)-2),1)),""),IF(IFERROR(INDEX(Income!B$3:B$502,SMALL(IF((Income!D$3:D$502="GBP")*(Income!A$3:A$502=DATE(2026,11,20)),ROW(Income!A$3:A$502)-2),1)),"")&lt;&gt;"",IFERROR(INDEX(Income!B$3:B$502,SMALL(IF((Income!D$3:D$502="GBP")*(Income!A$3:A$502=DATE(2026,11,20)),ROW(Income!A$3:A$502)-2),1)),""),""))</f>
        <v/>
      </c>
      <c r="M234" s="152">
        <f t="array" ref="M234">IF(IFERROR(-INDEX(Expenses!D$3:D$999,SMALL(IF((Expenses!E$3:E$999="GBP")*(Expenses!A$3:A$999=DATE(2026,11,21)),ROW(Expenses!A$3:A$999)-2),1)),0)+IFERROR(INDEX(Income!C$3:C$502,SMALL(IF((Income!D$3:D$502="GBP")*(Income!A$3:A$502=DATE(2026,11,21)),ROW(Income!A$3:A$502)-2),1)),0)=0,"",IFERROR(-INDEX(Expenses!D$3:D$999,SMALL(IF((Expenses!E$3:E$999="GBP")*(Expenses!A$3:A$999=DATE(2026,11,21)),ROW(Expenses!A$3:A$999)-2),1)),0)+IFERROR(INDEX(Income!C$3:C$502,SMALL(IF((Income!D$3:D$502="GBP")*(Income!A$3:A$502=DATE(2026,11,21)),ROW(Income!A$3:A$502)-2),1)),0))</f>
        <v/>
      </c>
      <c r="N234" s="126">
        <f t="array" ref="N234">IF(IFERROR(INDEX(Expenses!B$3:B$999,SMALL(IF((Expenses!E$3:E$999="GBP")*(Expenses!A$3:A$999=DATE(2026,11,21)),ROW(Expenses!A$3:A$999)-2),1)),"")&lt;&gt;"",IFERROR(INDEX(Expenses!B$3:B$999,SMALL(IF((Expenses!E$3:E$999="GBP")*(Expenses!A$3:A$999=DATE(2026,11,21)),ROW(Expenses!A$3:A$999)-2),1)),""),IF(IFERROR(INDEX(Income!B$3:B$502,SMALL(IF((Income!D$3:D$502="GBP")*(Income!A$3:A$502=DATE(2026,11,21)),ROW(Income!A$3:A$502)-2),1)),"")&lt;&gt;"",IFERROR(INDEX(Income!B$3:B$502,SMALL(IF((Income!D$3:D$502="GBP")*(Income!A$3:A$502=DATE(2026,11,21)),ROW(Income!A$3:A$502)-2),1)),""),""))</f>
        <v/>
      </c>
      <c r="O234" s="152">
        <f t="array" ref="O234">IF(IFERROR(-INDEX(Expenses!D$3:D$999,SMALL(IF((Expenses!E$3:E$999="GBP")*(Expenses!A$3:A$999=DATE(2026,11,22)),ROW(Expenses!A$3:A$999)-2),1)),0)+IFERROR(INDEX(Income!C$3:C$502,SMALL(IF((Income!D$3:D$502="GBP")*(Income!A$3:A$502=DATE(2026,11,22)),ROW(Income!A$3:A$502)-2),1)),0)=0,"",IFERROR(-INDEX(Expenses!D$3:D$999,SMALL(IF((Expenses!E$3:E$999="GBP")*(Expenses!A$3:A$999=DATE(2026,11,22)),ROW(Expenses!A$3:A$999)-2),1)),0)+IFERROR(INDEX(Income!C$3:C$502,SMALL(IF((Income!D$3:D$502="GBP")*(Income!A$3:A$502=DATE(2026,11,22)),ROW(Income!A$3:A$502)-2),1)),0))</f>
        <v/>
      </c>
      <c r="P234" s="126">
        <f t="array" ref="P234">IF(IFERROR(INDEX(Expenses!B$3:B$999,SMALL(IF((Expenses!E$3:E$999="GBP")*(Expenses!A$3:A$999=DATE(2026,11,22)),ROW(Expenses!A$3:A$999)-2),1)),"")&lt;&gt;"",IFERROR(INDEX(Expenses!B$3:B$999,SMALL(IF((Expenses!E$3:E$999="GBP")*(Expenses!A$3:A$999=DATE(2026,11,22)),ROW(Expenses!A$3:A$999)-2),1)),""),IF(IFERROR(INDEX(Income!B$3:B$502,SMALL(IF((Income!D$3:D$502="GBP")*(Income!A$3:A$502=DATE(2026,11,22)),ROW(Income!A$3:A$502)-2),1)),"")&lt;&gt;"",IFERROR(INDEX(Income!B$3:B$502,SMALL(IF((Income!D$3:D$502="GBP")*(Income!A$3:A$502=DATE(2026,11,22)),ROW(Income!A$3:A$502)-2),1)),""),""))</f>
        <v/>
      </c>
      <c r="Q234" s="103" t="n">
        <v>47</v>
      </c>
      <c r="R234" s="134">
        <f>SUM(C234:C238)+SUM(E234:E238)+SUM(G234:G238)+SUM(I234:I238)+SUM(K234:K238)+SUM(M234:M238)+SUM(O234:O238)</f>
        <v/>
      </c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68">
      <c r="A235" s="9" t="n"/>
      <c r="B235" s="9" t="n"/>
      <c r="C235" s="152">
        <f t="array" ref="C235">IF(IFERROR(-INDEX(Expenses!D$3:D$999,SMALL(IF((Expenses!E$3:E$999="GBP")*(Expenses!A$3:A$999=DATE(2026,11,16)),ROW(Expenses!A$3:A$999)-2),2)),0)+IFERROR(INDEX(Income!C$3:C$502,SMALL(IF((Income!D$3:D$502="GBP")*(Income!A$3:A$502=DATE(2026,11,16)),ROW(Income!A$3:A$502)-2),2)),0)=0,"",IFERROR(-INDEX(Expenses!D$3:D$999,SMALL(IF((Expenses!E$3:E$999="GBP")*(Expenses!A$3:A$999=DATE(2026,11,16)),ROW(Expenses!A$3:A$999)-2),2)),0)+IFERROR(INDEX(Income!C$3:C$502,SMALL(IF((Income!D$3:D$502="GBP")*(Income!A$3:A$502=DATE(2026,11,16)),ROW(Income!A$3:A$502)-2),2)),0))</f>
        <v/>
      </c>
      <c r="D235" s="126">
        <f t="array" ref="D235">IF(IFERROR(INDEX(Expenses!B$3:B$999,SMALL(IF((Expenses!E$3:E$999="GBP")*(Expenses!A$3:A$999=DATE(2026,11,16)),ROW(Expenses!A$3:A$999)-2),2)),"")&lt;&gt;"",IFERROR(INDEX(Expenses!B$3:B$999,SMALL(IF((Expenses!E$3:E$999="GBP")*(Expenses!A$3:A$999=DATE(2026,11,16)),ROW(Expenses!A$3:A$999)-2),2)),""),IF(IFERROR(INDEX(Income!B$3:B$502,SMALL(IF((Income!D$3:D$502="GBP")*(Income!A$3:A$502=DATE(2026,11,16)),ROW(Income!A$3:A$502)-2),2)),"")&lt;&gt;"",IFERROR(INDEX(Income!B$3:B$502,SMALL(IF((Income!D$3:D$502="GBP")*(Income!A$3:A$502=DATE(2026,11,16)),ROW(Income!A$3:A$502)-2),2)),""),""))</f>
        <v/>
      </c>
      <c r="E235" s="152">
        <f t="array" ref="E235">IF(IFERROR(-INDEX(Expenses!D$3:D$999,SMALL(IF((Expenses!E$3:E$999="GBP")*(Expenses!A$3:A$999=DATE(2026,11,17)),ROW(Expenses!A$3:A$999)-2),2)),0)+IFERROR(INDEX(Income!C$3:C$502,SMALL(IF((Income!D$3:D$502="GBP")*(Income!A$3:A$502=DATE(2026,11,17)),ROW(Income!A$3:A$502)-2),2)),0)=0,"",IFERROR(-INDEX(Expenses!D$3:D$999,SMALL(IF((Expenses!E$3:E$999="GBP")*(Expenses!A$3:A$999=DATE(2026,11,17)),ROW(Expenses!A$3:A$999)-2),2)),0)+IFERROR(INDEX(Income!C$3:C$502,SMALL(IF((Income!D$3:D$502="GBP")*(Income!A$3:A$502=DATE(2026,11,17)),ROW(Income!A$3:A$502)-2),2)),0))</f>
        <v/>
      </c>
      <c r="F235" s="126">
        <f t="array" ref="F235">IF(IFERROR(INDEX(Expenses!B$3:B$999,SMALL(IF((Expenses!E$3:E$999="GBP")*(Expenses!A$3:A$999=DATE(2026,11,17)),ROW(Expenses!A$3:A$999)-2),2)),"")&lt;&gt;"",IFERROR(INDEX(Expenses!B$3:B$999,SMALL(IF((Expenses!E$3:E$999="GBP")*(Expenses!A$3:A$999=DATE(2026,11,17)),ROW(Expenses!A$3:A$999)-2),2)),""),IF(IFERROR(INDEX(Income!B$3:B$502,SMALL(IF((Income!D$3:D$502="GBP")*(Income!A$3:A$502=DATE(2026,11,17)),ROW(Income!A$3:A$502)-2),2)),"")&lt;&gt;"",IFERROR(INDEX(Income!B$3:B$502,SMALL(IF((Income!D$3:D$502="GBP")*(Income!A$3:A$502=DATE(2026,11,17)),ROW(Income!A$3:A$502)-2),2)),""),""))</f>
        <v/>
      </c>
      <c r="G235" s="152">
        <f t="array" ref="G235">IF(IFERROR(-INDEX(Expenses!D$3:D$999,SMALL(IF((Expenses!E$3:E$999="GBP")*(Expenses!A$3:A$999=DATE(2026,11,18)),ROW(Expenses!A$3:A$999)-2),2)),0)+IFERROR(INDEX(Income!C$3:C$502,SMALL(IF((Income!D$3:D$502="GBP")*(Income!A$3:A$502=DATE(2026,11,18)),ROW(Income!A$3:A$502)-2),2)),0)=0,"",IFERROR(-INDEX(Expenses!D$3:D$999,SMALL(IF((Expenses!E$3:E$999="GBP")*(Expenses!A$3:A$999=DATE(2026,11,18)),ROW(Expenses!A$3:A$999)-2),2)),0)+IFERROR(INDEX(Income!C$3:C$502,SMALL(IF((Income!D$3:D$502="GBP")*(Income!A$3:A$502=DATE(2026,11,18)),ROW(Income!A$3:A$502)-2),2)),0))</f>
        <v/>
      </c>
      <c r="H235" s="126">
        <f t="array" ref="H235">IF(IFERROR(INDEX(Expenses!B$3:B$999,SMALL(IF((Expenses!E$3:E$999="GBP")*(Expenses!A$3:A$999=DATE(2026,11,18)),ROW(Expenses!A$3:A$999)-2),2)),"")&lt;&gt;"",IFERROR(INDEX(Expenses!B$3:B$999,SMALL(IF((Expenses!E$3:E$999="GBP")*(Expenses!A$3:A$999=DATE(2026,11,18)),ROW(Expenses!A$3:A$999)-2),2)),""),IF(IFERROR(INDEX(Income!B$3:B$502,SMALL(IF((Income!D$3:D$502="GBP")*(Income!A$3:A$502=DATE(2026,11,18)),ROW(Income!A$3:A$502)-2),2)),"")&lt;&gt;"",IFERROR(INDEX(Income!B$3:B$502,SMALL(IF((Income!D$3:D$502="GBP")*(Income!A$3:A$502=DATE(2026,11,18)),ROW(Income!A$3:A$502)-2),2)),""),""))</f>
        <v/>
      </c>
      <c r="I235" s="152">
        <f t="array" ref="I235">IF(IFERROR(-INDEX(Expenses!D$3:D$999,SMALL(IF((Expenses!E$3:E$999="GBP")*(Expenses!A$3:A$999=DATE(2026,11,19)),ROW(Expenses!A$3:A$999)-2),2)),0)+IFERROR(INDEX(Income!C$3:C$502,SMALL(IF((Income!D$3:D$502="GBP")*(Income!A$3:A$502=DATE(2026,11,19)),ROW(Income!A$3:A$502)-2),2)),0)=0,"",IFERROR(-INDEX(Expenses!D$3:D$999,SMALL(IF((Expenses!E$3:E$999="GBP")*(Expenses!A$3:A$999=DATE(2026,11,19)),ROW(Expenses!A$3:A$999)-2),2)),0)+IFERROR(INDEX(Income!C$3:C$502,SMALL(IF((Income!D$3:D$502="GBP")*(Income!A$3:A$502=DATE(2026,11,19)),ROW(Income!A$3:A$502)-2),2)),0))</f>
        <v/>
      </c>
      <c r="J235" s="126">
        <f t="array" ref="J235">IF(IFERROR(INDEX(Expenses!B$3:B$999,SMALL(IF((Expenses!E$3:E$999="GBP")*(Expenses!A$3:A$999=DATE(2026,11,19)),ROW(Expenses!A$3:A$999)-2),2)),"")&lt;&gt;"",IFERROR(INDEX(Expenses!B$3:B$999,SMALL(IF((Expenses!E$3:E$999="GBP")*(Expenses!A$3:A$999=DATE(2026,11,19)),ROW(Expenses!A$3:A$999)-2),2)),""),IF(IFERROR(INDEX(Income!B$3:B$502,SMALL(IF((Income!D$3:D$502="GBP")*(Income!A$3:A$502=DATE(2026,11,19)),ROW(Income!A$3:A$502)-2),2)),"")&lt;&gt;"",IFERROR(INDEX(Income!B$3:B$502,SMALL(IF((Income!D$3:D$502="GBP")*(Income!A$3:A$502=DATE(2026,11,19)),ROW(Income!A$3:A$502)-2),2)),""),""))</f>
        <v/>
      </c>
      <c r="K235" s="152">
        <f t="array" ref="K235">IF(IFERROR(-INDEX(Expenses!D$3:D$999,SMALL(IF((Expenses!E$3:E$999="GBP")*(Expenses!A$3:A$999=DATE(2026,11,20)),ROW(Expenses!A$3:A$999)-2),2)),0)+IFERROR(INDEX(Income!C$3:C$502,SMALL(IF((Income!D$3:D$502="GBP")*(Income!A$3:A$502=DATE(2026,11,20)),ROW(Income!A$3:A$502)-2),2)),0)=0,"",IFERROR(-INDEX(Expenses!D$3:D$999,SMALL(IF((Expenses!E$3:E$999="GBP")*(Expenses!A$3:A$999=DATE(2026,11,20)),ROW(Expenses!A$3:A$999)-2),2)),0)+IFERROR(INDEX(Income!C$3:C$502,SMALL(IF((Income!D$3:D$502="GBP")*(Income!A$3:A$502=DATE(2026,11,20)),ROW(Income!A$3:A$502)-2),2)),0))</f>
        <v/>
      </c>
      <c r="L235" s="126">
        <f t="array" ref="L235">IF(IFERROR(INDEX(Expenses!B$3:B$999,SMALL(IF((Expenses!E$3:E$999="GBP")*(Expenses!A$3:A$999=DATE(2026,11,20)),ROW(Expenses!A$3:A$999)-2),2)),"")&lt;&gt;"",IFERROR(INDEX(Expenses!B$3:B$999,SMALL(IF((Expenses!E$3:E$999="GBP")*(Expenses!A$3:A$999=DATE(2026,11,20)),ROW(Expenses!A$3:A$999)-2),2)),""),IF(IFERROR(INDEX(Income!B$3:B$502,SMALL(IF((Income!D$3:D$502="GBP")*(Income!A$3:A$502=DATE(2026,11,20)),ROW(Income!A$3:A$502)-2),2)),"")&lt;&gt;"",IFERROR(INDEX(Income!B$3:B$502,SMALL(IF((Income!D$3:D$502="GBP")*(Income!A$3:A$502=DATE(2026,11,20)),ROW(Income!A$3:A$502)-2),2)),""),""))</f>
        <v/>
      </c>
      <c r="M235" s="152">
        <f t="array" ref="M235">IF(IFERROR(-INDEX(Expenses!D$3:D$999,SMALL(IF((Expenses!E$3:E$999="GBP")*(Expenses!A$3:A$999=DATE(2026,11,21)),ROW(Expenses!A$3:A$999)-2),2)),0)+IFERROR(INDEX(Income!C$3:C$502,SMALL(IF((Income!D$3:D$502="GBP")*(Income!A$3:A$502=DATE(2026,11,21)),ROW(Income!A$3:A$502)-2),2)),0)=0,"",IFERROR(-INDEX(Expenses!D$3:D$999,SMALL(IF((Expenses!E$3:E$999="GBP")*(Expenses!A$3:A$999=DATE(2026,11,21)),ROW(Expenses!A$3:A$999)-2),2)),0)+IFERROR(INDEX(Income!C$3:C$502,SMALL(IF((Income!D$3:D$502="GBP")*(Income!A$3:A$502=DATE(2026,11,21)),ROW(Income!A$3:A$502)-2),2)),0))</f>
        <v/>
      </c>
      <c r="N235" s="126">
        <f t="array" ref="N235">IF(IFERROR(INDEX(Expenses!B$3:B$999,SMALL(IF((Expenses!E$3:E$999="GBP")*(Expenses!A$3:A$999=DATE(2026,11,21)),ROW(Expenses!A$3:A$999)-2),2)),"")&lt;&gt;"",IFERROR(INDEX(Expenses!B$3:B$999,SMALL(IF((Expenses!E$3:E$999="GBP")*(Expenses!A$3:A$999=DATE(2026,11,21)),ROW(Expenses!A$3:A$999)-2),2)),""),IF(IFERROR(INDEX(Income!B$3:B$502,SMALL(IF((Income!D$3:D$502="GBP")*(Income!A$3:A$502=DATE(2026,11,21)),ROW(Income!A$3:A$502)-2),2)),"")&lt;&gt;"",IFERROR(INDEX(Income!B$3:B$502,SMALL(IF((Income!D$3:D$502="GBP")*(Income!A$3:A$502=DATE(2026,11,21)),ROW(Income!A$3:A$502)-2),2)),""),""))</f>
        <v/>
      </c>
      <c r="O235" s="152">
        <f t="array" ref="O235">IF(IFERROR(-INDEX(Expenses!D$3:D$999,SMALL(IF((Expenses!E$3:E$999="GBP")*(Expenses!A$3:A$999=DATE(2026,11,22)),ROW(Expenses!A$3:A$999)-2),2)),0)+IFERROR(INDEX(Income!C$3:C$502,SMALL(IF((Income!D$3:D$502="GBP")*(Income!A$3:A$502=DATE(2026,11,22)),ROW(Income!A$3:A$502)-2),2)),0)=0,"",IFERROR(-INDEX(Expenses!D$3:D$999,SMALL(IF((Expenses!E$3:E$999="GBP")*(Expenses!A$3:A$999=DATE(2026,11,22)),ROW(Expenses!A$3:A$999)-2),2)),0)+IFERROR(INDEX(Income!C$3:C$502,SMALL(IF((Income!D$3:D$502="GBP")*(Income!A$3:A$502=DATE(2026,11,22)),ROW(Income!A$3:A$502)-2),2)),0))</f>
        <v/>
      </c>
      <c r="P235" s="126">
        <f t="array" ref="P235">IF(IFERROR(INDEX(Expenses!B$3:B$999,SMALL(IF((Expenses!E$3:E$999="GBP")*(Expenses!A$3:A$999=DATE(2026,11,22)),ROW(Expenses!A$3:A$999)-2),2)),"")&lt;&gt;"",IFERROR(INDEX(Expenses!B$3:B$999,SMALL(IF((Expenses!E$3:E$999="GBP")*(Expenses!A$3:A$999=DATE(2026,11,22)),ROW(Expenses!A$3:A$999)-2),2)),""),IF(IFERROR(INDEX(Income!B$3:B$502,SMALL(IF((Income!D$3:D$502="GBP")*(Income!A$3:A$502=DATE(2026,11,22)),ROW(Income!A$3:A$502)-2),2)),"")&lt;&gt;"",IFERROR(INDEX(Income!B$3:B$502,SMALL(IF((Income!D$3:D$502="GBP")*(Income!A$3:A$502=DATE(2026,11,22)),ROW(Income!A$3:A$502)-2),2)),""),""))</f>
        <v/>
      </c>
      <c r="Q235" s="9" t="n"/>
      <c r="R235" s="9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68">
      <c r="A236" s="9" t="n"/>
      <c r="B236" s="9" t="n"/>
      <c r="C236" s="152">
        <f t="array" ref="C236">IF(IFERROR(-INDEX(Expenses!D$3:D$999,SMALL(IF((Expenses!E$3:E$999="GBP")*(Expenses!A$3:A$999=DATE(2026,11,16)),ROW(Expenses!A$3:A$999)-2),3)),0)+IFERROR(INDEX(Income!C$3:C$502,SMALL(IF((Income!D$3:D$502="GBP")*(Income!A$3:A$502=DATE(2026,11,16)),ROW(Income!A$3:A$502)-2),3)),0)=0,"",IFERROR(-INDEX(Expenses!D$3:D$999,SMALL(IF((Expenses!E$3:E$999="GBP")*(Expenses!A$3:A$999=DATE(2026,11,16)),ROW(Expenses!A$3:A$999)-2),3)),0)+IFERROR(INDEX(Income!C$3:C$502,SMALL(IF((Income!D$3:D$502="GBP")*(Income!A$3:A$502=DATE(2026,11,16)),ROW(Income!A$3:A$502)-2),3)),0))</f>
        <v/>
      </c>
      <c r="D236" s="126">
        <f t="array" ref="D236">IF(IFERROR(INDEX(Expenses!B$3:B$999,SMALL(IF((Expenses!E$3:E$999="GBP")*(Expenses!A$3:A$999=DATE(2026,11,16)),ROW(Expenses!A$3:A$999)-2),3)),"")&lt;&gt;"",IFERROR(INDEX(Expenses!B$3:B$999,SMALL(IF((Expenses!E$3:E$999="GBP")*(Expenses!A$3:A$999=DATE(2026,11,16)),ROW(Expenses!A$3:A$999)-2),3)),""),IF(IFERROR(INDEX(Income!B$3:B$502,SMALL(IF((Income!D$3:D$502="GBP")*(Income!A$3:A$502=DATE(2026,11,16)),ROW(Income!A$3:A$502)-2),3)),"")&lt;&gt;"",IFERROR(INDEX(Income!B$3:B$502,SMALL(IF((Income!D$3:D$502="GBP")*(Income!A$3:A$502=DATE(2026,11,16)),ROW(Income!A$3:A$502)-2),3)),""),""))</f>
        <v/>
      </c>
      <c r="E236" s="152">
        <f t="array" ref="E236">IF(IFERROR(-INDEX(Expenses!D$3:D$999,SMALL(IF((Expenses!E$3:E$999="GBP")*(Expenses!A$3:A$999=DATE(2026,11,17)),ROW(Expenses!A$3:A$999)-2),3)),0)+IFERROR(INDEX(Income!C$3:C$502,SMALL(IF((Income!D$3:D$502="GBP")*(Income!A$3:A$502=DATE(2026,11,17)),ROW(Income!A$3:A$502)-2),3)),0)=0,"",IFERROR(-INDEX(Expenses!D$3:D$999,SMALL(IF((Expenses!E$3:E$999="GBP")*(Expenses!A$3:A$999=DATE(2026,11,17)),ROW(Expenses!A$3:A$999)-2),3)),0)+IFERROR(INDEX(Income!C$3:C$502,SMALL(IF((Income!D$3:D$502="GBP")*(Income!A$3:A$502=DATE(2026,11,17)),ROW(Income!A$3:A$502)-2),3)),0))</f>
        <v/>
      </c>
      <c r="F236" s="126">
        <f t="array" ref="F236">IF(IFERROR(INDEX(Expenses!B$3:B$999,SMALL(IF((Expenses!E$3:E$999="GBP")*(Expenses!A$3:A$999=DATE(2026,11,17)),ROW(Expenses!A$3:A$999)-2),3)),"")&lt;&gt;"",IFERROR(INDEX(Expenses!B$3:B$999,SMALL(IF((Expenses!E$3:E$999="GBP")*(Expenses!A$3:A$999=DATE(2026,11,17)),ROW(Expenses!A$3:A$999)-2),3)),""),IF(IFERROR(INDEX(Income!B$3:B$502,SMALL(IF((Income!D$3:D$502="GBP")*(Income!A$3:A$502=DATE(2026,11,17)),ROW(Income!A$3:A$502)-2),3)),"")&lt;&gt;"",IFERROR(INDEX(Income!B$3:B$502,SMALL(IF((Income!D$3:D$502="GBP")*(Income!A$3:A$502=DATE(2026,11,17)),ROW(Income!A$3:A$502)-2),3)),""),""))</f>
        <v/>
      </c>
      <c r="G236" s="152">
        <f t="array" ref="G236">IF(IFERROR(-INDEX(Expenses!D$3:D$999,SMALL(IF((Expenses!E$3:E$999="GBP")*(Expenses!A$3:A$999=DATE(2026,11,18)),ROW(Expenses!A$3:A$999)-2),3)),0)+IFERROR(INDEX(Income!C$3:C$502,SMALL(IF((Income!D$3:D$502="GBP")*(Income!A$3:A$502=DATE(2026,11,18)),ROW(Income!A$3:A$502)-2),3)),0)=0,"",IFERROR(-INDEX(Expenses!D$3:D$999,SMALL(IF((Expenses!E$3:E$999="GBP")*(Expenses!A$3:A$999=DATE(2026,11,18)),ROW(Expenses!A$3:A$999)-2),3)),0)+IFERROR(INDEX(Income!C$3:C$502,SMALL(IF((Income!D$3:D$502="GBP")*(Income!A$3:A$502=DATE(2026,11,18)),ROW(Income!A$3:A$502)-2),3)),0))</f>
        <v/>
      </c>
      <c r="H236" s="126">
        <f t="array" ref="H236">IF(IFERROR(INDEX(Expenses!B$3:B$999,SMALL(IF((Expenses!E$3:E$999="GBP")*(Expenses!A$3:A$999=DATE(2026,11,18)),ROW(Expenses!A$3:A$999)-2),3)),"")&lt;&gt;"",IFERROR(INDEX(Expenses!B$3:B$999,SMALL(IF((Expenses!E$3:E$999="GBP")*(Expenses!A$3:A$999=DATE(2026,11,18)),ROW(Expenses!A$3:A$999)-2),3)),""),IF(IFERROR(INDEX(Income!B$3:B$502,SMALL(IF((Income!D$3:D$502="GBP")*(Income!A$3:A$502=DATE(2026,11,18)),ROW(Income!A$3:A$502)-2),3)),"")&lt;&gt;"",IFERROR(INDEX(Income!B$3:B$502,SMALL(IF((Income!D$3:D$502="GBP")*(Income!A$3:A$502=DATE(2026,11,18)),ROW(Income!A$3:A$502)-2),3)),""),""))</f>
        <v/>
      </c>
      <c r="I236" s="152">
        <f t="array" ref="I236">IF(IFERROR(-INDEX(Expenses!D$3:D$999,SMALL(IF((Expenses!E$3:E$999="GBP")*(Expenses!A$3:A$999=DATE(2026,11,19)),ROW(Expenses!A$3:A$999)-2),3)),0)+IFERROR(INDEX(Income!C$3:C$502,SMALL(IF((Income!D$3:D$502="GBP")*(Income!A$3:A$502=DATE(2026,11,19)),ROW(Income!A$3:A$502)-2),3)),0)=0,"",IFERROR(-INDEX(Expenses!D$3:D$999,SMALL(IF((Expenses!E$3:E$999="GBP")*(Expenses!A$3:A$999=DATE(2026,11,19)),ROW(Expenses!A$3:A$999)-2),3)),0)+IFERROR(INDEX(Income!C$3:C$502,SMALL(IF((Income!D$3:D$502="GBP")*(Income!A$3:A$502=DATE(2026,11,19)),ROW(Income!A$3:A$502)-2),3)),0))</f>
        <v/>
      </c>
      <c r="J236" s="126">
        <f t="array" ref="J236">IF(IFERROR(INDEX(Expenses!B$3:B$999,SMALL(IF((Expenses!E$3:E$999="GBP")*(Expenses!A$3:A$999=DATE(2026,11,19)),ROW(Expenses!A$3:A$999)-2),3)),"")&lt;&gt;"",IFERROR(INDEX(Expenses!B$3:B$999,SMALL(IF((Expenses!E$3:E$999="GBP")*(Expenses!A$3:A$999=DATE(2026,11,19)),ROW(Expenses!A$3:A$999)-2),3)),""),IF(IFERROR(INDEX(Income!B$3:B$502,SMALL(IF((Income!D$3:D$502="GBP")*(Income!A$3:A$502=DATE(2026,11,19)),ROW(Income!A$3:A$502)-2),3)),"")&lt;&gt;"",IFERROR(INDEX(Income!B$3:B$502,SMALL(IF((Income!D$3:D$502="GBP")*(Income!A$3:A$502=DATE(2026,11,19)),ROW(Income!A$3:A$502)-2),3)),""),""))</f>
        <v/>
      </c>
      <c r="K236" s="152">
        <f t="array" ref="K236">IF(IFERROR(-INDEX(Expenses!D$3:D$999,SMALL(IF((Expenses!E$3:E$999="GBP")*(Expenses!A$3:A$999=DATE(2026,11,20)),ROW(Expenses!A$3:A$999)-2),3)),0)+IFERROR(INDEX(Income!C$3:C$502,SMALL(IF((Income!D$3:D$502="GBP")*(Income!A$3:A$502=DATE(2026,11,20)),ROW(Income!A$3:A$502)-2),3)),0)=0,"",IFERROR(-INDEX(Expenses!D$3:D$999,SMALL(IF((Expenses!E$3:E$999="GBP")*(Expenses!A$3:A$999=DATE(2026,11,20)),ROW(Expenses!A$3:A$999)-2),3)),0)+IFERROR(INDEX(Income!C$3:C$502,SMALL(IF((Income!D$3:D$502="GBP")*(Income!A$3:A$502=DATE(2026,11,20)),ROW(Income!A$3:A$502)-2),3)),0))</f>
        <v/>
      </c>
      <c r="L236" s="126">
        <f t="array" ref="L236">IF(IFERROR(INDEX(Expenses!B$3:B$999,SMALL(IF((Expenses!E$3:E$999="GBP")*(Expenses!A$3:A$999=DATE(2026,11,20)),ROW(Expenses!A$3:A$999)-2),3)),"")&lt;&gt;"",IFERROR(INDEX(Expenses!B$3:B$999,SMALL(IF((Expenses!E$3:E$999="GBP")*(Expenses!A$3:A$999=DATE(2026,11,20)),ROW(Expenses!A$3:A$999)-2),3)),""),IF(IFERROR(INDEX(Income!B$3:B$502,SMALL(IF((Income!D$3:D$502="GBP")*(Income!A$3:A$502=DATE(2026,11,20)),ROW(Income!A$3:A$502)-2),3)),"")&lt;&gt;"",IFERROR(INDEX(Income!B$3:B$502,SMALL(IF((Income!D$3:D$502="GBP")*(Income!A$3:A$502=DATE(2026,11,20)),ROW(Income!A$3:A$502)-2),3)),""),""))</f>
        <v/>
      </c>
      <c r="M236" s="152">
        <f t="array" ref="M236">IF(IFERROR(-INDEX(Expenses!D$3:D$999,SMALL(IF((Expenses!E$3:E$999="GBP")*(Expenses!A$3:A$999=DATE(2026,11,21)),ROW(Expenses!A$3:A$999)-2),3)),0)+IFERROR(INDEX(Income!C$3:C$502,SMALL(IF((Income!D$3:D$502="GBP")*(Income!A$3:A$502=DATE(2026,11,21)),ROW(Income!A$3:A$502)-2),3)),0)=0,"",IFERROR(-INDEX(Expenses!D$3:D$999,SMALL(IF((Expenses!E$3:E$999="GBP")*(Expenses!A$3:A$999=DATE(2026,11,21)),ROW(Expenses!A$3:A$999)-2),3)),0)+IFERROR(INDEX(Income!C$3:C$502,SMALL(IF((Income!D$3:D$502="GBP")*(Income!A$3:A$502=DATE(2026,11,21)),ROW(Income!A$3:A$502)-2),3)),0))</f>
        <v/>
      </c>
      <c r="N236" s="126">
        <f t="array" ref="N236">IF(IFERROR(INDEX(Expenses!B$3:B$999,SMALL(IF((Expenses!E$3:E$999="GBP")*(Expenses!A$3:A$999=DATE(2026,11,21)),ROW(Expenses!A$3:A$999)-2),3)),"")&lt;&gt;"",IFERROR(INDEX(Expenses!B$3:B$999,SMALL(IF((Expenses!E$3:E$999="GBP")*(Expenses!A$3:A$999=DATE(2026,11,21)),ROW(Expenses!A$3:A$999)-2),3)),""),IF(IFERROR(INDEX(Income!B$3:B$502,SMALL(IF((Income!D$3:D$502="GBP")*(Income!A$3:A$502=DATE(2026,11,21)),ROW(Income!A$3:A$502)-2),3)),"")&lt;&gt;"",IFERROR(INDEX(Income!B$3:B$502,SMALL(IF((Income!D$3:D$502="GBP")*(Income!A$3:A$502=DATE(2026,11,21)),ROW(Income!A$3:A$502)-2),3)),""),""))</f>
        <v/>
      </c>
      <c r="O236" s="152">
        <f t="array" ref="O236">IF(IFERROR(-INDEX(Expenses!D$3:D$999,SMALL(IF((Expenses!E$3:E$999="GBP")*(Expenses!A$3:A$999=DATE(2026,11,22)),ROW(Expenses!A$3:A$999)-2),3)),0)+IFERROR(INDEX(Income!C$3:C$502,SMALL(IF((Income!D$3:D$502="GBP")*(Income!A$3:A$502=DATE(2026,11,22)),ROW(Income!A$3:A$502)-2),3)),0)=0,"",IFERROR(-INDEX(Expenses!D$3:D$999,SMALL(IF((Expenses!E$3:E$999="GBP")*(Expenses!A$3:A$999=DATE(2026,11,22)),ROW(Expenses!A$3:A$999)-2),3)),0)+IFERROR(INDEX(Income!C$3:C$502,SMALL(IF((Income!D$3:D$502="GBP")*(Income!A$3:A$502=DATE(2026,11,22)),ROW(Income!A$3:A$502)-2),3)),0))</f>
        <v/>
      </c>
      <c r="P236" s="126">
        <f t="array" ref="P236">IF(IFERROR(INDEX(Expenses!B$3:B$999,SMALL(IF((Expenses!E$3:E$999="GBP")*(Expenses!A$3:A$999=DATE(2026,11,22)),ROW(Expenses!A$3:A$999)-2),3)),"")&lt;&gt;"",IFERROR(INDEX(Expenses!B$3:B$999,SMALL(IF((Expenses!E$3:E$999="GBP")*(Expenses!A$3:A$999=DATE(2026,11,22)),ROW(Expenses!A$3:A$999)-2),3)),""),IF(IFERROR(INDEX(Income!B$3:B$502,SMALL(IF((Income!D$3:D$502="GBP")*(Income!A$3:A$502=DATE(2026,11,22)),ROW(Income!A$3:A$502)-2),3)),"")&lt;&gt;"",IFERROR(INDEX(Income!B$3:B$502,SMALL(IF((Income!D$3:D$502="GBP")*(Income!A$3:A$502=DATE(2026,11,22)),ROW(Income!A$3:A$502)-2),3)),""),""))</f>
        <v/>
      </c>
      <c r="Q236" s="9" t="n"/>
      <c r="R236" s="9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68">
      <c r="A237" s="9" t="n"/>
      <c r="B237" s="9" t="n"/>
      <c r="C237" s="152">
        <f t="array" ref="C237">IF(IFERROR(-INDEX(Expenses!D$3:D$999,SMALL(IF((Expenses!E$3:E$999="GBP")*(Expenses!A$3:A$999=DATE(2026,11,16)),ROW(Expenses!A$3:A$999)-2),4)),0)+IFERROR(INDEX(Income!C$3:C$502,SMALL(IF((Income!D$3:D$502="GBP")*(Income!A$3:A$502=DATE(2026,11,16)),ROW(Income!A$3:A$502)-2),4)),0)=0,"",IFERROR(-INDEX(Expenses!D$3:D$999,SMALL(IF((Expenses!E$3:E$999="GBP")*(Expenses!A$3:A$999=DATE(2026,11,16)),ROW(Expenses!A$3:A$999)-2),4)),0)+IFERROR(INDEX(Income!C$3:C$502,SMALL(IF((Income!D$3:D$502="GBP")*(Income!A$3:A$502=DATE(2026,11,16)),ROW(Income!A$3:A$502)-2),4)),0))</f>
        <v/>
      </c>
      <c r="D237" s="126">
        <f t="array" ref="D237">IF(IFERROR(INDEX(Expenses!B$3:B$999,SMALL(IF((Expenses!E$3:E$999="GBP")*(Expenses!A$3:A$999=DATE(2026,11,16)),ROW(Expenses!A$3:A$999)-2),4)),"")&lt;&gt;"",IFERROR(INDEX(Expenses!B$3:B$999,SMALL(IF((Expenses!E$3:E$999="GBP")*(Expenses!A$3:A$999=DATE(2026,11,16)),ROW(Expenses!A$3:A$999)-2),4)),""),IF(IFERROR(INDEX(Income!B$3:B$502,SMALL(IF((Income!D$3:D$502="GBP")*(Income!A$3:A$502=DATE(2026,11,16)),ROW(Income!A$3:A$502)-2),4)),"")&lt;&gt;"",IFERROR(INDEX(Income!B$3:B$502,SMALL(IF((Income!D$3:D$502="GBP")*(Income!A$3:A$502=DATE(2026,11,16)),ROW(Income!A$3:A$502)-2),4)),""),""))</f>
        <v/>
      </c>
      <c r="E237" s="152">
        <f t="array" ref="E237">IF(IFERROR(-INDEX(Expenses!D$3:D$999,SMALL(IF((Expenses!E$3:E$999="GBP")*(Expenses!A$3:A$999=DATE(2026,11,17)),ROW(Expenses!A$3:A$999)-2),4)),0)+IFERROR(INDEX(Income!C$3:C$502,SMALL(IF((Income!D$3:D$502="GBP")*(Income!A$3:A$502=DATE(2026,11,17)),ROW(Income!A$3:A$502)-2),4)),0)=0,"",IFERROR(-INDEX(Expenses!D$3:D$999,SMALL(IF((Expenses!E$3:E$999="GBP")*(Expenses!A$3:A$999=DATE(2026,11,17)),ROW(Expenses!A$3:A$999)-2),4)),0)+IFERROR(INDEX(Income!C$3:C$502,SMALL(IF((Income!D$3:D$502="GBP")*(Income!A$3:A$502=DATE(2026,11,17)),ROW(Income!A$3:A$502)-2),4)),0))</f>
        <v/>
      </c>
      <c r="F237" s="126">
        <f t="array" ref="F237">IF(IFERROR(INDEX(Expenses!B$3:B$999,SMALL(IF((Expenses!E$3:E$999="GBP")*(Expenses!A$3:A$999=DATE(2026,11,17)),ROW(Expenses!A$3:A$999)-2),4)),"")&lt;&gt;"",IFERROR(INDEX(Expenses!B$3:B$999,SMALL(IF((Expenses!E$3:E$999="GBP")*(Expenses!A$3:A$999=DATE(2026,11,17)),ROW(Expenses!A$3:A$999)-2),4)),""),IF(IFERROR(INDEX(Income!B$3:B$502,SMALL(IF((Income!D$3:D$502="GBP")*(Income!A$3:A$502=DATE(2026,11,17)),ROW(Income!A$3:A$502)-2),4)),"")&lt;&gt;"",IFERROR(INDEX(Income!B$3:B$502,SMALL(IF((Income!D$3:D$502="GBP")*(Income!A$3:A$502=DATE(2026,11,17)),ROW(Income!A$3:A$502)-2),4)),""),""))</f>
        <v/>
      </c>
      <c r="G237" s="152">
        <f t="array" ref="G237">IF(IFERROR(-INDEX(Expenses!D$3:D$999,SMALL(IF((Expenses!E$3:E$999="GBP")*(Expenses!A$3:A$999=DATE(2026,11,18)),ROW(Expenses!A$3:A$999)-2),4)),0)+IFERROR(INDEX(Income!C$3:C$502,SMALL(IF((Income!D$3:D$502="GBP")*(Income!A$3:A$502=DATE(2026,11,18)),ROW(Income!A$3:A$502)-2),4)),0)=0,"",IFERROR(-INDEX(Expenses!D$3:D$999,SMALL(IF((Expenses!E$3:E$999="GBP")*(Expenses!A$3:A$999=DATE(2026,11,18)),ROW(Expenses!A$3:A$999)-2),4)),0)+IFERROR(INDEX(Income!C$3:C$502,SMALL(IF((Income!D$3:D$502="GBP")*(Income!A$3:A$502=DATE(2026,11,18)),ROW(Income!A$3:A$502)-2),4)),0))</f>
        <v/>
      </c>
      <c r="H237" s="126">
        <f t="array" ref="H237">IF(IFERROR(INDEX(Expenses!B$3:B$999,SMALL(IF((Expenses!E$3:E$999="GBP")*(Expenses!A$3:A$999=DATE(2026,11,18)),ROW(Expenses!A$3:A$999)-2),4)),"")&lt;&gt;"",IFERROR(INDEX(Expenses!B$3:B$999,SMALL(IF((Expenses!E$3:E$999="GBP")*(Expenses!A$3:A$999=DATE(2026,11,18)),ROW(Expenses!A$3:A$999)-2),4)),""),IF(IFERROR(INDEX(Income!B$3:B$502,SMALL(IF((Income!D$3:D$502="GBP")*(Income!A$3:A$502=DATE(2026,11,18)),ROW(Income!A$3:A$502)-2),4)),"")&lt;&gt;"",IFERROR(INDEX(Income!B$3:B$502,SMALL(IF((Income!D$3:D$502="GBP")*(Income!A$3:A$502=DATE(2026,11,18)),ROW(Income!A$3:A$502)-2),4)),""),""))</f>
        <v/>
      </c>
      <c r="I237" s="152">
        <f t="array" ref="I237">IF(IFERROR(-INDEX(Expenses!D$3:D$999,SMALL(IF((Expenses!E$3:E$999="GBP")*(Expenses!A$3:A$999=DATE(2026,11,19)),ROW(Expenses!A$3:A$999)-2),4)),0)+IFERROR(INDEX(Income!C$3:C$502,SMALL(IF((Income!D$3:D$502="GBP")*(Income!A$3:A$502=DATE(2026,11,19)),ROW(Income!A$3:A$502)-2),4)),0)=0,"",IFERROR(-INDEX(Expenses!D$3:D$999,SMALL(IF((Expenses!E$3:E$999="GBP")*(Expenses!A$3:A$999=DATE(2026,11,19)),ROW(Expenses!A$3:A$999)-2),4)),0)+IFERROR(INDEX(Income!C$3:C$502,SMALL(IF((Income!D$3:D$502="GBP")*(Income!A$3:A$502=DATE(2026,11,19)),ROW(Income!A$3:A$502)-2),4)),0))</f>
        <v/>
      </c>
      <c r="J237" s="126">
        <f t="array" ref="J237">IF(IFERROR(INDEX(Expenses!B$3:B$999,SMALL(IF((Expenses!E$3:E$999="GBP")*(Expenses!A$3:A$999=DATE(2026,11,19)),ROW(Expenses!A$3:A$999)-2),4)),"")&lt;&gt;"",IFERROR(INDEX(Expenses!B$3:B$999,SMALL(IF((Expenses!E$3:E$999="GBP")*(Expenses!A$3:A$999=DATE(2026,11,19)),ROW(Expenses!A$3:A$999)-2),4)),""),IF(IFERROR(INDEX(Income!B$3:B$502,SMALL(IF((Income!D$3:D$502="GBP")*(Income!A$3:A$502=DATE(2026,11,19)),ROW(Income!A$3:A$502)-2),4)),"")&lt;&gt;"",IFERROR(INDEX(Income!B$3:B$502,SMALL(IF((Income!D$3:D$502="GBP")*(Income!A$3:A$502=DATE(2026,11,19)),ROW(Income!A$3:A$502)-2),4)),""),""))</f>
        <v/>
      </c>
      <c r="K237" s="152">
        <f t="array" ref="K237">IF(IFERROR(-INDEX(Expenses!D$3:D$999,SMALL(IF((Expenses!E$3:E$999="GBP")*(Expenses!A$3:A$999=DATE(2026,11,20)),ROW(Expenses!A$3:A$999)-2),4)),0)+IFERROR(INDEX(Income!C$3:C$502,SMALL(IF((Income!D$3:D$502="GBP")*(Income!A$3:A$502=DATE(2026,11,20)),ROW(Income!A$3:A$502)-2),4)),0)=0,"",IFERROR(-INDEX(Expenses!D$3:D$999,SMALL(IF((Expenses!E$3:E$999="GBP")*(Expenses!A$3:A$999=DATE(2026,11,20)),ROW(Expenses!A$3:A$999)-2),4)),0)+IFERROR(INDEX(Income!C$3:C$502,SMALL(IF((Income!D$3:D$502="GBP")*(Income!A$3:A$502=DATE(2026,11,20)),ROW(Income!A$3:A$502)-2),4)),0))</f>
        <v/>
      </c>
      <c r="L237" s="126">
        <f t="array" ref="L237">IF(IFERROR(INDEX(Expenses!B$3:B$999,SMALL(IF((Expenses!E$3:E$999="GBP")*(Expenses!A$3:A$999=DATE(2026,11,20)),ROW(Expenses!A$3:A$999)-2),4)),"")&lt;&gt;"",IFERROR(INDEX(Expenses!B$3:B$999,SMALL(IF((Expenses!E$3:E$999="GBP")*(Expenses!A$3:A$999=DATE(2026,11,20)),ROW(Expenses!A$3:A$999)-2),4)),""),IF(IFERROR(INDEX(Income!B$3:B$502,SMALL(IF((Income!D$3:D$502="GBP")*(Income!A$3:A$502=DATE(2026,11,20)),ROW(Income!A$3:A$502)-2),4)),"")&lt;&gt;"",IFERROR(INDEX(Income!B$3:B$502,SMALL(IF((Income!D$3:D$502="GBP")*(Income!A$3:A$502=DATE(2026,11,20)),ROW(Income!A$3:A$502)-2),4)),""),""))</f>
        <v/>
      </c>
      <c r="M237" s="152">
        <f t="array" ref="M237">IF(IFERROR(-INDEX(Expenses!D$3:D$999,SMALL(IF((Expenses!E$3:E$999="GBP")*(Expenses!A$3:A$999=DATE(2026,11,21)),ROW(Expenses!A$3:A$999)-2),4)),0)+IFERROR(INDEX(Income!C$3:C$502,SMALL(IF((Income!D$3:D$502="GBP")*(Income!A$3:A$502=DATE(2026,11,21)),ROW(Income!A$3:A$502)-2),4)),0)=0,"",IFERROR(-INDEX(Expenses!D$3:D$999,SMALL(IF((Expenses!E$3:E$999="GBP")*(Expenses!A$3:A$999=DATE(2026,11,21)),ROW(Expenses!A$3:A$999)-2),4)),0)+IFERROR(INDEX(Income!C$3:C$502,SMALL(IF((Income!D$3:D$502="GBP")*(Income!A$3:A$502=DATE(2026,11,21)),ROW(Income!A$3:A$502)-2),4)),0))</f>
        <v/>
      </c>
      <c r="N237" s="126">
        <f t="array" ref="N237">IF(IFERROR(INDEX(Expenses!B$3:B$999,SMALL(IF((Expenses!E$3:E$999="GBP")*(Expenses!A$3:A$999=DATE(2026,11,21)),ROW(Expenses!A$3:A$999)-2),4)),"")&lt;&gt;"",IFERROR(INDEX(Expenses!B$3:B$999,SMALL(IF((Expenses!E$3:E$999="GBP")*(Expenses!A$3:A$999=DATE(2026,11,21)),ROW(Expenses!A$3:A$999)-2),4)),""),IF(IFERROR(INDEX(Income!B$3:B$502,SMALL(IF((Income!D$3:D$502="GBP")*(Income!A$3:A$502=DATE(2026,11,21)),ROW(Income!A$3:A$502)-2),4)),"")&lt;&gt;"",IFERROR(INDEX(Income!B$3:B$502,SMALL(IF((Income!D$3:D$502="GBP")*(Income!A$3:A$502=DATE(2026,11,21)),ROW(Income!A$3:A$502)-2),4)),""),""))</f>
        <v/>
      </c>
      <c r="O237" s="152">
        <f t="array" ref="O237">IF(IFERROR(-INDEX(Expenses!D$3:D$999,SMALL(IF((Expenses!E$3:E$999="GBP")*(Expenses!A$3:A$999=DATE(2026,11,22)),ROW(Expenses!A$3:A$999)-2),4)),0)+IFERROR(INDEX(Income!C$3:C$502,SMALL(IF((Income!D$3:D$502="GBP")*(Income!A$3:A$502=DATE(2026,11,22)),ROW(Income!A$3:A$502)-2),4)),0)=0,"",IFERROR(-INDEX(Expenses!D$3:D$999,SMALL(IF((Expenses!E$3:E$999="GBP")*(Expenses!A$3:A$999=DATE(2026,11,22)),ROW(Expenses!A$3:A$999)-2),4)),0)+IFERROR(INDEX(Income!C$3:C$502,SMALL(IF((Income!D$3:D$502="GBP")*(Income!A$3:A$502=DATE(2026,11,22)),ROW(Income!A$3:A$502)-2),4)),0))</f>
        <v/>
      </c>
      <c r="P237" s="126">
        <f t="array" ref="P237">IF(IFERROR(INDEX(Expenses!B$3:B$999,SMALL(IF((Expenses!E$3:E$999="GBP")*(Expenses!A$3:A$999=DATE(2026,11,22)),ROW(Expenses!A$3:A$999)-2),4)),"")&lt;&gt;"",IFERROR(INDEX(Expenses!B$3:B$999,SMALL(IF((Expenses!E$3:E$999="GBP")*(Expenses!A$3:A$999=DATE(2026,11,22)),ROW(Expenses!A$3:A$999)-2),4)),""),IF(IFERROR(INDEX(Income!B$3:B$502,SMALL(IF((Income!D$3:D$502="GBP")*(Income!A$3:A$502=DATE(2026,11,22)),ROW(Income!A$3:A$502)-2),4)),"")&lt;&gt;"",IFERROR(INDEX(Income!B$3:B$502,SMALL(IF((Income!D$3:D$502="GBP")*(Income!A$3:A$502=DATE(2026,11,22)),ROW(Income!A$3:A$502)-2),4)),""),""))</f>
        <v/>
      </c>
      <c r="Q237" s="9" t="n"/>
      <c r="R237" s="9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68">
      <c r="A238" s="9" t="n"/>
      <c r="B238" s="9" t="n"/>
      <c r="C238" s="152">
        <f t="array" ref="C238">IF(IFERROR(-INDEX(Expenses!D$3:D$999,SMALL(IF((Expenses!E$3:E$999="GBP")*(Expenses!A$3:A$999=DATE(2026,11,16)),ROW(Expenses!A$3:A$999)-2),5)),0)+IFERROR(INDEX(Income!C$3:C$502,SMALL(IF((Income!D$3:D$502="GBP")*(Income!A$3:A$502=DATE(2026,11,16)),ROW(Income!A$3:A$502)-2),5)),0)=0,"",IFERROR(-INDEX(Expenses!D$3:D$999,SMALL(IF((Expenses!E$3:E$999="GBP")*(Expenses!A$3:A$999=DATE(2026,11,16)),ROW(Expenses!A$3:A$999)-2),5)),0)+IFERROR(INDEX(Income!C$3:C$502,SMALL(IF((Income!D$3:D$502="GBP")*(Income!A$3:A$502=DATE(2026,11,16)),ROW(Income!A$3:A$502)-2),5)),0))</f>
        <v/>
      </c>
      <c r="D238" s="126">
        <f t="array" ref="D238">IF(IFERROR(INDEX(Expenses!B$3:B$999,SMALL(IF((Expenses!E$3:E$999="GBP")*(Expenses!A$3:A$999=DATE(2026,11,16)),ROW(Expenses!A$3:A$999)-2),5)),"")&lt;&gt;"",IFERROR(INDEX(Expenses!B$3:B$999,SMALL(IF((Expenses!E$3:E$999="GBP")*(Expenses!A$3:A$999=DATE(2026,11,16)),ROW(Expenses!A$3:A$999)-2),5)),""),IF(IFERROR(INDEX(Income!B$3:B$502,SMALL(IF((Income!D$3:D$502="GBP")*(Income!A$3:A$502=DATE(2026,11,16)),ROW(Income!A$3:A$502)-2),5)),"")&lt;&gt;"",IFERROR(INDEX(Income!B$3:B$502,SMALL(IF((Income!D$3:D$502="GBP")*(Income!A$3:A$502=DATE(2026,11,16)),ROW(Income!A$3:A$502)-2),5)),""),""))</f>
        <v/>
      </c>
      <c r="E238" s="152">
        <f t="array" ref="E238">IF(IFERROR(-INDEX(Expenses!D$3:D$999,SMALL(IF((Expenses!E$3:E$999="GBP")*(Expenses!A$3:A$999=DATE(2026,11,17)),ROW(Expenses!A$3:A$999)-2),5)),0)+IFERROR(INDEX(Income!C$3:C$502,SMALL(IF((Income!D$3:D$502="GBP")*(Income!A$3:A$502=DATE(2026,11,17)),ROW(Income!A$3:A$502)-2),5)),0)=0,"",IFERROR(-INDEX(Expenses!D$3:D$999,SMALL(IF((Expenses!E$3:E$999="GBP")*(Expenses!A$3:A$999=DATE(2026,11,17)),ROW(Expenses!A$3:A$999)-2),5)),0)+IFERROR(INDEX(Income!C$3:C$502,SMALL(IF((Income!D$3:D$502="GBP")*(Income!A$3:A$502=DATE(2026,11,17)),ROW(Income!A$3:A$502)-2),5)),0))</f>
        <v/>
      </c>
      <c r="F238" s="126">
        <f t="array" ref="F238">IF(IFERROR(INDEX(Expenses!B$3:B$999,SMALL(IF((Expenses!E$3:E$999="GBP")*(Expenses!A$3:A$999=DATE(2026,11,17)),ROW(Expenses!A$3:A$999)-2),5)),"")&lt;&gt;"",IFERROR(INDEX(Expenses!B$3:B$999,SMALL(IF((Expenses!E$3:E$999="GBP")*(Expenses!A$3:A$999=DATE(2026,11,17)),ROW(Expenses!A$3:A$999)-2),5)),""),IF(IFERROR(INDEX(Income!B$3:B$502,SMALL(IF((Income!D$3:D$502="GBP")*(Income!A$3:A$502=DATE(2026,11,17)),ROW(Income!A$3:A$502)-2),5)),"")&lt;&gt;"",IFERROR(INDEX(Income!B$3:B$502,SMALL(IF((Income!D$3:D$502="GBP")*(Income!A$3:A$502=DATE(2026,11,17)),ROW(Income!A$3:A$502)-2),5)),""),""))</f>
        <v/>
      </c>
      <c r="G238" s="152">
        <f t="array" ref="G238">IF(IFERROR(-INDEX(Expenses!D$3:D$999,SMALL(IF((Expenses!E$3:E$999="GBP")*(Expenses!A$3:A$999=DATE(2026,11,18)),ROW(Expenses!A$3:A$999)-2),5)),0)+IFERROR(INDEX(Income!C$3:C$502,SMALL(IF((Income!D$3:D$502="GBP")*(Income!A$3:A$502=DATE(2026,11,18)),ROW(Income!A$3:A$502)-2),5)),0)=0,"",IFERROR(-INDEX(Expenses!D$3:D$999,SMALL(IF((Expenses!E$3:E$999="GBP")*(Expenses!A$3:A$999=DATE(2026,11,18)),ROW(Expenses!A$3:A$999)-2),5)),0)+IFERROR(INDEX(Income!C$3:C$502,SMALL(IF((Income!D$3:D$502="GBP")*(Income!A$3:A$502=DATE(2026,11,18)),ROW(Income!A$3:A$502)-2),5)),0))</f>
        <v/>
      </c>
      <c r="H238" s="126">
        <f t="array" ref="H238">IF(IFERROR(INDEX(Expenses!B$3:B$999,SMALL(IF((Expenses!E$3:E$999="GBP")*(Expenses!A$3:A$999=DATE(2026,11,18)),ROW(Expenses!A$3:A$999)-2),5)),"")&lt;&gt;"",IFERROR(INDEX(Expenses!B$3:B$999,SMALL(IF((Expenses!E$3:E$999="GBP")*(Expenses!A$3:A$999=DATE(2026,11,18)),ROW(Expenses!A$3:A$999)-2),5)),""),IF(IFERROR(INDEX(Income!B$3:B$502,SMALL(IF((Income!D$3:D$502="GBP")*(Income!A$3:A$502=DATE(2026,11,18)),ROW(Income!A$3:A$502)-2),5)),"")&lt;&gt;"",IFERROR(INDEX(Income!B$3:B$502,SMALL(IF((Income!D$3:D$502="GBP")*(Income!A$3:A$502=DATE(2026,11,18)),ROW(Income!A$3:A$502)-2),5)),""),""))</f>
        <v/>
      </c>
      <c r="I238" s="152">
        <f t="array" ref="I238">IF(IFERROR(-INDEX(Expenses!D$3:D$999,SMALL(IF((Expenses!E$3:E$999="GBP")*(Expenses!A$3:A$999=DATE(2026,11,19)),ROW(Expenses!A$3:A$999)-2),5)),0)+IFERROR(INDEX(Income!C$3:C$502,SMALL(IF((Income!D$3:D$502="GBP")*(Income!A$3:A$502=DATE(2026,11,19)),ROW(Income!A$3:A$502)-2),5)),0)=0,"",IFERROR(-INDEX(Expenses!D$3:D$999,SMALL(IF((Expenses!E$3:E$999="GBP")*(Expenses!A$3:A$999=DATE(2026,11,19)),ROW(Expenses!A$3:A$999)-2),5)),0)+IFERROR(INDEX(Income!C$3:C$502,SMALL(IF((Income!D$3:D$502="GBP")*(Income!A$3:A$502=DATE(2026,11,19)),ROW(Income!A$3:A$502)-2),5)),0))</f>
        <v/>
      </c>
      <c r="J238" s="126">
        <f t="array" ref="J238">IF(IFERROR(INDEX(Expenses!B$3:B$999,SMALL(IF((Expenses!E$3:E$999="GBP")*(Expenses!A$3:A$999=DATE(2026,11,19)),ROW(Expenses!A$3:A$999)-2),5)),"")&lt;&gt;"",IFERROR(INDEX(Expenses!B$3:B$999,SMALL(IF((Expenses!E$3:E$999="GBP")*(Expenses!A$3:A$999=DATE(2026,11,19)),ROW(Expenses!A$3:A$999)-2),5)),""),IF(IFERROR(INDEX(Income!B$3:B$502,SMALL(IF((Income!D$3:D$502="GBP")*(Income!A$3:A$502=DATE(2026,11,19)),ROW(Income!A$3:A$502)-2),5)),"")&lt;&gt;"",IFERROR(INDEX(Income!B$3:B$502,SMALL(IF((Income!D$3:D$502="GBP")*(Income!A$3:A$502=DATE(2026,11,19)),ROW(Income!A$3:A$502)-2),5)),""),""))</f>
        <v/>
      </c>
      <c r="K238" s="152">
        <f t="array" ref="K238">IF(IFERROR(-INDEX(Expenses!D$3:D$999,SMALL(IF((Expenses!E$3:E$999="GBP")*(Expenses!A$3:A$999=DATE(2026,11,20)),ROW(Expenses!A$3:A$999)-2),5)),0)+IFERROR(INDEX(Income!C$3:C$502,SMALL(IF((Income!D$3:D$502="GBP")*(Income!A$3:A$502=DATE(2026,11,20)),ROW(Income!A$3:A$502)-2),5)),0)=0,"",IFERROR(-INDEX(Expenses!D$3:D$999,SMALL(IF((Expenses!E$3:E$999="GBP")*(Expenses!A$3:A$999=DATE(2026,11,20)),ROW(Expenses!A$3:A$999)-2),5)),0)+IFERROR(INDEX(Income!C$3:C$502,SMALL(IF((Income!D$3:D$502="GBP")*(Income!A$3:A$502=DATE(2026,11,20)),ROW(Income!A$3:A$502)-2),5)),0))</f>
        <v/>
      </c>
      <c r="L238" s="126">
        <f t="array" ref="L238">IF(IFERROR(INDEX(Expenses!B$3:B$999,SMALL(IF((Expenses!E$3:E$999="GBP")*(Expenses!A$3:A$999=DATE(2026,11,20)),ROW(Expenses!A$3:A$999)-2),5)),"")&lt;&gt;"",IFERROR(INDEX(Expenses!B$3:B$999,SMALL(IF((Expenses!E$3:E$999="GBP")*(Expenses!A$3:A$999=DATE(2026,11,20)),ROW(Expenses!A$3:A$999)-2),5)),""),IF(IFERROR(INDEX(Income!B$3:B$502,SMALL(IF((Income!D$3:D$502="GBP")*(Income!A$3:A$502=DATE(2026,11,20)),ROW(Income!A$3:A$502)-2),5)),"")&lt;&gt;"",IFERROR(INDEX(Income!B$3:B$502,SMALL(IF((Income!D$3:D$502="GBP")*(Income!A$3:A$502=DATE(2026,11,20)),ROW(Income!A$3:A$502)-2),5)),""),""))</f>
        <v/>
      </c>
      <c r="M238" s="152">
        <f t="array" ref="M238">IF(IFERROR(-INDEX(Expenses!D$3:D$999,SMALL(IF((Expenses!E$3:E$999="GBP")*(Expenses!A$3:A$999=DATE(2026,11,21)),ROW(Expenses!A$3:A$999)-2),5)),0)+IFERROR(INDEX(Income!C$3:C$502,SMALL(IF((Income!D$3:D$502="GBP")*(Income!A$3:A$502=DATE(2026,11,21)),ROW(Income!A$3:A$502)-2),5)),0)=0,"",IFERROR(-INDEX(Expenses!D$3:D$999,SMALL(IF((Expenses!E$3:E$999="GBP")*(Expenses!A$3:A$999=DATE(2026,11,21)),ROW(Expenses!A$3:A$999)-2),5)),0)+IFERROR(INDEX(Income!C$3:C$502,SMALL(IF((Income!D$3:D$502="GBP")*(Income!A$3:A$502=DATE(2026,11,21)),ROW(Income!A$3:A$502)-2),5)),0))</f>
        <v/>
      </c>
      <c r="N238" s="126">
        <f t="array" ref="N238">IF(IFERROR(INDEX(Expenses!B$3:B$999,SMALL(IF((Expenses!E$3:E$999="GBP")*(Expenses!A$3:A$999=DATE(2026,11,21)),ROW(Expenses!A$3:A$999)-2),5)),"")&lt;&gt;"",IFERROR(INDEX(Expenses!B$3:B$999,SMALL(IF((Expenses!E$3:E$999="GBP")*(Expenses!A$3:A$999=DATE(2026,11,21)),ROW(Expenses!A$3:A$999)-2),5)),""),IF(IFERROR(INDEX(Income!B$3:B$502,SMALL(IF((Income!D$3:D$502="GBP")*(Income!A$3:A$502=DATE(2026,11,21)),ROW(Income!A$3:A$502)-2),5)),"")&lt;&gt;"",IFERROR(INDEX(Income!B$3:B$502,SMALL(IF((Income!D$3:D$502="GBP")*(Income!A$3:A$502=DATE(2026,11,21)),ROW(Income!A$3:A$502)-2),5)),""),""))</f>
        <v/>
      </c>
      <c r="O238" s="152">
        <f t="array" ref="O238">IF(IFERROR(-INDEX(Expenses!D$3:D$999,SMALL(IF((Expenses!E$3:E$999="GBP")*(Expenses!A$3:A$999=DATE(2026,11,22)),ROW(Expenses!A$3:A$999)-2),5)),0)+IFERROR(INDEX(Income!C$3:C$502,SMALL(IF((Income!D$3:D$502="GBP")*(Income!A$3:A$502=DATE(2026,11,22)),ROW(Income!A$3:A$502)-2),5)),0)=0,"",IFERROR(-INDEX(Expenses!D$3:D$999,SMALL(IF((Expenses!E$3:E$999="GBP")*(Expenses!A$3:A$999=DATE(2026,11,22)),ROW(Expenses!A$3:A$999)-2),5)),0)+IFERROR(INDEX(Income!C$3:C$502,SMALL(IF((Income!D$3:D$502="GBP")*(Income!A$3:A$502=DATE(2026,11,22)),ROW(Income!A$3:A$502)-2),5)),0))</f>
        <v/>
      </c>
      <c r="P238" s="126">
        <f t="array" ref="P238">IF(IFERROR(INDEX(Expenses!B$3:B$999,SMALL(IF((Expenses!E$3:E$999="GBP")*(Expenses!A$3:A$999=DATE(2026,11,22)),ROW(Expenses!A$3:A$999)-2),5)),"")&lt;&gt;"",IFERROR(INDEX(Expenses!B$3:B$999,SMALL(IF((Expenses!E$3:E$999="GBP")*(Expenses!A$3:A$999=DATE(2026,11,22)),ROW(Expenses!A$3:A$999)-2),5)),""),IF(IFERROR(INDEX(Income!B$3:B$502,SMALL(IF((Income!D$3:D$502="GBP")*(Income!A$3:A$502=DATE(2026,11,22)),ROW(Income!A$3:A$502)-2),5)),"")&lt;&gt;"",IFERROR(INDEX(Income!B$3:B$502,SMALL(IF((Income!D$3:D$502="GBP")*(Income!A$3:A$502=DATE(2026,11,22)),ROW(Income!A$3:A$502)-2),5)),""),""))</f>
        <v/>
      </c>
      <c r="Q238" s="9" t="n"/>
      <c r="R238" s="9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68">
      <c r="A239" s="151" t="n">
        <v>46349</v>
      </c>
      <c r="B239" s="103" t="n">
        <v>48</v>
      </c>
      <c r="C239" s="152">
        <f t="array" ref="C239">IF(IFERROR(-INDEX(Expenses!D$3:D$999,SMALL(IF((Expenses!E$3:E$999="GBP")*(Expenses!A$3:A$999=DATE(2026,11,23)),ROW(Expenses!A$3:A$999)-2),1)),0)+IFERROR(INDEX(Income!C$3:C$502,SMALL(IF((Income!D$3:D$502="GBP")*(Income!A$3:A$502=DATE(2026,11,23)),ROW(Income!A$3:A$502)-2),1)),0)=0,"",IFERROR(-INDEX(Expenses!D$3:D$999,SMALL(IF((Expenses!E$3:E$999="GBP")*(Expenses!A$3:A$999=DATE(2026,11,23)),ROW(Expenses!A$3:A$999)-2),1)),0)+IFERROR(INDEX(Income!C$3:C$502,SMALL(IF((Income!D$3:D$502="GBP")*(Income!A$3:A$502=DATE(2026,11,23)),ROW(Income!A$3:A$502)-2),1)),0))</f>
        <v/>
      </c>
      <c r="D239" s="126">
        <f t="array" ref="D239">IF(IFERROR(INDEX(Expenses!B$3:B$999,SMALL(IF((Expenses!E$3:E$999="GBP")*(Expenses!A$3:A$999=DATE(2026,11,23)),ROW(Expenses!A$3:A$999)-2),1)),"")&lt;&gt;"",IFERROR(INDEX(Expenses!B$3:B$999,SMALL(IF((Expenses!E$3:E$999="GBP")*(Expenses!A$3:A$999=DATE(2026,11,23)),ROW(Expenses!A$3:A$999)-2),1)),""),IF(IFERROR(INDEX(Income!B$3:B$502,SMALL(IF((Income!D$3:D$502="GBP")*(Income!A$3:A$502=DATE(2026,11,23)),ROW(Income!A$3:A$502)-2),1)),"")&lt;&gt;"",IFERROR(INDEX(Income!B$3:B$502,SMALL(IF((Income!D$3:D$502="GBP")*(Income!A$3:A$502=DATE(2026,11,23)),ROW(Income!A$3:A$502)-2),1)),""),""))</f>
        <v/>
      </c>
      <c r="E239" s="152">
        <f t="array" ref="E239">IF(IFERROR(-INDEX(Expenses!D$3:D$999,SMALL(IF((Expenses!E$3:E$999="GBP")*(Expenses!A$3:A$999=DATE(2026,11,24)),ROW(Expenses!A$3:A$999)-2),1)),0)+IFERROR(INDEX(Income!C$3:C$502,SMALL(IF((Income!D$3:D$502="GBP")*(Income!A$3:A$502=DATE(2026,11,24)),ROW(Income!A$3:A$502)-2),1)),0)=0,"",IFERROR(-INDEX(Expenses!D$3:D$999,SMALL(IF((Expenses!E$3:E$999="GBP")*(Expenses!A$3:A$999=DATE(2026,11,24)),ROW(Expenses!A$3:A$999)-2),1)),0)+IFERROR(INDEX(Income!C$3:C$502,SMALL(IF((Income!D$3:D$502="GBP")*(Income!A$3:A$502=DATE(2026,11,24)),ROW(Income!A$3:A$502)-2),1)),0))</f>
        <v/>
      </c>
      <c r="F239" s="126">
        <f t="array" ref="F239">IF(IFERROR(INDEX(Expenses!B$3:B$999,SMALL(IF((Expenses!E$3:E$999="GBP")*(Expenses!A$3:A$999=DATE(2026,11,24)),ROW(Expenses!A$3:A$999)-2),1)),"")&lt;&gt;"",IFERROR(INDEX(Expenses!B$3:B$999,SMALL(IF((Expenses!E$3:E$999="GBP")*(Expenses!A$3:A$999=DATE(2026,11,24)),ROW(Expenses!A$3:A$999)-2),1)),""),IF(IFERROR(INDEX(Income!B$3:B$502,SMALL(IF((Income!D$3:D$502="GBP")*(Income!A$3:A$502=DATE(2026,11,24)),ROW(Income!A$3:A$502)-2),1)),"")&lt;&gt;"",IFERROR(INDEX(Income!B$3:B$502,SMALL(IF((Income!D$3:D$502="GBP")*(Income!A$3:A$502=DATE(2026,11,24)),ROW(Income!A$3:A$502)-2),1)),""),""))</f>
        <v/>
      </c>
      <c r="G239" s="152">
        <f t="array" ref="G239">IF(IFERROR(-INDEX(Expenses!D$3:D$999,SMALL(IF((Expenses!E$3:E$999="GBP")*(Expenses!A$3:A$999=DATE(2026,11,25)),ROW(Expenses!A$3:A$999)-2),1)),0)+IFERROR(INDEX(Income!C$3:C$502,SMALL(IF((Income!D$3:D$502="GBP")*(Income!A$3:A$502=DATE(2026,11,25)),ROW(Income!A$3:A$502)-2),1)),0)=0,"",IFERROR(-INDEX(Expenses!D$3:D$999,SMALL(IF((Expenses!E$3:E$999="GBP")*(Expenses!A$3:A$999=DATE(2026,11,25)),ROW(Expenses!A$3:A$999)-2),1)),0)+IFERROR(INDEX(Income!C$3:C$502,SMALL(IF((Income!D$3:D$502="GBP")*(Income!A$3:A$502=DATE(2026,11,25)),ROW(Income!A$3:A$502)-2),1)),0))</f>
        <v/>
      </c>
      <c r="H239" s="126">
        <f t="array" ref="H239">IF(IFERROR(INDEX(Expenses!B$3:B$999,SMALL(IF((Expenses!E$3:E$999="GBP")*(Expenses!A$3:A$999=DATE(2026,11,25)),ROW(Expenses!A$3:A$999)-2),1)),"")&lt;&gt;"",IFERROR(INDEX(Expenses!B$3:B$999,SMALL(IF((Expenses!E$3:E$999="GBP")*(Expenses!A$3:A$999=DATE(2026,11,25)),ROW(Expenses!A$3:A$999)-2),1)),""),IF(IFERROR(INDEX(Income!B$3:B$502,SMALL(IF((Income!D$3:D$502="GBP")*(Income!A$3:A$502=DATE(2026,11,25)),ROW(Income!A$3:A$502)-2),1)),"")&lt;&gt;"",IFERROR(INDEX(Income!B$3:B$502,SMALL(IF((Income!D$3:D$502="GBP")*(Income!A$3:A$502=DATE(2026,11,25)),ROW(Income!A$3:A$502)-2),1)),""),""))</f>
        <v/>
      </c>
      <c r="I239" s="152">
        <f t="array" ref="I239">IF(IFERROR(-INDEX(Expenses!D$3:D$999,SMALL(IF((Expenses!E$3:E$999="GBP")*(Expenses!A$3:A$999=DATE(2026,11,26)),ROW(Expenses!A$3:A$999)-2),1)),0)+IFERROR(INDEX(Income!C$3:C$502,SMALL(IF((Income!D$3:D$502="GBP")*(Income!A$3:A$502=DATE(2026,11,26)),ROW(Income!A$3:A$502)-2),1)),0)=0,"",IFERROR(-INDEX(Expenses!D$3:D$999,SMALL(IF((Expenses!E$3:E$999="GBP")*(Expenses!A$3:A$999=DATE(2026,11,26)),ROW(Expenses!A$3:A$999)-2),1)),0)+IFERROR(INDEX(Income!C$3:C$502,SMALL(IF((Income!D$3:D$502="GBP")*(Income!A$3:A$502=DATE(2026,11,26)),ROW(Income!A$3:A$502)-2),1)),0))</f>
        <v/>
      </c>
      <c r="J239" s="126">
        <f t="array" ref="J239">IF(IFERROR(INDEX(Expenses!B$3:B$999,SMALL(IF((Expenses!E$3:E$999="GBP")*(Expenses!A$3:A$999=DATE(2026,11,26)),ROW(Expenses!A$3:A$999)-2),1)),"")&lt;&gt;"",IFERROR(INDEX(Expenses!B$3:B$999,SMALL(IF((Expenses!E$3:E$999="GBP")*(Expenses!A$3:A$999=DATE(2026,11,26)),ROW(Expenses!A$3:A$999)-2),1)),""),IF(IFERROR(INDEX(Income!B$3:B$502,SMALL(IF((Income!D$3:D$502="GBP")*(Income!A$3:A$502=DATE(2026,11,26)),ROW(Income!A$3:A$502)-2),1)),"")&lt;&gt;"",IFERROR(INDEX(Income!B$3:B$502,SMALL(IF((Income!D$3:D$502="GBP")*(Income!A$3:A$502=DATE(2026,11,26)),ROW(Income!A$3:A$502)-2),1)),""),""))</f>
        <v/>
      </c>
      <c r="K239" s="152">
        <f t="array" ref="K239">IF(IFERROR(-INDEX(Expenses!D$3:D$999,SMALL(IF((Expenses!E$3:E$999="GBP")*(Expenses!A$3:A$999=DATE(2026,11,27)),ROW(Expenses!A$3:A$999)-2),1)),0)+IFERROR(INDEX(Income!C$3:C$502,SMALL(IF((Income!D$3:D$502="GBP")*(Income!A$3:A$502=DATE(2026,11,27)),ROW(Income!A$3:A$502)-2),1)),0)=0,"",IFERROR(-INDEX(Expenses!D$3:D$999,SMALL(IF((Expenses!E$3:E$999="GBP")*(Expenses!A$3:A$999=DATE(2026,11,27)),ROW(Expenses!A$3:A$999)-2),1)),0)+IFERROR(INDEX(Income!C$3:C$502,SMALL(IF((Income!D$3:D$502="GBP")*(Income!A$3:A$502=DATE(2026,11,27)),ROW(Income!A$3:A$502)-2),1)),0))</f>
        <v/>
      </c>
      <c r="L239" s="126">
        <f t="array" ref="L239">IF(IFERROR(INDEX(Expenses!B$3:B$999,SMALL(IF((Expenses!E$3:E$999="GBP")*(Expenses!A$3:A$999=DATE(2026,11,27)),ROW(Expenses!A$3:A$999)-2),1)),"")&lt;&gt;"",IFERROR(INDEX(Expenses!B$3:B$999,SMALL(IF((Expenses!E$3:E$999="GBP")*(Expenses!A$3:A$999=DATE(2026,11,27)),ROW(Expenses!A$3:A$999)-2),1)),""),IF(IFERROR(INDEX(Income!B$3:B$502,SMALL(IF((Income!D$3:D$502="GBP")*(Income!A$3:A$502=DATE(2026,11,27)),ROW(Income!A$3:A$502)-2),1)),"")&lt;&gt;"",IFERROR(INDEX(Income!B$3:B$502,SMALL(IF((Income!D$3:D$502="GBP")*(Income!A$3:A$502=DATE(2026,11,27)),ROW(Income!A$3:A$502)-2),1)),""),""))</f>
        <v/>
      </c>
      <c r="M239" s="152">
        <f t="array" ref="M239">IF(IFERROR(-INDEX(Expenses!D$3:D$999,SMALL(IF((Expenses!E$3:E$999="GBP")*(Expenses!A$3:A$999=DATE(2026,11,28)),ROW(Expenses!A$3:A$999)-2),1)),0)+IFERROR(INDEX(Income!C$3:C$502,SMALL(IF((Income!D$3:D$502="GBP")*(Income!A$3:A$502=DATE(2026,11,28)),ROW(Income!A$3:A$502)-2),1)),0)=0,"",IFERROR(-INDEX(Expenses!D$3:D$999,SMALL(IF((Expenses!E$3:E$999="GBP")*(Expenses!A$3:A$999=DATE(2026,11,28)),ROW(Expenses!A$3:A$999)-2),1)),0)+IFERROR(INDEX(Income!C$3:C$502,SMALL(IF((Income!D$3:D$502="GBP")*(Income!A$3:A$502=DATE(2026,11,28)),ROW(Income!A$3:A$502)-2),1)),0))</f>
        <v/>
      </c>
      <c r="N239" s="126">
        <f t="array" ref="N239">IF(IFERROR(INDEX(Expenses!B$3:B$999,SMALL(IF((Expenses!E$3:E$999="GBP")*(Expenses!A$3:A$999=DATE(2026,11,28)),ROW(Expenses!A$3:A$999)-2),1)),"")&lt;&gt;"",IFERROR(INDEX(Expenses!B$3:B$999,SMALL(IF((Expenses!E$3:E$999="GBP")*(Expenses!A$3:A$999=DATE(2026,11,28)),ROW(Expenses!A$3:A$999)-2),1)),""),IF(IFERROR(INDEX(Income!B$3:B$502,SMALL(IF((Income!D$3:D$502="GBP")*(Income!A$3:A$502=DATE(2026,11,28)),ROW(Income!A$3:A$502)-2),1)),"")&lt;&gt;"",IFERROR(INDEX(Income!B$3:B$502,SMALL(IF((Income!D$3:D$502="GBP")*(Income!A$3:A$502=DATE(2026,11,28)),ROW(Income!A$3:A$502)-2),1)),""),""))</f>
        <v/>
      </c>
      <c r="O239" s="152">
        <f t="array" ref="O239">IF(IFERROR(-INDEX(Expenses!D$3:D$999,SMALL(IF((Expenses!E$3:E$999="GBP")*(Expenses!A$3:A$999=DATE(2026,11,29)),ROW(Expenses!A$3:A$999)-2),1)),0)+IFERROR(INDEX(Income!C$3:C$502,SMALL(IF((Income!D$3:D$502="GBP")*(Income!A$3:A$502=DATE(2026,11,29)),ROW(Income!A$3:A$502)-2),1)),0)=0,"",IFERROR(-INDEX(Expenses!D$3:D$999,SMALL(IF((Expenses!E$3:E$999="GBP")*(Expenses!A$3:A$999=DATE(2026,11,29)),ROW(Expenses!A$3:A$999)-2),1)),0)+IFERROR(INDEX(Income!C$3:C$502,SMALL(IF((Income!D$3:D$502="GBP")*(Income!A$3:A$502=DATE(2026,11,29)),ROW(Income!A$3:A$502)-2),1)),0))</f>
        <v/>
      </c>
      <c r="P239" s="126">
        <f t="array" ref="P239">IF(IFERROR(INDEX(Expenses!B$3:B$999,SMALL(IF((Expenses!E$3:E$999="GBP")*(Expenses!A$3:A$999=DATE(2026,11,29)),ROW(Expenses!A$3:A$999)-2),1)),"")&lt;&gt;"",IFERROR(INDEX(Expenses!B$3:B$999,SMALL(IF((Expenses!E$3:E$999="GBP")*(Expenses!A$3:A$999=DATE(2026,11,29)),ROW(Expenses!A$3:A$999)-2),1)),""),IF(IFERROR(INDEX(Income!B$3:B$502,SMALL(IF((Income!D$3:D$502="GBP")*(Income!A$3:A$502=DATE(2026,11,29)),ROW(Income!A$3:A$502)-2),1)),"")&lt;&gt;"",IFERROR(INDEX(Income!B$3:B$502,SMALL(IF((Income!D$3:D$502="GBP")*(Income!A$3:A$502=DATE(2026,11,29)),ROW(Income!A$3:A$502)-2),1)),""),""))</f>
        <v/>
      </c>
      <c r="Q239" s="103" t="n">
        <v>48</v>
      </c>
      <c r="R239" s="134">
        <f>SUM(C239:C243)+SUM(E239:E243)+SUM(G239:G243)+SUM(I239:I243)+SUM(K239:K243)+SUM(M239:M243)+SUM(O239:O243)</f>
        <v/>
      </c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68">
      <c r="A240" s="9" t="n"/>
      <c r="B240" s="9" t="n"/>
      <c r="C240" s="152">
        <f t="array" ref="C240">IF(IFERROR(-INDEX(Expenses!D$3:D$999,SMALL(IF((Expenses!E$3:E$999="GBP")*(Expenses!A$3:A$999=DATE(2026,11,23)),ROW(Expenses!A$3:A$999)-2),2)),0)+IFERROR(INDEX(Income!C$3:C$502,SMALL(IF((Income!D$3:D$502="GBP")*(Income!A$3:A$502=DATE(2026,11,23)),ROW(Income!A$3:A$502)-2),2)),0)=0,"",IFERROR(-INDEX(Expenses!D$3:D$999,SMALL(IF((Expenses!E$3:E$999="GBP")*(Expenses!A$3:A$999=DATE(2026,11,23)),ROW(Expenses!A$3:A$999)-2),2)),0)+IFERROR(INDEX(Income!C$3:C$502,SMALL(IF((Income!D$3:D$502="GBP")*(Income!A$3:A$502=DATE(2026,11,23)),ROW(Income!A$3:A$502)-2),2)),0))</f>
        <v/>
      </c>
      <c r="D240" s="126">
        <f t="array" ref="D240">IF(IFERROR(INDEX(Expenses!B$3:B$999,SMALL(IF((Expenses!E$3:E$999="GBP")*(Expenses!A$3:A$999=DATE(2026,11,23)),ROW(Expenses!A$3:A$999)-2),2)),"")&lt;&gt;"",IFERROR(INDEX(Expenses!B$3:B$999,SMALL(IF((Expenses!E$3:E$999="GBP")*(Expenses!A$3:A$999=DATE(2026,11,23)),ROW(Expenses!A$3:A$999)-2),2)),""),IF(IFERROR(INDEX(Income!B$3:B$502,SMALL(IF((Income!D$3:D$502="GBP")*(Income!A$3:A$502=DATE(2026,11,23)),ROW(Income!A$3:A$502)-2),2)),"")&lt;&gt;"",IFERROR(INDEX(Income!B$3:B$502,SMALL(IF((Income!D$3:D$502="GBP")*(Income!A$3:A$502=DATE(2026,11,23)),ROW(Income!A$3:A$502)-2),2)),""),""))</f>
        <v/>
      </c>
      <c r="E240" s="152">
        <f t="array" ref="E240">IF(IFERROR(-INDEX(Expenses!D$3:D$999,SMALL(IF((Expenses!E$3:E$999="GBP")*(Expenses!A$3:A$999=DATE(2026,11,24)),ROW(Expenses!A$3:A$999)-2),2)),0)+IFERROR(INDEX(Income!C$3:C$502,SMALL(IF((Income!D$3:D$502="GBP")*(Income!A$3:A$502=DATE(2026,11,24)),ROW(Income!A$3:A$502)-2),2)),0)=0,"",IFERROR(-INDEX(Expenses!D$3:D$999,SMALL(IF((Expenses!E$3:E$999="GBP")*(Expenses!A$3:A$999=DATE(2026,11,24)),ROW(Expenses!A$3:A$999)-2),2)),0)+IFERROR(INDEX(Income!C$3:C$502,SMALL(IF((Income!D$3:D$502="GBP")*(Income!A$3:A$502=DATE(2026,11,24)),ROW(Income!A$3:A$502)-2),2)),0))</f>
        <v/>
      </c>
      <c r="F240" s="126">
        <f t="array" ref="F240">IF(IFERROR(INDEX(Expenses!B$3:B$999,SMALL(IF((Expenses!E$3:E$999="GBP")*(Expenses!A$3:A$999=DATE(2026,11,24)),ROW(Expenses!A$3:A$999)-2),2)),"")&lt;&gt;"",IFERROR(INDEX(Expenses!B$3:B$999,SMALL(IF((Expenses!E$3:E$999="GBP")*(Expenses!A$3:A$999=DATE(2026,11,24)),ROW(Expenses!A$3:A$999)-2),2)),""),IF(IFERROR(INDEX(Income!B$3:B$502,SMALL(IF((Income!D$3:D$502="GBP")*(Income!A$3:A$502=DATE(2026,11,24)),ROW(Income!A$3:A$502)-2),2)),"")&lt;&gt;"",IFERROR(INDEX(Income!B$3:B$502,SMALL(IF((Income!D$3:D$502="GBP")*(Income!A$3:A$502=DATE(2026,11,24)),ROW(Income!A$3:A$502)-2),2)),""),""))</f>
        <v/>
      </c>
      <c r="G240" s="152">
        <f t="array" ref="G240">IF(IFERROR(-INDEX(Expenses!D$3:D$999,SMALL(IF((Expenses!E$3:E$999="GBP")*(Expenses!A$3:A$999=DATE(2026,11,25)),ROW(Expenses!A$3:A$999)-2),2)),0)+IFERROR(INDEX(Income!C$3:C$502,SMALL(IF((Income!D$3:D$502="GBP")*(Income!A$3:A$502=DATE(2026,11,25)),ROW(Income!A$3:A$502)-2),2)),0)=0,"",IFERROR(-INDEX(Expenses!D$3:D$999,SMALL(IF((Expenses!E$3:E$999="GBP")*(Expenses!A$3:A$999=DATE(2026,11,25)),ROW(Expenses!A$3:A$999)-2),2)),0)+IFERROR(INDEX(Income!C$3:C$502,SMALL(IF((Income!D$3:D$502="GBP")*(Income!A$3:A$502=DATE(2026,11,25)),ROW(Income!A$3:A$502)-2),2)),0))</f>
        <v/>
      </c>
      <c r="H240" s="126">
        <f t="array" ref="H240">IF(IFERROR(INDEX(Expenses!B$3:B$999,SMALL(IF((Expenses!E$3:E$999="GBP")*(Expenses!A$3:A$999=DATE(2026,11,25)),ROW(Expenses!A$3:A$999)-2),2)),"")&lt;&gt;"",IFERROR(INDEX(Expenses!B$3:B$999,SMALL(IF((Expenses!E$3:E$999="GBP")*(Expenses!A$3:A$999=DATE(2026,11,25)),ROW(Expenses!A$3:A$999)-2),2)),""),IF(IFERROR(INDEX(Income!B$3:B$502,SMALL(IF((Income!D$3:D$502="GBP")*(Income!A$3:A$502=DATE(2026,11,25)),ROW(Income!A$3:A$502)-2),2)),"")&lt;&gt;"",IFERROR(INDEX(Income!B$3:B$502,SMALL(IF((Income!D$3:D$502="GBP")*(Income!A$3:A$502=DATE(2026,11,25)),ROW(Income!A$3:A$502)-2),2)),""),""))</f>
        <v/>
      </c>
      <c r="I240" s="152">
        <f t="array" ref="I240">IF(IFERROR(-INDEX(Expenses!D$3:D$999,SMALL(IF((Expenses!E$3:E$999="GBP")*(Expenses!A$3:A$999=DATE(2026,11,26)),ROW(Expenses!A$3:A$999)-2),2)),0)+IFERROR(INDEX(Income!C$3:C$502,SMALL(IF((Income!D$3:D$502="GBP")*(Income!A$3:A$502=DATE(2026,11,26)),ROW(Income!A$3:A$502)-2),2)),0)=0,"",IFERROR(-INDEX(Expenses!D$3:D$999,SMALL(IF((Expenses!E$3:E$999="GBP")*(Expenses!A$3:A$999=DATE(2026,11,26)),ROW(Expenses!A$3:A$999)-2),2)),0)+IFERROR(INDEX(Income!C$3:C$502,SMALL(IF((Income!D$3:D$502="GBP")*(Income!A$3:A$502=DATE(2026,11,26)),ROW(Income!A$3:A$502)-2),2)),0))</f>
        <v/>
      </c>
      <c r="J240" s="126">
        <f t="array" ref="J240">IF(IFERROR(INDEX(Expenses!B$3:B$999,SMALL(IF((Expenses!E$3:E$999="GBP")*(Expenses!A$3:A$999=DATE(2026,11,26)),ROW(Expenses!A$3:A$999)-2),2)),"")&lt;&gt;"",IFERROR(INDEX(Expenses!B$3:B$999,SMALL(IF((Expenses!E$3:E$999="GBP")*(Expenses!A$3:A$999=DATE(2026,11,26)),ROW(Expenses!A$3:A$999)-2),2)),""),IF(IFERROR(INDEX(Income!B$3:B$502,SMALL(IF((Income!D$3:D$502="GBP")*(Income!A$3:A$502=DATE(2026,11,26)),ROW(Income!A$3:A$502)-2),2)),"")&lt;&gt;"",IFERROR(INDEX(Income!B$3:B$502,SMALL(IF((Income!D$3:D$502="GBP")*(Income!A$3:A$502=DATE(2026,11,26)),ROW(Income!A$3:A$502)-2),2)),""),""))</f>
        <v/>
      </c>
      <c r="K240" s="152">
        <f t="array" ref="K240">IF(IFERROR(-INDEX(Expenses!D$3:D$999,SMALL(IF((Expenses!E$3:E$999="GBP")*(Expenses!A$3:A$999=DATE(2026,11,27)),ROW(Expenses!A$3:A$999)-2),2)),0)+IFERROR(INDEX(Income!C$3:C$502,SMALL(IF((Income!D$3:D$502="GBP")*(Income!A$3:A$502=DATE(2026,11,27)),ROW(Income!A$3:A$502)-2),2)),0)=0,"",IFERROR(-INDEX(Expenses!D$3:D$999,SMALL(IF((Expenses!E$3:E$999="GBP")*(Expenses!A$3:A$999=DATE(2026,11,27)),ROW(Expenses!A$3:A$999)-2),2)),0)+IFERROR(INDEX(Income!C$3:C$502,SMALL(IF((Income!D$3:D$502="GBP")*(Income!A$3:A$502=DATE(2026,11,27)),ROW(Income!A$3:A$502)-2),2)),0))</f>
        <v/>
      </c>
      <c r="L240" s="126">
        <f t="array" ref="L240">IF(IFERROR(INDEX(Expenses!B$3:B$999,SMALL(IF((Expenses!E$3:E$999="GBP")*(Expenses!A$3:A$999=DATE(2026,11,27)),ROW(Expenses!A$3:A$999)-2),2)),"")&lt;&gt;"",IFERROR(INDEX(Expenses!B$3:B$999,SMALL(IF((Expenses!E$3:E$999="GBP")*(Expenses!A$3:A$999=DATE(2026,11,27)),ROW(Expenses!A$3:A$999)-2),2)),""),IF(IFERROR(INDEX(Income!B$3:B$502,SMALL(IF((Income!D$3:D$502="GBP")*(Income!A$3:A$502=DATE(2026,11,27)),ROW(Income!A$3:A$502)-2),2)),"")&lt;&gt;"",IFERROR(INDEX(Income!B$3:B$502,SMALL(IF((Income!D$3:D$502="GBP")*(Income!A$3:A$502=DATE(2026,11,27)),ROW(Income!A$3:A$502)-2),2)),""),""))</f>
        <v/>
      </c>
      <c r="M240" s="152">
        <f t="array" ref="M240">IF(IFERROR(-INDEX(Expenses!D$3:D$999,SMALL(IF((Expenses!E$3:E$999="GBP")*(Expenses!A$3:A$999=DATE(2026,11,28)),ROW(Expenses!A$3:A$999)-2),2)),0)+IFERROR(INDEX(Income!C$3:C$502,SMALL(IF((Income!D$3:D$502="GBP")*(Income!A$3:A$502=DATE(2026,11,28)),ROW(Income!A$3:A$502)-2),2)),0)=0,"",IFERROR(-INDEX(Expenses!D$3:D$999,SMALL(IF((Expenses!E$3:E$999="GBP")*(Expenses!A$3:A$999=DATE(2026,11,28)),ROW(Expenses!A$3:A$999)-2),2)),0)+IFERROR(INDEX(Income!C$3:C$502,SMALL(IF((Income!D$3:D$502="GBP")*(Income!A$3:A$502=DATE(2026,11,28)),ROW(Income!A$3:A$502)-2),2)),0))</f>
        <v/>
      </c>
      <c r="N240" s="126">
        <f t="array" ref="N240">IF(IFERROR(INDEX(Expenses!B$3:B$999,SMALL(IF((Expenses!E$3:E$999="GBP")*(Expenses!A$3:A$999=DATE(2026,11,28)),ROW(Expenses!A$3:A$999)-2),2)),"")&lt;&gt;"",IFERROR(INDEX(Expenses!B$3:B$999,SMALL(IF((Expenses!E$3:E$999="GBP")*(Expenses!A$3:A$999=DATE(2026,11,28)),ROW(Expenses!A$3:A$999)-2),2)),""),IF(IFERROR(INDEX(Income!B$3:B$502,SMALL(IF((Income!D$3:D$502="GBP")*(Income!A$3:A$502=DATE(2026,11,28)),ROW(Income!A$3:A$502)-2),2)),"")&lt;&gt;"",IFERROR(INDEX(Income!B$3:B$502,SMALL(IF((Income!D$3:D$502="GBP")*(Income!A$3:A$502=DATE(2026,11,28)),ROW(Income!A$3:A$502)-2),2)),""),""))</f>
        <v/>
      </c>
      <c r="O240" s="152">
        <f t="array" ref="O240">IF(IFERROR(-INDEX(Expenses!D$3:D$999,SMALL(IF((Expenses!E$3:E$999="GBP")*(Expenses!A$3:A$999=DATE(2026,11,29)),ROW(Expenses!A$3:A$999)-2),2)),0)+IFERROR(INDEX(Income!C$3:C$502,SMALL(IF((Income!D$3:D$502="GBP")*(Income!A$3:A$502=DATE(2026,11,29)),ROW(Income!A$3:A$502)-2),2)),0)=0,"",IFERROR(-INDEX(Expenses!D$3:D$999,SMALL(IF((Expenses!E$3:E$999="GBP")*(Expenses!A$3:A$999=DATE(2026,11,29)),ROW(Expenses!A$3:A$999)-2),2)),0)+IFERROR(INDEX(Income!C$3:C$502,SMALL(IF((Income!D$3:D$502="GBP")*(Income!A$3:A$502=DATE(2026,11,29)),ROW(Income!A$3:A$502)-2),2)),0))</f>
        <v/>
      </c>
      <c r="P240" s="126">
        <f t="array" ref="P240">IF(IFERROR(INDEX(Expenses!B$3:B$999,SMALL(IF((Expenses!E$3:E$999="GBP")*(Expenses!A$3:A$999=DATE(2026,11,29)),ROW(Expenses!A$3:A$999)-2),2)),"")&lt;&gt;"",IFERROR(INDEX(Expenses!B$3:B$999,SMALL(IF((Expenses!E$3:E$999="GBP")*(Expenses!A$3:A$999=DATE(2026,11,29)),ROW(Expenses!A$3:A$999)-2),2)),""),IF(IFERROR(INDEX(Income!B$3:B$502,SMALL(IF((Income!D$3:D$502="GBP")*(Income!A$3:A$502=DATE(2026,11,29)),ROW(Income!A$3:A$502)-2),2)),"")&lt;&gt;"",IFERROR(INDEX(Income!B$3:B$502,SMALL(IF((Income!D$3:D$502="GBP")*(Income!A$3:A$502=DATE(2026,11,29)),ROW(Income!A$3:A$502)-2),2)),""),""))</f>
        <v/>
      </c>
      <c r="Q240" s="9" t="n"/>
      <c r="R240" s="9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68">
      <c r="A241" s="9" t="n"/>
      <c r="B241" s="9" t="n"/>
      <c r="C241" s="152">
        <f t="array" ref="C241">IF(IFERROR(-INDEX(Expenses!D$3:D$999,SMALL(IF((Expenses!E$3:E$999="GBP")*(Expenses!A$3:A$999=DATE(2026,11,23)),ROW(Expenses!A$3:A$999)-2),3)),0)+IFERROR(INDEX(Income!C$3:C$502,SMALL(IF((Income!D$3:D$502="GBP")*(Income!A$3:A$502=DATE(2026,11,23)),ROW(Income!A$3:A$502)-2),3)),0)=0,"",IFERROR(-INDEX(Expenses!D$3:D$999,SMALL(IF((Expenses!E$3:E$999="GBP")*(Expenses!A$3:A$999=DATE(2026,11,23)),ROW(Expenses!A$3:A$999)-2),3)),0)+IFERROR(INDEX(Income!C$3:C$502,SMALL(IF((Income!D$3:D$502="GBP")*(Income!A$3:A$502=DATE(2026,11,23)),ROW(Income!A$3:A$502)-2),3)),0))</f>
        <v/>
      </c>
      <c r="D241" s="126">
        <f t="array" ref="D241">IF(IFERROR(INDEX(Expenses!B$3:B$999,SMALL(IF((Expenses!E$3:E$999="GBP")*(Expenses!A$3:A$999=DATE(2026,11,23)),ROW(Expenses!A$3:A$999)-2),3)),"")&lt;&gt;"",IFERROR(INDEX(Expenses!B$3:B$999,SMALL(IF((Expenses!E$3:E$999="GBP")*(Expenses!A$3:A$999=DATE(2026,11,23)),ROW(Expenses!A$3:A$999)-2),3)),""),IF(IFERROR(INDEX(Income!B$3:B$502,SMALL(IF((Income!D$3:D$502="GBP")*(Income!A$3:A$502=DATE(2026,11,23)),ROW(Income!A$3:A$502)-2),3)),"")&lt;&gt;"",IFERROR(INDEX(Income!B$3:B$502,SMALL(IF((Income!D$3:D$502="GBP")*(Income!A$3:A$502=DATE(2026,11,23)),ROW(Income!A$3:A$502)-2),3)),""),""))</f>
        <v/>
      </c>
      <c r="E241" s="152">
        <f t="array" ref="E241">IF(IFERROR(-INDEX(Expenses!D$3:D$999,SMALL(IF((Expenses!E$3:E$999="GBP")*(Expenses!A$3:A$999=DATE(2026,11,24)),ROW(Expenses!A$3:A$999)-2),3)),0)+IFERROR(INDEX(Income!C$3:C$502,SMALL(IF((Income!D$3:D$502="GBP")*(Income!A$3:A$502=DATE(2026,11,24)),ROW(Income!A$3:A$502)-2),3)),0)=0,"",IFERROR(-INDEX(Expenses!D$3:D$999,SMALL(IF((Expenses!E$3:E$999="GBP")*(Expenses!A$3:A$999=DATE(2026,11,24)),ROW(Expenses!A$3:A$999)-2),3)),0)+IFERROR(INDEX(Income!C$3:C$502,SMALL(IF((Income!D$3:D$502="GBP")*(Income!A$3:A$502=DATE(2026,11,24)),ROW(Income!A$3:A$502)-2),3)),0))</f>
        <v/>
      </c>
      <c r="F241" s="126">
        <f t="array" ref="F241">IF(IFERROR(INDEX(Expenses!B$3:B$999,SMALL(IF((Expenses!E$3:E$999="GBP")*(Expenses!A$3:A$999=DATE(2026,11,24)),ROW(Expenses!A$3:A$999)-2),3)),"")&lt;&gt;"",IFERROR(INDEX(Expenses!B$3:B$999,SMALL(IF((Expenses!E$3:E$999="GBP")*(Expenses!A$3:A$999=DATE(2026,11,24)),ROW(Expenses!A$3:A$999)-2),3)),""),IF(IFERROR(INDEX(Income!B$3:B$502,SMALL(IF((Income!D$3:D$502="GBP")*(Income!A$3:A$502=DATE(2026,11,24)),ROW(Income!A$3:A$502)-2),3)),"")&lt;&gt;"",IFERROR(INDEX(Income!B$3:B$502,SMALL(IF((Income!D$3:D$502="GBP")*(Income!A$3:A$502=DATE(2026,11,24)),ROW(Income!A$3:A$502)-2),3)),""),""))</f>
        <v/>
      </c>
      <c r="G241" s="152">
        <f t="array" ref="G241">IF(IFERROR(-INDEX(Expenses!D$3:D$999,SMALL(IF((Expenses!E$3:E$999="GBP")*(Expenses!A$3:A$999=DATE(2026,11,25)),ROW(Expenses!A$3:A$999)-2),3)),0)+IFERROR(INDEX(Income!C$3:C$502,SMALL(IF((Income!D$3:D$502="GBP")*(Income!A$3:A$502=DATE(2026,11,25)),ROW(Income!A$3:A$502)-2),3)),0)=0,"",IFERROR(-INDEX(Expenses!D$3:D$999,SMALL(IF((Expenses!E$3:E$999="GBP")*(Expenses!A$3:A$999=DATE(2026,11,25)),ROW(Expenses!A$3:A$999)-2),3)),0)+IFERROR(INDEX(Income!C$3:C$502,SMALL(IF((Income!D$3:D$502="GBP")*(Income!A$3:A$502=DATE(2026,11,25)),ROW(Income!A$3:A$502)-2),3)),0))</f>
        <v/>
      </c>
      <c r="H241" s="126">
        <f t="array" ref="H241">IF(IFERROR(INDEX(Expenses!B$3:B$999,SMALL(IF((Expenses!E$3:E$999="GBP")*(Expenses!A$3:A$999=DATE(2026,11,25)),ROW(Expenses!A$3:A$999)-2),3)),"")&lt;&gt;"",IFERROR(INDEX(Expenses!B$3:B$999,SMALL(IF((Expenses!E$3:E$999="GBP")*(Expenses!A$3:A$999=DATE(2026,11,25)),ROW(Expenses!A$3:A$999)-2),3)),""),IF(IFERROR(INDEX(Income!B$3:B$502,SMALL(IF((Income!D$3:D$502="GBP")*(Income!A$3:A$502=DATE(2026,11,25)),ROW(Income!A$3:A$502)-2),3)),"")&lt;&gt;"",IFERROR(INDEX(Income!B$3:B$502,SMALL(IF((Income!D$3:D$502="GBP")*(Income!A$3:A$502=DATE(2026,11,25)),ROW(Income!A$3:A$502)-2),3)),""),""))</f>
        <v/>
      </c>
      <c r="I241" s="152">
        <f t="array" ref="I241">IF(IFERROR(-INDEX(Expenses!D$3:D$999,SMALL(IF((Expenses!E$3:E$999="GBP")*(Expenses!A$3:A$999=DATE(2026,11,26)),ROW(Expenses!A$3:A$999)-2),3)),0)+IFERROR(INDEX(Income!C$3:C$502,SMALL(IF((Income!D$3:D$502="GBP")*(Income!A$3:A$502=DATE(2026,11,26)),ROW(Income!A$3:A$502)-2),3)),0)=0,"",IFERROR(-INDEX(Expenses!D$3:D$999,SMALL(IF((Expenses!E$3:E$999="GBP")*(Expenses!A$3:A$999=DATE(2026,11,26)),ROW(Expenses!A$3:A$999)-2),3)),0)+IFERROR(INDEX(Income!C$3:C$502,SMALL(IF((Income!D$3:D$502="GBP")*(Income!A$3:A$502=DATE(2026,11,26)),ROW(Income!A$3:A$502)-2),3)),0))</f>
        <v/>
      </c>
      <c r="J241" s="126">
        <f t="array" ref="J241">IF(IFERROR(INDEX(Expenses!B$3:B$999,SMALL(IF((Expenses!E$3:E$999="GBP")*(Expenses!A$3:A$999=DATE(2026,11,26)),ROW(Expenses!A$3:A$999)-2),3)),"")&lt;&gt;"",IFERROR(INDEX(Expenses!B$3:B$999,SMALL(IF((Expenses!E$3:E$999="GBP")*(Expenses!A$3:A$999=DATE(2026,11,26)),ROW(Expenses!A$3:A$999)-2),3)),""),IF(IFERROR(INDEX(Income!B$3:B$502,SMALL(IF((Income!D$3:D$502="GBP")*(Income!A$3:A$502=DATE(2026,11,26)),ROW(Income!A$3:A$502)-2),3)),"")&lt;&gt;"",IFERROR(INDEX(Income!B$3:B$502,SMALL(IF((Income!D$3:D$502="GBP")*(Income!A$3:A$502=DATE(2026,11,26)),ROW(Income!A$3:A$502)-2),3)),""),""))</f>
        <v/>
      </c>
      <c r="K241" s="152">
        <f t="array" ref="K241">IF(IFERROR(-INDEX(Expenses!D$3:D$999,SMALL(IF((Expenses!E$3:E$999="GBP")*(Expenses!A$3:A$999=DATE(2026,11,27)),ROW(Expenses!A$3:A$999)-2),3)),0)+IFERROR(INDEX(Income!C$3:C$502,SMALL(IF((Income!D$3:D$502="GBP")*(Income!A$3:A$502=DATE(2026,11,27)),ROW(Income!A$3:A$502)-2),3)),0)=0,"",IFERROR(-INDEX(Expenses!D$3:D$999,SMALL(IF((Expenses!E$3:E$999="GBP")*(Expenses!A$3:A$999=DATE(2026,11,27)),ROW(Expenses!A$3:A$999)-2),3)),0)+IFERROR(INDEX(Income!C$3:C$502,SMALL(IF((Income!D$3:D$502="GBP")*(Income!A$3:A$502=DATE(2026,11,27)),ROW(Income!A$3:A$502)-2),3)),0))</f>
        <v/>
      </c>
      <c r="L241" s="126">
        <f t="array" ref="L241">IF(IFERROR(INDEX(Expenses!B$3:B$999,SMALL(IF((Expenses!E$3:E$999="GBP")*(Expenses!A$3:A$999=DATE(2026,11,27)),ROW(Expenses!A$3:A$999)-2),3)),"")&lt;&gt;"",IFERROR(INDEX(Expenses!B$3:B$999,SMALL(IF((Expenses!E$3:E$999="GBP")*(Expenses!A$3:A$999=DATE(2026,11,27)),ROW(Expenses!A$3:A$999)-2),3)),""),IF(IFERROR(INDEX(Income!B$3:B$502,SMALL(IF((Income!D$3:D$502="GBP")*(Income!A$3:A$502=DATE(2026,11,27)),ROW(Income!A$3:A$502)-2),3)),"")&lt;&gt;"",IFERROR(INDEX(Income!B$3:B$502,SMALL(IF((Income!D$3:D$502="GBP")*(Income!A$3:A$502=DATE(2026,11,27)),ROW(Income!A$3:A$502)-2),3)),""),""))</f>
        <v/>
      </c>
      <c r="M241" s="152">
        <f t="array" ref="M241">IF(IFERROR(-INDEX(Expenses!D$3:D$999,SMALL(IF((Expenses!E$3:E$999="GBP")*(Expenses!A$3:A$999=DATE(2026,11,28)),ROW(Expenses!A$3:A$999)-2),3)),0)+IFERROR(INDEX(Income!C$3:C$502,SMALL(IF((Income!D$3:D$502="GBP")*(Income!A$3:A$502=DATE(2026,11,28)),ROW(Income!A$3:A$502)-2),3)),0)=0,"",IFERROR(-INDEX(Expenses!D$3:D$999,SMALL(IF((Expenses!E$3:E$999="GBP")*(Expenses!A$3:A$999=DATE(2026,11,28)),ROW(Expenses!A$3:A$999)-2),3)),0)+IFERROR(INDEX(Income!C$3:C$502,SMALL(IF((Income!D$3:D$502="GBP")*(Income!A$3:A$502=DATE(2026,11,28)),ROW(Income!A$3:A$502)-2),3)),0))</f>
        <v/>
      </c>
      <c r="N241" s="126">
        <f t="array" ref="N241">IF(IFERROR(INDEX(Expenses!B$3:B$999,SMALL(IF((Expenses!E$3:E$999="GBP")*(Expenses!A$3:A$999=DATE(2026,11,28)),ROW(Expenses!A$3:A$999)-2),3)),"")&lt;&gt;"",IFERROR(INDEX(Expenses!B$3:B$999,SMALL(IF((Expenses!E$3:E$999="GBP")*(Expenses!A$3:A$999=DATE(2026,11,28)),ROW(Expenses!A$3:A$999)-2),3)),""),IF(IFERROR(INDEX(Income!B$3:B$502,SMALL(IF((Income!D$3:D$502="GBP")*(Income!A$3:A$502=DATE(2026,11,28)),ROW(Income!A$3:A$502)-2),3)),"")&lt;&gt;"",IFERROR(INDEX(Income!B$3:B$502,SMALL(IF((Income!D$3:D$502="GBP")*(Income!A$3:A$502=DATE(2026,11,28)),ROW(Income!A$3:A$502)-2),3)),""),""))</f>
        <v/>
      </c>
      <c r="O241" s="152">
        <f t="array" ref="O241">IF(IFERROR(-INDEX(Expenses!D$3:D$999,SMALL(IF((Expenses!E$3:E$999="GBP")*(Expenses!A$3:A$999=DATE(2026,11,29)),ROW(Expenses!A$3:A$999)-2),3)),0)+IFERROR(INDEX(Income!C$3:C$502,SMALL(IF((Income!D$3:D$502="GBP")*(Income!A$3:A$502=DATE(2026,11,29)),ROW(Income!A$3:A$502)-2),3)),0)=0,"",IFERROR(-INDEX(Expenses!D$3:D$999,SMALL(IF((Expenses!E$3:E$999="GBP")*(Expenses!A$3:A$999=DATE(2026,11,29)),ROW(Expenses!A$3:A$999)-2),3)),0)+IFERROR(INDEX(Income!C$3:C$502,SMALL(IF((Income!D$3:D$502="GBP")*(Income!A$3:A$502=DATE(2026,11,29)),ROW(Income!A$3:A$502)-2),3)),0))</f>
        <v/>
      </c>
      <c r="P241" s="126">
        <f t="array" ref="P241">IF(IFERROR(INDEX(Expenses!B$3:B$999,SMALL(IF((Expenses!E$3:E$999="GBP")*(Expenses!A$3:A$999=DATE(2026,11,29)),ROW(Expenses!A$3:A$999)-2),3)),"")&lt;&gt;"",IFERROR(INDEX(Expenses!B$3:B$999,SMALL(IF((Expenses!E$3:E$999="GBP")*(Expenses!A$3:A$999=DATE(2026,11,29)),ROW(Expenses!A$3:A$999)-2),3)),""),IF(IFERROR(INDEX(Income!B$3:B$502,SMALL(IF((Income!D$3:D$502="GBP")*(Income!A$3:A$502=DATE(2026,11,29)),ROW(Income!A$3:A$502)-2),3)),"")&lt;&gt;"",IFERROR(INDEX(Income!B$3:B$502,SMALL(IF((Income!D$3:D$502="GBP")*(Income!A$3:A$502=DATE(2026,11,29)),ROW(Income!A$3:A$502)-2),3)),""),""))</f>
        <v/>
      </c>
      <c r="Q241" s="9" t="n"/>
      <c r="R241" s="9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68">
      <c r="A242" s="9" t="n"/>
      <c r="B242" s="9" t="n"/>
      <c r="C242" s="152">
        <f t="array" ref="C242">IF(IFERROR(-INDEX(Expenses!D$3:D$999,SMALL(IF((Expenses!E$3:E$999="GBP")*(Expenses!A$3:A$999=DATE(2026,11,23)),ROW(Expenses!A$3:A$999)-2),4)),0)+IFERROR(INDEX(Income!C$3:C$502,SMALL(IF((Income!D$3:D$502="GBP")*(Income!A$3:A$502=DATE(2026,11,23)),ROW(Income!A$3:A$502)-2),4)),0)=0,"",IFERROR(-INDEX(Expenses!D$3:D$999,SMALL(IF((Expenses!E$3:E$999="GBP")*(Expenses!A$3:A$999=DATE(2026,11,23)),ROW(Expenses!A$3:A$999)-2),4)),0)+IFERROR(INDEX(Income!C$3:C$502,SMALL(IF((Income!D$3:D$502="GBP")*(Income!A$3:A$502=DATE(2026,11,23)),ROW(Income!A$3:A$502)-2),4)),0))</f>
        <v/>
      </c>
      <c r="D242" s="126">
        <f t="array" ref="D242">IF(IFERROR(INDEX(Expenses!B$3:B$999,SMALL(IF((Expenses!E$3:E$999="GBP")*(Expenses!A$3:A$999=DATE(2026,11,23)),ROW(Expenses!A$3:A$999)-2),4)),"")&lt;&gt;"",IFERROR(INDEX(Expenses!B$3:B$999,SMALL(IF((Expenses!E$3:E$999="GBP")*(Expenses!A$3:A$999=DATE(2026,11,23)),ROW(Expenses!A$3:A$999)-2),4)),""),IF(IFERROR(INDEX(Income!B$3:B$502,SMALL(IF((Income!D$3:D$502="GBP")*(Income!A$3:A$502=DATE(2026,11,23)),ROW(Income!A$3:A$502)-2),4)),"")&lt;&gt;"",IFERROR(INDEX(Income!B$3:B$502,SMALL(IF((Income!D$3:D$502="GBP")*(Income!A$3:A$502=DATE(2026,11,23)),ROW(Income!A$3:A$502)-2),4)),""),""))</f>
        <v/>
      </c>
      <c r="E242" s="152">
        <f t="array" ref="E242">IF(IFERROR(-INDEX(Expenses!D$3:D$999,SMALL(IF((Expenses!E$3:E$999="GBP")*(Expenses!A$3:A$999=DATE(2026,11,24)),ROW(Expenses!A$3:A$999)-2),4)),0)+IFERROR(INDEX(Income!C$3:C$502,SMALL(IF((Income!D$3:D$502="GBP")*(Income!A$3:A$502=DATE(2026,11,24)),ROW(Income!A$3:A$502)-2),4)),0)=0,"",IFERROR(-INDEX(Expenses!D$3:D$999,SMALL(IF((Expenses!E$3:E$999="GBP")*(Expenses!A$3:A$999=DATE(2026,11,24)),ROW(Expenses!A$3:A$999)-2),4)),0)+IFERROR(INDEX(Income!C$3:C$502,SMALL(IF((Income!D$3:D$502="GBP")*(Income!A$3:A$502=DATE(2026,11,24)),ROW(Income!A$3:A$502)-2),4)),0))</f>
        <v/>
      </c>
      <c r="F242" s="126">
        <f t="array" ref="F242">IF(IFERROR(INDEX(Expenses!B$3:B$999,SMALL(IF((Expenses!E$3:E$999="GBP")*(Expenses!A$3:A$999=DATE(2026,11,24)),ROW(Expenses!A$3:A$999)-2),4)),"")&lt;&gt;"",IFERROR(INDEX(Expenses!B$3:B$999,SMALL(IF((Expenses!E$3:E$999="GBP")*(Expenses!A$3:A$999=DATE(2026,11,24)),ROW(Expenses!A$3:A$999)-2),4)),""),IF(IFERROR(INDEX(Income!B$3:B$502,SMALL(IF((Income!D$3:D$502="GBP")*(Income!A$3:A$502=DATE(2026,11,24)),ROW(Income!A$3:A$502)-2),4)),"")&lt;&gt;"",IFERROR(INDEX(Income!B$3:B$502,SMALL(IF((Income!D$3:D$502="GBP")*(Income!A$3:A$502=DATE(2026,11,24)),ROW(Income!A$3:A$502)-2),4)),""),""))</f>
        <v/>
      </c>
      <c r="G242" s="152">
        <f t="array" ref="G242">IF(IFERROR(-INDEX(Expenses!D$3:D$999,SMALL(IF((Expenses!E$3:E$999="GBP")*(Expenses!A$3:A$999=DATE(2026,11,25)),ROW(Expenses!A$3:A$999)-2),4)),0)+IFERROR(INDEX(Income!C$3:C$502,SMALL(IF((Income!D$3:D$502="GBP")*(Income!A$3:A$502=DATE(2026,11,25)),ROW(Income!A$3:A$502)-2),4)),0)=0,"",IFERROR(-INDEX(Expenses!D$3:D$999,SMALL(IF((Expenses!E$3:E$999="GBP")*(Expenses!A$3:A$999=DATE(2026,11,25)),ROW(Expenses!A$3:A$999)-2),4)),0)+IFERROR(INDEX(Income!C$3:C$502,SMALL(IF((Income!D$3:D$502="GBP")*(Income!A$3:A$502=DATE(2026,11,25)),ROW(Income!A$3:A$502)-2),4)),0))</f>
        <v/>
      </c>
      <c r="H242" s="126">
        <f t="array" ref="H242">IF(IFERROR(INDEX(Expenses!B$3:B$999,SMALL(IF((Expenses!E$3:E$999="GBP")*(Expenses!A$3:A$999=DATE(2026,11,25)),ROW(Expenses!A$3:A$999)-2),4)),"")&lt;&gt;"",IFERROR(INDEX(Expenses!B$3:B$999,SMALL(IF((Expenses!E$3:E$999="GBP")*(Expenses!A$3:A$999=DATE(2026,11,25)),ROW(Expenses!A$3:A$999)-2),4)),""),IF(IFERROR(INDEX(Income!B$3:B$502,SMALL(IF((Income!D$3:D$502="GBP")*(Income!A$3:A$502=DATE(2026,11,25)),ROW(Income!A$3:A$502)-2),4)),"")&lt;&gt;"",IFERROR(INDEX(Income!B$3:B$502,SMALL(IF((Income!D$3:D$502="GBP")*(Income!A$3:A$502=DATE(2026,11,25)),ROW(Income!A$3:A$502)-2),4)),""),""))</f>
        <v/>
      </c>
      <c r="I242" s="152">
        <f t="array" ref="I242">IF(IFERROR(-INDEX(Expenses!D$3:D$999,SMALL(IF((Expenses!E$3:E$999="GBP")*(Expenses!A$3:A$999=DATE(2026,11,26)),ROW(Expenses!A$3:A$999)-2),4)),0)+IFERROR(INDEX(Income!C$3:C$502,SMALL(IF((Income!D$3:D$502="GBP")*(Income!A$3:A$502=DATE(2026,11,26)),ROW(Income!A$3:A$502)-2),4)),0)=0,"",IFERROR(-INDEX(Expenses!D$3:D$999,SMALL(IF((Expenses!E$3:E$999="GBP")*(Expenses!A$3:A$999=DATE(2026,11,26)),ROW(Expenses!A$3:A$999)-2),4)),0)+IFERROR(INDEX(Income!C$3:C$502,SMALL(IF((Income!D$3:D$502="GBP")*(Income!A$3:A$502=DATE(2026,11,26)),ROW(Income!A$3:A$502)-2),4)),0))</f>
        <v/>
      </c>
      <c r="J242" s="126">
        <f t="array" ref="J242">IF(IFERROR(INDEX(Expenses!B$3:B$999,SMALL(IF((Expenses!E$3:E$999="GBP")*(Expenses!A$3:A$999=DATE(2026,11,26)),ROW(Expenses!A$3:A$999)-2),4)),"")&lt;&gt;"",IFERROR(INDEX(Expenses!B$3:B$999,SMALL(IF((Expenses!E$3:E$999="GBP")*(Expenses!A$3:A$999=DATE(2026,11,26)),ROW(Expenses!A$3:A$999)-2),4)),""),IF(IFERROR(INDEX(Income!B$3:B$502,SMALL(IF((Income!D$3:D$502="GBP")*(Income!A$3:A$502=DATE(2026,11,26)),ROW(Income!A$3:A$502)-2),4)),"")&lt;&gt;"",IFERROR(INDEX(Income!B$3:B$502,SMALL(IF((Income!D$3:D$502="GBP")*(Income!A$3:A$502=DATE(2026,11,26)),ROW(Income!A$3:A$502)-2),4)),""),""))</f>
        <v/>
      </c>
      <c r="K242" s="152">
        <f t="array" ref="K242">IF(IFERROR(-INDEX(Expenses!D$3:D$999,SMALL(IF((Expenses!E$3:E$999="GBP")*(Expenses!A$3:A$999=DATE(2026,11,27)),ROW(Expenses!A$3:A$999)-2),4)),0)+IFERROR(INDEX(Income!C$3:C$502,SMALL(IF((Income!D$3:D$502="GBP")*(Income!A$3:A$502=DATE(2026,11,27)),ROW(Income!A$3:A$502)-2),4)),0)=0,"",IFERROR(-INDEX(Expenses!D$3:D$999,SMALL(IF((Expenses!E$3:E$999="GBP")*(Expenses!A$3:A$999=DATE(2026,11,27)),ROW(Expenses!A$3:A$999)-2),4)),0)+IFERROR(INDEX(Income!C$3:C$502,SMALL(IF((Income!D$3:D$502="GBP")*(Income!A$3:A$502=DATE(2026,11,27)),ROW(Income!A$3:A$502)-2),4)),0))</f>
        <v/>
      </c>
      <c r="L242" s="126">
        <f t="array" ref="L242">IF(IFERROR(INDEX(Expenses!B$3:B$999,SMALL(IF((Expenses!E$3:E$999="GBP")*(Expenses!A$3:A$999=DATE(2026,11,27)),ROW(Expenses!A$3:A$999)-2),4)),"")&lt;&gt;"",IFERROR(INDEX(Expenses!B$3:B$999,SMALL(IF((Expenses!E$3:E$999="GBP")*(Expenses!A$3:A$999=DATE(2026,11,27)),ROW(Expenses!A$3:A$999)-2),4)),""),IF(IFERROR(INDEX(Income!B$3:B$502,SMALL(IF((Income!D$3:D$502="GBP")*(Income!A$3:A$502=DATE(2026,11,27)),ROW(Income!A$3:A$502)-2),4)),"")&lt;&gt;"",IFERROR(INDEX(Income!B$3:B$502,SMALL(IF((Income!D$3:D$502="GBP")*(Income!A$3:A$502=DATE(2026,11,27)),ROW(Income!A$3:A$502)-2),4)),""),""))</f>
        <v/>
      </c>
      <c r="M242" s="152">
        <f t="array" ref="M242">IF(IFERROR(-INDEX(Expenses!D$3:D$999,SMALL(IF((Expenses!E$3:E$999="GBP")*(Expenses!A$3:A$999=DATE(2026,11,28)),ROW(Expenses!A$3:A$999)-2),4)),0)+IFERROR(INDEX(Income!C$3:C$502,SMALL(IF((Income!D$3:D$502="GBP")*(Income!A$3:A$502=DATE(2026,11,28)),ROW(Income!A$3:A$502)-2),4)),0)=0,"",IFERROR(-INDEX(Expenses!D$3:D$999,SMALL(IF((Expenses!E$3:E$999="GBP")*(Expenses!A$3:A$999=DATE(2026,11,28)),ROW(Expenses!A$3:A$999)-2),4)),0)+IFERROR(INDEX(Income!C$3:C$502,SMALL(IF((Income!D$3:D$502="GBP")*(Income!A$3:A$502=DATE(2026,11,28)),ROW(Income!A$3:A$502)-2),4)),0))</f>
        <v/>
      </c>
      <c r="N242" s="126">
        <f t="array" ref="N242">IF(IFERROR(INDEX(Expenses!B$3:B$999,SMALL(IF((Expenses!E$3:E$999="GBP")*(Expenses!A$3:A$999=DATE(2026,11,28)),ROW(Expenses!A$3:A$999)-2),4)),"")&lt;&gt;"",IFERROR(INDEX(Expenses!B$3:B$999,SMALL(IF((Expenses!E$3:E$999="GBP")*(Expenses!A$3:A$999=DATE(2026,11,28)),ROW(Expenses!A$3:A$999)-2),4)),""),IF(IFERROR(INDEX(Income!B$3:B$502,SMALL(IF((Income!D$3:D$502="GBP")*(Income!A$3:A$502=DATE(2026,11,28)),ROW(Income!A$3:A$502)-2),4)),"")&lt;&gt;"",IFERROR(INDEX(Income!B$3:B$502,SMALL(IF((Income!D$3:D$502="GBP")*(Income!A$3:A$502=DATE(2026,11,28)),ROW(Income!A$3:A$502)-2),4)),""),""))</f>
        <v/>
      </c>
      <c r="O242" s="152">
        <f t="array" ref="O242">IF(IFERROR(-INDEX(Expenses!D$3:D$999,SMALL(IF((Expenses!E$3:E$999="GBP")*(Expenses!A$3:A$999=DATE(2026,11,29)),ROW(Expenses!A$3:A$999)-2),4)),0)+IFERROR(INDEX(Income!C$3:C$502,SMALL(IF((Income!D$3:D$502="GBP")*(Income!A$3:A$502=DATE(2026,11,29)),ROW(Income!A$3:A$502)-2),4)),0)=0,"",IFERROR(-INDEX(Expenses!D$3:D$999,SMALL(IF((Expenses!E$3:E$999="GBP")*(Expenses!A$3:A$999=DATE(2026,11,29)),ROW(Expenses!A$3:A$999)-2),4)),0)+IFERROR(INDEX(Income!C$3:C$502,SMALL(IF((Income!D$3:D$502="GBP")*(Income!A$3:A$502=DATE(2026,11,29)),ROW(Income!A$3:A$502)-2),4)),0))</f>
        <v/>
      </c>
      <c r="P242" s="126">
        <f t="array" ref="P242">IF(IFERROR(INDEX(Expenses!B$3:B$999,SMALL(IF((Expenses!E$3:E$999="GBP")*(Expenses!A$3:A$999=DATE(2026,11,29)),ROW(Expenses!A$3:A$999)-2),4)),"")&lt;&gt;"",IFERROR(INDEX(Expenses!B$3:B$999,SMALL(IF((Expenses!E$3:E$999="GBP")*(Expenses!A$3:A$999=DATE(2026,11,29)),ROW(Expenses!A$3:A$999)-2),4)),""),IF(IFERROR(INDEX(Income!B$3:B$502,SMALL(IF((Income!D$3:D$502="GBP")*(Income!A$3:A$502=DATE(2026,11,29)),ROW(Income!A$3:A$502)-2),4)),"")&lt;&gt;"",IFERROR(INDEX(Income!B$3:B$502,SMALL(IF((Income!D$3:D$502="GBP")*(Income!A$3:A$502=DATE(2026,11,29)),ROW(Income!A$3:A$502)-2),4)),""),""))</f>
        <v/>
      </c>
      <c r="Q242" s="9" t="n"/>
      <c r="R242" s="9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68">
      <c r="A243" s="9" t="n"/>
      <c r="B243" s="9" t="n"/>
      <c r="C243" s="152">
        <f t="array" ref="C243">IF(IFERROR(-INDEX(Expenses!D$3:D$999,SMALL(IF((Expenses!E$3:E$999="GBP")*(Expenses!A$3:A$999=DATE(2026,11,23)),ROW(Expenses!A$3:A$999)-2),5)),0)+IFERROR(INDEX(Income!C$3:C$502,SMALL(IF((Income!D$3:D$502="GBP")*(Income!A$3:A$502=DATE(2026,11,23)),ROW(Income!A$3:A$502)-2),5)),0)=0,"",IFERROR(-INDEX(Expenses!D$3:D$999,SMALL(IF((Expenses!E$3:E$999="GBP")*(Expenses!A$3:A$999=DATE(2026,11,23)),ROW(Expenses!A$3:A$999)-2),5)),0)+IFERROR(INDEX(Income!C$3:C$502,SMALL(IF((Income!D$3:D$502="GBP")*(Income!A$3:A$502=DATE(2026,11,23)),ROW(Income!A$3:A$502)-2),5)),0))</f>
        <v/>
      </c>
      <c r="D243" s="126">
        <f t="array" ref="D243">IF(IFERROR(INDEX(Expenses!B$3:B$999,SMALL(IF((Expenses!E$3:E$999="GBP")*(Expenses!A$3:A$999=DATE(2026,11,23)),ROW(Expenses!A$3:A$999)-2),5)),"")&lt;&gt;"",IFERROR(INDEX(Expenses!B$3:B$999,SMALL(IF((Expenses!E$3:E$999="GBP")*(Expenses!A$3:A$999=DATE(2026,11,23)),ROW(Expenses!A$3:A$999)-2),5)),""),IF(IFERROR(INDEX(Income!B$3:B$502,SMALL(IF((Income!D$3:D$502="GBP")*(Income!A$3:A$502=DATE(2026,11,23)),ROW(Income!A$3:A$502)-2),5)),"")&lt;&gt;"",IFERROR(INDEX(Income!B$3:B$502,SMALL(IF((Income!D$3:D$502="GBP")*(Income!A$3:A$502=DATE(2026,11,23)),ROW(Income!A$3:A$502)-2),5)),""),""))</f>
        <v/>
      </c>
      <c r="E243" s="152">
        <f t="array" ref="E243">IF(IFERROR(-INDEX(Expenses!D$3:D$999,SMALL(IF((Expenses!E$3:E$999="GBP")*(Expenses!A$3:A$999=DATE(2026,11,24)),ROW(Expenses!A$3:A$999)-2),5)),0)+IFERROR(INDEX(Income!C$3:C$502,SMALL(IF((Income!D$3:D$502="GBP")*(Income!A$3:A$502=DATE(2026,11,24)),ROW(Income!A$3:A$502)-2),5)),0)=0,"",IFERROR(-INDEX(Expenses!D$3:D$999,SMALL(IF((Expenses!E$3:E$999="GBP")*(Expenses!A$3:A$999=DATE(2026,11,24)),ROW(Expenses!A$3:A$999)-2),5)),0)+IFERROR(INDEX(Income!C$3:C$502,SMALL(IF((Income!D$3:D$502="GBP")*(Income!A$3:A$502=DATE(2026,11,24)),ROW(Income!A$3:A$502)-2),5)),0))</f>
        <v/>
      </c>
      <c r="F243" s="126">
        <f t="array" ref="F243">IF(IFERROR(INDEX(Expenses!B$3:B$999,SMALL(IF((Expenses!E$3:E$999="GBP")*(Expenses!A$3:A$999=DATE(2026,11,24)),ROW(Expenses!A$3:A$999)-2),5)),"")&lt;&gt;"",IFERROR(INDEX(Expenses!B$3:B$999,SMALL(IF((Expenses!E$3:E$999="GBP")*(Expenses!A$3:A$999=DATE(2026,11,24)),ROW(Expenses!A$3:A$999)-2),5)),""),IF(IFERROR(INDEX(Income!B$3:B$502,SMALL(IF((Income!D$3:D$502="GBP")*(Income!A$3:A$502=DATE(2026,11,24)),ROW(Income!A$3:A$502)-2),5)),"")&lt;&gt;"",IFERROR(INDEX(Income!B$3:B$502,SMALL(IF((Income!D$3:D$502="GBP")*(Income!A$3:A$502=DATE(2026,11,24)),ROW(Income!A$3:A$502)-2),5)),""),""))</f>
        <v/>
      </c>
      <c r="G243" s="152">
        <f t="array" ref="G243">IF(IFERROR(-INDEX(Expenses!D$3:D$999,SMALL(IF((Expenses!E$3:E$999="GBP")*(Expenses!A$3:A$999=DATE(2026,11,25)),ROW(Expenses!A$3:A$999)-2),5)),0)+IFERROR(INDEX(Income!C$3:C$502,SMALL(IF((Income!D$3:D$502="GBP")*(Income!A$3:A$502=DATE(2026,11,25)),ROW(Income!A$3:A$502)-2),5)),0)=0,"",IFERROR(-INDEX(Expenses!D$3:D$999,SMALL(IF((Expenses!E$3:E$999="GBP")*(Expenses!A$3:A$999=DATE(2026,11,25)),ROW(Expenses!A$3:A$999)-2),5)),0)+IFERROR(INDEX(Income!C$3:C$502,SMALL(IF((Income!D$3:D$502="GBP")*(Income!A$3:A$502=DATE(2026,11,25)),ROW(Income!A$3:A$502)-2),5)),0))</f>
        <v/>
      </c>
      <c r="H243" s="126">
        <f t="array" ref="H243">IF(IFERROR(INDEX(Expenses!B$3:B$999,SMALL(IF((Expenses!E$3:E$999="GBP")*(Expenses!A$3:A$999=DATE(2026,11,25)),ROW(Expenses!A$3:A$999)-2),5)),"")&lt;&gt;"",IFERROR(INDEX(Expenses!B$3:B$999,SMALL(IF((Expenses!E$3:E$999="GBP")*(Expenses!A$3:A$999=DATE(2026,11,25)),ROW(Expenses!A$3:A$999)-2),5)),""),IF(IFERROR(INDEX(Income!B$3:B$502,SMALL(IF((Income!D$3:D$502="GBP")*(Income!A$3:A$502=DATE(2026,11,25)),ROW(Income!A$3:A$502)-2),5)),"")&lt;&gt;"",IFERROR(INDEX(Income!B$3:B$502,SMALL(IF((Income!D$3:D$502="GBP")*(Income!A$3:A$502=DATE(2026,11,25)),ROW(Income!A$3:A$502)-2),5)),""),""))</f>
        <v/>
      </c>
      <c r="I243" s="152">
        <f t="array" ref="I243">IF(IFERROR(-INDEX(Expenses!D$3:D$999,SMALL(IF((Expenses!E$3:E$999="GBP")*(Expenses!A$3:A$999=DATE(2026,11,26)),ROW(Expenses!A$3:A$999)-2),5)),0)+IFERROR(INDEX(Income!C$3:C$502,SMALL(IF((Income!D$3:D$502="GBP")*(Income!A$3:A$502=DATE(2026,11,26)),ROW(Income!A$3:A$502)-2),5)),0)=0,"",IFERROR(-INDEX(Expenses!D$3:D$999,SMALL(IF((Expenses!E$3:E$999="GBP")*(Expenses!A$3:A$999=DATE(2026,11,26)),ROW(Expenses!A$3:A$999)-2),5)),0)+IFERROR(INDEX(Income!C$3:C$502,SMALL(IF((Income!D$3:D$502="GBP")*(Income!A$3:A$502=DATE(2026,11,26)),ROW(Income!A$3:A$502)-2),5)),0))</f>
        <v/>
      </c>
      <c r="J243" s="126">
        <f t="array" ref="J243">IF(IFERROR(INDEX(Expenses!B$3:B$999,SMALL(IF((Expenses!E$3:E$999="GBP")*(Expenses!A$3:A$999=DATE(2026,11,26)),ROW(Expenses!A$3:A$999)-2),5)),"")&lt;&gt;"",IFERROR(INDEX(Expenses!B$3:B$999,SMALL(IF((Expenses!E$3:E$999="GBP")*(Expenses!A$3:A$999=DATE(2026,11,26)),ROW(Expenses!A$3:A$999)-2),5)),""),IF(IFERROR(INDEX(Income!B$3:B$502,SMALL(IF((Income!D$3:D$502="GBP")*(Income!A$3:A$502=DATE(2026,11,26)),ROW(Income!A$3:A$502)-2),5)),"")&lt;&gt;"",IFERROR(INDEX(Income!B$3:B$502,SMALL(IF((Income!D$3:D$502="GBP")*(Income!A$3:A$502=DATE(2026,11,26)),ROW(Income!A$3:A$502)-2),5)),""),""))</f>
        <v/>
      </c>
      <c r="K243" s="152">
        <f t="array" ref="K243">IF(IFERROR(-INDEX(Expenses!D$3:D$999,SMALL(IF((Expenses!E$3:E$999="GBP")*(Expenses!A$3:A$999=DATE(2026,11,27)),ROW(Expenses!A$3:A$999)-2),5)),0)+IFERROR(INDEX(Income!C$3:C$502,SMALL(IF((Income!D$3:D$502="GBP")*(Income!A$3:A$502=DATE(2026,11,27)),ROW(Income!A$3:A$502)-2),5)),0)=0,"",IFERROR(-INDEX(Expenses!D$3:D$999,SMALL(IF((Expenses!E$3:E$999="GBP")*(Expenses!A$3:A$999=DATE(2026,11,27)),ROW(Expenses!A$3:A$999)-2),5)),0)+IFERROR(INDEX(Income!C$3:C$502,SMALL(IF((Income!D$3:D$502="GBP")*(Income!A$3:A$502=DATE(2026,11,27)),ROW(Income!A$3:A$502)-2),5)),0))</f>
        <v/>
      </c>
      <c r="L243" s="126">
        <f t="array" ref="L243">IF(IFERROR(INDEX(Expenses!B$3:B$999,SMALL(IF((Expenses!E$3:E$999="GBP")*(Expenses!A$3:A$999=DATE(2026,11,27)),ROW(Expenses!A$3:A$999)-2),5)),"")&lt;&gt;"",IFERROR(INDEX(Expenses!B$3:B$999,SMALL(IF((Expenses!E$3:E$999="GBP")*(Expenses!A$3:A$999=DATE(2026,11,27)),ROW(Expenses!A$3:A$999)-2),5)),""),IF(IFERROR(INDEX(Income!B$3:B$502,SMALL(IF((Income!D$3:D$502="GBP")*(Income!A$3:A$502=DATE(2026,11,27)),ROW(Income!A$3:A$502)-2),5)),"")&lt;&gt;"",IFERROR(INDEX(Income!B$3:B$502,SMALL(IF((Income!D$3:D$502="GBP")*(Income!A$3:A$502=DATE(2026,11,27)),ROW(Income!A$3:A$502)-2),5)),""),""))</f>
        <v/>
      </c>
      <c r="M243" s="152">
        <f t="array" ref="M243">IF(IFERROR(-INDEX(Expenses!D$3:D$999,SMALL(IF((Expenses!E$3:E$999="GBP")*(Expenses!A$3:A$999=DATE(2026,11,28)),ROW(Expenses!A$3:A$999)-2),5)),0)+IFERROR(INDEX(Income!C$3:C$502,SMALL(IF((Income!D$3:D$502="GBP")*(Income!A$3:A$502=DATE(2026,11,28)),ROW(Income!A$3:A$502)-2),5)),0)=0,"",IFERROR(-INDEX(Expenses!D$3:D$999,SMALL(IF((Expenses!E$3:E$999="GBP")*(Expenses!A$3:A$999=DATE(2026,11,28)),ROW(Expenses!A$3:A$999)-2),5)),0)+IFERROR(INDEX(Income!C$3:C$502,SMALL(IF((Income!D$3:D$502="GBP")*(Income!A$3:A$502=DATE(2026,11,28)),ROW(Income!A$3:A$502)-2),5)),0))</f>
        <v/>
      </c>
      <c r="N243" s="126">
        <f t="array" ref="N243">IF(IFERROR(INDEX(Expenses!B$3:B$999,SMALL(IF((Expenses!E$3:E$999="GBP")*(Expenses!A$3:A$999=DATE(2026,11,28)),ROW(Expenses!A$3:A$999)-2),5)),"")&lt;&gt;"",IFERROR(INDEX(Expenses!B$3:B$999,SMALL(IF((Expenses!E$3:E$999="GBP")*(Expenses!A$3:A$999=DATE(2026,11,28)),ROW(Expenses!A$3:A$999)-2),5)),""),IF(IFERROR(INDEX(Income!B$3:B$502,SMALL(IF((Income!D$3:D$502="GBP")*(Income!A$3:A$502=DATE(2026,11,28)),ROW(Income!A$3:A$502)-2),5)),"")&lt;&gt;"",IFERROR(INDEX(Income!B$3:B$502,SMALL(IF((Income!D$3:D$502="GBP")*(Income!A$3:A$502=DATE(2026,11,28)),ROW(Income!A$3:A$502)-2),5)),""),""))</f>
        <v/>
      </c>
      <c r="O243" s="152">
        <f t="array" ref="O243">IF(IFERROR(-INDEX(Expenses!D$3:D$999,SMALL(IF((Expenses!E$3:E$999="GBP")*(Expenses!A$3:A$999=DATE(2026,11,29)),ROW(Expenses!A$3:A$999)-2),5)),0)+IFERROR(INDEX(Income!C$3:C$502,SMALL(IF((Income!D$3:D$502="GBP")*(Income!A$3:A$502=DATE(2026,11,29)),ROW(Income!A$3:A$502)-2),5)),0)=0,"",IFERROR(-INDEX(Expenses!D$3:D$999,SMALL(IF((Expenses!E$3:E$999="GBP")*(Expenses!A$3:A$999=DATE(2026,11,29)),ROW(Expenses!A$3:A$999)-2),5)),0)+IFERROR(INDEX(Income!C$3:C$502,SMALL(IF((Income!D$3:D$502="GBP")*(Income!A$3:A$502=DATE(2026,11,29)),ROW(Income!A$3:A$502)-2),5)),0))</f>
        <v/>
      </c>
      <c r="P243" s="126">
        <f t="array" ref="P243">IF(IFERROR(INDEX(Expenses!B$3:B$999,SMALL(IF((Expenses!E$3:E$999="GBP")*(Expenses!A$3:A$999=DATE(2026,11,29)),ROW(Expenses!A$3:A$999)-2),5)),"")&lt;&gt;"",IFERROR(INDEX(Expenses!B$3:B$999,SMALL(IF((Expenses!E$3:E$999="GBP")*(Expenses!A$3:A$999=DATE(2026,11,29)),ROW(Expenses!A$3:A$999)-2),5)),""),IF(IFERROR(INDEX(Income!B$3:B$502,SMALL(IF((Income!D$3:D$502="GBP")*(Income!A$3:A$502=DATE(2026,11,29)),ROW(Income!A$3:A$502)-2),5)),"")&lt;&gt;"",IFERROR(INDEX(Income!B$3:B$502,SMALL(IF((Income!D$3:D$502="GBP")*(Income!A$3:A$502=DATE(2026,11,29)),ROW(Income!A$3:A$502)-2),5)),""),""))</f>
        <v/>
      </c>
      <c r="Q243" s="9" t="n"/>
      <c r="R243" s="9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68">
      <c r="A244" s="151" t="n">
        <v>46356</v>
      </c>
      <c r="B244" s="103" t="n">
        <v>49</v>
      </c>
      <c r="C244" s="152">
        <f t="array" ref="C244">IF(IFERROR(-INDEX(Expenses!D$3:D$999,SMALL(IF((Expenses!E$3:E$999="GBP")*(Expenses!A$3:A$999=DATE(2026,11,30)),ROW(Expenses!A$3:A$999)-2),1)),0)+IFERROR(INDEX(Income!C$3:C$502,SMALL(IF((Income!D$3:D$502="GBP")*(Income!A$3:A$502=DATE(2026,11,30)),ROW(Income!A$3:A$502)-2),1)),0)=0,"",IFERROR(-INDEX(Expenses!D$3:D$999,SMALL(IF((Expenses!E$3:E$999="GBP")*(Expenses!A$3:A$999=DATE(2026,11,30)),ROW(Expenses!A$3:A$999)-2),1)),0)+IFERROR(INDEX(Income!C$3:C$502,SMALL(IF((Income!D$3:D$502="GBP")*(Income!A$3:A$502=DATE(2026,11,30)),ROW(Income!A$3:A$502)-2),1)),0))</f>
        <v/>
      </c>
      <c r="D244" s="126">
        <f t="array" ref="D244">IF(IFERROR(INDEX(Expenses!B$3:B$999,SMALL(IF((Expenses!E$3:E$999="GBP")*(Expenses!A$3:A$999=DATE(2026,11,30)),ROW(Expenses!A$3:A$999)-2),1)),"")&lt;&gt;"",IFERROR(INDEX(Expenses!B$3:B$999,SMALL(IF((Expenses!E$3:E$999="GBP")*(Expenses!A$3:A$999=DATE(2026,11,30)),ROW(Expenses!A$3:A$999)-2),1)),""),IF(IFERROR(INDEX(Income!B$3:B$502,SMALL(IF((Income!D$3:D$502="GBP")*(Income!A$3:A$502=DATE(2026,11,30)),ROW(Income!A$3:A$502)-2),1)),"")&lt;&gt;"",IFERROR(INDEX(Income!B$3:B$502,SMALL(IF((Income!D$3:D$502="GBP")*(Income!A$3:A$502=DATE(2026,11,30)),ROW(Income!A$3:A$502)-2),1)),""),""))</f>
        <v/>
      </c>
      <c r="E244" s="152">
        <f t="array" ref="E244">IF(IFERROR(-INDEX(Expenses!D$3:D$999,SMALL(IF((Expenses!E$3:E$999="GBP")*(Expenses!A$3:A$999=DATE(2026,12,1)),ROW(Expenses!A$3:A$999)-2),1)),0)+IFERROR(INDEX(Income!C$3:C$502,SMALL(IF((Income!D$3:D$502="GBP")*(Income!A$3:A$502=DATE(2026,12,1)),ROW(Income!A$3:A$502)-2),1)),0)=0,"",IFERROR(-INDEX(Expenses!D$3:D$999,SMALL(IF((Expenses!E$3:E$999="GBP")*(Expenses!A$3:A$999=DATE(2026,12,1)),ROW(Expenses!A$3:A$999)-2),1)),0)+IFERROR(INDEX(Income!C$3:C$502,SMALL(IF((Income!D$3:D$502="GBP")*(Income!A$3:A$502=DATE(2026,12,1)),ROW(Income!A$3:A$502)-2),1)),0))</f>
        <v/>
      </c>
      <c r="F244" s="126">
        <f t="array" ref="F244">IF(IFERROR(INDEX(Expenses!B$3:B$999,SMALL(IF((Expenses!E$3:E$999="GBP")*(Expenses!A$3:A$999=DATE(2026,12,1)),ROW(Expenses!A$3:A$999)-2),1)),"")&lt;&gt;"",IFERROR(INDEX(Expenses!B$3:B$999,SMALL(IF((Expenses!E$3:E$999="GBP")*(Expenses!A$3:A$999=DATE(2026,12,1)),ROW(Expenses!A$3:A$999)-2),1)),""),IF(IFERROR(INDEX(Income!B$3:B$502,SMALL(IF((Income!D$3:D$502="GBP")*(Income!A$3:A$502=DATE(2026,12,1)),ROW(Income!A$3:A$502)-2),1)),"")&lt;&gt;"",IFERROR(INDEX(Income!B$3:B$502,SMALL(IF((Income!D$3:D$502="GBP")*(Income!A$3:A$502=DATE(2026,12,1)),ROW(Income!A$3:A$502)-2),1)),""),""))</f>
        <v/>
      </c>
      <c r="G244" s="152">
        <f t="array" ref="G244">IF(IFERROR(-INDEX(Expenses!D$3:D$999,SMALL(IF((Expenses!E$3:E$999="GBP")*(Expenses!A$3:A$999=DATE(2026,12,2)),ROW(Expenses!A$3:A$999)-2),1)),0)+IFERROR(INDEX(Income!C$3:C$502,SMALL(IF((Income!D$3:D$502="GBP")*(Income!A$3:A$502=DATE(2026,12,2)),ROW(Income!A$3:A$502)-2),1)),0)=0,"",IFERROR(-INDEX(Expenses!D$3:D$999,SMALL(IF((Expenses!E$3:E$999="GBP")*(Expenses!A$3:A$999=DATE(2026,12,2)),ROW(Expenses!A$3:A$999)-2),1)),0)+IFERROR(INDEX(Income!C$3:C$502,SMALL(IF((Income!D$3:D$502="GBP")*(Income!A$3:A$502=DATE(2026,12,2)),ROW(Income!A$3:A$502)-2),1)),0))</f>
        <v/>
      </c>
      <c r="H244" s="126">
        <f t="array" ref="H244">IF(IFERROR(INDEX(Expenses!B$3:B$999,SMALL(IF((Expenses!E$3:E$999="GBP")*(Expenses!A$3:A$999=DATE(2026,12,2)),ROW(Expenses!A$3:A$999)-2),1)),"")&lt;&gt;"",IFERROR(INDEX(Expenses!B$3:B$999,SMALL(IF((Expenses!E$3:E$999="GBP")*(Expenses!A$3:A$999=DATE(2026,12,2)),ROW(Expenses!A$3:A$999)-2),1)),""),IF(IFERROR(INDEX(Income!B$3:B$502,SMALL(IF((Income!D$3:D$502="GBP")*(Income!A$3:A$502=DATE(2026,12,2)),ROW(Income!A$3:A$502)-2),1)),"")&lt;&gt;"",IFERROR(INDEX(Income!B$3:B$502,SMALL(IF((Income!D$3:D$502="GBP")*(Income!A$3:A$502=DATE(2026,12,2)),ROW(Income!A$3:A$502)-2),1)),""),""))</f>
        <v/>
      </c>
      <c r="I244" s="152">
        <f t="array" ref="I244">IF(IFERROR(-INDEX(Expenses!D$3:D$999,SMALL(IF((Expenses!E$3:E$999="GBP")*(Expenses!A$3:A$999=DATE(2026,12,3)),ROW(Expenses!A$3:A$999)-2),1)),0)+IFERROR(INDEX(Income!C$3:C$502,SMALL(IF((Income!D$3:D$502="GBP")*(Income!A$3:A$502=DATE(2026,12,3)),ROW(Income!A$3:A$502)-2),1)),0)=0,"",IFERROR(-INDEX(Expenses!D$3:D$999,SMALL(IF((Expenses!E$3:E$999="GBP")*(Expenses!A$3:A$999=DATE(2026,12,3)),ROW(Expenses!A$3:A$999)-2),1)),0)+IFERROR(INDEX(Income!C$3:C$502,SMALL(IF((Income!D$3:D$502="GBP")*(Income!A$3:A$502=DATE(2026,12,3)),ROW(Income!A$3:A$502)-2),1)),0))</f>
        <v/>
      </c>
      <c r="J244" s="126">
        <f t="array" ref="J244">IF(IFERROR(INDEX(Expenses!B$3:B$999,SMALL(IF((Expenses!E$3:E$999="GBP")*(Expenses!A$3:A$999=DATE(2026,12,3)),ROW(Expenses!A$3:A$999)-2),1)),"")&lt;&gt;"",IFERROR(INDEX(Expenses!B$3:B$999,SMALL(IF((Expenses!E$3:E$999="GBP")*(Expenses!A$3:A$999=DATE(2026,12,3)),ROW(Expenses!A$3:A$999)-2),1)),""),IF(IFERROR(INDEX(Income!B$3:B$502,SMALL(IF((Income!D$3:D$502="GBP")*(Income!A$3:A$502=DATE(2026,12,3)),ROW(Income!A$3:A$502)-2),1)),"")&lt;&gt;"",IFERROR(INDEX(Income!B$3:B$502,SMALL(IF((Income!D$3:D$502="GBP")*(Income!A$3:A$502=DATE(2026,12,3)),ROW(Income!A$3:A$502)-2),1)),""),""))</f>
        <v/>
      </c>
      <c r="K244" s="152">
        <f t="array" ref="K244">IF(IFERROR(-INDEX(Expenses!D$3:D$999,SMALL(IF((Expenses!E$3:E$999="GBP")*(Expenses!A$3:A$999=DATE(2026,12,4)),ROW(Expenses!A$3:A$999)-2),1)),0)+IFERROR(INDEX(Income!C$3:C$502,SMALL(IF((Income!D$3:D$502="GBP")*(Income!A$3:A$502=DATE(2026,12,4)),ROW(Income!A$3:A$502)-2),1)),0)=0,"",IFERROR(-INDEX(Expenses!D$3:D$999,SMALL(IF((Expenses!E$3:E$999="GBP")*(Expenses!A$3:A$999=DATE(2026,12,4)),ROW(Expenses!A$3:A$999)-2),1)),0)+IFERROR(INDEX(Income!C$3:C$502,SMALL(IF((Income!D$3:D$502="GBP")*(Income!A$3:A$502=DATE(2026,12,4)),ROW(Income!A$3:A$502)-2),1)),0))</f>
        <v/>
      </c>
      <c r="L244" s="126">
        <f t="array" ref="L244">IF(IFERROR(INDEX(Expenses!B$3:B$999,SMALL(IF((Expenses!E$3:E$999="GBP")*(Expenses!A$3:A$999=DATE(2026,12,4)),ROW(Expenses!A$3:A$999)-2),1)),"")&lt;&gt;"",IFERROR(INDEX(Expenses!B$3:B$999,SMALL(IF((Expenses!E$3:E$999="GBP")*(Expenses!A$3:A$999=DATE(2026,12,4)),ROW(Expenses!A$3:A$999)-2),1)),""),IF(IFERROR(INDEX(Income!B$3:B$502,SMALL(IF((Income!D$3:D$502="GBP")*(Income!A$3:A$502=DATE(2026,12,4)),ROW(Income!A$3:A$502)-2),1)),"")&lt;&gt;"",IFERROR(INDEX(Income!B$3:B$502,SMALL(IF((Income!D$3:D$502="GBP")*(Income!A$3:A$502=DATE(2026,12,4)),ROW(Income!A$3:A$502)-2),1)),""),""))</f>
        <v/>
      </c>
      <c r="M244" s="152">
        <f t="array" ref="M244">IF(IFERROR(-INDEX(Expenses!D$3:D$999,SMALL(IF((Expenses!E$3:E$999="GBP")*(Expenses!A$3:A$999=DATE(2026,12,5)),ROW(Expenses!A$3:A$999)-2),1)),0)+IFERROR(INDEX(Income!C$3:C$502,SMALL(IF((Income!D$3:D$502="GBP")*(Income!A$3:A$502=DATE(2026,12,5)),ROW(Income!A$3:A$502)-2),1)),0)=0,"",IFERROR(-INDEX(Expenses!D$3:D$999,SMALL(IF((Expenses!E$3:E$999="GBP")*(Expenses!A$3:A$999=DATE(2026,12,5)),ROW(Expenses!A$3:A$999)-2),1)),0)+IFERROR(INDEX(Income!C$3:C$502,SMALL(IF((Income!D$3:D$502="GBP")*(Income!A$3:A$502=DATE(2026,12,5)),ROW(Income!A$3:A$502)-2),1)),0))</f>
        <v/>
      </c>
      <c r="N244" s="126">
        <f t="array" ref="N244">IF(IFERROR(INDEX(Expenses!B$3:B$999,SMALL(IF((Expenses!E$3:E$999="GBP")*(Expenses!A$3:A$999=DATE(2026,12,5)),ROW(Expenses!A$3:A$999)-2),1)),"")&lt;&gt;"",IFERROR(INDEX(Expenses!B$3:B$999,SMALL(IF((Expenses!E$3:E$999="GBP")*(Expenses!A$3:A$999=DATE(2026,12,5)),ROW(Expenses!A$3:A$999)-2),1)),""),IF(IFERROR(INDEX(Income!B$3:B$502,SMALL(IF((Income!D$3:D$502="GBP")*(Income!A$3:A$502=DATE(2026,12,5)),ROW(Income!A$3:A$502)-2),1)),"")&lt;&gt;"",IFERROR(INDEX(Income!B$3:B$502,SMALL(IF((Income!D$3:D$502="GBP")*(Income!A$3:A$502=DATE(2026,12,5)),ROW(Income!A$3:A$502)-2),1)),""),""))</f>
        <v/>
      </c>
      <c r="O244" s="152">
        <f t="array" ref="O244">IF(IFERROR(-INDEX(Expenses!D$3:D$999,SMALL(IF((Expenses!E$3:E$999="GBP")*(Expenses!A$3:A$999=DATE(2026,12,6)),ROW(Expenses!A$3:A$999)-2),1)),0)+IFERROR(INDEX(Income!C$3:C$502,SMALL(IF((Income!D$3:D$502="GBP")*(Income!A$3:A$502=DATE(2026,12,6)),ROW(Income!A$3:A$502)-2),1)),0)=0,"",IFERROR(-INDEX(Expenses!D$3:D$999,SMALL(IF((Expenses!E$3:E$999="GBP")*(Expenses!A$3:A$999=DATE(2026,12,6)),ROW(Expenses!A$3:A$999)-2),1)),0)+IFERROR(INDEX(Income!C$3:C$502,SMALL(IF((Income!D$3:D$502="GBP")*(Income!A$3:A$502=DATE(2026,12,6)),ROW(Income!A$3:A$502)-2),1)),0))</f>
        <v/>
      </c>
      <c r="P244" s="126">
        <f t="array" ref="P244">IF(IFERROR(INDEX(Expenses!B$3:B$999,SMALL(IF((Expenses!E$3:E$999="GBP")*(Expenses!A$3:A$999=DATE(2026,12,6)),ROW(Expenses!A$3:A$999)-2),1)),"")&lt;&gt;"",IFERROR(INDEX(Expenses!B$3:B$999,SMALL(IF((Expenses!E$3:E$999="GBP")*(Expenses!A$3:A$999=DATE(2026,12,6)),ROW(Expenses!A$3:A$999)-2),1)),""),IF(IFERROR(INDEX(Income!B$3:B$502,SMALL(IF((Income!D$3:D$502="GBP")*(Income!A$3:A$502=DATE(2026,12,6)),ROW(Income!A$3:A$502)-2),1)),"")&lt;&gt;"",IFERROR(INDEX(Income!B$3:B$502,SMALL(IF((Income!D$3:D$502="GBP")*(Income!A$3:A$502=DATE(2026,12,6)),ROW(Income!A$3:A$502)-2),1)),""),""))</f>
        <v/>
      </c>
      <c r="Q244" s="103" t="n">
        <v>49</v>
      </c>
      <c r="R244" s="134">
        <f>SUM(C244:C248)+SUM(E244:E248)+SUM(G244:G248)+SUM(I244:I248)+SUM(K244:K248)+SUM(M244:M248)+SUM(O244:O248)</f>
        <v/>
      </c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68">
      <c r="A245" s="9" t="n"/>
      <c r="B245" s="9" t="n"/>
      <c r="C245" s="152">
        <f t="array" ref="C245">IF(IFERROR(-INDEX(Expenses!D$3:D$999,SMALL(IF((Expenses!E$3:E$999="GBP")*(Expenses!A$3:A$999=DATE(2026,11,30)),ROW(Expenses!A$3:A$999)-2),2)),0)+IFERROR(INDEX(Income!C$3:C$502,SMALL(IF((Income!D$3:D$502="GBP")*(Income!A$3:A$502=DATE(2026,11,30)),ROW(Income!A$3:A$502)-2),2)),0)=0,"",IFERROR(-INDEX(Expenses!D$3:D$999,SMALL(IF((Expenses!E$3:E$999="GBP")*(Expenses!A$3:A$999=DATE(2026,11,30)),ROW(Expenses!A$3:A$999)-2),2)),0)+IFERROR(INDEX(Income!C$3:C$502,SMALL(IF((Income!D$3:D$502="GBP")*(Income!A$3:A$502=DATE(2026,11,30)),ROW(Income!A$3:A$502)-2),2)),0))</f>
        <v/>
      </c>
      <c r="D245" s="126">
        <f t="array" ref="D245">IF(IFERROR(INDEX(Expenses!B$3:B$999,SMALL(IF((Expenses!E$3:E$999="GBP")*(Expenses!A$3:A$999=DATE(2026,11,30)),ROW(Expenses!A$3:A$999)-2),2)),"")&lt;&gt;"",IFERROR(INDEX(Expenses!B$3:B$999,SMALL(IF((Expenses!E$3:E$999="GBP")*(Expenses!A$3:A$999=DATE(2026,11,30)),ROW(Expenses!A$3:A$999)-2),2)),""),IF(IFERROR(INDEX(Income!B$3:B$502,SMALL(IF((Income!D$3:D$502="GBP")*(Income!A$3:A$502=DATE(2026,11,30)),ROW(Income!A$3:A$502)-2),2)),"")&lt;&gt;"",IFERROR(INDEX(Income!B$3:B$502,SMALL(IF((Income!D$3:D$502="GBP")*(Income!A$3:A$502=DATE(2026,11,30)),ROW(Income!A$3:A$502)-2),2)),""),""))</f>
        <v/>
      </c>
      <c r="E245" s="152">
        <f t="array" ref="E245">IF(IFERROR(-INDEX(Expenses!D$3:D$999,SMALL(IF((Expenses!E$3:E$999="GBP")*(Expenses!A$3:A$999=DATE(2026,12,1)),ROW(Expenses!A$3:A$999)-2),2)),0)+IFERROR(INDEX(Income!C$3:C$502,SMALL(IF((Income!D$3:D$502="GBP")*(Income!A$3:A$502=DATE(2026,12,1)),ROW(Income!A$3:A$502)-2),2)),0)=0,"",IFERROR(-INDEX(Expenses!D$3:D$999,SMALL(IF((Expenses!E$3:E$999="GBP")*(Expenses!A$3:A$999=DATE(2026,12,1)),ROW(Expenses!A$3:A$999)-2),2)),0)+IFERROR(INDEX(Income!C$3:C$502,SMALL(IF((Income!D$3:D$502="GBP")*(Income!A$3:A$502=DATE(2026,12,1)),ROW(Income!A$3:A$502)-2),2)),0))</f>
        <v/>
      </c>
      <c r="F245" s="126">
        <f t="array" ref="F245">IF(IFERROR(INDEX(Expenses!B$3:B$999,SMALL(IF((Expenses!E$3:E$999="GBP")*(Expenses!A$3:A$999=DATE(2026,12,1)),ROW(Expenses!A$3:A$999)-2),2)),"")&lt;&gt;"",IFERROR(INDEX(Expenses!B$3:B$999,SMALL(IF((Expenses!E$3:E$999="GBP")*(Expenses!A$3:A$999=DATE(2026,12,1)),ROW(Expenses!A$3:A$999)-2),2)),""),IF(IFERROR(INDEX(Income!B$3:B$502,SMALL(IF((Income!D$3:D$502="GBP")*(Income!A$3:A$502=DATE(2026,12,1)),ROW(Income!A$3:A$502)-2),2)),"")&lt;&gt;"",IFERROR(INDEX(Income!B$3:B$502,SMALL(IF((Income!D$3:D$502="GBP")*(Income!A$3:A$502=DATE(2026,12,1)),ROW(Income!A$3:A$502)-2),2)),""),""))</f>
        <v/>
      </c>
      <c r="G245" s="152">
        <f t="array" ref="G245">IF(IFERROR(-INDEX(Expenses!D$3:D$999,SMALL(IF((Expenses!E$3:E$999="GBP")*(Expenses!A$3:A$999=DATE(2026,12,2)),ROW(Expenses!A$3:A$999)-2),2)),0)+IFERROR(INDEX(Income!C$3:C$502,SMALL(IF((Income!D$3:D$502="GBP")*(Income!A$3:A$502=DATE(2026,12,2)),ROW(Income!A$3:A$502)-2),2)),0)=0,"",IFERROR(-INDEX(Expenses!D$3:D$999,SMALL(IF((Expenses!E$3:E$999="GBP")*(Expenses!A$3:A$999=DATE(2026,12,2)),ROW(Expenses!A$3:A$999)-2),2)),0)+IFERROR(INDEX(Income!C$3:C$502,SMALL(IF((Income!D$3:D$502="GBP")*(Income!A$3:A$502=DATE(2026,12,2)),ROW(Income!A$3:A$502)-2),2)),0))</f>
        <v/>
      </c>
      <c r="H245" s="126">
        <f t="array" ref="H245">IF(IFERROR(INDEX(Expenses!B$3:B$999,SMALL(IF((Expenses!E$3:E$999="GBP")*(Expenses!A$3:A$999=DATE(2026,12,2)),ROW(Expenses!A$3:A$999)-2),2)),"")&lt;&gt;"",IFERROR(INDEX(Expenses!B$3:B$999,SMALL(IF((Expenses!E$3:E$999="GBP")*(Expenses!A$3:A$999=DATE(2026,12,2)),ROW(Expenses!A$3:A$999)-2),2)),""),IF(IFERROR(INDEX(Income!B$3:B$502,SMALL(IF((Income!D$3:D$502="GBP")*(Income!A$3:A$502=DATE(2026,12,2)),ROW(Income!A$3:A$502)-2),2)),"")&lt;&gt;"",IFERROR(INDEX(Income!B$3:B$502,SMALL(IF((Income!D$3:D$502="GBP")*(Income!A$3:A$502=DATE(2026,12,2)),ROW(Income!A$3:A$502)-2),2)),""),""))</f>
        <v/>
      </c>
      <c r="I245" s="152">
        <f t="array" ref="I245">IF(IFERROR(-INDEX(Expenses!D$3:D$999,SMALL(IF((Expenses!E$3:E$999="GBP")*(Expenses!A$3:A$999=DATE(2026,12,3)),ROW(Expenses!A$3:A$999)-2),2)),0)+IFERROR(INDEX(Income!C$3:C$502,SMALL(IF((Income!D$3:D$502="GBP")*(Income!A$3:A$502=DATE(2026,12,3)),ROW(Income!A$3:A$502)-2),2)),0)=0,"",IFERROR(-INDEX(Expenses!D$3:D$999,SMALL(IF((Expenses!E$3:E$999="GBP")*(Expenses!A$3:A$999=DATE(2026,12,3)),ROW(Expenses!A$3:A$999)-2),2)),0)+IFERROR(INDEX(Income!C$3:C$502,SMALL(IF((Income!D$3:D$502="GBP")*(Income!A$3:A$502=DATE(2026,12,3)),ROW(Income!A$3:A$502)-2),2)),0))</f>
        <v/>
      </c>
      <c r="J245" s="126">
        <f t="array" ref="J245">IF(IFERROR(INDEX(Expenses!B$3:B$999,SMALL(IF((Expenses!E$3:E$999="GBP")*(Expenses!A$3:A$999=DATE(2026,12,3)),ROW(Expenses!A$3:A$999)-2),2)),"")&lt;&gt;"",IFERROR(INDEX(Expenses!B$3:B$999,SMALL(IF((Expenses!E$3:E$999="GBP")*(Expenses!A$3:A$999=DATE(2026,12,3)),ROW(Expenses!A$3:A$999)-2),2)),""),IF(IFERROR(INDEX(Income!B$3:B$502,SMALL(IF((Income!D$3:D$502="GBP")*(Income!A$3:A$502=DATE(2026,12,3)),ROW(Income!A$3:A$502)-2),2)),"")&lt;&gt;"",IFERROR(INDEX(Income!B$3:B$502,SMALL(IF((Income!D$3:D$502="GBP")*(Income!A$3:A$502=DATE(2026,12,3)),ROW(Income!A$3:A$502)-2),2)),""),""))</f>
        <v/>
      </c>
      <c r="K245" s="152">
        <f t="array" ref="K245">IF(IFERROR(-INDEX(Expenses!D$3:D$999,SMALL(IF((Expenses!E$3:E$999="GBP")*(Expenses!A$3:A$999=DATE(2026,12,4)),ROW(Expenses!A$3:A$999)-2),2)),0)+IFERROR(INDEX(Income!C$3:C$502,SMALL(IF((Income!D$3:D$502="GBP")*(Income!A$3:A$502=DATE(2026,12,4)),ROW(Income!A$3:A$502)-2),2)),0)=0,"",IFERROR(-INDEX(Expenses!D$3:D$999,SMALL(IF((Expenses!E$3:E$999="GBP")*(Expenses!A$3:A$999=DATE(2026,12,4)),ROW(Expenses!A$3:A$999)-2),2)),0)+IFERROR(INDEX(Income!C$3:C$502,SMALL(IF((Income!D$3:D$502="GBP")*(Income!A$3:A$502=DATE(2026,12,4)),ROW(Income!A$3:A$502)-2),2)),0))</f>
        <v/>
      </c>
      <c r="L245" s="126">
        <f t="array" ref="L245">IF(IFERROR(INDEX(Expenses!B$3:B$999,SMALL(IF((Expenses!E$3:E$999="GBP")*(Expenses!A$3:A$999=DATE(2026,12,4)),ROW(Expenses!A$3:A$999)-2),2)),"")&lt;&gt;"",IFERROR(INDEX(Expenses!B$3:B$999,SMALL(IF((Expenses!E$3:E$999="GBP")*(Expenses!A$3:A$999=DATE(2026,12,4)),ROW(Expenses!A$3:A$999)-2),2)),""),IF(IFERROR(INDEX(Income!B$3:B$502,SMALL(IF((Income!D$3:D$502="GBP")*(Income!A$3:A$502=DATE(2026,12,4)),ROW(Income!A$3:A$502)-2),2)),"")&lt;&gt;"",IFERROR(INDEX(Income!B$3:B$502,SMALL(IF((Income!D$3:D$502="GBP")*(Income!A$3:A$502=DATE(2026,12,4)),ROW(Income!A$3:A$502)-2),2)),""),""))</f>
        <v/>
      </c>
      <c r="M245" s="152">
        <f t="array" ref="M245">IF(IFERROR(-INDEX(Expenses!D$3:D$999,SMALL(IF((Expenses!E$3:E$999="GBP")*(Expenses!A$3:A$999=DATE(2026,12,5)),ROW(Expenses!A$3:A$999)-2),2)),0)+IFERROR(INDEX(Income!C$3:C$502,SMALL(IF((Income!D$3:D$502="GBP")*(Income!A$3:A$502=DATE(2026,12,5)),ROW(Income!A$3:A$502)-2),2)),0)=0,"",IFERROR(-INDEX(Expenses!D$3:D$999,SMALL(IF((Expenses!E$3:E$999="GBP")*(Expenses!A$3:A$999=DATE(2026,12,5)),ROW(Expenses!A$3:A$999)-2),2)),0)+IFERROR(INDEX(Income!C$3:C$502,SMALL(IF((Income!D$3:D$502="GBP")*(Income!A$3:A$502=DATE(2026,12,5)),ROW(Income!A$3:A$502)-2),2)),0))</f>
        <v/>
      </c>
      <c r="N245" s="126">
        <f t="array" ref="N245">IF(IFERROR(INDEX(Expenses!B$3:B$999,SMALL(IF((Expenses!E$3:E$999="GBP")*(Expenses!A$3:A$999=DATE(2026,12,5)),ROW(Expenses!A$3:A$999)-2),2)),"")&lt;&gt;"",IFERROR(INDEX(Expenses!B$3:B$999,SMALL(IF((Expenses!E$3:E$999="GBP")*(Expenses!A$3:A$999=DATE(2026,12,5)),ROW(Expenses!A$3:A$999)-2),2)),""),IF(IFERROR(INDEX(Income!B$3:B$502,SMALL(IF((Income!D$3:D$502="GBP")*(Income!A$3:A$502=DATE(2026,12,5)),ROW(Income!A$3:A$502)-2),2)),"")&lt;&gt;"",IFERROR(INDEX(Income!B$3:B$502,SMALL(IF((Income!D$3:D$502="GBP")*(Income!A$3:A$502=DATE(2026,12,5)),ROW(Income!A$3:A$502)-2),2)),""),""))</f>
        <v/>
      </c>
      <c r="O245" s="152">
        <f t="array" ref="O245">IF(IFERROR(-INDEX(Expenses!D$3:D$999,SMALL(IF((Expenses!E$3:E$999="GBP")*(Expenses!A$3:A$999=DATE(2026,12,6)),ROW(Expenses!A$3:A$999)-2),2)),0)+IFERROR(INDEX(Income!C$3:C$502,SMALL(IF((Income!D$3:D$502="GBP")*(Income!A$3:A$502=DATE(2026,12,6)),ROW(Income!A$3:A$502)-2),2)),0)=0,"",IFERROR(-INDEX(Expenses!D$3:D$999,SMALL(IF((Expenses!E$3:E$999="GBP")*(Expenses!A$3:A$999=DATE(2026,12,6)),ROW(Expenses!A$3:A$999)-2),2)),0)+IFERROR(INDEX(Income!C$3:C$502,SMALL(IF((Income!D$3:D$502="GBP")*(Income!A$3:A$502=DATE(2026,12,6)),ROW(Income!A$3:A$502)-2),2)),0))</f>
        <v/>
      </c>
      <c r="P245" s="126">
        <f t="array" ref="P245">IF(IFERROR(INDEX(Expenses!B$3:B$999,SMALL(IF((Expenses!E$3:E$999="GBP")*(Expenses!A$3:A$999=DATE(2026,12,6)),ROW(Expenses!A$3:A$999)-2),2)),"")&lt;&gt;"",IFERROR(INDEX(Expenses!B$3:B$999,SMALL(IF((Expenses!E$3:E$999="GBP")*(Expenses!A$3:A$999=DATE(2026,12,6)),ROW(Expenses!A$3:A$999)-2),2)),""),IF(IFERROR(INDEX(Income!B$3:B$502,SMALL(IF((Income!D$3:D$502="GBP")*(Income!A$3:A$502=DATE(2026,12,6)),ROW(Income!A$3:A$502)-2),2)),"")&lt;&gt;"",IFERROR(INDEX(Income!B$3:B$502,SMALL(IF((Income!D$3:D$502="GBP")*(Income!A$3:A$502=DATE(2026,12,6)),ROW(Income!A$3:A$502)-2),2)),""),""))</f>
        <v/>
      </c>
      <c r="Q245" s="9" t="n"/>
      <c r="R245" s="9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68">
      <c r="A246" s="9" t="n"/>
      <c r="B246" s="9" t="n"/>
      <c r="C246" s="152">
        <f t="array" ref="C246">IF(IFERROR(-INDEX(Expenses!D$3:D$999,SMALL(IF((Expenses!E$3:E$999="GBP")*(Expenses!A$3:A$999=DATE(2026,11,30)),ROW(Expenses!A$3:A$999)-2),3)),0)+IFERROR(INDEX(Income!C$3:C$502,SMALL(IF((Income!D$3:D$502="GBP")*(Income!A$3:A$502=DATE(2026,11,30)),ROW(Income!A$3:A$502)-2),3)),0)=0,"",IFERROR(-INDEX(Expenses!D$3:D$999,SMALL(IF((Expenses!E$3:E$999="GBP")*(Expenses!A$3:A$999=DATE(2026,11,30)),ROW(Expenses!A$3:A$999)-2),3)),0)+IFERROR(INDEX(Income!C$3:C$502,SMALL(IF((Income!D$3:D$502="GBP")*(Income!A$3:A$502=DATE(2026,11,30)),ROW(Income!A$3:A$502)-2),3)),0))</f>
        <v/>
      </c>
      <c r="D246" s="126">
        <f t="array" ref="D246">IF(IFERROR(INDEX(Expenses!B$3:B$999,SMALL(IF((Expenses!E$3:E$999="GBP")*(Expenses!A$3:A$999=DATE(2026,11,30)),ROW(Expenses!A$3:A$999)-2),3)),"")&lt;&gt;"",IFERROR(INDEX(Expenses!B$3:B$999,SMALL(IF((Expenses!E$3:E$999="GBP")*(Expenses!A$3:A$999=DATE(2026,11,30)),ROW(Expenses!A$3:A$999)-2),3)),""),IF(IFERROR(INDEX(Income!B$3:B$502,SMALL(IF((Income!D$3:D$502="GBP")*(Income!A$3:A$502=DATE(2026,11,30)),ROW(Income!A$3:A$502)-2),3)),"")&lt;&gt;"",IFERROR(INDEX(Income!B$3:B$502,SMALL(IF((Income!D$3:D$502="GBP")*(Income!A$3:A$502=DATE(2026,11,30)),ROW(Income!A$3:A$502)-2),3)),""),""))</f>
        <v/>
      </c>
      <c r="E246" s="152">
        <f t="array" ref="E246">IF(IFERROR(-INDEX(Expenses!D$3:D$999,SMALL(IF((Expenses!E$3:E$999="GBP")*(Expenses!A$3:A$999=DATE(2026,12,1)),ROW(Expenses!A$3:A$999)-2),3)),0)+IFERROR(INDEX(Income!C$3:C$502,SMALL(IF((Income!D$3:D$502="GBP")*(Income!A$3:A$502=DATE(2026,12,1)),ROW(Income!A$3:A$502)-2),3)),0)=0,"",IFERROR(-INDEX(Expenses!D$3:D$999,SMALL(IF((Expenses!E$3:E$999="GBP")*(Expenses!A$3:A$999=DATE(2026,12,1)),ROW(Expenses!A$3:A$999)-2),3)),0)+IFERROR(INDEX(Income!C$3:C$502,SMALL(IF((Income!D$3:D$502="GBP")*(Income!A$3:A$502=DATE(2026,12,1)),ROW(Income!A$3:A$502)-2),3)),0))</f>
        <v/>
      </c>
      <c r="F246" s="126">
        <f t="array" ref="F246">IF(IFERROR(INDEX(Expenses!B$3:B$999,SMALL(IF((Expenses!E$3:E$999="GBP")*(Expenses!A$3:A$999=DATE(2026,12,1)),ROW(Expenses!A$3:A$999)-2),3)),"")&lt;&gt;"",IFERROR(INDEX(Expenses!B$3:B$999,SMALL(IF((Expenses!E$3:E$999="GBP")*(Expenses!A$3:A$999=DATE(2026,12,1)),ROW(Expenses!A$3:A$999)-2),3)),""),IF(IFERROR(INDEX(Income!B$3:B$502,SMALL(IF((Income!D$3:D$502="GBP")*(Income!A$3:A$502=DATE(2026,12,1)),ROW(Income!A$3:A$502)-2),3)),"")&lt;&gt;"",IFERROR(INDEX(Income!B$3:B$502,SMALL(IF((Income!D$3:D$502="GBP")*(Income!A$3:A$502=DATE(2026,12,1)),ROW(Income!A$3:A$502)-2),3)),""),""))</f>
        <v/>
      </c>
      <c r="G246" s="152">
        <f t="array" ref="G246">IF(IFERROR(-INDEX(Expenses!D$3:D$999,SMALL(IF((Expenses!E$3:E$999="GBP")*(Expenses!A$3:A$999=DATE(2026,12,2)),ROW(Expenses!A$3:A$999)-2),3)),0)+IFERROR(INDEX(Income!C$3:C$502,SMALL(IF((Income!D$3:D$502="GBP")*(Income!A$3:A$502=DATE(2026,12,2)),ROW(Income!A$3:A$502)-2),3)),0)=0,"",IFERROR(-INDEX(Expenses!D$3:D$999,SMALL(IF((Expenses!E$3:E$999="GBP")*(Expenses!A$3:A$999=DATE(2026,12,2)),ROW(Expenses!A$3:A$999)-2),3)),0)+IFERROR(INDEX(Income!C$3:C$502,SMALL(IF((Income!D$3:D$502="GBP")*(Income!A$3:A$502=DATE(2026,12,2)),ROW(Income!A$3:A$502)-2),3)),0))</f>
        <v/>
      </c>
      <c r="H246" s="126">
        <f t="array" ref="H246">IF(IFERROR(INDEX(Expenses!B$3:B$999,SMALL(IF((Expenses!E$3:E$999="GBP")*(Expenses!A$3:A$999=DATE(2026,12,2)),ROW(Expenses!A$3:A$999)-2),3)),"")&lt;&gt;"",IFERROR(INDEX(Expenses!B$3:B$999,SMALL(IF((Expenses!E$3:E$999="GBP")*(Expenses!A$3:A$999=DATE(2026,12,2)),ROW(Expenses!A$3:A$999)-2),3)),""),IF(IFERROR(INDEX(Income!B$3:B$502,SMALL(IF((Income!D$3:D$502="GBP")*(Income!A$3:A$502=DATE(2026,12,2)),ROW(Income!A$3:A$502)-2),3)),"")&lt;&gt;"",IFERROR(INDEX(Income!B$3:B$502,SMALL(IF((Income!D$3:D$502="GBP")*(Income!A$3:A$502=DATE(2026,12,2)),ROW(Income!A$3:A$502)-2),3)),""),""))</f>
        <v/>
      </c>
      <c r="I246" s="152">
        <f t="array" ref="I246">IF(IFERROR(-INDEX(Expenses!D$3:D$999,SMALL(IF((Expenses!E$3:E$999="GBP")*(Expenses!A$3:A$999=DATE(2026,12,3)),ROW(Expenses!A$3:A$999)-2),3)),0)+IFERROR(INDEX(Income!C$3:C$502,SMALL(IF((Income!D$3:D$502="GBP")*(Income!A$3:A$502=DATE(2026,12,3)),ROW(Income!A$3:A$502)-2),3)),0)=0,"",IFERROR(-INDEX(Expenses!D$3:D$999,SMALL(IF((Expenses!E$3:E$999="GBP")*(Expenses!A$3:A$999=DATE(2026,12,3)),ROW(Expenses!A$3:A$999)-2),3)),0)+IFERROR(INDEX(Income!C$3:C$502,SMALL(IF((Income!D$3:D$502="GBP")*(Income!A$3:A$502=DATE(2026,12,3)),ROW(Income!A$3:A$502)-2),3)),0))</f>
        <v/>
      </c>
      <c r="J246" s="126">
        <f t="array" ref="J246">IF(IFERROR(INDEX(Expenses!B$3:B$999,SMALL(IF((Expenses!E$3:E$999="GBP")*(Expenses!A$3:A$999=DATE(2026,12,3)),ROW(Expenses!A$3:A$999)-2),3)),"")&lt;&gt;"",IFERROR(INDEX(Expenses!B$3:B$999,SMALL(IF((Expenses!E$3:E$999="GBP")*(Expenses!A$3:A$999=DATE(2026,12,3)),ROW(Expenses!A$3:A$999)-2),3)),""),IF(IFERROR(INDEX(Income!B$3:B$502,SMALL(IF((Income!D$3:D$502="GBP")*(Income!A$3:A$502=DATE(2026,12,3)),ROW(Income!A$3:A$502)-2),3)),"")&lt;&gt;"",IFERROR(INDEX(Income!B$3:B$502,SMALL(IF((Income!D$3:D$502="GBP")*(Income!A$3:A$502=DATE(2026,12,3)),ROW(Income!A$3:A$502)-2),3)),""),""))</f>
        <v/>
      </c>
      <c r="K246" s="152">
        <f t="array" ref="K246">IF(IFERROR(-INDEX(Expenses!D$3:D$999,SMALL(IF((Expenses!E$3:E$999="GBP")*(Expenses!A$3:A$999=DATE(2026,12,4)),ROW(Expenses!A$3:A$999)-2),3)),0)+IFERROR(INDEX(Income!C$3:C$502,SMALL(IF((Income!D$3:D$502="GBP")*(Income!A$3:A$502=DATE(2026,12,4)),ROW(Income!A$3:A$502)-2),3)),0)=0,"",IFERROR(-INDEX(Expenses!D$3:D$999,SMALL(IF((Expenses!E$3:E$999="GBP")*(Expenses!A$3:A$999=DATE(2026,12,4)),ROW(Expenses!A$3:A$999)-2),3)),0)+IFERROR(INDEX(Income!C$3:C$502,SMALL(IF((Income!D$3:D$502="GBP")*(Income!A$3:A$502=DATE(2026,12,4)),ROW(Income!A$3:A$502)-2),3)),0))</f>
        <v/>
      </c>
      <c r="L246" s="126">
        <f t="array" ref="L246">IF(IFERROR(INDEX(Expenses!B$3:B$999,SMALL(IF((Expenses!E$3:E$999="GBP")*(Expenses!A$3:A$999=DATE(2026,12,4)),ROW(Expenses!A$3:A$999)-2),3)),"")&lt;&gt;"",IFERROR(INDEX(Expenses!B$3:B$999,SMALL(IF((Expenses!E$3:E$999="GBP")*(Expenses!A$3:A$999=DATE(2026,12,4)),ROW(Expenses!A$3:A$999)-2),3)),""),IF(IFERROR(INDEX(Income!B$3:B$502,SMALL(IF((Income!D$3:D$502="GBP")*(Income!A$3:A$502=DATE(2026,12,4)),ROW(Income!A$3:A$502)-2),3)),"")&lt;&gt;"",IFERROR(INDEX(Income!B$3:B$502,SMALL(IF((Income!D$3:D$502="GBP")*(Income!A$3:A$502=DATE(2026,12,4)),ROW(Income!A$3:A$502)-2),3)),""),""))</f>
        <v/>
      </c>
      <c r="M246" s="152">
        <f t="array" ref="M246">IF(IFERROR(-INDEX(Expenses!D$3:D$999,SMALL(IF((Expenses!E$3:E$999="GBP")*(Expenses!A$3:A$999=DATE(2026,12,5)),ROW(Expenses!A$3:A$999)-2),3)),0)+IFERROR(INDEX(Income!C$3:C$502,SMALL(IF((Income!D$3:D$502="GBP")*(Income!A$3:A$502=DATE(2026,12,5)),ROW(Income!A$3:A$502)-2),3)),0)=0,"",IFERROR(-INDEX(Expenses!D$3:D$999,SMALL(IF((Expenses!E$3:E$999="GBP")*(Expenses!A$3:A$999=DATE(2026,12,5)),ROW(Expenses!A$3:A$999)-2),3)),0)+IFERROR(INDEX(Income!C$3:C$502,SMALL(IF((Income!D$3:D$502="GBP")*(Income!A$3:A$502=DATE(2026,12,5)),ROW(Income!A$3:A$502)-2),3)),0))</f>
        <v/>
      </c>
      <c r="N246" s="126">
        <f t="array" ref="N246">IF(IFERROR(INDEX(Expenses!B$3:B$999,SMALL(IF((Expenses!E$3:E$999="GBP")*(Expenses!A$3:A$999=DATE(2026,12,5)),ROW(Expenses!A$3:A$999)-2),3)),"")&lt;&gt;"",IFERROR(INDEX(Expenses!B$3:B$999,SMALL(IF((Expenses!E$3:E$999="GBP")*(Expenses!A$3:A$999=DATE(2026,12,5)),ROW(Expenses!A$3:A$999)-2),3)),""),IF(IFERROR(INDEX(Income!B$3:B$502,SMALL(IF((Income!D$3:D$502="GBP")*(Income!A$3:A$502=DATE(2026,12,5)),ROW(Income!A$3:A$502)-2),3)),"")&lt;&gt;"",IFERROR(INDEX(Income!B$3:B$502,SMALL(IF((Income!D$3:D$502="GBP")*(Income!A$3:A$502=DATE(2026,12,5)),ROW(Income!A$3:A$502)-2),3)),""),""))</f>
        <v/>
      </c>
      <c r="O246" s="152">
        <f t="array" ref="O246">IF(IFERROR(-INDEX(Expenses!D$3:D$999,SMALL(IF((Expenses!E$3:E$999="GBP")*(Expenses!A$3:A$999=DATE(2026,12,6)),ROW(Expenses!A$3:A$999)-2),3)),0)+IFERROR(INDEX(Income!C$3:C$502,SMALL(IF((Income!D$3:D$502="GBP")*(Income!A$3:A$502=DATE(2026,12,6)),ROW(Income!A$3:A$502)-2),3)),0)=0,"",IFERROR(-INDEX(Expenses!D$3:D$999,SMALL(IF((Expenses!E$3:E$999="GBP")*(Expenses!A$3:A$999=DATE(2026,12,6)),ROW(Expenses!A$3:A$999)-2),3)),0)+IFERROR(INDEX(Income!C$3:C$502,SMALL(IF((Income!D$3:D$502="GBP")*(Income!A$3:A$502=DATE(2026,12,6)),ROW(Income!A$3:A$502)-2),3)),0))</f>
        <v/>
      </c>
      <c r="P246" s="126">
        <f t="array" ref="P246">IF(IFERROR(INDEX(Expenses!B$3:B$999,SMALL(IF((Expenses!E$3:E$999="GBP")*(Expenses!A$3:A$999=DATE(2026,12,6)),ROW(Expenses!A$3:A$999)-2),3)),"")&lt;&gt;"",IFERROR(INDEX(Expenses!B$3:B$999,SMALL(IF((Expenses!E$3:E$999="GBP")*(Expenses!A$3:A$999=DATE(2026,12,6)),ROW(Expenses!A$3:A$999)-2),3)),""),IF(IFERROR(INDEX(Income!B$3:B$502,SMALL(IF((Income!D$3:D$502="GBP")*(Income!A$3:A$502=DATE(2026,12,6)),ROW(Income!A$3:A$502)-2),3)),"")&lt;&gt;"",IFERROR(INDEX(Income!B$3:B$502,SMALL(IF((Income!D$3:D$502="GBP")*(Income!A$3:A$502=DATE(2026,12,6)),ROW(Income!A$3:A$502)-2),3)),""),""))</f>
        <v/>
      </c>
      <c r="Q246" s="9" t="n"/>
      <c r="R246" s="9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68">
      <c r="A247" s="9" t="n"/>
      <c r="B247" s="9" t="n"/>
      <c r="C247" s="152">
        <f t="array" ref="C247">IF(IFERROR(-INDEX(Expenses!D$3:D$999,SMALL(IF((Expenses!E$3:E$999="GBP")*(Expenses!A$3:A$999=DATE(2026,11,30)),ROW(Expenses!A$3:A$999)-2),4)),0)+IFERROR(INDEX(Income!C$3:C$502,SMALL(IF((Income!D$3:D$502="GBP")*(Income!A$3:A$502=DATE(2026,11,30)),ROW(Income!A$3:A$502)-2),4)),0)=0,"",IFERROR(-INDEX(Expenses!D$3:D$999,SMALL(IF((Expenses!E$3:E$999="GBP")*(Expenses!A$3:A$999=DATE(2026,11,30)),ROW(Expenses!A$3:A$999)-2),4)),0)+IFERROR(INDEX(Income!C$3:C$502,SMALL(IF((Income!D$3:D$502="GBP")*(Income!A$3:A$502=DATE(2026,11,30)),ROW(Income!A$3:A$502)-2),4)),0))</f>
        <v/>
      </c>
      <c r="D247" s="126">
        <f t="array" ref="D247">IF(IFERROR(INDEX(Expenses!B$3:B$999,SMALL(IF((Expenses!E$3:E$999="GBP")*(Expenses!A$3:A$999=DATE(2026,11,30)),ROW(Expenses!A$3:A$999)-2),4)),"")&lt;&gt;"",IFERROR(INDEX(Expenses!B$3:B$999,SMALL(IF((Expenses!E$3:E$999="GBP")*(Expenses!A$3:A$999=DATE(2026,11,30)),ROW(Expenses!A$3:A$999)-2),4)),""),IF(IFERROR(INDEX(Income!B$3:B$502,SMALL(IF((Income!D$3:D$502="GBP")*(Income!A$3:A$502=DATE(2026,11,30)),ROW(Income!A$3:A$502)-2),4)),"")&lt;&gt;"",IFERROR(INDEX(Income!B$3:B$502,SMALL(IF((Income!D$3:D$502="GBP")*(Income!A$3:A$502=DATE(2026,11,30)),ROW(Income!A$3:A$502)-2),4)),""),""))</f>
        <v/>
      </c>
      <c r="E247" s="152">
        <f t="array" ref="E247">IF(IFERROR(-INDEX(Expenses!D$3:D$999,SMALL(IF((Expenses!E$3:E$999="GBP")*(Expenses!A$3:A$999=DATE(2026,12,1)),ROW(Expenses!A$3:A$999)-2),4)),0)+IFERROR(INDEX(Income!C$3:C$502,SMALL(IF((Income!D$3:D$502="GBP")*(Income!A$3:A$502=DATE(2026,12,1)),ROW(Income!A$3:A$502)-2),4)),0)=0,"",IFERROR(-INDEX(Expenses!D$3:D$999,SMALL(IF((Expenses!E$3:E$999="GBP")*(Expenses!A$3:A$999=DATE(2026,12,1)),ROW(Expenses!A$3:A$999)-2),4)),0)+IFERROR(INDEX(Income!C$3:C$502,SMALL(IF((Income!D$3:D$502="GBP")*(Income!A$3:A$502=DATE(2026,12,1)),ROW(Income!A$3:A$502)-2),4)),0))</f>
        <v/>
      </c>
      <c r="F247" s="126">
        <f t="array" ref="F247">IF(IFERROR(INDEX(Expenses!B$3:B$999,SMALL(IF((Expenses!E$3:E$999="GBP")*(Expenses!A$3:A$999=DATE(2026,12,1)),ROW(Expenses!A$3:A$999)-2),4)),"")&lt;&gt;"",IFERROR(INDEX(Expenses!B$3:B$999,SMALL(IF((Expenses!E$3:E$999="GBP")*(Expenses!A$3:A$999=DATE(2026,12,1)),ROW(Expenses!A$3:A$999)-2),4)),""),IF(IFERROR(INDEX(Income!B$3:B$502,SMALL(IF((Income!D$3:D$502="GBP")*(Income!A$3:A$502=DATE(2026,12,1)),ROW(Income!A$3:A$502)-2),4)),"")&lt;&gt;"",IFERROR(INDEX(Income!B$3:B$502,SMALL(IF((Income!D$3:D$502="GBP")*(Income!A$3:A$502=DATE(2026,12,1)),ROW(Income!A$3:A$502)-2),4)),""),""))</f>
        <v/>
      </c>
      <c r="G247" s="152">
        <f t="array" ref="G247">IF(IFERROR(-INDEX(Expenses!D$3:D$999,SMALL(IF((Expenses!E$3:E$999="GBP")*(Expenses!A$3:A$999=DATE(2026,12,2)),ROW(Expenses!A$3:A$999)-2),4)),0)+IFERROR(INDEX(Income!C$3:C$502,SMALL(IF((Income!D$3:D$502="GBP")*(Income!A$3:A$502=DATE(2026,12,2)),ROW(Income!A$3:A$502)-2),4)),0)=0,"",IFERROR(-INDEX(Expenses!D$3:D$999,SMALL(IF((Expenses!E$3:E$999="GBP")*(Expenses!A$3:A$999=DATE(2026,12,2)),ROW(Expenses!A$3:A$999)-2),4)),0)+IFERROR(INDEX(Income!C$3:C$502,SMALL(IF((Income!D$3:D$502="GBP")*(Income!A$3:A$502=DATE(2026,12,2)),ROW(Income!A$3:A$502)-2),4)),0))</f>
        <v/>
      </c>
      <c r="H247" s="126">
        <f t="array" ref="H247">IF(IFERROR(INDEX(Expenses!B$3:B$999,SMALL(IF((Expenses!E$3:E$999="GBP")*(Expenses!A$3:A$999=DATE(2026,12,2)),ROW(Expenses!A$3:A$999)-2),4)),"")&lt;&gt;"",IFERROR(INDEX(Expenses!B$3:B$999,SMALL(IF((Expenses!E$3:E$999="GBP")*(Expenses!A$3:A$999=DATE(2026,12,2)),ROW(Expenses!A$3:A$999)-2),4)),""),IF(IFERROR(INDEX(Income!B$3:B$502,SMALL(IF((Income!D$3:D$502="GBP")*(Income!A$3:A$502=DATE(2026,12,2)),ROW(Income!A$3:A$502)-2),4)),"")&lt;&gt;"",IFERROR(INDEX(Income!B$3:B$502,SMALL(IF((Income!D$3:D$502="GBP")*(Income!A$3:A$502=DATE(2026,12,2)),ROW(Income!A$3:A$502)-2),4)),""),""))</f>
        <v/>
      </c>
      <c r="I247" s="152">
        <f t="array" ref="I247">IF(IFERROR(-INDEX(Expenses!D$3:D$999,SMALL(IF((Expenses!E$3:E$999="GBP")*(Expenses!A$3:A$999=DATE(2026,12,3)),ROW(Expenses!A$3:A$999)-2),4)),0)+IFERROR(INDEX(Income!C$3:C$502,SMALL(IF((Income!D$3:D$502="GBP")*(Income!A$3:A$502=DATE(2026,12,3)),ROW(Income!A$3:A$502)-2),4)),0)=0,"",IFERROR(-INDEX(Expenses!D$3:D$999,SMALL(IF((Expenses!E$3:E$999="GBP")*(Expenses!A$3:A$999=DATE(2026,12,3)),ROW(Expenses!A$3:A$999)-2),4)),0)+IFERROR(INDEX(Income!C$3:C$502,SMALL(IF((Income!D$3:D$502="GBP")*(Income!A$3:A$502=DATE(2026,12,3)),ROW(Income!A$3:A$502)-2),4)),0))</f>
        <v/>
      </c>
      <c r="J247" s="126">
        <f t="array" ref="J247">IF(IFERROR(INDEX(Expenses!B$3:B$999,SMALL(IF((Expenses!E$3:E$999="GBP")*(Expenses!A$3:A$999=DATE(2026,12,3)),ROW(Expenses!A$3:A$999)-2),4)),"")&lt;&gt;"",IFERROR(INDEX(Expenses!B$3:B$999,SMALL(IF((Expenses!E$3:E$999="GBP")*(Expenses!A$3:A$999=DATE(2026,12,3)),ROW(Expenses!A$3:A$999)-2),4)),""),IF(IFERROR(INDEX(Income!B$3:B$502,SMALL(IF((Income!D$3:D$502="GBP")*(Income!A$3:A$502=DATE(2026,12,3)),ROW(Income!A$3:A$502)-2),4)),"")&lt;&gt;"",IFERROR(INDEX(Income!B$3:B$502,SMALL(IF((Income!D$3:D$502="GBP")*(Income!A$3:A$502=DATE(2026,12,3)),ROW(Income!A$3:A$502)-2),4)),""),""))</f>
        <v/>
      </c>
      <c r="K247" s="152">
        <f t="array" ref="K247">IF(IFERROR(-INDEX(Expenses!D$3:D$999,SMALL(IF((Expenses!E$3:E$999="GBP")*(Expenses!A$3:A$999=DATE(2026,12,4)),ROW(Expenses!A$3:A$999)-2),4)),0)+IFERROR(INDEX(Income!C$3:C$502,SMALL(IF((Income!D$3:D$502="GBP")*(Income!A$3:A$502=DATE(2026,12,4)),ROW(Income!A$3:A$502)-2),4)),0)=0,"",IFERROR(-INDEX(Expenses!D$3:D$999,SMALL(IF((Expenses!E$3:E$999="GBP")*(Expenses!A$3:A$999=DATE(2026,12,4)),ROW(Expenses!A$3:A$999)-2),4)),0)+IFERROR(INDEX(Income!C$3:C$502,SMALL(IF((Income!D$3:D$502="GBP")*(Income!A$3:A$502=DATE(2026,12,4)),ROW(Income!A$3:A$502)-2),4)),0))</f>
        <v/>
      </c>
      <c r="L247" s="126">
        <f t="array" ref="L247">IF(IFERROR(INDEX(Expenses!B$3:B$999,SMALL(IF((Expenses!E$3:E$999="GBP")*(Expenses!A$3:A$999=DATE(2026,12,4)),ROW(Expenses!A$3:A$999)-2),4)),"")&lt;&gt;"",IFERROR(INDEX(Expenses!B$3:B$999,SMALL(IF((Expenses!E$3:E$999="GBP")*(Expenses!A$3:A$999=DATE(2026,12,4)),ROW(Expenses!A$3:A$999)-2),4)),""),IF(IFERROR(INDEX(Income!B$3:B$502,SMALL(IF((Income!D$3:D$502="GBP")*(Income!A$3:A$502=DATE(2026,12,4)),ROW(Income!A$3:A$502)-2),4)),"")&lt;&gt;"",IFERROR(INDEX(Income!B$3:B$502,SMALL(IF((Income!D$3:D$502="GBP")*(Income!A$3:A$502=DATE(2026,12,4)),ROW(Income!A$3:A$502)-2),4)),""),""))</f>
        <v/>
      </c>
      <c r="M247" s="152">
        <f t="array" ref="M247">IF(IFERROR(-INDEX(Expenses!D$3:D$999,SMALL(IF((Expenses!E$3:E$999="GBP")*(Expenses!A$3:A$999=DATE(2026,12,5)),ROW(Expenses!A$3:A$999)-2),4)),0)+IFERROR(INDEX(Income!C$3:C$502,SMALL(IF((Income!D$3:D$502="GBP")*(Income!A$3:A$502=DATE(2026,12,5)),ROW(Income!A$3:A$502)-2),4)),0)=0,"",IFERROR(-INDEX(Expenses!D$3:D$999,SMALL(IF((Expenses!E$3:E$999="GBP")*(Expenses!A$3:A$999=DATE(2026,12,5)),ROW(Expenses!A$3:A$999)-2),4)),0)+IFERROR(INDEX(Income!C$3:C$502,SMALL(IF((Income!D$3:D$502="GBP")*(Income!A$3:A$502=DATE(2026,12,5)),ROW(Income!A$3:A$502)-2),4)),0))</f>
        <v/>
      </c>
      <c r="N247" s="126">
        <f t="array" ref="N247">IF(IFERROR(INDEX(Expenses!B$3:B$999,SMALL(IF((Expenses!E$3:E$999="GBP")*(Expenses!A$3:A$999=DATE(2026,12,5)),ROW(Expenses!A$3:A$999)-2),4)),"")&lt;&gt;"",IFERROR(INDEX(Expenses!B$3:B$999,SMALL(IF((Expenses!E$3:E$999="GBP")*(Expenses!A$3:A$999=DATE(2026,12,5)),ROW(Expenses!A$3:A$999)-2),4)),""),IF(IFERROR(INDEX(Income!B$3:B$502,SMALL(IF((Income!D$3:D$502="GBP")*(Income!A$3:A$502=DATE(2026,12,5)),ROW(Income!A$3:A$502)-2),4)),"")&lt;&gt;"",IFERROR(INDEX(Income!B$3:B$502,SMALL(IF((Income!D$3:D$502="GBP")*(Income!A$3:A$502=DATE(2026,12,5)),ROW(Income!A$3:A$502)-2),4)),""),""))</f>
        <v/>
      </c>
      <c r="O247" s="152">
        <f t="array" ref="O247">IF(IFERROR(-INDEX(Expenses!D$3:D$999,SMALL(IF((Expenses!E$3:E$999="GBP")*(Expenses!A$3:A$999=DATE(2026,12,6)),ROW(Expenses!A$3:A$999)-2),4)),0)+IFERROR(INDEX(Income!C$3:C$502,SMALL(IF((Income!D$3:D$502="GBP")*(Income!A$3:A$502=DATE(2026,12,6)),ROW(Income!A$3:A$502)-2),4)),0)=0,"",IFERROR(-INDEX(Expenses!D$3:D$999,SMALL(IF((Expenses!E$3:E$999="GBP")*(Expenses!A$3:A$999=DATE(2026,12,6)),ROW(Expenses!A$3:A$999)-2),4)),0)+IFERROR(INDEX(Income!C$3:C$502,SMALL(IF((Income!D$3:D$502="GBP")*(Income!A$3:A$502=DATE(2026,12,6)),ROW(Income!A$3:A$502)-2),4)),0))</f>
        <v/>
      </c>
      <c r="P247" s="126">
        <f t="array" ref="P247">IF(IFERROR(INDEX(Expenses!B$3:B$999,SMALL(IF((Expenses!E$3:E$999="GBP")*(Expenses!A$3:A$999=DATE(2026,12,6)),ROW(Expenses!A$3:A$999)-2),4)),"")&lt;&gt;"",IFERROR(INDEX(Expenses!B$3:B$999,SMALL(IF((Expenses!E$3:E$999="GBP")*(Expenses!A$3:A$999=DATE(2026,12,6)),ROW(Expenses!A$3:A$999)-2),4)),""),IF(IFERROR(INDEX(Income!B$3:B$502,SMALL(IF((Income!D$3:D$502="GBP")*(Income!A$3:A$502=DATE(2026,12,6)),ROW(Income!A$3:A$502)-2),4)),"")&lt;&gt;"",IFERROR(INDEX(Income!B$3:B$502,SMALL(IF((Income!D$3:D$502="GBP")*(Income!A$3:A$502=DATE(2026,12,6)),ROW(Income!A$3:A$502)-2),4)),""),""))</f>
        <v/>
      </c>
      <c r="Q247" s="9" t="n"/>
      <c r="R247" s="9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68">
      <c r="A248" s="9" t="n"/>
      <c r="B248" s="9" t="n"/>
      <c r="C248" s="152">
        <f t="array" ref="C248">IF(IFERROR(-INDEX(Expenses!D$3:D$999,SMALL(IF((Expenses!E$3:E$999="GBP")*(Expenses!A$3:A$999=DATE(2026,11,30)),ROW(Expenses!A$3:A$999)-2),5)),0)+IFERROR(INDEX(Income!C$3:C$502,SMALL(IF((Income!D$3:D$502="GBP")*(Income!A$3:A$502=DATE(2026,11,30)),ROW(Income!A$3:A$502)-2),5)),0)=0,"",IFERROR(-INDEX(Expenses!D$3:D$999,SMALL(IF((Expenses!E$3:E$999="GBP")*(Expenses!A$3:A$999=DATE(2026,11,30)),ROW(Expenses!A$3:A$999)-2),5)),0)+IFERROR(INDEX(Income!C$3:C$502,SMALL(IF((Income!D$3:D$502="GBP")*(Income!A$3:A$502=DATE(2026,11,30)),ROW(Income!A$3:A$502)-2),5)),0))</f>
        <v/>
      </c>
      <c r="D248" s="126">
        <f t="array" ref="D248">IF(IFERROR(INDEX(Expenses!B$3:B$999,SMALL(IF((Expenses!E$3:E$999="GBP")*(Expenses!A$3:A$999=DATE(2026,11,30)),ROW(Expenses!A$3:A$999)-2),5)),"")&lt;&gt;"",IFERROR(INDEX(Expenses!B$3:B$999,SMALL(IF((Expenses!E$3:E$999="GBP")*(Expenses!A$3:A$999=DATE(2026,11,30)),ROW(Expenses!A$3:A$999)-2),5)),""),IF(IFERROR(INDEX(Income!B$3:B$502,SMALL(IF((Income!D$3:D$502="GBP")*(Income!A$3:A$502=DATE(2026,11,30)),ROW(Income!A$3:A$502)-2),5)),"")&lt;&gt;"",IFERROR(INDEX(Income!B$3:B$502,SMALL(IF((Income!D$3:D$502="GBP")*(Income!A$3:A$502=DATE(2026,11,30)),ROW(Income!A$3:A$502)-2),5)),""),""))</f>
        <v/>
      </c>
      <c r="E248" s="152">
        <f t="array" ref="E248">IF(IFERROR(-INDEX(Expenses!D$3:D$999,SMALL(IF((Expenses!E$3:E$999="GBP")*(Expenses!A$3:A$999=DATE(2026,12,1)),ROW(Expenses!A$3:A$999)-2),5)),0)+IFERROR(INDEX(Income!C$3:C$502,SMALL(IF((Income!D$3:D$502="GBP")*(Income!A$3:A$502=DATE(2026,12,1)),ROW(Income!A$3:A$502)-2),5)),0)=0,"",IFERROR(-INDEX(Expenses!D$3:D$999,SMALL(IF((Expenses!E$3:E$999="GBP")*(Expenses!A$3:A$999=DATE(2026,12,1)),ROW(Expenses!A$3:A$999)-2),5)),0)+IFERROR(INDEX(Income!C$3:C$502,SMALL(IF((Income!D$3:D$502="GBP")*(Income!A$3:A$502=DATE(2026,12,1)),ROW(Income!A$3:A$502)-2),5)),0))</f>
        <v/>
      </c>
      <c r="F248" s="126">
        <f t="array" ref="F248">IF(IFERROR(INDEX(Expenses!B$3:B$999,SMALL(IF((Expenses!E$3:E$999="GBP")*(Expenses!A$3:A$999=DATE(2026,12,1)),ROW(Expenses!A$3:A$999)-2),5)),"")&lt;&gt;"",IFERROR(INDEX(Expenses!B$3:B$999,SMALL(IF((Expenses!E$3:E$999="GBP")*(Expenses!A$3:A$999=DATE(2026,12,1)),ROW(Expenses!A$3:A$999)-2),5)),""),IF(IFERROR(INDEX(Income!B$3:B$502,SMALL(IF((Income!D$3:D$502="GBP")*(Income!A$3:A$502=DATE(2026,12,1)),ROW(Income!A$3:A$502)-2),5)),"")&lt;&gt;"",IFERROR(INDEX(Income!B$3:B$502,SMALL(IF((Income!D$3:D$502="GBP")*(Income!A$3:A$502=DATE(2026,12,1)),ROW(Income!A$3:A$502)-2),5)),""),""))</f>
        <v/>
      </c>
      <c r="G248" s="152">
        <f t="array" ref="G248">IF(IFERROR(-INDEX(Expenses!D$3:D$999,SMALL(IF((Expenses!E$3:E$999="GBP")*(Expenses!A$3:A$999=DATE(2026,12,2)),ROW(Expenses!A$3:A$999)-2),5)),0)+IFERROR(INDEX(Income!C$3:C$502,SMALL(IF((Income!D$3:D$502="GBP")*(Income!A$3:A$502=DATE(2026,12,2)),ROW(Income!A$3:A$502)-2),5)),0)=0,"",IFERROR(-INDEX(Expenses!D$3:D$999,SMALL(IF((Expenses!E$3:E$999="GBP")*(Expenses!A$3:A$999=DATE(2026,12,2)),ROW(Expenses!A$3:A$999)-2),5)),0)+IFERROR(INDEX(Income!C$3:C$502,SMALL(IF((Income!D$3:D$502="GBP")*(Income!A$3:A$502=DATE(2026,12,2)),ROW(Income!A$3:A$502)-2),5)),0))</f>
        <v/>
      </c>
      <c r="H248" s="126">
        <f t="array" ref="H248">IF(IFERROR(INDEX(Expenses!B$3:B$999,SMALL(IF((Expenses!E$3:E$999="GBP")*(Expenses!A$3:A$999=DATE(2026,12,2)),ROW(Expenses!A$3:A$999)-2),5)),"")&lt;&gt;"",IFERROR(INDEX(Expenses!B$3:B$999,SMALL(IF((Expenses!E$3:E$999="GBP")*(Expenses!A$3:A$999=DATE(2026,12,2)),ROW(Expenses!A$3:A$999)-2),5)),""),IF(IFERROR(INDEX(Income!B$3:B$502,SMALL(IF((Income!D$3:D$502="GBP")*(Income!A$3:A$502=DATE(2026,12,2)),ROW(Income!A$3:A$502)-2),5)),"")&lt;&gt;"",IFERROR(INDEX(Income!B$3:B$502,SMALL(IF((Income!D$3:D$502="GBP")*(Income!A$3:A$502=DATE(2026,12,2)),ROW(Income!A$3:A$502)-2),5)),""),""))</f>
        <v/>
      </c>
      <c r="I248" s="152">
        <f t="array" ref="I248">IF(IFERROR(-INDEX(Expenses!D$3:D$999,SMALL(IF((Expenses!E$3:E$999="GBP")*(Expenses!A$3:A$999=DATE(2026,12,3)),ROW(Expenses!A$3:A$999)-2),5)),0)+IFERROR(INDEX(Income!C$3:C$502,SMALL(IF((Income!D$3:D$502="GBP")*(Income!A$3:A$502=DATE(2026,12,3)),ROW(Income!A$3:A$502)-2),5)),0)=0,"",IFERROR(-INDEX(Expenses!D$3:D$999,SMALL(IF((Expenses!E$3:E$999="GBP")*(Expenses!A$3:A$999=DATE(2026,12,3)),ROW(Expenses!A$3:A$999)-2),5)),0)+IFERROR(INDEX(Income!C$3:C$502,SMALL(IF((Income!D$3:D$502="GBP")*(Income!A$3:A$502=DATE(2026,12,3)),ROW(Income!A$3:A$502)-2),5)),0))</f>
        <v/>
      </c>
      <c r="J248" s="126">
        <f t="array" ref="J248">IF(IFERROR(INDEX(Expenses!B$3:B$999,SMALL(IF((Expenses!E$3:E$999="GBP")*(Expenses!A$3:A$999=DATE(2026,12,3)),ROW(Expenses!A$3:A$999)-2),5)),"")&lt;&gt;"",IFERROR(INDEX(Expenses!B$3:B$999,SMALL(IF((Expenses!E$3:E$999="GBP")*(Expenses!A$3:A$999=DATE(2026,12,3)),ROW(Expenses!A$3:A$999)-2),5)),""),IF(IFERROR(INDEX(Income!B$3:B$502,SMALL(IF((Income!D$3:D$502="GBP")*(Income!A$3:A$502=DATE(2026,12,3)),ROW(Income!A$3:A$502)-2),5)),"")&lt;&gt;"",IFERROR(INDEX(Income!B$3:B$502,SMALL(IF((Income!D$3:D$502="GBP")*(Income!A$3:A$502=DATE(2026,12,3)),ROW(Income!A$3:A$502)-2),5)),""),""))</f>
        <v/>
      </c>
      <c r="K248" s="152">
        <f t="array" ref="K248">IF(IFERROR(-INDEX(Expenses!D$3:D$999,SMALL(IF((Expenses!E$3:E$999="GBP")*(Expenses!A$3:A$999=DATE(2026,12,4)),ROW(Expenses!A$3:A$999)-2),5)),0)+IFERROR(INDEX(Income!C$3:C$502,SMALL(IF((Income!D$3:D$502="GBP")*(Income!A$3:A$502=DATE(2026,12,4)),ROW(Income!A$3:A$502)-2),5)),0)=0,"",IFERROR(-INDEX(Expenses!D$3:D$999,SMALL(IF((Expenses!E$3:E$999="GBP")*(Expenses!A$3:A$999=DATE(2026,12,4)),ROW(Expenses!A$3:A$999)-2),5)),0)+IFERROR(INDEX(Income!C$3:C$502,SMALL(IF((Income!D$3:D$502="GBP")*(Income!A$3:A$502=DATE(2026,12,4)),ROW(Income!A$3:A$502)-2),5)),0))</f>
        <v/>
      </c>
      <c r="L248" s="126">
        <f t="array" ref="L248">IF(IFERROR(INDEX(Expenses!B$3:B$999,SMALL(IF((Expenses!E$3:E$999="GBP")*(Expenses!A$3:A$999=DATE(2026,12,4)),ROW(Expenses!A$3:A$999)-2),5)),"")&lt;&gt;"",IFERROR(INDEX(Expenses!B$3:B$999,SMALL(IF((Expenses!E$3:E$999="GBP")*(Expenses!A$3:A$999=DATE(2026,12,4)),ROW(Expenses!A$3:A$999)-2),5)),""),IF(IFERROR(INDEX(Income!B$3:B$502,SMALL(IF((Income!D$3:D$502="GBP")*(Income!A$3:A$502=DATE(2026,12,4)),ROW(Income!A$3:A$502)-2),5)),"")&lt;&gt;"",IFERROR(INDEX(Income!B$3:B$502,SMALL(IF((Income!D$3:D$502="GBP")*(Income!A$3:A$502=DATE(2026,12,4)),ROW(Income!A$3:A$502)-2),5)),""),""))</f>
        <v/>
      </c>
      <c r="M248" s="152">
        <f t="array" ref="M248">IF(IFERROR(-INDEX(Expenses!D$3:D$999,SMALL(IF((Expenses!E$3:E$999="GBP")*(Expenses!A$3:A$999=DATE(2026,12,5)),ROW(Expenses!A$3:A$999)-2),5)),0)+IFERROR(INDEX(Income!C$3:C$502,SMALL(IF((Income!D$3:D$502="GBP")*(Income!A$3:A$502=DATE(2026,12,5)),ROW(Income!A$3:A$502)-2),5)),0)=0,"",IFERROR(-INDEX(Expenses!D$3:D$999,SMALL(IF((Expenses!E$3:E$999="GBP")*(Expenses!A$3:A$999=DATE(2026,12,5)),ROW(Expenses!A$3:A$999)-2),5)),0)+IFERROR(INDEX(Income!C$3:C$502,SMALL(IF((Income!D$3:D$502="GBP")*(Income!A$3:A$502=DATE(2026,12,5)),ROW(Income!A$3:A$502)-2),5)),0))</f>
        <v/>
      </c>
      <c r="N248" s="126">
        <f t="array" ref="N248">IF(IFERROR(INDEX(Expenses!B$3:B$999,SMALL(IF((Expenses!E$3:E$999="GBP")*(Expenses!A$3:A$999=DATE(2026,12,5)),ROW(Expenses!A$3:A$999)-2),5)),"")&lt;&gt;"",IFERROR(INDEX(Expenses!B$3:B$999,SMALL(IF((Expenses!E$3:E$999="GBP")*(Expenses!A$3:A$999=DATE(2026,12,5)),ROW(Expenses!A$3:A$999)-2),5)),""),IF(IFERROR(INDEX(Income!B$3:B$502,SMALL(IF((Income!D$3:D$502="GBP")*(Income!A$3:A$502=DATE(2026,12,5)),ROW(Income!A$3:A$502)-2),5)),"")&lt;&gt;"",IFERROR(INDEX(Income!B$3:B$502,SMALL(IF((Income!D$3:D$502="GBP")*(Income!A$3:A$502=DATE(2026,12,5)),ROW(Income!A$3:A$502)-2),5)),""),""))</f>
        <v/>
      </c>
      <c r="O248" s="152">
        <f t="array" ref="O248">IF(IFERROR(-INDEX(Expenses!D$3:D$999,SMALL(IF((Expenses!E$3:E$999="GBP")*(Expenses!A$3:A$999=DATE(2026,12,6)),ROW(Expenses!A$3:A$999)-2),5)),0)+IFERROR(INDEX(Income!C$3:C$502,SMALL(IF((Income!D$3:D$502="GBP")*(Income!A$3:A$502=DATE(2026,12,6)),ROW(Income!A$3:A$502)-2),5)),0)=0,"",IFERROR(-INDEX(Expenses!D$3:D$999,SMALL(IF((Expenses!E$3:E$999="GBP")*(Expenses!A$3:A$999=DATE(2026,12,6)),ROW(Expenses!A$3:A$999)-2),5)),0)+IFERROR(INDEX(Income!C$3:C$502,SMALL(IF((Income!D$3:D$502="GBP")*(Income!A$3:A$502=DATE(2026,12,6)),ROW(Income!A$3:A$502)-2),5)),0))</f>
        <v/>
      </c>
      <c r="P248" s="126">
        <f t="array" ref="P248">IF(IFERROR(INDEX(Expenses!B$3:B$999,SMALL(IF((Expenses!E$3:E$999="GBP")*(Expenses!A$3:A$999=DATE(2026,12,6)),ROW(Expenses!A$3:A$999)-2),5)),"")&lt;&gt;"",IFERROR(INDEX(Expenses!B$3:B$999,SMALL(IF((Expenses!E$3:E$999="GBP")*(Expenses!A$3:A$999=DATE(2026,12,6)),ROW(Expenses!A$3:A$999)-2),5)),""),IF(IFERROR(INDEX(Income!B$3:B$502,SMALL(IF((Income!D$3:D$502="GBP")*(Income!A$3:A$502=DATE(2026,12,6)),ROW(Income!A$3:A$502)-2),5)),"")&lt;&gt;"",IFERROR(INDEX(Income!B$3:B$502,SMALL(IF((Income!D$3:D$502="GBP")*(Income!A$3:A$502=DATE(2026,12,6)),ROW(Income!A$3:A$502)-2),5)),""),""))</f>
        <v/>
      </c>
      <c r="Q248" s="9" t="n"/>
      <c r="R248" s="9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68">
      <c r="A249" s="151" t="n">
        <v>46363</v>
      </c>
      <c r="B249" s="103" t="n">
        <v>50</v>
      </c>
      <c r="C249" s="152">
        <f t="array" ref="C249">IF(IFERROR(-INDEX(Expenses!D$3:D$999,SMALL(IF((Expenses!E$3:E$999="GBP")*(Expenses!A$3:A$999=DATE(2026,12,7)),ROW(Expenses!A$3:A$999)-2),1)),0)+IFERROR(INDEX(Income!C$3:C$502,SMALL(IF((Income!D$3:D$502="GBP")*(Income!A$3:A$502=DATE(2026,12,7)),ROW(Income!A$3:A$502)-2),1)),0)=0,"",IFERROR(-INDEX(Expenses!D$3:D$999,SMALL(IF((Expenses!E$3:E$999="GBP")*(Expenses!A$3:A$999=DATE(2026,12,7)),ROW(Expenses!A$3:A$999)-2),1)),0)+IFERROR(INDEX(Income!C$3:C$502,SMALL(IF((Income!D$3:D$502="GBP")*(Income!A$3:A$502=DATE(2026,12,7)),ROW(Income!A$3:A$502)-2),1)),0))</f>
        <v/>
      </c>
      <c r="D249" s="126">
        <f t="array" ref="D249">IF(IFERROR(INDEX(Expenses!B$3:B$999,SMALL(IF((Expenses!E$3:E$999="GBP")*(Expenses!A$3:A$999=DATE(2026,12,7)),ROW(Expenses!A$3:A$999)-2),1)),"")&lt;&gt;"",IFERROR(INDEX(Expenses!B$3:B$999,SMALL(IF((Expenses!E$3:E$999="GBP")*(Expenses!A$3:A$999=DATE(2026,12,7)),ROW(Expenses!A$3:A$999)-2),1)),""),IF(IFERROR(INDEX(Income!B$3:B$502,SMALL(IF((Income!D$3:D$502="GBP")*(Income!A$3:A$502=DATE(2026,12,7)),ROW(Income!A$3:A$502)-2),1)),"")&lt;&gt;"",IFERROR(INDEX(Income!B$3:B$502,SMALL(IF((Income!D$3:D$502="GBP")*(Income!A$3:A$502=DATE(2026,12,7)),ROW(Income!A$3:A$502)-2),1)),""),""))</f>
        <v/>
      </c>
      <c r="E249" s="152">
        <f t="array" ref="E249">IF(IFERROR(-INDEX(Expenses!D$3:D$999,SMALL(IF((Expenses!E$3:E$999="GBP")*(Expenses!A$3:A$999=DATE(2026,12,8)),ROW(Expenses!A$3:A$999)-2),1)),0)+IFERROR(INDEX(Income!C$3:C$502,SMALL(IF((Income!D$3:D$502="GBP")*(Income!A$3:A$502=DATE(2026,12,8)),ROW(Income!A$3:A$502)-2),1)),0)=0,"",IFERROR(-INDEX(Expenses!D$3:D$999,SMALL(IF((Expenses!E$3:E$999="GBP")*(Expenses!A$3:A$999=DATE(2026,12,8)),ROW(Expenses!A$3:A$999)-2),1)),0)+IFERROR(INDEX(Income!C$3:C$502,SMALL(IF((Income!D$3:D$502="GBP")*(Income!A$3:A$502=DATE(2026,12,8)),ROW(Income!A$3:A$502)-2),1)),0))</f>
        <v/>
      </c>
      <c r="F249" s="126">
        <f t="array" ref="F249">IF(IFERROR(INDEX(Expenses!B$3:B$999,SMALL(IF((Expenses!E$3:E$999="GBP")*(Expenses!A$3:A$999=DATE(2026,12,8)),ROW(Expenses!A$3:A$999)-2),1)),"")&lt;&gt;"",IFERROR(INDEX(Expenses!B$3:B$999,SMALL(IF((Expenses!E$3:E$999="GBP")*(Expenses!A$3:A$999=DATE(2026,12,8)),ROW(Expenses!A$3:A$999)-2),1)),""),IF(IFERROR(INDEX(Income!B$3:B$502,SMALL(IF((Income!D$3:D$502="GBP")*(Income!A$3:A$502=DATE(2026,12,8)),ROW(Income!A$3:A$502)-2),1)),"")&lt;&gt;"",IFERROR(INDEX(Income!B$3:B$502,SMALL(IF((Income!D$3:D$502="GBP")*(Income!A$3:A$502=DATE(2026,12,8)),ROW(Income!A$3:A$502)-2),1)),""),""))</f>
        <v/>
      </c>
      <c r="G249" s="152">
        <f t="array" ref="G249">IF(IFERROR(-INDEX(Expenses!D$3:D$999,SMALL(IF((Expenses!E$3:E$999="GBP")*(Expenses!A$3:A$999=DATE(2026,12,9)),ROW(Expenses!A$3:A$999)-2),1)),0)+IFERROR(INDEX(Income!C$3:C$502,SMALL(IF((Income!D$3:D$502="GBP")*(Income!A$3:A$502=DATE(2026,12,9)),ROW(Income!A$3:A$502)-2),1)),0)=0,"",IFERROR(-INDEX(Expenses!D$3:D$999,SMALL(IF((Expenses!E$3:E$999="GBP")*(Expenses!A$3:A$999=DATE(2026,12,9)),ROW(Expenses!A$3:A$999)-2),1)),0)+IFERROR(INDEX(Income!C$3:C$502,SMALL(IF((Income!D$3:D$502="GBP")*(Income!A$3:A$502=DATE(2026,12,9)),ROW(Income!A$3:A$502)-2),1)),0))</f>
        <v/>
      </c>
      <c r="H249" s="126">
        <f t="array" ref="H249">IF(IFERROR(INDEX(Expenses!B$3:B$999,SMALL(IF((Expenses!E$3:E$999="GBP")*(Expenses!A$3:A$999=DATE(2026,12,9)),ROW(Expenses!A$3:A$999)-2),1)),"")&lt;&gt;"",IFERROR(INDEX(Expenses!B$3:B$999,SMALL(IF((Expenses!E$3:E$999="GBP")*(Expenses!A$3:A$999=DATE(2026,12,9)),ROW(Expenses!A$3:A$999)-2),1)),""),IF(IFERROR(INDEX(Income!B$3:B$502,SMALL(IF((Income!D$3:D$502="GBP")*(Income!A$3:A$502=DATE(2026,12,9)),ROW(Income!A$3:A$502)-2),1)),"")&lt;&gt;"",IFERROR(INDEX(Income!B$3:B$502,SMALL(IF((Income!D$3:D$502="GBP")*(Income!A$3:A$502=DATE(2026,12,9)),ROW(Income!A$3:A$502)-2),1)),""),""))</f>
        <v/>
      </c>
      <c r="I249" s="152">
        <f t="array" ref="I249">IF(IFERROR(-INDEX(Expenses!D$3:D$999,SMALL(IF((Expenses!E$3:E$999="GBP")*(Expenses!A$3:A$999=DATE(2026,12,10)),ROW(Expenses!A$3:A$999)-2),1)),0)+IFERROR(INDEX(Income!C$3:C$502,SMALL(IF((Income!D$3:D$502="GBP")*(Income!A$3:A$502=DATE(2026,12,10)),ROW(Income!A$3:A$502)-2),1)),0)=0,"",IFERROR(-INDEX(Expenses!D$3:D$999,SMALL(IF((Expenses!E$3:E$999="GBP")*(Expenses!A$3:A$999=DATE(2026,12,10)),ROW(Expenses!A$3:A$999)-2),1)),0)+IFERROR(INDEX(Income!C$3:C$502,SMALL(IF((Income!D$3:D$502="GBP")*(Income!A$3:A$502=DATE(2026,12,10)),ROW(Income!A$3:A$502)-2),1)),0))</f>
        <v/>
      </c>
      <c r="J249" s="126">
        <f t="array" ref="J249">IF(IFERROR(INDEX(Expenses!B$3:B$999,SMALL(IF((Expenses!E$3:E$999="GBP")*(Expenses!A$3:A$999=DATE(2026,12,10)),ROW(Expenses!A$3:A$999)-2),1)),"")&lt;&gt;"",IFERROR(INDEX(Expenses!B$3:B$999,SMALL(IF((Expenses!E$3:E$999="GBP")*(Expenses!A$3:A$999=DATE(2026,12,10)),ROW(Expenses!A$3:A$999)-2),1)),""),IF(IFERROR(INDEX(Income!B$3:B$502,SMALL(IF((Income!D$3:D$502="GBP")*(Income!A$3:A$502=DATE(2026,12,10)),ROW(Income!A$3:A$502)-2),1)),"")&lt;&gt;"",IFERROR(INDEX(Income!B$3:B$502,SMALL(IF((Income!D$3:D$502="GBP")*(Income!A$3:A$502=DATE(2026,12,10)),ROW(Income!A$3:A$502)-2),1)),""),""))</f>
        <v/>
      </c>
      <c r="K249" s="152">
        <f t="array" ref="K249">IF(IFERROR(-INDEX(Expenses!D$3:D$999,SMALL(IF((Expenses!E$3:E$999="GBP")*(Expenses!A$3:A$999=DATE(2026,12,11)),ROW(Expenses!A$3:A$999)-2),1)),0)+IFERROR(INDEX(Income!C$3:C$502,SMALL(IF((Income!D$3:D$502="GBP")*(Income!A$3:A$502=DATE(2026,12,11)),ROW(Income!A$3:A$502)-2),1)),0)=0,"",IFERROR(-INDEX(Expenses!D$3:D$999,SMALL(IF((Expenses!E$3:E$999="GBP")*(Expenses!A$3:A$999=DATE(2026,12,11)),ROW(Expenses!A$3:A$999)-2),1)),0)+IFERROR(INDEX(Income!C$3:C$502,SMALL(IF((Income!D$3:D$502="GBP")*(Income!A$3:A$502=DATE(2026,12,11)),ROW(Income!A$3:A$502)-2),1)),0))</f>
        <v/>
      </c>
      <c r="L249" s="126">
        <f t="array" ref="L249">IF(IFERROR(INDEX(Expenses!B$3:B$999,SMALL(IF((Expenses!E$3:E$999="GBP")*(Expenses!A$3:A$999=DATE(2026,12,11)),ROW(Expenses!A$3:A$999)-2),1)),"")&lt;&gt;"",IFERROR(INDEX(Expenses!B$3:B$999,SMALL(IF((Expenses!E$3:E$999="GBP")*(Expenses!A$3:A$999=DATE(2026,12,11)),ROW(Expenses!A$3:A$999)-2),1)),""),IF(IFERROR(INDEX(Income!B$3:B$502,SMALL(IF((Income!D$3:D$502="GBP")*(Income!A$3:A$502=DATE(2026,12,11)),ROW(Income!A$3:A$502)-2),1)),"")&lt;&gt;"",IFERROR(INDEX(Income!B$3:B$502,SMALL(IF((Income!D$3:D$502="GBP")*(Income!A$3:A$502=DATE(2026,12,11)),ROW(Income!A$3:A$502)-2),1)),""),""))</f>
        <v/>
      </c>
      <c r="M249" s="152">
        <f t="array" ref="M249">IF(IFERROR(-INDEX(Expenses!D$3:D$999,SMALL(IF((Expenses!E$3:E$999="GBP")*(Expenses!A$3:A$999=DATE(2026,12,12)),ROW(Expenses!A$3:A$999)-2),1)),0)+IFERROR(INDEX(Income!C$3:C$502,SMALL(IF((Income!D$3:D$502="GBP")*(Income!A$3:A$502=DATE(2026,12,12)),ROW(Income!A$3:A$502)-2),1)),0)=0,"",IFERROR(-INDEX(Expenses!D$3:D$999,SMALL(IF((Expenses!E$3:E$999="GBP")*(Expenses!A$3:A$999=DATE(2026,12,12)),ROW(Expenses!A$3:A$999)-2),1)),0)+IFERROR(INDEX(Income!C$3:C$502,SMALL(IF((Income!D$3:D$502="GBP")*(Income!A$3:A$502=DATE(2026,12,12)),ROW(Income!A$3:A$502)-2),1)),0))</f>
        <v/>
      </c>
      <c r="N249" s="126">
        <f t="array" ref="N249">IF(IFERROR(INDEX(Expenses!B$3:B$999,SMALL(IF((Expenses!E$3:E$999="GBP")*(Expenses!A$3:A$999=DATE(2026,12,12)),ROW(Expenses!A$3:A$999)-2),1)),"")&lt;&gt;"",IFERROR(INDEX(Expenses!B$3:B$999,SMALL(IF((Expenses!E$3:E$999="GBP")*(Expenses!A$3:A$999=DATE(2026,12,12)),ROW(Expenses!A$3:A$999)-2),1)),""),IF(IFERROR(INDEX(Income!B$3:B$502,SMALL(IF((Income!D$3:D$502="GBP")*(Income!A$3:A$502=DATE(2026,12,12)),ROW(Income!A$3:A$502)-2),1)),"")&lt;&gt;"",IFERROR(INDEX(Income!B$3:B$502,SMALL(IF((Income!D$3:D$502="GBP")*(Income!A$3:A$502=DATE(2026,12,12)),ROW(Income!A$3:A$502)-2),1)),""),""))</f>
        <v/>
      </c>
      <c r="O249" s="152">
        <f t="array" ref="O249">IF(IFERROR(-INDEX(Expenses!D$3:D$999,SMALL(IF((Expenses!E$3:E$999="GBP")*(Expenses!A$3:A$999=DATE(2026,12,13)),ROW(Expenses!A$3:A$999)-2),1)),0)+IFERROR(INDEX(Income!C$3:C$502,SMALL(IF((Income!D$3:D$502="GBP")*(Income!A$3:A$502=DATE(2026,12,13)),ROW(Income!A$3:A$502)-2),1)),0)=0,"",IFERROR(-INDEX(Expenses!D$3:D$999,SMALL(IF((Expenses!E$3:E$999="GBP")*(Expenses!A$3:A$999=DATE(2026,12,13)),ROW(Expenses!A$3:A$999)-2),1)),0)+IFERROR(INDEX(Income!C$3:C$502,SMALL(IF((Income!D$3:D$502="GBP")*(Income!A$3:A$502=DATE(2026,12,13)),ROW(Income!A$3:A$502)-2),1)),0))</f>
        <v/>
      </c>
      <c r="P249" s="126">
        <f t="array" ref="P249">IF(IFERROR(INDEX(Expenses!B$3:B$999,SMALL(IF((Expenses!E$3:E$999="GBP")*(Expenses!A$3:A$999=DATE(2026,12,13)),ROW(Expenses!A$3:A$999)-2),1)),"")&lt;&gt;"",IFERROR(INDEX(Expenses!B$3:B$999,SMALL(IF((Expenses!E$3:E$999="GBP")*(Expenses!A$3:A$999=DATE(2026,12,13)),ROW(Expenses!A$3:A$999)-2),1)),""),IF(IFERROR(INDEX(Income!B$3:B$502,SMALL(IF((Income!D$3:D$502="GBP")*(Income!A$3:A$502=DATE(2026,12,13)),ROW(Income!A$3:A$502)-2),1)),"")&lt;&gt;"",IFERROR(INDEX(Income!B$3:B$502,SMALL(IF((Income!D$3:D$502="GBP")*(Income!A$3:A$502=DATE(2026,12,13)),ROW(Income!A$3:A$502)-2),1)),""),""))</f>
        <v/>
      </c>
      <c r="Q249" s="103" t="n">
        <v>50</v>
      </c>
      <c r="R249" s="134">
        <f>SUM(C249:C253)+SUM(E249:E253)+SUM(G249:G253)+SUM(I249:I253)+SUM(K249:K253)+SUM(M249:M253)+SUM(O249:O253)</f>
        <v/>
      </c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68">
      <c r="A250" s="9" t="n"/>
      <c r="B250" s="9" t="n"/>
      <c r="C250" s="152">
        <f t="array" ref="C250">IF(IFERROR(-INDEX(Expenses!D$3:D$999,SMALL(IF((Expenses!E$3:E$999="GBP")*(Expenses!A$3:A$999=DATE(2026,12,7)),ROW(Expenses!A$3:A$999)-2),2)),0)+IFERROR(INDEX(Income!C$3:C$502,SMALL(IF((Income!D$3:D$502="GBP")*(Income!A$3:A$502=DATE(2026,12,7)),ROW(Income!A$3:A$502)-2),2)),0)=0,"",IFERROR(-INDEX(Expenses!D$3:D$999,SMALL(IF((Expenses!E$3:E$999="GBP")*(Expenses!A$3:A$999=DATE(2026,12,7)),ROW(Expenses!A$3:A$999)-2),2)),0)+IFERROR(INDEX(Income!C$3:C$502,SMALL(IF((Income!D$3:D$502="GBP")*(Income!A$3:A$502=DATE(2026,12,7)),ROW(Income!A$3:A$502)-2),2)),0))</f>
        <v/>
      </c>
      <c r="D250" s="126">
        <f t="array" ref="D250">IF(IFERROR(INDEX(Expenses!B$3:B$999,SMALL(IF((Expenses!E$3:E$999="GBP")*(Expenses!A$3:A$999=DATE(2026,12,7)),ROW(Expenses!A$3:A$999)-2),2)),"")&lt;&gt;"",IFERROR(INDEX(Expenses!B$3:B$999,SMALL(IF((Expenses!E$3:E$999="GBP")*(Expenses!A$3:A$999=DATE(2026,12,7)),ROW(Expenses!A$3:A$999)-2),2)),""),IF(IFERROR(INDEX(Income!B$3:B$502,SMALL(IF((Income!D$3:D$502="GBP")*(Income!A$3:A$502=DATE(2026,12,7)),ROW(Income!A$3:A$502)-2),2)),"")&lt;&gt;"",IFERROR(INDEX(Income!B$3:B$502,SMALL(IF((Income!D$3:D$502="GBP")*(Income!A$3:A$502=DATE(2026,12,7)),ROW(Income!A$3:A$502)-2),2)),""),""))</f>
        <v/>
      </c>
      <c r="E250" s="152">
        <f t="array" ref="E250">IF(IFERROR(-INDEX(Expenses!D$3:D$999,SMALL(IF((Expenses!E$3:E$999="GBP")*(Expenses!A$3:A$999=DATE(2026,12,8)),ROW(Expenses!A$3:A$999)-2),2)),0)+IFERROR(INDEX(Income!C$3:C$502,SMALL(IF((Income!D$3:D$502="GBP")*(Income!A$3:A$502=DATE(2026,12,8)),ROW(Income!A$3:A$502)-2),2)),0)=0,"",IFERROR(-INDEX(Expenses!D$3:D$999,SMALL(IF((Expenses!E$3:E$999="GBP")*(Expenses!A$3:A$999=DATE(2026,12,8)),ROW(Expenses!A$3:A$999)-2),2)),0)+IFERROR(INDEX(Income!C$3:C$502,SMALL(IF((Income!D$3:D$502="GBP")*(Income!A$3:A$502=DATE(2026,12,8)),ROW(Income!A$3:A$502)-2),2)),0))</f>
        <v/>
      </c>
      <c r="F250" s="126">
        <f t="array" ref="F250">IF(IFERROR(INDEX(Expenses!B$3:B$999,SMALL(IF((Expenses!E$3:E$999="GBP")*(Expenses!A$3:A$999=DATE(2026,12,8)),ROW(Expenses!A$3:A$999)-2),2)),"")&lt;&gt;"",IFERROR(INDEX(Expenses!B$3:B$999,SMALL(IF((Expenses!E$3:E$999="GBP")*(Expenses!A$3:A$999=DATE(2026,12,8)),ROW(Expenses!A$3:A$999)-2),2)),""),IF(IFERROR(INDEX(Income!B$3:B$502,SMALL(IF((Income!D$3:D$502="GBP")*(Income!A$3:A$502=DATE(2026,12,8)),ROW(Income!A$3:A$502)-2),2)),"")&lt;&gt;"",IFERROR(INDEX(Income!B$3:B$502,SMALL(IF((Income!D$3:D$502="GBP")*(Income!A$3:A$502=DATE(2026,12,8)),ROW(Income!A$3:A$502)-2),2)),""),""))</f>
        <v/>
      </c>
      <c r="G250" s="152">
        <f t="array" ref="G250">IF(IFERROR(-INDEX(Expenses!D$3:D$999,SMALL(IF((Expenses!E$3:E$999="GBP")*(Expenses!A$3:A$999=DATE(2026,12,9)),ROW(Expenses!A$3:A$999)-2),2)),0)+IFERROR(INDEX(Income!C$3:C$502,SMALL(IF((Income!D$3:D$502="GBP")*(Income!A$3:A$502=DATE(2026,12,9)),ROW(Income!A$3:A$502)-2),2)),0)=0,"",IFERROR(-INDEX(Expenses!D$3:D$999,SMALL(IF((Expenses!E$3:E$999="GBP")*(Expenses!A$3:A$999=DATE(2026,12,9)),ROW(Expenses!A$3:A$999)-2),2)),0)+IFERROR(INDEX(Income!C$3:C$502,SMALL(IF((Income!D$3:D$502="GBP")*(Income!A$3:A$502=DATE(2026,12,9)),ROW(Income!A$3:A$502)-2),2)),0))</f>
        <v/>
      </c>
      <c r="H250" s="126">
        <f t="array" ref="H250">IF(IFERROR(INDEX(Expenses!B$3:B$999,SMALL(IF((Expenses!E$3:E$999="GBP")*(Expenses!A$3:A$999=DATE(2026,12,9)),ROW(Expenses!A$3:A$999)-2),2)),"")&lt;&gt;"",IFERROR(INDEX(Expenses!B$3:B$999,SMALL(IF((Expenses!E$3:E$999="GBP")*(Expenses!A$3:A$999=DATE(2026,12,9)),ROW(Expenses!A$3:A$999)-2),2)),""),IF(IFERROR(INDEX(Income!B$3:B$502,SMALL(IF((Income!D$3:D$502="GBP")*(Income!A$3:A$502=DATE(2026,12,9)),ROW(Income!A$3:A$502)-2),2)),"")&lt;&gt;"",IFERROR(INDEX(Income!B$3:B$502,SMALL(IF((Income!D$3:D$502="GBP")*(Income!A$3:A$502=DATE(2026,12,9)),ROW(Income!A$3:A$502)-2),2)),""),""))</f>
        <v/>
      </c>
      <c r="I250" s="152">
        <f t="array" ref="I250">IF(IFERROR(-INDEX(Expenses!D$3:D$999,SMALL(IF((Expenses!E$3:E$999="GBP")*(Expenses!A$3:A$999=DATE(2026,12,10)),ROW(Expenses!A$3:A$999)-2),2)),0)+IFERROR(INDEX(Income!C$3:C$502,SMALL(IF((Income!D$3:D$502="GBP")*(Income!A$3:A$502=DATE(2026,12,10)),ROW(Income!A$3:A$502)-2),2)),0)=0,"",IFERROR(-INDEX(Expenses!D$3:D$999,SMALL(IF((Expenses!E$3:E$999="GBP")*(Expenses!A$3:A$999=DATE(2026,12,10)),ROW(Expenses!A$3:A$999)-2),2)),0)+IFERROR(INDEX(Income!C$3:C$502,SMALL(IF((Income!D$3:D$502="GBP")*(Income!A$3:A$502=DATE(2026,12,10)),ROW(Income!A$3:A$502)-2),2)),0))</f>
        <v/>
      </c>
      <c r="J250" s="126">
        <f t="array" ref="J250">IF(IFERROR(INDEX(Expenses!B$3:B$999,SMALL(IF((Expenses!E$3:E$999="GBP")*(Expenses!A$3:A$999=DATE(2026,12,10)),ROW(Expenses!A$3:A$999)-2),2)),"")&lt;&gt;"",IFERROR(INDEX(Expenses!B$3:B$999,SMALL(IF((Expenses!E$3:E$999="GBP")*(Expenses!A$3:A$999=DATE(2026,12,10)),ROW(Expenses!A$3:A$999)-2),2)),""),IF(IFERROR(INDEX(Income!B$3:B$502,SMALL(IF((Income!D$3:D$502="GBP")*(Income!A$3:A$502=DATE(2026,12,10)),ROW(Income!A$3:A$502)-2),2)),"")&lt;&gt;"",IFERROR(INDEX(Income!B$3:B$502,SMALL(IF((Income!D$3:D$502="GBP")*(Income!A$3:A$502=DATE(2026,12,10)),ROW(Income!A$3:A$502)-2),2)),""),""))</f>
        <v/>
      </c>
      <c r="K250" s="152">
        <f t="array" ref="K250">IF(IFERROR(-INDEX(Expenses!D$3:D$999,SMALL(IF((Expenses!E$3:E$999="GBP")*(Expenses!A$3:A$999=DATE(2026,12,11)),ROW(Expenses!A$3:A$999)-2),2)),0)+IFERROR(INDEX(Income!C$3:C$502,SMALL(IF((Income!D$3:D$502="GBP")*(Income!A$3:A$502=DATE(2026,12,11)),ROW(Income!A$3:A$502)-2),2)),0)=0,"",IFERROR(-INDEX(Expenses!D$3:D$999,SMALL(IF((Expenses!E$3:E$999="GBP")*(Expenses!A$3:A$999=DATE(2026,12,11)),ROW(Expenses!A$3:A$999)-2),2)),0)+IFERROR(INDEX(Income!C$3:C$502,SMALL(IF((Income!D$3:D$502="GBP")*(Income!A$3:A$502=DATE(2026,12,11)),ROW(Income!A$3:A$502)-2),2)),0))</f>
        <v/>
      </c>
      <c r="L250" s="126">
        <f t="array" ref="L250">IF(IFERROR(INDEX(Expenses!B$3:B$999,SMALL(IF((Expenses!E$3:E$999="GBP")*(Expenses!A$3:A$999=DATE(2026,12,11)),ROW(Expenses!A$3:A$999)-2),2)),"")&lt;&gt;"",IFERROR(INDEX(Expenses!B$3:B$999,SMALL(IF((Expenses!E$3:E$999="GBP")*(Expenses!A$3:A$999=DATE(2026,12,11)),ROW(Expenses!A$3:A$999)-2),2)),""),IF(IFERROR(INDEX(Income!B$3:B$502,SMALL(IF((Income!D$3:D$502="GBP")*(Income!A$3:A$502=DATE(2026,12,11)),ROW(Income!A$3:A$502)-2),2)),"")&lt;&gt;"",IFERROR(INDEX(Income!B$3:B$502,SMALL(IF((Income!D$3:D$502="GBP")*(Income!A$3:A$502=DATE(2026,12,11)),ROW(Income!A$3:A$502)-2),2)),""),""))</f>
        <v/>
      </c>
      <c r="M250" s="152">
        <f t="array" ref="M250">IF(IFERROR(-INDEX(Expenses!D$3:D$999,SMALL(IF((Expenses!E$3:E$999="GBP")*(Expenses!A$3:A$999=DATE(2026,12,12)),ROW(Expenses!A$3:A$999)-2),2)),0)+IFERROR(INDEX(Income!C$3:C$502,SMALL(IF((Income!D$3:D$502="GBP")*(Income!A$3:A$502=DATE(2026,12,12)),ROW(Income!A$3:A$502)-2),2)),0)=0,"",IFERROR(-INDEX(Expenses!D$3:D$999,SMALL(IF((Expenses!E$3:E$999="GBP")*(Expenses!A$3:A$999=DATE(2026,12,12)),ROW(Expenses!A$3:A$999)-2),2)),0)+IFERROR(INDEX(Income!C$3:C$502,SMALL(IF((Income!D$3:D$502="GBP")*(Income!A$3:A$502=DATE(2026,12,12)),ROW(Income!A$3:A$502)-2),2)),0))</f>
        <v/>
      </c>
      <c r="N250" s="126">
        <f t="array" ref="N250">IF(IFERROR(INDEX(Expenses!B$3:B$999,SMALL(IF((Expenses!E$3:E$999="GBP")*(Expenses!A$3:A$999=DATE(2026,12,12)),ROW(Expenses!A$3:A$999)-2),2)),"")&lt;&gt;"",IFERROR(INDEX(Expenses!B$3:B$999,SMALL(IF((Expenses!E$3:E$999="GBP")*(Expenses!A$3:A$999=DATE(2026,12,12)),ROW(Expenses!A$3:A$999)-2),2)),""),IF(IFERROR(INDEX(Income!B$3:B$502,SMALL(IF((Income!D$3:D$502="GBP")*(Income!A$3:A$502=DATE(2026,12,12)),ROW(Income!A$3:A$502)-2),2)),"")&lt;&gt;"",IFERROR(INDEX(Income!B$3:B$502,SMALL(IF((Income!D$3:D$502="GBP")*(Income!A$3:A$502=DATE(2026,12,12)),ROW(Income!A$3:A$502)-2),2)),""),""))</f>
        <v/>
      </c>
      <c r="O250" s="152">
        <f t="array" ref="O250">IF(IFERROR(-INDEX(Expenses!D$3:D$999,SMALL(IF((Expenses!E$3:E$999="GBP")*(Expenses!A$3:A$999=DATE(2026,12,13)),ROW(Expenses!A$3:A$999)-2),2)),0)+IFERROR(INDEX(Income!C$3:C$502,SMALL(IF((Income!D$3:D$502="GBP")*(Income!A$3:A$502=DATE(2026,12,13)),ROW(Income!A$3:A$502)-2),2)),0)=0,"",IFERROR(-INDEX(Expenses!D$3:D$999,SMALL(IF((Expenses!E$3:E$999="GBP")*(Expenses!A$3:A$999=DATE(2026,12,13)),ROW(Expenses!A$3:A$999)-2),2)),0)+IFERROR(INDEX(Income!C$3:C$502,SMALL(IF((Income!D$3:D$502="GBP")*(Income!A$3:A$502=DATE(2026,12,13)),ROW(Income!A$3:A$502)-2),2)),0))</f>
        <v/>
      </c>
      <c r="P250" s="126">
        <f t="array" ref="P250">IF(IFERROR(INDEX(Expenses!B$3:B$999,SMALL(IF((Expenses!E$3:E$999="GBP")*(Expenses!A$3:A$999=DATE(2026,12,13)),ROW(Expenses!A$3:A$999)-2),2)),"")&lt;&gt;"",IFERROR(INDEX(Expenses!B$3:B$999,SMALL(IF((Expenses!E$3:E$999="GBP")*(Expenses!A$3:A$999=DATE(2026,12,13)),ROW(Expenses!A$3:A$999)-2),2)),""),IF(IFERROR(INDEX(Income!B$3:B$502,SMALL(IF((Income!D$3:D$502="GBP")*(Income!A$3:A$502=DATE(2026,12,13)),ROW(Income!A$3:A$502)-2),2)),"")&lt;&gt;"",IFERROR(INDEX(Income!B$3:B$502,SMALL(IF((Income!D$3:D$502="GBP")*(Income!A$3:A$502=DATE(2026,12,13)),ROW(Income!A$3:A$502)-2),2)),""),""))</f>
        <v/>
      </c>
      <c r="Q250" s="9" t="n"/>
      <c r="R250" s="9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68">
      <c r="A251" s="9" t="n"/>
      <c r="B251" s="9" t="n"/>
      <c r="C251" s="152">
        <f t="array" ref="C251">IF(IFERROR(-INDEX(Expenses!D$3:D$999,SMALL(IF((Expenses!E$3:E$999="GBP")*(Expenses!A$3:A$999=DATE(2026,12,7)),ROW(Expenses!A$3:A$999)-2),3)),0)+IFERROR(INDEX(Income!C$3:C$502,SMALL(IF((Income!D$3:D$502="GBP")*(Income!A$3:A$502=DATE(2026,12,7)),ROW(Income!A$3:A$502)-2),3)),0)=0,"",IFERROR(-INDEX(Expenses!D$3:D$999,SMALL(IF((Expenses!E$3:E$999="GBP")*(Expenses!A$3:A$999=DATE(2026,12,7)),ROW(Expenses!A$3:A$999)-2),3)),0)+IFERROR(INDEX(Income!C$3:C$502,SMALL(IF((Income!D$3:D$502="GBP")*(Income!A$3:A$502=DATE(2026,12,7)),ROW(Income!A$3:A$502)-2),3)),0))</f>
        <v/>
      </c>
      <c r="D251" s="126">
        <f t="array" ref="D251">IF(IFERROR(INDEX(Expenses!B$3:B$999,SMALL(IF((Expenses!E$3:E$999="GBP")*(Expenses!A$3:A$999=DATE(2026,12,7)),ROW(Expenses!A$3:A$999)-2),3)),"")&lt;&gt;"",IFERROR(INDEX(Expenses!B$3:B$999,SMALL(IF((Expenses!E$3:E$999="GBP")*(Expenses!A$3:A$999=DATE(2026,12,7)),ROW(Expenses!A$3:A$999)-2),3)),""),IF(IFERROR(INDEX(Income!B$3:B$502,SMALL(IF((Income!D$3:D$502="GBP")*(Income!A$3:A$502=DATE(2026,12,7)),ROW(Income!A$3:A$502)-2),3)),"")&lt;&gt;"",IFERROR(INDEX(Income!B$3:B$502,SMALL(IF((Income!D$3:D$502="GBP")*(Income!A$3:A$502=DATE(2026,12,7)),ROW(Income!A$3:A$502)-2),3)),""),""))</f>
        <v/>
      </c>
      <c r="E251" s="152">
        <f t="array" ref="E251">IF(IFERROR(-INDEX(Expenses!D$3:D$999,SMALL(IF((Expenses!E$3:E$999="GBP")*(Expenses!A$3:A$999=DATE(2026,12,8)),ROW(Expenses!A$3:A$999)-2),3)),0)+IFERROR(INDEX(Income!C$3:C$502,SMALL(IF((Income!D$3:D$502="GBP")*(Income!A$3:A$502=DATE(2026,12,8)),ROW(Income!A$3:A$502)-2),3)),0)=0,"",IFERROR(-INDEX(Expenses!D$3:D$999,SMALL(IF((Expenses!E$3:E$999="GBP")*(Expenses!A$3:A$999=DATE(2026,12,8)),ROW(Expenses!A$3:A$999)-2),3)),0)+IFERROR(INDEX(Income!C$3:C$502,SMALL(IF((Income!D$3:D$502="GBP")*(Income!A$3:A$502=DATE(2026,12,8)),ROW(Income!A$3:A$502)-2),3)),0))</f>
        <v/>
      </c>
      <c r="F251" s="126">
        <f t="array" ref="F251">IF(IFERROR(INDEX(Expenses!B$3:B$999,SMALL(IF((Expenses!E$3:E$999="GBP")*(Expenses!A$3:A$999=DATE(2026,12,8)),ROW(Expenses!A$3:A$999)-2),3)),"")&lt;&gt;"",IFERROR(INDEX(Expenses!B$3:B$999,SMALL(IF((Expenses!E$3:E$999="GBP")*(Expenses!A$3:A$999=DATE(2026,12,8)),ROW(Expenses!A$3:A$999)-2),3)),""),IF(IFERROR(INDEX(Income!B$3:B$502,SMALL(IF((Income!D$3:D$502="GBP")*(Income!A$3:A$502=DATE(2026,12,8)),ROW(Income!A$3:A$502)-2),3)),"")&lt;&gt;"",IFERROR(INDEX(Income!B$3:B$502,SMALL(IF((Income!D$3:D$502="GBP")*(Income!A$3:A$502=DATE(2026,12,8)),ROW(Income!A$3:A$502)-2),3)),""),""))</f>
        <v/>
      </c>
      <c r="G251" s="152">
        <f t="array" ref="G251">IF(IFERROR(-INDEX(Expenses!D$3:D$999,SMALL(IF((Expenses!E$3:E$999="GBP")*(Expenses!A$3:A$999=DATE(2026,12,9)),ROW(Expenses!A$3:A$999)-2),3)),0)+IFERROR(INDEX(Income!C$3:C$502,SMALL(IF((Income!D$3:D$502="GBP")*(Income!A$3:A$502=DATE(2026,12,9)),ROW(Income!A$3:A$502)-2),3)),0)=0,"",IFERROR(-INDEX(Expenses!D$3:D$999,SMALL(IF((Expenses!E$3:E$999="GBP")*(Expenses!A$3:A$999=DATE(2026,12,9)),ROW(Expenses!A$3:A$999)-2),3)),0)+IFERROR(INDEX(Income!C$3:C$502,SMALL(IF((Income!D$3:D$502="GBP")*(Income!A$3:A$502=DATE(2026,12,9)),ROW(Income!A$3:A$502)-2),3)),0))</f>
        <v/>
      </c>
      <c r="H251" s="126">
        <f t="array" ref="H251">IF(IFERROR(INDEX(Expenses!B$3:B$999,SMALL(IF((Expenses!E$3:E$999="GBP")*(Expenses!A$3:A$999=DATE(2026,12,9)),ROW(Expenses!A$3:A$999)-2),3)),"")&lt;&gt;"",IFERROR(INDEX(Expenses!B$3:B$999,SMALL(IF((Expenses!E$3:E$999="GBP")*(Expenses!A$3:A$999=DATE(2026,12,9)),ROW(Expenses!A$3:A$999)-2),3)),""),IF(IFERROR(INDEX(Income!B$3:B$502,SMALL(IF((Income!D$3:D$502="GBP")*(Income!A$3:A$502=DATE(2026,12,9)),ROW(Income!A$3:A$502)-2),3)),"")&lt;&gt;"",IFERROR(INDEX(Income!B$3:B$502,SMALL(IF((Income!D$3:D$502="GBP")*(Income!A$3:A$502=DATE(2026,12,9)),ROW(Income!A$3:A$502)-2),3)),""),""))</f>
        <v/>
      </c>
      <c r="I251" s="152">
        <f t="array" ref="I251">IF(IFERROR(-INDEX(Expenses!D$3:D$999,SMALL(IF((Expenses!E$3:E$999="GBP")*(Expenses!A$3:A$999=DATE(2026,12,10)),ROW(Expenses!A$3:A$999)-2),3)),0)+IFERROR(INDEX(Income!C$3:C$502,SMALL(IF((Income!D$3:D$502="GBP")*(Income!A$3:A$502=DATE(2026,12,10)),ROW(Income!A$3:A$502)-2),3)),0)=0,"",IFERROR(-INDEX(Expenses!D$3:D$999,SMALL(IF((Expenses!E$3:E$999="GBP")*(Expenses!A$3:A$999=DATE(2026,12,10)),ROW(Expenses!A$3:A$999)-2),3)),0)+IFERROR(INDEX(Income!C$3:C$502,SMALL(IF((Income!D$3:D$502="GBP")*(Income!A$3:A$502=DATE(2026,12,10)),ROW(Income!A$3:A$502)-2),3)),0))</f>
        <v/>
      </c>
      <c r="J251" s="126">
        <f t="array" ref="J251">IF(IFERROR(INDEX(Expenses!B$3:B$999,SMALL(IF((Expenses!E$3:E$999="GBP")*(Expenses!A$3:A$999=DATE(2026,12,10)),ROW(Expenses!A$3:A$999)-2),3)),"")&lt;&gt;"",IFERROR(INDEX(Expenses!B$3:B$999,SMALL(IF((Expenses!E$3:E$999="GBP")*(Expenses!A$3:A$999=DATE(2026,12,10)),ROW(Expenses!A$3:A$999)-2),3)),""),IF(IFERROR(INDEX(Income!B$3:B$502,SMALL(IF((Income!D$3:D$502="GBP")*(Income!A$3:A$502=DATE(2026,12,10)),ROW(Income!A$3:A$502)-2),3)),"")&lt;&gt;"",IFERROR(INDEX(Income!B$3:B$502,SMALL(IF((Income!D$3:D$502="GBP")*(Income!A$3:A$502=DATE(2026,12,10)),ROW(Income!A$3:A$502)-2),3)),""),""))</f>
        <v/>
      </c>
      <c r="K251" s="152">
        <f t="array" ref="K251">IF(IFERROR(-INDEX(Expenses!D$3:D$999,SMALL(IF((Expenses!E$3:E$999="GBP")*(Expenses!A$3:A$999=DATE(2026,12,11)),ROW(Expenses!A$3:A$999)-2),3)),0)+IFERROR(INDEX(Income!C$3:C$502,SMALL(IF((Income!D$3:D$502="GBP")*(Income!A$3:A$502=DATE(2026,12,11)),ROW(Income!A$3:A$502)-2),3)),0)=0,"",IFERROR(-INDEX(Expenses!D$3:D$999,SMALL(IF((Expenses!E$3:E$999="GBP")*(Expenses!A$3:A$999=DATE(2026,12,11)),ROW(Expenses!A$3:A$999)-2),3)),0)+IFERROR(INDEX(Income!C$3:C$502,SMALL(IF((Income!D$3:D$502="GBP")*(Income!A$3:A$502=DATE(2026,12,11)),ROW(Income!A$3:A$502)-2),3)),0))</f>
        <v/>
      </c>
      <c r="L251" s="126">
        <f t="array" ref="L251">IF(IFERROR(INDEX(Expenses!B$3:B$999,SMALL(IF((Expenses!E$3:E$999="GBP")*(Expenses!A$3:A$999=DATE(2026,12,11)),ROW(Expenses!A$3:A$999)-2),3)),"")&lt;&gt;"",IFERROR(INDEX(Expenses!B$3:B$999,SMALL(IF((Expenses!E$3:E$999="GBP")*(Expenses!A$3:A$999=DATE(2026,12,11)),ROW(Expenses!A$3:A$999)-2),3)),""),IF(IFERROR(INDEX(Income!B$3:B$502,SMALL(IF((Income!D$3:D$502="GBP")*(Income!A$3:A$502=DATE(2026,12,11)),ROW(Income!A$3:A$502)-2),3)),"")&lt;&gt;"",IFERROR(INDEX(Income!B$3:B$502,SMALL(IF((Income!D$3:D$502="GBP")*(Income!A$3:A$502=DATE(2026,12,11)),ROW(Income!A$3:A$502)-2),3)),""),""))</f>
        <v/>
      </c>
      <c r="M251" s="152">
        <f t="array" ref="M251">IF(IFERROR(-INDEX(Expenses!D$3:D$999,SMALL(IF((Expenses!E$3:E$999="GBP")*(Expenses!A$3:A$999=DATE(2026,12,12)),ROW(Expenses!A$3:A$999)-2),3)),0)+IFERROR(INDEX(Income!C$3:C$502,SMALL(IF((Income!D$3:D$502="GBP")*(Income!A$3:A$502=DATE(2026,12,12)),ROW(Income!A$3:A$502)-2),3)),0)=0,"",IFERROR(-INDEX(Expenses!D$3:D$999,SMALL(IF((Expenses!E$3:E$999="GBP")*(Expenses!A$3:A$999=DATE(2026,12,12)),ROW(Expenses!A$3:A$999)-2),3)),0)+IFERROR(INDEX(Income!C$3:C$502,SMALL(IF((Income!D$3:D$502="GBP")*(Income!A$3:A$502=DATE(2026,12,12)),ROW(Income!A$3:A$502)-2),3)),0))</f>
        <v/>
      </c>
      <c r="N251" s="126">
        <f t="array" ref="N251">IF(IFERROR(INDEX(Expenses!B$3:B$999,SMALL(IF((Expenses!E$3:E$999="GBP")*(Expenses!A$3:A$999=DATE(2026,12,12)),ROW(Expenses!A$3:A$999)-2),3)),"")&lt;&gt;"",IFERROR(INDEX(Expenses!B$3:B$999,SMALL(IF((Expenses!E$3:E$999="GBP")*(Expenses!A$3:A$999=DATE(2026,12,12)),ROW(Expenses!A$3:A$999)-2),3)),""),IF(IFERROR(INDEX(Income!B$3:B$502,SMALL(IF((Income!D$3:D$502="GBP")*(Income!A$3:A$502=DATE(2026,12,12)),ROW(Income!A$3:A$502)-2),3)),"")&lt;&gt;"",IFERROR(INDEX(Income!B$3:B$502,SMALL(IF((Income!D$3:D$502="GBP")*(Income!A$3:A$502=DATE(2026,12,12)),ROW(Income!A$3:A$502)-2),3)),""),""))</f>
        <v/>
      </c>
      <c r="O251" s="152">
        <f t="array" ref="O251">IF(IFERROR(-INDEX(Expenses!D$3:D$999,SMALL(IF((Expenses!E$3:E$999="GBP")*(Expenses!A$3:A$999=DATE(2026,12,13)),ROW(Expenses!A$3:A$999)-2),3)),0)+IFERROR(INDEX(Income!C$3:C$502,SMALL(IF((Income!D$3:D$502="GBP")*(Income!A$3:A$502=DATE(2026,12,13)),ROW(Income!A$3:A$502)-2),3)),0)=0,"",IFERROR(-INDEX(Expenses!D$3:D$999,SMALL(IF((Expenses!E$3:E$999="GBP")*(Expenses!A$3:A$999=DATE(2026,12,13)),ROW(Expenses!A$3:A$999)-2),3)),0)+IFERROR(INDEX(Income!C$3:C$502,SMALL(IF((Income!D$3:D$502="GBP")*(Income!A$3:A$502=DATE(2026,12,13)),ROW(Income!A$3:A$502)-2),3)),0))</f>
        <v/>
      </c>
      <c r="P251" s="126">
        <f t="array" ref="P251">IF(IFERROR(INDEX(Expenses!B$3:B$999,SMALL(IF((Expenses!E$3:E$999="GBP")*(Expenses!A$3:A$999=DATE(2026,12,13)),ROW(Expenses!A$3:A$999)-2),3)),"")&lt;&gt;"",IFERROR(INDEX(Expenses!B$3:B$999,SMALL(IF((Expenses!E$3:E$999="GBP")*(Expenses!A$3:A$999=DATE(2026,12,13)),ROW(Expenses!A$3:A$999)-2),3)),""),IF(IFERROR(INDEX(Income!B$3:B$502,SMALL(IF((Income!D$3:D$502="GBP")*(Income!A$3:A$502=DATE(2026,12,13)),ROW(Income!A$3:A$502)-2),3)),"")&lt;&gt;"",IFERROR(INDEX(Income!B$3:B$502,SMALL(IF((Income!D$3:D$502="GBP")*(Income!A$3:A$502=DATE(2026,12,13)),ROW(Income!A$3:A$502)-2),3)),""),""))</f>
        <v/>
      </c>
      <c r="Q251" s="9" t="n"/>
      <c r="R251" s="9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68">
      <c r="A252" s="9" t="n"/>
      <c r="B252" s="9" t="n"/>
      <c r="C252" s="152">
        <f t="array" ref="C252">IF(IFERROR(-INDEX(Expenses!D$3:D$999,SMALL(IF((Expenses!E$3:E$999="GBP")*(Expenses!A$3:A$999=DATE(2026,12,7)),ROW(Expenses!A$3:A$999)-2),4)),0)+IFERROR(INDEX(Income!C$3:C$502,SMALL(IF((Income!D$3:D$502="GBP")*(Income!A$3:A$502=DATE(2026,12,7)),ROW(Income!A$3:A$502)-2),4)),0)=0,"",IFERROR(-INDEX(Expenses!D$3:D$999,SMALL(IF((Expenses!E$3:E$999="GBP")*(Expenses!A$3:A$999=DATE(2026,12,7)),ROW(Expenses!A$3:A$999)-2),4)),0)+IFERROR(INDEX(Income!C$3:C$502,SMALL(IF((Income!D$3:D$502="GBP")*(Income!A$3:A$502=DATE(2026,12,7)),ROW(Income!A$3:A$502)-2),4)),0))</f>
        <v/>
      </c>
      <c r="D252" s="126">
        <f t="array" ref="D252">IF(IFERROR(INDEX(Expenses!B$3:B$999,SMALL(IF((Expenses!E$3:E$999="GBP")*(Expenses!A$3:A$999=DATE(2026,12,7)),ROW(Expenses!A$3:A$999)-2),4)),"")&lt;&gt;"",IFERROR(INDEX(Expenses!B$3:B$999,SMALL(IF((Expenses!E$3:E$999="GBP")*(Expenses!A$3:A$999=DATE(2026,12,7)),ROW(Expenses!A$3:A$999)-2),4)),""),IF(IFERROR(INDEX(Income!B$3:B$502,SMALL(IF((Income!D$3:D$502="GBP")*(Income!A$3:A$502=DATE(2026,12,7)),ROW(Income!A$3:A$502)-2),4)),"")&lt;&gt;"",IFERROR(INDEX(Income!B$3:B$502,SMALL(IF((Income!D$3:D$502="GBP")*(Income!A$3:A$502=DATE(2026,12,7)),ROW(Income!A$3:A$502)-2),4)),""),""))</f>
        <v/>
      </c>
      <c r="E252" s="152">
        <f t="array" ref="E252">IF(IFERROR(-INDEX(Expenses!D$3:D$999,SMALL(IF((Expenses!E$3:E$999="GBP")*(Expenses!A$3:A$999=DATE(2026,12,8)),ROW(Expenses!A$3:A$999)-2),4)),0)+IFERROR(INDEX(Income!C$3:C$502,SMALL(IF((Income!D$3:D$502="GBP")*(Income!A$3:A$502=DATE(2026,12,8)),ROW(Income!A$3:A$502)-2),4)),0)=0,"",IFERROR(-INDEX(Expenses!D$3:D$999,SMALL(IF((Expenses!E$3:E$999="GBP")*(Expenses!A$3:A$999=DATE(2026,12,8)),ROW(Expenses!A$3:A$999)-2),4)),0)+IFERROR(INDEX(Income!C$3:C$502,SMALL(IF((Income!D$3:D$502="GBP")*(Income!A$3:A$502=DATE(2026,12,8)),ROW(Income!A$3:A$502)-2),4)),0))</f>
        <v/>
      </c>
      <c r="F252" s="126">
        <f t="array" ref="F252">IF(IFERROR(INDEX(Expenses!B$3:B$999,SMALL(IF((Expenses!E$3:E$999="GBP")*(Expenses!A$3:A$999=DATE(2026,12,8)),ROW(Expenses!A$3:A$999)-2),4)),"")&lt;&gt;"",IFERROR(INDEX(Expenses!B$3:B$999,SMALL(IF((Expenses!E$3:E$999="GBP")*(Expenses!A$3:A$999=DATE(2026,12,8)),ROW(Expenses!A$3:A$999)-2),4)),""),IF(IFERROR(INDEX(Income!B$3:B$502,SMALL(IF((Income!D$3:D$502="GBP")*(Income!A$3:A$502=DATE(2026,12,8)),ROW(Income!A$3:A$502)-2),4)),"")&lt;&gt;"",IFERROR(INDEX(Income!B$3:B$502,SMALL(IF((Income!D$3:D$502="GBP")*(Income!A$3:A$502=DATE(2026,12,8)),ROW(Income!A$3:A$502)-2),4)),""),""))</f>
        <v/>
      </c>
      <c r="G252" s="152">
        <f t="array" ref="G252">IF(IFERROR(-INDEX(Expenses!D$3:D$999,SMALL(IF((Expenses!E$3:E$999="GBP")*(Expenses!A$3:A$999=DATE(2026,12,9)),ROW(Expenses!A$3:A$999)-2),4)),0)+IFERROR(INDEX(Income!C$3:C$502,SMALL(IF((Income!D$3:D$502="GBP")*(Income!A$3:A$502=DATE(2026,12,9)),ROW(Income!A$3:A$502)-2),4)),0)=0,"",IFERROR(-INDEX(Expenses!D$3:D$999,SMALL(IF((Expenses!E$3:E$999="GBP")*(Expenses!A$3:A$999=DATE(2026,12,9)),ROW(Expenses!A$3:A$999)-2),4)),0)+IFERROR(INDEX(Income!C$3:C$502,SMALL(IF((Income!D$3:D$502="GBP")*(Income!A$3:A$502=DATE(2026,12,9)),ROW(Income!A$3:A$502)-2),4)),0))</f>
        <v/>
      </c>
      <c r="H252" s="126">
        <f t="array" ref="H252">IF(IFERROR(INDEX(Expenses!B$3:B$999,SMALL(IF((Expenses!E$3:E$999="GBP")*(Expenses!A$3:A$999=DATE(2026,12,9)),ROW(Expenses!A$3:A$999)-2),4)),"")&lt;&gt;"",IFERROR(INDEX(Expenses!B$3:B$999,SMALL(IF((Expenses!E$3:E$999="GBP")*(Expenses!A$3:A$999=DATE(2026,12,9)),ROW(Expenses!A$3:A$999)-2),4)),""),IF(IFERROR(INDEX(Income!B$3:B$502,SMALL(IF((Income!D$3:D$502="GBP")*(Income!A$3:A$502=DATE(2026,12,9)),ROW(Income!A$3:A$502)-2),4)),"")&lt;&gt;"",IFERROR(INDEX(Income!B$3:B$502,SMALL(IF((Income!D$3:D$502="GBP")*(Income!A$3:A$502=DATE(2026,12,9)),ROW(Income!A$3:A$502)-2),4)),""),""))</f>
        <v/>
      </c>
      <c r="I252" s="152">
        <f t="array" ref="I252">IF(IFERROR(-INDEX(Expenses!D$3:D$999,SMALL(IF((Expenses!E$3:E$999="GBP")*(Expenses!A$3:A$999=DATE(2026,12,10)),ROW(Expenses!A$3:A$999)-2),4)),0)+IFERROR(INDEX(Income!C$3:C$502,SMALL(IF((Income!D$3:D$502="GBP")*(Income!A$3:A$502=DATE(2026,12,10)),ROW(Income!A$3:A$502)-2),4)),0)=0,"",IFERROR(-INDEX(Expenses!D$3:D$999,SMALL(IF((Expenses!E$3:E$999="GBP")*(Expenses!A$3:A$999=DATE(2026,12,10)),ROW(Expenses!A$3:A$999)-2),4)),0)+IFERROR(INDEX(Income!C$3:C$502,SMALL(IF((Income!D$3:D$502="GBP")*(Income!A$3:A$502=DATE(2026,12,10)),ROW(Income!A$3:A$502)-2),4)),0))</f>
        <v/>
      </c>
      <c r="J252" s="126">
        <f t="array" ref="J252">IF(IFERROR(INDEX(Expenses!B$3:B$999,SMALL(IF((Expenses!E$3:E$999="GBP")*(Expenses!A$3:A$999=DATE(2026,12,10)),ROW(Expenses!A$3:A$999)-2),4)),"")&lt;&gt;"",IFERROR(INDEX(Expenses!B$3:B$999,SMALL(IF((Expenses!E$3:E$999="GBP")*(Expenses!A$3:A$999=DATE(2026,12,10)),ROW(Expenses!A$3:A$999)-2),4)),""),IF(IFERROR(INDEX(Income!B$3:B$502,SMALL(IF((Income!D$3:D$502="GBP")*(Income!A$3:A$502=DATE(2026,12,10)),ROW(Income!A$3:A$502)-2),4)),"")&lt;&gt;"",IFERROR(INDEX(Income!B$3:B$502,SMALL(IF((Income!D$3:D$502="GBP")*(Income!A$3:A$502=DATE(2026,12,10)),ROW(Income!A$3:A$502)-2),4)),""),""))</f>
        <v/>
      </c>
      <c r="K252" s="152">
        <f t="array" ref="K252">IF(IFERROR(-INDEX(Expenses!D$3:D$999,SMALL(IF((Expenses!E$3:E$999="GBP")*(Expenses!A$3:A$999=DATE(2026,12,11)),ROW(Expenses!A$3:A$999)-2),4)),0)+IFERROR(INDEX(Income!C$3:C$502,SMALL(IF((Income!D$3:D$502="GBP")*(Income!A$3:A$502=DATE(2026,12,11)),ROW(Income!A$3:A$502)-2),4)),0)=0,"",IFERROR(-INDEX(Expenses!D$3:D$999,SMALL(IF((Expenses!E$3:E$999="GBP")*(Expenses!A$3:A$999=DATE(2026,12,11)),ROW(Expenses!A$3:A$999)-2),4)),0)+IFERROR(INDEX(Income!C$3:C$502,SMALL(IF((Income!D$3:D$502="GBP")*(Income!A$3:A$502=DATE(2026,12,11)),ROW(Income!A$3:A$502)-2),4)),0))</f>
        <v/>
      </c>
      <c r="L252" s="126">
        <f t="array" ref="L252">IF(IFERROR(INDEX(Expenses!B$3:B$999,SMALL(IF((Expenses!E$3:E$999="GBP")*(Expenses!A$3:A$999=DATE(2026,12,11)),ROW(Expenses!A$3:A$999)-2),4)),"")&lt;&gt;"",IFERROR(INDEX(Expenses!B$3:B$999,SMALL(IF((Expenses!E$3:E$999="GBP")*(Expenses!A$3:A$999=DATE(2026,12,11)),ROW(Expenses!A$3:A$999)-2),4)),""),IF(IFERROR(INDEX(Income!B$3:B$502,SMALL(IF((Income!D$3:D$502="GBP")*(Income!A$3:A$502=DATE(2026,12,11)),ROW(Income!A$3:A$502)-2),4)),"")&lt;&gt;"",IFERROR(INDEX(Income!B$3:B$502,SMALL(IF((Income!D$3:D$502="GBP")*(Income!A$3:A$502=DATE(2026,12,11)),ROW(Income!A$3:A$502)-2),4)),""),""))</f>
        <v/>
      </c>
      <c r="M252" s="152">
        <f t="array" ref="M252">IF(IFERROR(-INDEX(Expenses!D$3:D$999,SMALL(IF((Expenses!E$3:E$999="GBP")*(Expenses!A$3:A$999=DATE(2026,12,12)),ROW(Expenses!A$3:A$999)-2),4)),0)+IFERROR(INDEX(Income!C$3:C$502,SMALL(IF((Income!D$3:D$502="GBP")*(Income!A$3:A$502=DATE(2026,12,12)),ROW(Income!A$3:A$502)-2),4)),0)=0,"",IFERROR(-INDEX(Expenses!D$3:D$999,SMALL(IF((Expenses!E$3:E$999="GBP")*(Expenses!A$3:A$999=DATE(2026,12,12)),ROW(Expenses!A$3:A$999)-2),4)),0)+IFERROR(INDEX(Income!C$3:C$502,SMALL(IF((Income!D$3:D$502="GBP")*(Income!A$3:A$502=DATE(2026,12,12)),ROW(Income!A$3:A$502)-2),4)),0))</f>
        <v/>
      </c>
      <c r="N252" s="126">
        <f t="array" ref="N252">IF(IFERROR(INDEX(Expenses!B$3:B$999,SMALL(IF((Expenses!E$3:E$999="GBP")*(Expenses!A$3:A$999=DATE(2026,12,12)),ROW(Expenses!A$3:A$999)-2),4)),"")&lt;&gt;"",IFERROR(INDEX(Expenses!B$3:B$999,SMALL(IF((Expenses!E$3:E$999="GBP")*(Expenses!A$3:A$999=DATE(2026,12,12)),ROW(Expenses!A$3:A$999)-2),4)),""),IF(IFERROR(INDEX(Income!B$3:B$502,SMALL(IF((Income!D$3:D$502="GBP")*(Income!A$3:A$502=DATE(2026,12,12)),ROW(Income!A$3:A$502)-2),4)),"")&lt;&gt;"",IFERROR(INDEX(Income!B$3:B$502,SMALL(IF((Income!D$3:D$502="GBP")*(Income!A$3:A$502=DATE(2026,12,12)),ROW(Income!A$3:A$502)-2),4)),""),""))</f>
        <v/>
      </c>
      <c r="O252" s="152">
        <f t="array" ref="O252">IF(IFERROR(-INDEX(Expenses!D$3:D$999,SMALL(IF((Expenses!E$3:E$999="GBP")*(Expenses!A$3:A$999=DATE(2026,12,13)),ROW(Expenses!A$3:A$999)-2),4)),0)+IFERROR(INDEX(Income!C$3:C$502,SMALL(IF((Income!D$3:D$502="GBP")*(Income!A$3:A$502=DATE(2026,12,13)),ROW(Income!A$3:A$502)-2),4)),0)=0,"",IFERROR(-INDEX(Expenses!D$3:D$999,SMALL(IF((Expenses!E$3:E$999="GBP")*(Expenses!A$3:A$999=DATE(2026,12,13)),ROW(Expenses!A$3:A$999)-2),4)),0)+IFERROR(INDEX(Income!C$3:C$502,SMALL(IF((Income!D$3:D$502="GBP")*(Income!A$3:A$502=DATE(2026,12,13)),ROW(Income!A$3:A$502)-2),4)),0))</f>
        <v/>
      </c>
      <c r="P252" s="126">
        <f t="array" ref="P252">IF(IFERROR(INDEX(Expenses!B$3:B$999,SMALL(IF((Expenses!E$3:E$999="GBP")*(Expenses!A$3:A$999=DATE(2026,12,13)),ROW(Expenses!A$3:A$999)-2),4)),"")&lt;&gt;"",IFERROR(INDEX(Expenses!B$3:B$999,SMALL(IF((Expenses!E$3:E$999="GBP")*(Expenses!A$3:A$999=DATE(2026,12,13)),ROW(Expenses!A$3:A$999)-2),4)),""),IF(IFERROR(INDEX(Income!B$3:B$502,SMALL(IF((Income!D$3:D$502="GBP")*(Income!A$3:A$502=DATE(2026,12,13)),ROW(Income!A$3:A$502)-2),4)),"")&lt;&gt;"",IFERROR(INDEX(Income!B$3:B$502,SMALL(IF((Income!D$3:D$502="GBP")*(Income!A$3:A$502=DATE(2026,12,13)),ROW(Income!A$3:A$502)-2),4)),""),""))</f>
        <v/>
      </c>
      <c r="Q252" s="9" t="n"/>
      <c r="R252" s="9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68">
      <c r="A253" s="9" t="n"/>
      <c r="B253" s="9" t="n"/>
      <c r="C253" s="152">
        <f t="array" ref="C253">IF(IFERROR(-INDEX(Expenses!D$3:D$999,SMALL(IF((Expenses!E$3:E$999="GBP")*(Expenses!A$3:A$999=DATE(2026,12,7)),ROW(Expenses!A$3:A$999)-2),5)),0)+IFERROR(INDEX(Income!C$3:C$502,SMALL(IF((Income!D$3:D$502="GBP")*(Income!A$3:A$502=DATE(2026,12,7)),ROW(Income!A$3:A$502)-2),5)),0)=0,"",IFERROR(-INDEX(Expenses!D$3:D$999,SMALL(IF((Expenses!E$3:E$999="GBP")*(Expenses!A$3:A$999=DATE(2026,12,7)),ROW(Expenses!A$3:A$999)-2),5)),0)+IFERROR(INDEX(Income!C$3:C$502,SMALL(IF((Income!D$3:D$502="GBP")*(Income!A$3:A$502=DATE(2026,12,7)),ROW(Income!A$3:A$502)-2),5)),0))</f>
        <v/>
      </c>
      <c r="D253" s="126">
        <f t="array" ref="D253">IF(IFERROR(INDEX(Expenses!B$3:B$999,SMALL(IF((Expenses!E$3:E$999="GBP")*(Expenses!A$3:A$999=DATE(2026,12,7)),ROW(Expenses!A$3:A$999)-2),5)),"")&lt;&gt;"",IFERROR(INDEX(Expenses!B$3:B$999,SMALL(IF((Expenses!E$3:E$999="GBP")*(Expenses!A$3:A$999=DATE(2026,12,7)),ROW(Expenses!A$3:A$999)-2),5)),""),IF(IFERROR(INDEX(Income!B$3:B$502,SMALL(IF((Income!D$3:D$502="GBP")*(Income!A$3:A$502=DATE(2026,12,7)),ROW(Income!A$3:A$502)-2),5)),"")&lt;&gt;"",IFERROR(INDEX(Income!B$3:B$502,SMALL(IF((Income!D$3:D$502="GBP")*(Income!A$3:A$502=DATE(2026,12,7)),ROW(Income!A$3:A$502)-2),5)),""),""))</f>
        <v/>
      </c>
      <c r="E253" s="152">
        <f t="array" ref="E253">IF(IFERROR(-INDEX(Expenses!D$3:D$999,SMALL(IF((Expenses!E$3:E$999="GBP")*(Expenses!A$3:A$999=DATE(2026,12,8)),ROW(Expenses!A$3:A$999)-2),5)),0)+IFERROR(INDEX(Income!C$3:C$502,SMALL(IF((Income!D$3:D$502="GBP")*(Income!A$3:A$502=DATE(2026,12,8)),ROW(Income!A$3:A$502)-2),5)),0)=0,"",IFERROR(-INDEX(Expenses!D$3:D$999,SMALL(IF((Expenses!E$3:E$999="GBP")*(Expenses!A$3:A$999=DATE(2026,12,8)),ROW(Expenses!A$3:A$999)-2),5)),0)+IFERROR(INDEX(Income!C$3:C$502,SMALL(IF((Income!D$3:D$502="GBP")*(Income!A$3:A$502=DATE(2026,12,8)),ROW(Income!A$3:A$502)-2),5)),0))</f>
        <v/>
      </c>
      <c r="F253" s="126">
        <f t="array" ref="F253">IF(IFERROR(INDEX(Expenses!B$3:B$999,SMALL(IF((Expenses!E$3:E$999="GBP")*(Expenses!A$3:A$999=DATE(2026,12,8)),ROW(Expenses!A$3:A$999)-2),5)),"")&lt;&gt;"",IFERROR(INDEX(Expenses!B$3:B$999,SMALL(IF((Expenses!E$3:E$999="GBP")*(Expenses!A$3:A$999=DATE(2026,12,8)),ROW(Expenses!A$3:A$999)-2),5)),""),IF(IFERROR(INDEX(Income!B$3:B$502,SMALL(IF((Income!D$3:D$502="GBP")*(Income!A$3:A$502=DATE(2026,12,8)),ROW(Income!A$3:A$502)-2),5)),"")&lt;&gt;"",IFERROR(INDEX(Income!B$3:B$502,SMALL(IF((Income!D$3:D$502="GBP")*(Income!A$3:A$502=DATE(2026,12,8)),ROW(Income!A$3:A$502)-2),5)),""),""))</f>
        <v/>
      </c>
      <c r="G253" s="152">
        <f t="array" ref="G253">IF(IFERROR(-INDEX(Expenses!D$3:D$999,SMALL(IF((Expenses!E$3:E$999="GBP")*(Expenses!A$3:A$999=DATE(2026,12,9)),ROW(Expenses!A$3:A$999)-2),5)),0)+IFERROR(INDEX(Income!C$3:C$502,SMALL(IF((Income!D$3:D$502="GBP")*(Income!A$3:A$502=DATE(2026,12,9)),ROW(Income!A$3:A$502)-2),5)),0)=0,"",IFERROR(-INDEX(Expenses!D$3:D$999,SMALL(IF((Expenses!E$3:E$999="GBP")*(Expenses!A$3:A$999=DATE(2026,12,9)),ROW(Expenses!A$3:A$999)-2),5)),0)+IFERROR(INDEX(Income!C$3:C$502,SMALL(IF((Income!D$3:D$502="GBP")*(Income!A$3:A$502=DATE(2026,12,9)),ROW(Income!A$3:A$502)-2),5)),0))</f>
        <v/>
      </c>
      <c r="H253" s="126">
        <f t="array" ref="H253">IF(IFERROR(INDEX(Expenses!B$3:B$999,SMALL(IF((Expenses!E$3:E$999="GBP")*(Expenses!A$3:A$999=DATE(2026,12,9)),ROW(Expenses!A$3:A$999)-2),5)),"")&lt;&gt;"",IFERROR(INDEX(Expenses!B$3:B$999,SMALL(IF((Expenses!E$3:E$999="GBP")*(Expenses!A$3:A$999=DATE(2026,12,9)),ROW(Expenses!A$3:A$999)-2),5)),""),IF(IFERROR(INDEX(Income!B$3:B$502,SMALL(IF((Income!D$3:D$502="GBP")*(Income!A$3:A$502=DATE(2026,12,9)),ROW(Income!A$3:A$502)-2),5)),"")&lt;&gt;"",IFERROR(INDEX(Income!B$3:B$502,SMALL(IF((Income!D$3:D$502="GBP")*(Income!A$3:A$502=DATE(2026,12,9)),ROW(Income!A$3:A$502)-2),5)),""),""))</f>
        <v/>
      </c>
      <c r="I253" s="152">
        <f t="array" ref="I253">IF(IFERROR(-INDEX(Expenses!D$3:D$999,SMALL(IF((Expenses!E$3:E$999="GBP")*(Expenses!A$3:A$999=DATE(2026,12,10)),ROW(Expenses!A$3:A$999)-2),5)),0)+IFERROR(INDEX(Income!C$3:C$502,SMALL(IF((Income!D$3:D$502="GBP")*(Income!A$3:A$502=DATE(2026,12,10)),ROW(Income!A$3:A$502)-2),5)),0)=0,"",IFERROR(-INDEX(Expenses!D$3:D$999,SMALL(IF((Expenses!E$3:E$999="GBP")*(Expenses!A$3:A$999=DATE(2026,12,10)),ROW(Expenses!A$3:A$999)-2),5)),0)+IFERROR(INDEX(Income!C$3:C$502,SMALL(IF((Income!D$3:D$502="GBP")*(Income!A$3:A$502=DATE(2026,12,10)),ROW(Income!A$3:A$502)-2),5)),0))</f>
        <v/>
      </c>
      <c r="J253" s="126">
        <f t="array" ref="J253">IF(IFERROR(INDEX(Expenses!B$3:B$999,SMALL(IF((Expenses!E$3:E$999="GBP")*(Expenses!A$3:A$999=DATE(2026,12,10)),ROW(Expenses!A$3:A$999)-2),5)),"")&lt;&gt;"",IFERROR(INDEX(Expenses!B$3:B$999,SMALL(IF((Expenses!E$3:E$999="GBP")*(Expenses!A$3:A$999=DATE(2026,12,10)),ROW(Expenses!A$3:A$999)-2),5)),""),IF(IFERROR(INDEX(Income!B$3:B$502,SMALL(IF((Income!D$3:D$502="GBP")*(Income!A$3:A$502=DATE(2026,12,10)),ROW(Income!A$3:A$502)-2),5)),"")&lt;&gt;"",IFERROR(INDEX(Income!B$3:B$502,SMALL(IF((Income!D$3:D$502="GBP")*(Income!A$3:A$502=DATE(2026,12,10)),ROW(Income!A$3:A$502)-2),5)),""),""))</f>
        <v/>
      </c>
      <c r="K253" s="152">
        <f t="array" ref="K253">IF(IFERROR(-INDEX(Expenses!D$3:D$999,SMALL(IF((Expenses!E$3:E$999="GBP")*(Expenses!A$3:A$999=DATE(2026,12,11)),ROW(Expenses!A$3:A$999)-2),5)),0)+IFERROR(INDEX(Income!C$3:C$502,SMALL(IF((Income!D$3:D$502="GBP")*(Income!A$3:A$502=DATE(2026,12,11)),ROW(Income!A$3:A$502)-2),5)),0)=0,"",IFERROR(-INDEX(Expenses!D$3:D$999,SMALL(IF((Expenses!E$3:E$999="GBP")*(Expenses!A$3:A$999=DATE(2026,12,11)),ROW(Expenses!A$3:A$999)-2),5)),0)+IFERROR(INDEX(Income!C$3:C$502,SMALL(IF((Income!D$3:D$502="GBP")*(Income!A$3:A$502=DATE(2026,12,11)),ROW(Income!A$3:A$502)-2),5)),0))</f>
        <v/>
      </c>
      <c r="L253" s="126">
        <f t="array" ref="L253">IF(IFERROR(INDEX(Expenses!B$3:B$999,SMALL(IF((Expenses!E$3:E$999="GBP")*(Expenses!A$3:A$999=DATE(2026,12,11)),ROW(Expenses!A$3:A$999)-2),5)),"")&lt;&gt;"",IFERROR(INDEX(Expenses!B$3:B$999,SMALL(IF((Expenses!E$3:E$999="GBP")*(Expenses!A$3:A$999=DATE(2026,12,11)),ROW(Expenses!A$3:A$999)-2),5)),""),IF(IFERROR(INDEX(Income!B$3:B$502,SMALL(IF((Income!D$3:D$502="GBP")*(Income!A$3:A$502=DATE(2026,12,11)),ROW(Income!A$3:A$502)-2),5)),"")&lt;&gt;"",IFERROR(INDEX(Income!B$3:B$502,SMALL(IF((Income!D$3:D$502="GBP")*(Income!A$3:A$502=DATE(2026,12,11)),ROW(Income!A$3:A$502)-2),5)),""),""))</f>
        <v/>
      </c>
      <c r="M253" s="152">
        <f t="array" ref="M253">IF(IFERROR(-INDEX(Expenses!D$3:D$999,SMALL(IF((Expenses!E$3:E$999="GBP")*(Expenses!A$3:A$999=DATE(2026,12,12)),ROW(Expenses!A$3:A$999)-2),5)),0)+IFERROR(INDEX(Income!C$3:C$502,SMALL(IF((Income!D$3:D$502="GBP")*(Income!A$3:A$502=DATE(2026,12,12)),ROW(Income!A$3:A$502)-2),5)),0)=0,"",IFERROR(-INDEX(Expenses!D$3:D$999,SMALL(IF((Expenses!E$3:E$999="GBP")*(Expenses!A$3:A$999=DATE(2026,12,12)),ROW(Expenses!A$3:A$999)-2),5)),0)+IFERROR(INDEX(Income!C$3:C$502,SMALL(IF((Income!D$3:D$502="GBP")*(Income!A$3:A$502=DATE(2026,12,12)),ROW(Income!A$3:A$502)-2),5)),0))</f>
        <v/>
      </c>
      <c r="N253" s="126">
        <f t="array" ref="N253">IF(IFERROR(INDEX(Expenses!B$3:B$999,SMALL(IF((Expenses!E$3:E$999="GBP")*(Expenses!A$3:A$999=DATE(2026,12,12)),ROW(Expenses!A$3:A$999)-2),5)),"")&lt;&gt;"",IFERROR(INDEX(Expenses!B$3:B$999,SMALL(IF((Expenses!E$3:E$999="GBP")*(Expenses!A$3:A$999=DATE(2026,12,12)),ROW(Expenses!A$3:A$999)-2),5)),""),IF(IFERROR(INDEX(Income!B$3:B$502,SMALL(IF((Income!D$3:D$502="GBP")*(Income!A$3:A$502=DATE(2026,12,12)),ROW(Income!A$3:A$502)-2),5)),"")&lt;&gt;"",IFERROR(INDEX(Income!B$3:B$502,SMALL(IF((Income!D$3:D$502="GBP")*(Income!A$3:A$502=DATE(2026,12,12)),ROW(Income!A$3:A$502)-2),5)),""),""))</f>
        <v/>
      </c>
      <c r="O253" s="152">
        <f t="array" ref="O253">IF(IFERROR(-INDEX(Expenses!D$3:D$999,SMALL(IF((Expenses!E$3:E$999="GBP")*(Expenses!A$3:A$999=DATE(2026,12,13)),ROW(Expenses!A$3:A$999)-2),5)),0)+IFERROR(INDEX(Income!C$3:C$502,SMALL(IF((Income!D$3:D$502="GBP")*(Income!A$3:A$502=DATE(2026,12,13)),ROW(Income!A$3:A$502)-2),5)),0)=0,"",IFERROR(-INDEX(Expenses!D$3:D$999,SMALL(IF((Expenses!E$3:E$999="GBP")*(Expenses!A$3:A$999=DATE(2026,12,13)),ROW(Expenses!A$3:A$999)-2),5)),0)+IFERROR(INDEX(Income!C$3:C$502,SMALL(IF((Income!D$3:D$502="GBP")*(Income!A$3:A$502=DATE(2026,12,13)),ROW(Income!A$3:A$502)-2),5)),0))</f>
        <v/>
      </c>
      <c r="P253" s="126">
        <f t="array" ref="P253">IF(IFERROR(INDEX(Expenses!B$3:B$999,SMALL(IF((Expenses!E$3:E$999="GBP")*(Expenses!A$3:A$999=DATE(2026,12,13)),ROW(Expenses!A$3:A$999)-2),5)),"")&lt;&gt;"",IFERROR(INDEX(Expenses!B$3:B$999,SMALL(IF((Expenses!E$3:E$999="GBP")*(Expenses!A$3:A$999=DATE(2026,12,13)),ROW(Expenses!A$3:A$999)-2),5)),""),IF(IFERROR(INDEX(Income!B$3:B$502,SMALL(IF((Income!D$3:D$502="GBP")*(Income!A$3:A$502=DATE(2026,12,13)),ROW(Income!A$3:A$502)-2),5)),"")&lt;&gt;"",IFERROR(INDEX(Income!B$3:B$502,SMALL(IF((Income!D$3:D$502="GBP")*(Income!A$3:A$502=DATE(2026,12,13)),ROW(Income!A$3:A$502)-2),5)),""),""))</f>
        <v/>
      </c>
      <c r="Q253" s="9" t="n"/>
      <c r="R253" s="9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68">
      <c r="A254" s="151" t="n">
        <v>46370</v>
      </c>
      <c r="B254" s="103" t="n">
        <v>51</v>
      </c>
      <c r="C254" s="152">
        <f t="array" ref="C254">IF(IFERROR(-INDEX(Expenses!D$3:D$999,SMALL(IF((Expenses!E$3:E$999="GBP")*(Expenses!A$3:A$999=DATE(2026,12,14)),ROW(Expenses!A$3:A$999)-2),1)),0)+IFERROR(INDEX(Income!C$3:C$502,SMALL(IF((Income!D$3:D$502="GBP")*(Income!A$3:A$502=DATE(2026,12,14)),ROW(Income!A$3:A$502)-2),1)),0)=0,"",IFERROR(-INDEX(Expenses!D$3:D$999,SMALL(IF((Expenses!E$3:E$999="GBP")*(Expenses!A$3:A$999=DATE(2026,12,14)),ROW(Expenses!A$3:A$999)-2),1)),0)+IFERROR(INDEX(Income!C$3:C$502,SMALL(IF((Income!D$3:D$502="GBP")*(Income!A$3:A$502=DATE(2026,12,14)),ROW(Income!A$3:A$502)-2),1)),0))</f>
        <v/>
      </c>
      <c r="D254" s="126">
        <f t="array" ref="D254">IF(IFERROR(INDEX(Expenses!B$3:B$999,SMALL(IF((Expenses!E$3:E$999="GBP")*(Expenses!A$3:A$999=DATE(2026,12,14)),ROW(Expenses!A$3:A$999)-2),1)),"")&lt;&gt;"",IFERROR(INDEX(Expenses!B$3:B$999,SMALL(IF((Expenses!E$3:E$999="GBP")*(Expenses!A$3:A$999=DATE(2026,12,14)),ROW(Expenses!A$3:A$999)-2),1)),""),IF(IFERROR(INDEX(Income!B$3:B$502,SMALL(IF((Income!D$3:D$502="GBP")*(Income!A$3:A$502=DATE(2026,12,14)),ROW(Income!A$3:A$502)-2),1)),"")&lt;&gt;"",IFERROR(INDEX(Income!B$3:B$502,SMALL(IF((Income!D$3:D$502="GBP")*(Income!A$3:A$502=DATE(2026,12,14)),ROW(Income!A$3:A$502)-2),1)),""),""))</f>
        <v/>
      </c>
      <c r="E254" s="152">
        <f t="array" ref="E254">IF(IFERROR(-INDEX(Expenses!D$3:D$999,SMALL(IF((Expenses!E$3:E$999="GBP")*(Expenses!A$3:A$999=DATE(2026,12,15)),ROW(Expenses!A$3:A$999)-2),1)),0)+IFERROR(INDEX(Income!C$3:C$502,SMALL(IF((Income!D$3:D$502="GBP")*(Income!A$3:A$502=DATE(2026,12,15)),ROW(Income!A$3:A$502)-2),1)),0)=0,"",IFERROR(-INDEX(Expenses!D$3:D$999,SMALL(IF((Expenses!E$3:E$999="GBP")*(Expenses!A$3:A$999=DATE(2026,12,15)),ROW(Expenses!A$3:A$999)-2),1)),0)+IFERROR(INDEX(Income!C$3:C$502,SMALL(IF((Income!D$3:D$502="GBP")*(Income!A$3:A$502=DATE(2026,12,15)),ROW(Income!A$3:A$502)-2),1)),0))</f>
        <v/>
      </c>
      <c r="F254" s="126">
        <f t="array" ref="F254">IF(IFERROR(INDEX(Expenses!B$3:B$999,SMALL(IF((Expenses!E$3:E$999="GBP")*(Expenses!A$3:A$999=DATE(2026,12,15)),ROW(Expenses!A$3:A$999)-2),1)),"")&lt;&gt;"",IFERROR(INDEX(Expenses!B$3:B$999,SMALL(IF((Expenses!E$3:E$999="GBP")*(Expenses!A$3:A$999=DATE(2026,12,15)),ROW(Expenses!A$3:A$999)-2),1)),""),IF(IFERROR(INDEX(Income!B$3:B$502,SMALL(IF((Income!D$3:D$502="GBP")*(Income!A$3:A$502=DATE(2026,12,15)),ROW(Income!A$3:A$502)-2),1)),"")&lt;&gt;"",IFERROR(INDEX(Income!B$3:B$502,SMALL(IF((Income!D$3:D$502="GBP")*(Income!A$3:A$502=DATE(2026,12,15)),ROW(Income!A$3:A$502)-2),1)),""),""))</f>
        <v/>
      </c>
      <c r="G254" s="152">
        <f t="array" ref="G254">IF(IFERROR(-INDEX(Expenses!D$3:D$999,SMALL(IF((Expenses!E$3:E$999="GBP")*(Expenses!A$3:A$999=DATE(2026,12,16)),ROW(Expenses!A$3:A$999)-2),1)),0)+IFERROR(INDEX(Income!C$3:C$502,SMALL(IF((Income!D$3:D$502="GBP")*(Income!A$3:A$502=DATE(2026,12,16)),ROW(Income!A$3:A$502)-2),1)),0)=0,"",IFERROR(-INDEX(Expenses!D$3:D$999,SMALL(IF((Expenses!E$3:E$999="GBP")*(Expenses!A$3:A$999=DATE(2026,12,16)),ROW(Expenses!A$3:A$999)-2),1)),0)+IFERROR(INDEX(Income!C$3:C$502,SMALL(IF((Income!D$3:D$502="GBP")*(Income!A$3:A$502=DATE(2026,12,16)),ROW(Income!A$3:A$502)-2),1)),0))</f>
        <v/>
      </c>
      <c r="H254" s="126">
        <f t="array" ref="H254">IF(IFERROR(INDEX(Expenses!B$3:B$999,SMALL(IF((Expenses!E$3:E$999="GBP")*(Expenses!A$3:A$999=DATE(2026,12,16)),ROW(Expenses!A$3:A$999)-2),1)),"")&lt;&gt;"",IFERROR(INDEX(Expenses!B$3:B$999,SMALL(IF((Expenses!E$3:E$999="GBP")*(Expenses!A$3:A$999=DATE(2026,12,16)),ROW(Expenses!A$3:A$999)-2),1)),""),IF(IFERROR(INDEX(Income!B$3:B$502,SMALL(IF((Income!D$3:D$502="GBP")*(Income!A$3:A$502=DATE(2026,12,16)),ROW(Income!A$3:A$502)-2),1)),"")&lt;&gt;"",IFERROR(INDEX(Income!B$3:B$502,SMALL(IF((Income!D$3:D$502="GBP")*(Income!A$3:A$502=DATE(2026,12,16)),ROW(Income!A$3:A$502)-2),1)),""),""))</f>
        <v/>
      </c>
      <c r="I254" s="152">
        <f t="array" ref="I254">IF(IFERROR(-INDEX(Expenses!D$3:D$999,SMALL(IF((Expenses!E$3:E$999="GBP")*(Expenses!A$3:A$999=DATE(2026,12,17)),ROW(Expenses!A$3:A$999)-2),1)),0)+IFERROR(INDEX(Income!C$3:C$502,SMALL(IF((Income!D$3:D$502="GBP")*(Income!A$3:A$502=DATE(2026,12,17)),ROW(Income!A$3:A$502)-2),1)),0)=0,"",IFERROR(-INDEX(Expenses!D$3:D$999,SMALL(IF((Expenses!E$3:E$999="GBP")*(Expenses!A$3:A$999=DATE(2026,12,17)),ROW(Expenses!A$3:A$999)-2),1)),0)+IFERROR(INDEX(Income!C$3:C$502,SMALL(IF((Income!D$3:D$502="GBP")*(Income!A$3:A$502=DATE(2026,12,17)),ROW(Income!A$3:A$502)-2),1)),0))</f>
        <v/>
      </c>
      <c r="J254" s="126">
        <f t="array" ref="J254">IF(IFERROR(INDEX(Expenses!B$3:B$999,SMALL(IF((Expenses!E$3:E$999="GBP")*(Expenses!A$3:A$999=DATE(2026,12,17)),ROW(Expenses!A$3:A$999)-2),1)),"")&lt;&gt;"",IFERROR(INDEX(Expenses!B$3:B$999,SMALL(IF((Expenses!E$3:E$999="GBP")*(Expenses!A$3:A$999=DATE(2026,12,17)),ROW(Expenses!A$3:A$999)-2),1)),""),IF(IFERROR(INDEX(Income!B$3:B$502,SMALL(IF((Income!D$3:D$502="GBP")*(Income!A$3:A$502=DATE(2026,12,17)),ROW(Income!A$3:A$502)-2),1)),"")&lt;&gt;"",IFERROR(INDEX(Income!B$3:B$502,SMALL(IF((Income!D$3:D$502="GBP")*(Income!A$3:A$502=DATE(2026,12,17)),ROW(Income!A$3:A$502)-2),1)),""),""))</f>
        <v/>
      </c>
      <c r="K254" s="152">
        <f t="array" ref="K254">IF(IFERROR(-INDEX(Expenses!D$3:D$999,SMALL(IF((Expenses!E$3:E$999="GBP")*(Expenses!A$3:A$999=DATE(2026,12,18)),ROW(Expenses!A$3:A$999)-2),1)),0)+IFERROR(INDEX(Income!C$3:C$502,SMALL(IF((Income!D$3:D$502="GBP")*(Income!A$3:A$502=DATE(2026,12,18)),ROW(Income!A$3:A$502)-2),1)),0)=0,"",IFERROR(-INDEX(Expenses!D$3:D$999,SMALL(IF((Expenses!E$3:E$999="GBP")*(Expenses!A$3:A$999=DATE(2026,12,18)),ROW(Expenses!A$3:A$999)-2),1)),0)+IFERROR(INDEX(Income!C$3:C$502,SMALL(IF((Income!D$3:D$502="GBP")*(Income!A$3:A$502=DATE(2026,12,18)),ROW(Income!A$3:A$502)-2),1)),0))</f>
        <v/>
      </c>
      <c r="L254" s="126">
        <f t="array" ref="L254">IF(IFERROR(INDEX(Expenses!B$3:B$999,SMALL(IF((Expenses!E$3:E$999="GBP")*(Expenses!A$3:A$999=DATE(2026,12,18)),ROW(Expenses!A$3:A$999)-2),1)),"")&lt;&gt;"",IFERROR(INDEX(Expenses!B$3:B$999,SMALL(IF((Expenses!E$3:E$999="GBP")*(Expenses!A$3:A$999=DATE(2026,12,18)),ROW(Expenses!A$3:A$999)-2),1)),""),IF(IFERROR(INDEX(Income!B$3:B$502,SMALL(IF((Income!D$3:D$502="GBP")*(Income!A$3:A$502=DATE(2026,12,18)),ROW(Income!A$3:A$502)-2),1)),"")&lt;&gt;"",IFERROR(INDEX(Income!B$3:B$502,SMALL(IF((Income!D$3:D$502="GBP")*(Income!A$3:A$502=DATE(2026,12,18)),ROW(Income!A$3:A$502)-2),1)),""),""))</f>
        <v/>
      </c>
      <c r="M254" s="152">
        <f t="array" ref="M254">IF(IFERROR(-INDEX(Expenses!D$3:D$999,SMALL(IF((Expenses!E$3:E$999="GBP")*(Expenses!A$3:A$999=DATE(2026,12,19)),ROW(Expenses!A$3:A$999)-2),1)),0)+IFERROR(INDEX(Income!C$3:C$502,SMALL(IF((Income!D$3:D$502="GBP")*(Income!A$3:A$502=DATE(2026,12,19)),ROW(Income!A$3:A$502)-2),1)),0)=0,"",IFERROR(-INDEX(Expenses!D$3:D$999,SMALL(IF((Expenses!E$3:E$999="GBP")*(Expenses!A$3:A$999=DATE(2026,12,19)),ROW(Expenses!A$3:A$999)-2),1)),0)+IFERROR(INDEX(Income!C$3:C$502,SMALL(IF((Income!D$3:D$502="GBP")*(Income!A$3:A$502=DATE(2026,12,19)),ROW(Income!A$3:A$502)-2),1)),0))</f>
        <v/>
      </c>
      <c r="N254" s="126">
        <f t="array" ref="N254">IF(IFERROR(INDEX(Expenses!B$3:B$999,SMALL(IF((Expenses!E$3:E$999="GBP")*(Expenses!A$3:A$999=DATE(2026,12,19)),ROW(Expenses!A$3:A$999)-2),1)),"")&lt;&gt;"",IFERROR(INDEX(Expenses!B$3:B$999,SMALL(IF((Expenses!E$3:E$999="GBP")*(Expenses!A$3:A$999=DATE(2026,12,19)),ROW(Expenses!A$3:A$999)-2),1)),""),IF(IFERROR(INDEX(Income!B$3:B$502,SMALL(IF((Income!D$3:D$502="GBP")*(Income!A$3:A$502=DATE(2026,12,19)),ROW(Income!A$3:A$502)-2),1)),"")&lt;&gt;"",IFERROR(INDEX(Income!B$3:B$502,SMALL(IF((Income!D$3:D$502="GBP")*(Income!A$3:A$502=DATE(2026,12,19)),ROW(Income!A$3:A$502)-2),1)),""),""))</f>
        <v/>
      </c>
      <c r="O254" s="152">
        <f t="array" ref="O254">IF(IFERROR(-INDEX(Expenses!D$3:D$999,SMALL(IF((Expenses!E$3:E$999="GBP")*(Expenses!A$3:A$999=DATE(2026,12,20)),ROW(Expenses!A$3:A$999)-2),1)),0)+IFERROR(INDEX(Income!C$3:C$502,SMALL(IF((Income!D$3:D$502="GBP")*(Income!A$3:A$502=DATE(2026,12,20)),ROW(Income!A$3:A$502)-2),1)),0)=0,"",IFERROR(-INDEX(Expenses!D$3:D$999,SMALL(IF((Expenses!E$3:E$999="GBP")*(Expenses!A$3:A$999=DATE(2026,12,20)),ROW(Expenses!A$3:A$999)-2),1)),0)+IFERROR(INDEX(Income!C$3:C$502,SMALL(IF((Income!D$3:D$502="GBP")*(Income!A$3:A$502=DATE(2026,12,20)),ROW(Income!A$3:A$502)-2),1)),0))</f>
        <v/>
      </c>
      <c r="P254" s="126">
        <f t="array" ref="P254">IF(IFERROR(INDEX(Expenses!B$3:B$999,SMALL(IF((Expenses!E$3:E$999="GBP")*(Expenses!A$3:A$999=DATE(2026,12,20)),ROW(Expenses!A$3:A$999)-2),1)),"")&lt;&gt;"",IFERROR(INDEX(Expenses!B$3:B$999,SMALL(IF((Expenses!E$3:E$999="GBP")*(Expenses!A$3:A$999=DATE(2026,12,20)),ROW(Expenses!A$3:A$999)-2),1)),""),IF(IFERROR(INDEX(Income!B$3:B$502,SMALL(IF((Income!D$3:D$502="GBP")*(Income!A$3:A$502=DATE(2026,12,20)),ROW(Income!A$3:A$502)-2),1)),"")&lt;&gt;"",IFERROR(INDEX(Income!B$3:B$502,SMALL(IF((Income!D$3:D$502="GBP")*(Income!A$3:A$502=DATE(2026,12,20)),ROW(Income!A$3:A$502)-2),1)),""),""))</f>
        <v/>
      </c>
      <c r="Q254" s="103" t="n">
        <v>51</v>
      </c>
      <c r="R254" s="134">
        <f>SUM(C254:C258)+SUM(E254:E258)+SUM(G254:G258)+SUM(I254:I258)+SUM(K254:K258)+SUM(M254:M258)+SUM(O254:O258)</f>
        <v/>
      </c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68">
      <c r="A255" s="9" t="n"/>
      <c r="B255" s="9" t="n"/>
      <c r="C255" s="152">
        <f t="array" ref="C255">IF(IFERROR(-INDEX(Expenses!D$3:D$999,SMALL(IF((Expenses!E$3:E$999="GBP")*(Expenses!A$3:A$999=DATE(2026,12,14)),ROW(Expenses!A$3:A$999)-2),2)),0)+IFERROR(INDEX(Income!C$3:C$502,SMALL(IF((Income!D$3:D$502="GBP")*(Income!A$3:A$502=DATE(2026,12,14)),ROW(Income!A$3:A$502)-2),2)),0)=0,"",IFERROR(-INDEX(Expenses!D$3:D$999,SMALL(IF((Expenses!E$3:E$999="GBP")*(Expenses!A$3:A$999=DATE(2026,12,14)),ROW(Expenses!A$3:A$999)-2),2)),0)+IFERROR(INDEX(Income!C$3:C$502,SMALL(IF((Income!D$3:D$502="GBP")*(Income!A$3:A$502=DATE(2026,12,14)),ROW(Income!A$3:A$502)-2),2)),0))</f>
        <v/>
      </c>
      <c r="D255" s="126">
        <f t="array" ref="D255">IF(IFERROR(INDEX(Expenses!B$3:B$999,SMALL(IF((Expenses!E$3:E$999="GBP")*(Expenses!A$3:A$999=DATE(2026,12,14)),ROW(Expenses!A$3:A$999)-2),2)),"")&lt;&gt;"",IFERROR(INDEX(Expenses!B$3:B$999,SMALL(IF((Expenses!E$3:E$999="GBP")*(Expenses!A$3:A$999=DATE(2026,12,14)),ROW(Expenses!A$3:A$999)-2),2)),""),IF(IFERROR(INDEX(Income!B$3:B$502,SMALL(IF((Income!D$3:D$502="GBP")*(Income!A$3:A$502=DATE(2026,12,14)),ROW(Income!A$3:A$502)-2),2)),"")&lt;&gt;"",IFERROR(INDEX(Income!B$3:B$502,SMALL(IF((Income!D$3:D$502="GBP")*(Income!A$3:A$502=DATE(2026,12,14)),ROW(Income!A$3:A$502)-2),2)),""),""))</f>
        <v/>
      </c>
      <c r="E255" s="152">
        <f t="array" ref="E255">IF(IFERROR(-INDEX(Expenses!D$3:D$999,SMALL(IF((Expenses!E$3:E$999="GBP")*(Expenses!A$3:A$999=DATE(2026,12,15)),ROW(Expenses!A$3:A$999)-2),2)),0)+IFERROR(INDEX(Income!C$3:C$502,SMALL(IF((Income!D$3:D$502="GBP")*(Income!A$3:A$502=DATE(2026,12,15)),ROW(Income!A$3:A$502)-2),2)),0)=0,"",IFERROR(-INDEX(Expenses!D$3:D$999,SMALL(IF((Expenses!E$3:E$999="GBP")*(Expenses!A$3:A$999=DATE(2026,12,15)),ROW(Expenses!A$3:A$999)-2),2)),0)+IFERROR(INDEX(Income!C$3:C$502,SMALL(IF((Income!D$3:D$502="GBP")*(Income!A$3:A$502=DATE(2026,12,15)),ROW(Income!A$3:A$502)-2),2)),0))</f>
        <v/>
      </c>
      <c r="F255" s="126">
        <f t="array" ref="F255">IF(IFERROR(INDEX(Expenses!B$3:B$999,SMALL(IF((Expenses!E$3:E$999="GBP")*(Expenses!A$3:A$999=DATE(2026,12,15)),ROW(Expenses!A$3:A$999)-2),2)),"")&lt;&gt;"",IFERROR(INDEX(Expenses!B$3:B$999,SMALL(IF((Expenses!E$3:E$999="GBP")*(Expenses!A$3:A$999=DATE(2026,12,15)),ROW(Expenses!A$3:A$999)-2),2)),""),IF(IFERROR(INDEX(Income!B$3:B$502,SMALL(IF((Income!D$3:D$502="GBP")*(Income!A$3:A$502=DATE(2026,12,15)),ROW(Income!A$3:A$502)-2),2)),"")&lt;&gt;"",IFERROR(INDEX(Income!B$3:B$502,SMALL(IF((Income!D$3:D$502="GBP")*(Income!A$3:A$502=DATE(2026,12,15)),ROW(Income!A$3:A$502)-2),2)),""),""))</f>
        <v/>
      </c>
      <c r="G255" s="152">
        <f t="array" ref="G255">IF(IFERROR(-INDEX(Expenses!D$3:D$999,SMALL(IF((Expenses!E$3:E$999="GBP")*(Expenses!A$3:A$999=DATE(2026,12,16)),ROW(Expenses!A$3:A$999)-2),2)),0)+IFERROR(INDEX(Income!C$3:C$502,SMALL(IF((Income!D$3:D$502="GBP")*(Income!A$3:A$502=DATE(2026,12,16)),ROW(Income!A$3:A$502)-2),2)),0)=0,"",IFERROR(-INDEX(Expenses!D$3:D$999,SMALL(IF((Expenses!E$3:E$999="GBP")*(Expenses!A$3:A$999=DATE(2026,12,16)),ROW(Expenses!A$3:A$999)-2),2)),0)+IFERROR(INDEX(Income!C$3:C$502,SMALL(IF((Income!D$3:D$502="GBP")*(Income!A$3:A$502=DATE(2026,12,16)),ROW(Income!A$3:A$502)-2),2)),0))</f>
        <v/>
      </c>
      <c r="H255" s="126">
        <f t="array" ref="H255">IF(IFERROR(INDEX(Expenses!B$3:B$999,SMALL(IF((Expenses!E$3:E$999="GBP")*(Expenses!A$3:A$999=DATE(2026,12,16)),ROW(Expenses!A$3:A$999)-2),2)),"")&lt;&gt;"",IFERROR(INDEX(Expenses!B$3:B$999,SMALL(IF((Expenses!E$3:E$999="GBP")*(Expenses!A$3:A$999=DATE(2026,12,16)),ROW(Expenses!A$3:A$999)-2),2)),""),IF(IFERROR(INDEX(Income!B$3:B$502,SMALL(IF((Income!D$3:D$502="GBP")*(Income!A$3:A$502=DATE(2026,12,16)),ROW(Income!A$3:A$502)-2),2)),"")&lt;&gt;"",IFERROR(INDEX(Income!B$3:B$502,SMALL(IF((Income!D$3:D$502="GBP")*(Income!A$3:A$502=DATE(2026,12,16)),ROW(Income!A$3:A$502)-2),2)),""),""))</f>
        <v/>
      </c>
      <c r="I255" s="152">
        <f t="array" ref="I255">IF(IFERROR(-INDEX(Expenses!D$3:D$999,SMALL(IF((Expenses!E$3:E$999="GBP")*(Expenses!A$3:A$999=DATE(2026,12,17)),ROW(Expenses!A$3:A$999)-2),2)),0)+IFERROR(INDEX(Income!C$3:C$502,SMALL(IF((Income!D$3:D$502="GBP")*(Income!A$3:A$502=DATE(2026,12,17)),ROW(Income!A$3:A$502)-2),2)),0)=0,"",IFERROR(-INDEX(Expenses!D$3:D$999,SMALL(IF((Expenses!E$3:E$999="GBP")*(Expenses!A$3:A$999=DATE(2026,12,17)),ROW(Expenses!A$3:A$999)-2),2)),0)+IFERROR(INDEX(Income!C$3:C$502,SMALL(IF((Income!D$3:D$502="GBP")*(Income!A$3:A$502=DATE(2026,12,17)),ROW(Income!A$3:A$502)-2),2)),0))</f>
        <v/>
      </c>
      <c r="J255" s="126">
        <f t="array" ref="J255">IF(IFERROR(INDEX(Expenses!B$3:B$999,SMALL(IF((Expenses!E$3:E$999="GBP")*(Expenses!A$3:A$999=DATE(2026,12,17)),ROW(Expenses!A$3:A$999)-2),2)),"")&lt;&gt;"",IFERROR(INDEX(Expenses!B$3:B$999,SMALL(IF((Expenses!E$3:E$999="GBP")*(Expenses!A$3:A$999=DATE(2026,12,17)),ROW(Expenses!A$3:A$999)-2),2)),""),IF(IFERROR(INDEX(Income!B$3:B$502,SMALL(IF((Income!D$3:D$502="GBP")*(Income!A$3:A$502=DATE(2026,12,17)),ROW(Income!A$3:A$502)-2),2)),"")&lt;&gt;"",IFERROR(INDEX(Income!B$3:B$502,SMALL(IF((Income!D$3:D$502="GBP")*(Income!A$3:A$502=DATE(2026,12,17)),ROW(Income!A$3:A$502)-2),2)),""),""))</f>
        <v/>
      </c>
      <c r="K255" s="152">
        <f t="array" ref="K255">IF(IFERROR(-INDEX(Expenses!D$3:D$999,SMALL(IF((Expenses!E$3:E$999="GBP")*(Expenses!A$3:A$999=DATE(2026,12,18)),ROW(Expenses!A$3:A$999)-2),2)),0)+IFERROR(INDEX(Income!C$3:C$502,SMALL(IF((Income!D$3:D$502="GBP")*(Income!A$3:A$502=DATE(2026,12,18)),ROW(Income!A$3:A$502)-2),2)),0)=0,"",IFERROR(-INDEX(Expenses!D$3:D$999,SMALL(IF((Expenses!E$3:E$999="GBP")*(Expenses!A$3:A$999=DATE(2026,12,18)),ROW(Expenses!A$3:A$999)-2),2)),0)+IFERROR(INDEX(Income!C$3:C$502,SMALL(IF((Income!D$3:D$502="GBP")*(Income!A$3:A$502=DATE(2026,12,18)),ROW(Income!A$3:A$502)-2),2)),0))</f>
        <v/>
      </c>
      <c r="L255" s="126">
        <f t="array" ref="L255">IF(IFERROR(INDEX(Expenses!B$3:B$999,SMALL(IF((Expenses!E$3:E$999="GBP")*(Expenses!A$3:A$999=DATE(2026,12,18)),ROW(Expenses!A$3:A$999)-2),2)),"")&lt;&gt;"",IFERROR(INDEX(Expenses!B$3:B$999,SMALL(IF((Expenses!E$3:E$999="GBP")*(Expenses!A$3:A$999=DATE(2026,12,18)),ROW(Expenses!A$3:A$999)-2),2)),""),IF(IFERROR(INDEX(Income!B$3:B$502,SMALL(IF((Income!D$3:D$502="GBP")*(Income!A$3:A$502=DATE(2026,12,18)),ROW(Income!A$3:A$502)-2),2)),"")&lt;&gt;"",IFERROR(INDEX(Income!B$3:B$502,SMALL(IF((Income!D$3:D$502="GBP")*(Income!A$3:A$502=DATE(2026,12,18)),ROW(Income!A$3:A$502)-2),2)),""),""))</f>
        <v/>
      </c>
      <c r="M255" s="152">
        <f t="array" ref="M255">IF(IFERROR(-INDEX(Expenses!D$3:D$999,SMALL(IF((Expenses!E$3:E$999="GBP")*(Expenses!A$3:A$999=DATE(2026,12,19)),ROW(Expenses!A$3:A$999)-2),2)),0)+IFERROR(INDEX(Income!C$3:C$502,SMALL(IF((Income!D$3:D$502="GBP")*(Income!A$3:A$502=DATE(2026,12,19)),ROW(Income!A$3:A$502)-2),2)),0)=0,"",IFERROR(-INDEX(Expenses!D$3:D$999,SMALL(IF((Expenses!E$3:E$999="GBP")*(Expenses!A$3:A$999=DATE(2026,12,19)),ROW(Expenses!A$3:A$999)-2),2)),0)+IFERROR(INDEX(Income!C$3:C$502,SMALL(IF((Income!D$3:D$502="GBP")*(Income!A$3:A$502=DATE(2026,12,19)),ROW(Income!A$3:A$502)-2),2)),0))</f>
        <v/>
      </c>
      <c r="N255" s="126">
        <f t="array" ref="N255">IF(IFERROR(INDEX(Expenses!B$3:B$999,SMALL(IF((Expenses!E$3:E$999="GBP")*(Expenses!A$3:A$999=DATE(2026,12,19)),ROW(Expenses!A$3:A$999)-2),2)),"")&lt;&gt;"",IFERROR(INDEX(Expenses!B$3:B$999,SMALL(IF((Expenses!E$3:E$999="GBP")*(Expenses!A$3:A$999=DATE(2026,12,19)),ROW(Expenses!A$3:A$999)-2),2)),""),IF(IFERROR(INDEX(Income!B$3:B$502,SMALL(IF((Income!D$3:D$502="GBP")*(Income!A$3:A$502=DATE(2026,12,19)),ROW(Income!A$3:A$502)-2),2)),"")&lt;&gt;"",IFERROR(INDEX(Income!B$3:B$502,SMALL(IF((Income!D$3:D$502="GBP")*(Income!A$3:A$502=DATE(2026,12,19)),ROW(Income!A$3:A$502)-2),2)),""),""))</f>
        <v/>
      </c>
      <c r="O255" s="152">
        <f t="array" ref="O255">IF(IFERROR(-INDEX(Expenses!D$3:D$999,SMALL(IF((Expenses!E$3:E$999="GBP")*(Expenses!A$3:A$999=DATE(2026,12,20)),ROW(Expenses!A$3:A$999)-2),2)),0)+IFERROR(INDEX(Income!C$3:C$502,SMALL(IF((Income!D$3:D$502="GBP")*(Income!A$3:A$502=DATE(2026,12,20)),ROW(Income!A$3:A$502)-2),2)),0)=0,"",IFERROR(-INDEX(Expenses!D$3:D$999,SMALL(IF((Expenses!E$3:E$999="GBP")*(Expenses!A$3:A$999=DATE(2026,12,20)),ROW(Expenses!A$3:A$999)-2),2)),0)+IFERROR(INDEX(Income!C$3:C$502,SMALL(IF((Income!D$3:D$502="GBP")*(Income!A$3:A$502=DATE(2026,12,20)),ROW(Income!A$3:A$502)-2),2)),0))</f>
        <v/>
      </c>
      <c r="P255" s="126">
        <f t="array" ref="P255">IF(IFERROR(INDEX(Expenses!B$3:B$999,SMALL(IF((Expenses!E$3:E$999="GBP")*(Expenses!A$3:A$999=DATE(2026,12,20)),ROW(Expenses!A$3:A$999)-2),2)),"")&lt;&gt;"",IFERROR(INDEX(Expenses!B$3:B$999,SMALL(IF((Expenses!E$3:E$999="GBP")*(Expenses!A$3:A$999=DATE(2026,12,20)),ROW(Expenses!A$3:A$999)-2),2)),""),IF(IFERROR(INDEX(Income!B$3:B$502,SMALL(IF((Income!D$3:D$502="GBP")*(Income!A$3:A$502=DATE(2026,12,20)),ROW(Income!A$3:A$502)-2),2)),"")&lt;&gt;"",IFERROR(INDEX(Income!B$3:B$502,SMALL(IF((Income!D$3:D$502="GBP")*(Income!A$3:A$502=DATE(2026,12,20)),ROW(Income!A$3:A$502)-2),2)),""),""))</f>
        <v/>
      </c>
      <c r="Q255" s="9" t="n"/>
      <c r="R255" s="9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68">
      <c r="A256" s="9" t="n"/>
      <c r="B256" s="9" t="n"/>
      <c r="C256" s="152">
        <f t="array" ref="C256">IF(IFERROR(-INDEX(Expenses!D$3:D$999,SMALL(IF((Expenses!E$3:E$999="GBP")*(Expenses!A$3:A$999=DATE(2026,12,14)),ROW(Expenses!A$3:A$999)-2),3)),0)+IFERROR(INDEX(Income!C$3:C$502,SMALL(IF((Income!D$3:D$502="GBP")*(Income!A$3:A$502=DATE(2026,12,14)),ROW(Income!A$3:A$502)-2),3)),0)=0,"",IFERROR(-INDEX(Expenses!D$3:D$999,SMALL(IF((Expenses!E$3:E$999="GBP")*(Expenses!A$3:A$999=DATE(2026,12,14)),ROW(Expenses!A$3:A$999)-2),3)),0)+IFERROR(INDEX(Income!C$3:C$502,SMALL(IF((Income!D$3:D$502="GBP")*(Income!A$3:A$502=DATE(2026,12,14)),ROW(Income!A$3:A$502)-2),3)),0))</f>
        <v/>
      </c>
      <c r="D256" s="126">
        <f t="array" ref="D256">IF(IFERROR(INDEX(Expenses!B$3:B$999,SMALL(IF((Expenses!E$3:E$999="GBP")*(Expenses!A$3:A$999=DATE(2026,12,14)),ROW(Expenses!A$3:A$999)-2),3)),"")&lt;&gt;"",IFERROR(INDEX(Expenses!B$3:B$999,SMALL(IF((Expenses!E$3:E$999="GBP")*(Expenses!A$3:A$999=DATE(2026,12,14)),ROW(Expenses!A$3:A$999)-2),3)),""),IF(IFERROR(INDEX(Income!B$3:B$502,SMALL(IF((Income!D$3:D$502="GBP")*(Income!A$3:A$502=DATE(2026,12,14)),ROW(Income!A$3:A$502)-2),3)),"")&lt;&gt;"",IFERROR(INDEX(Income!B$3:B$502,SMALL(IF((Income!D$3:D$502="GBP")*(Income!A$3:A$502=DATE(2026,12,14)),ROW(Income!A$3:A$502)-2),3)),""),""))</f>
        <v/>
      </c>
      <c r="E256" s="152">
        <f t="array" ref="E256">IF(IFERROR(-INDEX(Expenses!D$3:D$999,SMALL(IF((Expenses!E$3:E$999="GBP")*(Expenses!A$3:A$999=DATE(2026,12,15)),ROW(Expenses!A$3:A$999)-2),3)),0)+IFERROR(INDEX(Income!C$3:C$502,SMALL(IF((Income!D$3:D$502="GBP")*(Income!A$3:A$502=DATE(2026,12,15)),ROW(Income!A$3:A$502)-2),3)),0)=0,"",IFERROR(-INDEX(Expenses!D$3:D$999,SMALL(IF((Expenses!E$3:E$999="GBP")*(Expenses!A$3:A$999=DATE(2026,12,15)),ROW(Expenses!A$3:A$999)-2),3)),0)+IFERROR(INDEX(Income!C$3:C$502,SMALL(IF((Income!D$3:D$502="GBP")*(Income!A$3:A$502=DATE(2026,12,15)),ROW(Income!A$3:A$502)-2),3)),0))</f>
        <v/>
      </c>
      <c r="F256" s="126">
        <f t="array" ref="F256">IF(IFERROR(INDEX(Expenses!B$3:B$999,SMALL(IF((Expenses!E$3:E$999="GBP")*(Expenses!A$3:A$999=DATE(2026,12,15)),ROW(Expenses!A$3:A$999)-2),3)),"")&lt;&gt;"",IFERROR(INDEX(Expenses!B$3:B$999,SMALL(IF((Expenses!E$3:E$999="GBP")*(Expenses!A$3:A$999=DATE(2026,12,15)),ROW(Expenses!A$3:A$999)-2),3)),""),IF(IFERROR(INDEX(Income!B$3:B$502,SMALL(IF((Income!D$3:D$502="GBP")*(Income!A$3:A$502=DATE(2026,12,15)),ROW(Income!A$3:A$502)-2),3)),"")&lt;&gt;"",IFERROR(INDEX(Income!B$3:B$502,SMALL(IF((Income!D$3:D$502="GBP")*(Income!A$3:A$502=DATE(2026,12,15)),ROW(Income!A$3:A$502)-2),3)),""),""))</f>
        <v/>
      </c>
      <c r="G256" s="152">
        <f t="array" ref="G256">IF(IFERROR(-INDEX(Expenses!D$3:D$999,SMALL(IF((Expenses!E$3:E$999="GBP")*(Expenses!A$3:A$999=DATE(2026,12,16)),ROW(Expenses!A$3:A$999)-2),3)),0)+IFERROR(INDEX(Income!C$3:C$502,SMALL(IF((Income!D$3:D$502="GBP")*(Income!A$3:A$502=DATE(2026,12,16)),ROW(Income!A$3:A$502)-2),3)),0)=0,"",IFERROR(-INDEX(Expenses!D$3:D$999,SMALL(IF((Expenses!E$3:E$999="GBP")*(Expenses!A$3:A$999=DATE(2026,12,16)),ROW(Expenses!A$3:A$999)-2),3)),0)+IFERROR(INDEX(Income!C$3:C$502,SMALL(IF((Income!D$3:D$502="GBP")*(Income!A$3:A$502=DATE(2026,12,16)),ROW(Income!A$3:A$502)-2),3)),0))</f>
        <v/>
      </c>
      <c r="H256" s="126">
        <f t="array" ref="H256">IF(IFERROR(INDEX(Expenses!B$3:B$999,SMALL(IF((Expenses!E$3:E$999="GBP")*(Expenses!A$3:A$999=DATE(2026,12,16)),ROW(Expenses!A$3:A$999)-2),3)),"")&lt;&gt;"",IFERROR(INDEX(Expenses!B$3:B$999,SMALL(IF((Expenses!E$3:E$999="GBP")*(Expenses!A$3:A$999=DATE(2026,12,16)),ROW(Expenses!A$3:A$999)-2),3)),""),IF(IFERROR(INDEX(Income!B$3:B$502,SMALL(IF((Income!D$3:D$502="GBP")*(Income!A$3:A$502=DATE(2026,12,16)),ROW(Income!A$3:A$502)-2),3)),"")&lt;&gt;"",IFERROR(INDEX(Income!B$3:B$502,SMALL(IF((Income!D$3:D$502="GBP")*(Income!A$3:A$502=DATE(2026,12,16)),ROW(Income!A$3:A$502)-2),3)),""),""))</f>
        <v/>
      </c>
      <c r="I256" s="152">
        <f t="array" ref="I256">IF(IFERROR(-INDEX(Expenses!D$3:D$999,SMALL(IF((Expenses!E$3:E$999="GBP")*(Expenses!A$3:A$999=DATE(2026,12,17)),ROW(Expenses!A$3:A$999)-2),3)),0)+IFERROR(INDEX(Income!C$3:C$502,SMALL(IF((Income!D$3:D$502="GBP")*(Income!A$3:A$502=DATE(2026,12,17)),ROW(Income!A$3:A$502)-2),3)),0)=0,"",IFERROR(-INDEX(Expenses!D$3:D$999,SMALL(IF((Expenses!E$3:E$999="GBP")*(Expenses!A$3:A$999=DATE(2026,12,17)),ROW(Expenses!A$3:A$999)-2),3)),0)+IFERROR(INDEX(Income!C$3:C$502,SMALL(IF((Income!D$3:D$502="GBP")*(Income!A$3:A$502=DATE(2026,12,17)),ROW(Income!A$3:A$502)-2),3)),0))</f>
        <v/>
      </c>
      <c r="J256" s="126">
        <f t="array" ref="J256">IF(IFERROR(INDEX(Expenses!B$3:B$999,SMALL(IF((Expenses!E$3:E$999="GBP")*(Expenses!A$3:A$999=DATE(2026,12,17)),ROW(Expenses!A$3:A$999)-2),3)),"")&lt;&gt;"",IFERROR(INDEX(Expenses!B$3:B$999,SMALL(IF((Expenses!E$3:E$999="GBP")*(Expenses!A$3:A$999=DATE(2026,12,17)),ROW(Expenses!A$3:A$999)-2),3)),""),IF(IFERROR(INDEX(Income!B$3:B$502,SMALL(IF((Income!D$3:D$502="GBP")*(Income!A$3:A$502=DATE(2026,12,17)),ROW(Income!A$3:A$502)-2),3)),"")&lt;&gt;"",IFERROR(INDEX(Income!B$3:B$502,SMALL(IF((Income!D$3:D$502="GBP")*(Income!A$3:A$502=DATE(2026,12,17)),ROW(Income!A$3:A$502)-2),3)),""),""))</f>
        <v/>
      </c>
      <c r="K256" s="152">
        <f t="array" ref="K256">IF(IFERROR(-INDEX(Expenses!D$3:D$999,SMALL(IF((Expenses!E$3:E$999="GBP")*(Expenses!A$3:A$999=DATE(2026,12,18)),ROW(Expenses!A$3:A$999)-2),3)),0)+IFERROR(INDEX(Income!C$3:C$502,SMALL(IF((Income!D$3:D$502="GBP")*(Income!A$3:A$502=DATE(2026,12,18)),ROW(Income!A$3:A$502)-2),3)),0)=0,"",IFERROR(-INDEX(Expenses!D$3:D$999,SMALL(IF((Expenses!E$3:E$999="GBP")*(Expenses!A$3:A$999=DATE(2026,12,18)),ROW(Expenses!A$3:A$999)-2),3)),0)+IFERROR(INDEX(Income!C$3:C$502,SMALL(IF((Income!D$3:D$502="GBP")*(Income!A$3:A$502=DATE(2026,12,18)),ROW(Income!A$3:A$502)-2),3)),0))</f>
        <v/>
      </c>
      <c r="L256" s="126">
        <f t="array" ref="L256">IF(IFERROR(INDEX(Expenses!B$3:B$999,SMALL(IF((Expenses!E$3:E$999="GBP")*(Expenses!A$3:A$999=DATE(2026,12,18)),ROW(Expenses!A$3:A$999)-2),3)),"")&lt;&gt;"",IFERROR(INDEX(Expenses!B$3:B$999,SMALL(IF((Expenses!E$3:E$999="GBP")*(Expenses!A$3:A$999=DATE(2026,12,18)),ROW(Expenses!A$3:A$999)-2),3)),""),IF(IFERROR(INDEX(Income!B$3:B$502,SMALL(IF((Income!D$3:D$502="GBP")*(Income!A$3:A$502=DATE(2026,12,18)),ROW(Income!A$3:A$502)-2),3)),"")&lt;&gt;"",IFERROR(INDEX(Income!B$3:B$502,SMALL(IF((Income!D$3:D$502="GBP")*(Income!A$3:A$502=DATE(2026,12,18)),ROW(Income!A$3:A$502)-2),3)),""),""))</f>
        <v/>
      </c>
      <c r="M256" s="152">
        <f t="array" ref="M256">IF(IFERROR(-INDEX(Expenses!D$3:D$999,SMALL(IF((Expenses!E$3:E$999="GBP")*(Expenses!A$3:A$999=DATE(2026,12,19)),ROW(Expenses!A$3:A$999)-2),3)),0)+IFERROR(INDEX(Income!C$3:C$502,SMALL(IF((Income!D$3:D$502="GBP")*(Income!A$3:A$502=DATE(2026,12,19)),ROW(Income!A$3:A$502)-2),3)),0)=0,"",IFERROR(-INDEX(Expenses!D$3:D$999,SMALL(IF((Expenses!E$3:E$999="GBP")*(Expenses!A$3:A$999=DATE(2026,12,19)),ROW(Expenses!A$3:A$999)-2),3)),0)+IFERROR(INDEX(Income!C$3:C$502,SMALL(IF((Income!D$3:D$502="GBP")*(Income!A$3:A$502=DATE(2026,12,19)),ROW(Income!A$3:A$502)-2),3)),0))</f>
        <v/>
      </c>
      <c r="N256" s="126">
        <f t="array" ref="N256">IF(IFERROR(INDEX(Expenses!B$3:B$999,SMALL(IF((Expenses!E$3:E$999="GBP")*(Expenses!A$3:A$999=DATE(2026,12,19)),ROW(Expenses!A$3:A$999)-2),3)),"")&lt;&gt;"",IFERROR(INDEX(Expenses!B$3:B$999,SMALL(IF((Expenses!E$3:E$999="GBP")*(Expenses!A$3:A$999=DATE(2026,12,19)),ROW(Expenses!A$3:A$999)-2),3)),""),IF(IFERROR(INDEX(Income!B$3:B$502,SMALL(IF((Income!D$3:D$502="GBP")*(Income!A$3:A$502=DATE(2026,12,19)),ROW(Income!A$3:A$502)-2),3)),"")&lt;&gt;"",IFERROR(INDEX(Income!B$3:B$502,SMALL(IF((Income!D$3:D$502="GBP")*(Income!A$3:A$502=DATE(2026,12,19)),ROW(Income!A$3:A$502)-2),3)),""),""))</f>
        <v/>
      </c>
      <c r="O256" s="152">
        <f t="array" ref="O256">IF(IFERROR(-INDEX(Expenses!D$3:D$999,SMALL(IF((Expenses!E$3:E$999="GBP")*(Expenses!A$3:A$999=DATE(2026,12,20)),ROW(Expenses!A$3:A$999)-2),3)),0)+IFERROR(INDEX(Income!C$3:C$502,SMALL(IF((Income!D$3:D$502="GBP")*(Income!A$3:A$502=DATE(2026,12,20)),ROW(Income!A$3:A$502)-2),3)),0)=0,"",IFERROR(-INDEX(Expenses!D$3:D$999,SMALL(IF((Expenses!E$3:E$999="GBP")*(Expenses!A$3:A$999=DATE(2026,12,20)),ROW(Expenses!A$3:A$999)-2),3)),0)+IFERROR(INDEX(Income!C$3:C$502,SMALL(IF((Income!D$3:D$502="GBP")*(Income!A$3:A$502=DATE(2026,12,20)),ROW(Income!A$3:A$502)-2),3)),0))</f>
        <v/>
      </c>
      <c r="P256" s="126">
        <f t="array" ref="P256">IF(IFERROR(INDEX(Expenses!B$3:B$999,SMALL(IF((Expenses!E$3:E$999="GBP")*(Expenses!A$3:A$999=DATE(2026,12,20)),ROW(Expenses!A$3:A$999)-2),3)),"")&lt;&gt;"",IFERROR(INDEX(Expenses!B$3:B$999,SMALL(IF((Expenses!E$3:E$999="GBP")*(Expenses!A$3:A$999=DATE(2026,12,20)),ROW(Expenses!A$3:A$999)-2),3)),""),IF(IFERROR(INDEX(Income!B$3:B$502,SMALL(IF((Income!D$3:D$502="GBP")*(Income!A$3:A$502=DATE(2026,12,20)),ROW(Income!A$3:A$502)-2),3)),"")&lt;&gt;"",IFERROR(INDEX(Income!B$3:B$502,SMALL(IF((Income!D$3:D$502="GBP")*(Income!A$3:A$502=DATE(2026,12,20)),ROW(Income!A$3:A$502)-2),3)),""),""))</f>
        <v/>
      </c>
      <c r="Q256" s="9" t="n"/>
      <c r="R256" s="9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68">
      <c r="A257" s="9" t="n"/>
      <c r="B257" s="9" t="n"/>
      <c r="C257" s="152">
        <f t="array" ref="C257">IF(IFERROR(-INDEX(Expenses!D$3:D$999,SMALL(IF((Expenses!E$3:E$999="GBP")*(Expenses!A$3:A$999=DATE(2026,12,14)),ROW(Expenses!A$3:A$999)-2),4)),0)+IFERROR(INDEX(Income!C$3:C$502,SMALL(IF((Income!D$3:D$502="GBP")*(Income!A$3:A$502=DATE(2026,12,14)),ROW(Income!A$3:A$502)-2),4)),0)=0,"",IFERROR(-INDEX(Expenses!D$3:D$999,SMALL(IF((Expenses!E$3:E$999="GBP")*(Expenses!A$3:A$999=DATE(2026,12,14)),ROW(Expenses!A$3:A$999)-2),4)),0)+IFERROR(INDEX(Income!C$3:C$502,SMALL(IF((Income!D$3:D$502="GBP")*(Income!A$3:A$502=DATE(2026,12,14)),ROW(Income!A$3:A$502)-2),4)),0))</f>
        <v/>
      </c>
      <c r="D257" s="126">
        <f t="array" ref="D257">IF(IFERROR(INDEX(Expenses!B$3:B$999,SMALL(IF((Expenses!E$3:E$999="GBP")*(Expenses!A$3:A$999=DATE(2026,12,14)),ROW(Expenses!A$3:A$999)-2),4)),"")&lt;&gt;"",IFERROR(INDEX(Expenses!B$3:B$999,SMALL(IF((Expenses!E$3:E$999="GBP")*(Expenses!A$3:A$999=DATE(2026,12,14)),ROW(Expenses!A$3:A$999)-2),4)),""),IF(IFERROR(INDEX(Income!B$3:B$502,SMALL(IF((Income!D$3:D$502="GBP")*(Income!A$3:A$502=DATE(2026,12,14)),ROW(Income!A$3:A$502)-2),4)),"")&lt;&gt;"",IFERROR(INDEX(Income!B$3:B$502,SMALL(IF((Income!D$3:D$502="GBP")*(Income!A$3:A$502=DATE(2026,12,14)),ROW(Income!A$3:A$502)-2),4)),""),""))</f>
        <v/>
      </c>
      <c r="E257" s="152">
        <f t="array" ref="E257">IF(IFERROR(-INDEX(Expenses!D$3:D$999,SMALL(IF((Expenses!E$3:E$999="GBP")*(Expenses!A$3:A$999=DATE(2026,12,15)),ROW(Expenses!A$3:A$999)-2),4)),0)+IFERROR(INDEX(Income!C$3:C$502,SMALL(IF((Income!D$3:D$502="GBP")*(Income!A$3:A$502=DATE(2026,12,15)),ROW(Income!A$3:A$502)-2),4)),0)=0,"",IFERROR(-INDEX(Expenses!D$3:D$999,SMALL(IF((Expenses!E$3:E$999="GBP")*(Expenses!A$3:A$999=DATE(2026,12,15)),ROW(Expenses!A$3:A$999)-2),4)),0)+IFERROR(INDEX(Income!C$3:C$502,SMALL(IF((Income!D$3:D$502="GBP")*(Income!A$3:A$502=DATE(2026,12,15)),ROW(Income!A$3:A$502)-2),4)),0))</f>
        <v/>
      </c>
      <c r="F257" s="126">
        <f t="array" ref="F257">IF(IFERROR(INDEX(Expenses!B$3:B$999,SMALL(IF((Expenses!E$3:E$999="GBP")*(Expenses!A$3:A$999=DATE(2026,12,15)),ROW(Expenses!A$3:A$999)-2),4)),"")&lt;&gt;"",IFERROR(INDEX(Expenses!B$3:B$999,SMALL(IF((Expenses!E$3:E$999="GBP")*(Expenses!A$3:A$999=DATE(2026,12,15)),ROW(Expenses!A$3:A$999)-2),4)),""),IF(IFERROR(INDEX(Income!B$3:B$502,SMALL(IF((Income!D$3:D$502="GBP")*(Income!A$3:A$502=DATE(2026,12,15)),ROW(Income!A$3:A$502)-2),4)),"")&lt;&gt;"",IFERROR(INDEX(Income!B$3:B$502,SMALL(IF((Income!D$3:D$502="GBP")*(Income!A$3:A$502=DATE(2026,12,15)),ROW(Income!A$3:A$502)-2),4)),""),""))</f>
        <v/>
      </c>
      <c r="G257" s="152">
        <f t="array" ref="G257">IF(IFERROR(-INDEX(Expenses!D$3:D$999,SMALL(IF((Expenses!E$3:E$999="GBP")*(Expenses!A$3:A$999=DATE(2026,12,16)),ROW(Expenses!A$3:A$999)-2),4)),0)+IFERROR(INDEX(Income!C$3:C$502,SMALL(IF((Income!D$3:D$502="GBP")*(Income!A$3:A$502=DATE(2026,12,16)),ROW(Income!A$3:A$502)-2),4)),0)=0,"",IFERROR(-INDEX(Expenses!D$3:D$999,SMALL(IF((Expenses!E$3:E$999="GBP")*(Expenses!A$3:A$999=DATE(2026,12,16)),ROW(Expenses!A$3:A$999)-2),4)),0)+IFERROR(INDEX(Income!C$3:C$502,SMALL(IF((Income!D$3:D$502="GBP")*(Income!A$3:A$502=DATE(2026,12,16)),ROW(Income!A$3:A$502)-2),4)),0))</f>
        <v/>
      </c>
      <c r="H257" s="126">
        <f t="array" ref="H257">IF(IFERROR(INDEX(Expenses!B$3:B$999,SMALL(IF((Expenses!E$3:E$999="GBP")*(Expenses!A$3:A$999=DATE(2026,12,16)),ROW(Expenses!A$3:A$999)-2),4)),"")&lt;&gt;"",IFERROR(INDEX(Expenses!B$3:B$999,SMALL(IF((Expenses!E$3:E$999="GBP")*(Expenses!A$3:A$999=DATE(2026,12,16)),ROW(Expenses!A$3:A$999)-2),4)),""),IF(IFERROR(INDEX(Income!B$3:B$502,SMALL(IF((Income!D$3:D$502="GBP")*(Income!A$3:A$502=DATE(2026,12,16)),ROW(Income!A$3:A$502)-2),4)),"")&lt;&gt;"",IFERROR(INDEX(Income!B$3:B$502,SMALL(IF((Income!D$3:D$502="GBP")*(Income!A$3:A$502=DATE(2026,12,16)),ROW(Income!A$3:A$502)-2),4)),""),""))</f>
        <v/>
      </c>
      <c r="I257" s="152">
        <f t="array" ref="I257">IF(IFERROR(-INDEX(Expenses!D$3:D$999,SMALL(IF((Expenses!E$3:E$999="GBP")*(Expenses!A$3:A$999=DATE(2026,12,17)),ROW(Expenses!A$3:A$999)-2),4)),0)+IFERROR(INDEX(Income!C$3:C$502,SMALL(IF((Income!D$3:D$502="GBP")*(Income!A$3:A$502=DATE(2026,12,17)),ROW(Income!A$3:A$502)-2),4)),0)=0,"",IFERROR(-INDEX(Expenses!D$3:D$999,SMALL(IF((Expenses!E$3:E$999="GBP")*(Expenses!A$3:A$999=DATE(2026,12,17)),ROW(Expenses!A$3:A$999)-2),4)),0)+IFERROR(INDEX(Income!C$3:C$502,SMALL(IF((Income!D$3:D$502="GBP")*(Income!A$3:A$502=DATE(2026,12,17)),ROW(Income!A$3:A$502)-2),4)),0))</f>
        <v/>
      </c>
      <c r="J257" s="126">
        <f t="array" ref="J257">IF(IFERROR(INDEX(Expenses!B$3:B$999,SMALL(IF((Expenses!E$3:E$999="GBP")*(Expenses!A$3:A$999=DATE(2026,12,17)),ROW(Expenses!A$3:A$999)-2),4)),"")&lt;&gt;"",IFERROR(INDEX(Expenses!B$3:B$999,SMALL(IF((Expenses!E$3:E$999="GBP")*(Expenses!A$3:A$999=DATE(2026,12,17)),ROW(Expenses!A$3:A$999)-2),4)),""),IF(IFERROR(INDEX(Income!B$3:B$502,SMALL(IF((Income!D$3:D$502="GBP")*(Income!A$3:A$502=DATE(2026,12,17)),ROW(Income!A$3:A$502)-2),4)),"")&lt;&gt;"",IFERROR(INDEX(Income!B$3:B$502,SMALL(IF((Income!D$3:D$502="GBP")*(Income!A$3:A$502=DATE(2026,12,17)),ROW(Income!A$3:A$502)-2),4)),""),""))</f>
        <v/>
      </c>
      <c r="K257" s="152">
        <f t="array" ref="K257">IF(IFERROR(-INDEX(Expenses!D$3:D$999,SMALL(IF((Expenses!E$3:E$999="GBP")*(Expenses!A$3:A$999=DATE(2026,12,18)),ROW(Expenses!A$3:A$999)-2),4)),0)+IFERROR(INDEX(Income!C$3:C$502,SMALL(IF((Income!D$3:D$502="GBP")*(Income!A$3:A$502=DATE(2026,12,18)),ROW(Income!A$3:A$502)-2),4)),0)=0,"",IFERROR(-INDEX(Expenses!D$3:D$999,SMALL(IF((Expenses!E$3:E$999="GBP")*(Expenses!A$3:A$999=DATE(2026,12,18)),ROW(Expenses!A$3:A$999)-2),4)),0)+IFERROR(INDEX(Income!C$3:C$502,SMALL(IF((Income!D$3:D$502="GBP")*(Income!A$3:A$502=DATE(2026,12,18)),ROW(Income!A$3:A$502)-2),4)),0))</f>
        <v/>
      </c>
      <c r="L257" s="126">
        <f t="array" ref="L257">IF(IFERROR(INDEX(Expenses!B$3:B$999,SMALL(IF((Expenses!E$3:E$999="GBP")*(Expenses!A$3:A$999=DATE(2026,12,18)),ROW(Expenses!A$3:A$999)-2),4)),"")&lt;&gt;"",IFERROR(INDEX(Expenses!B$3:B$999,SMALL(IF((Expenses!E$3:E$999="GBP")*(Expenses!A$3:A$999=DATE(2026,12,18)),ROW(Expenses!A$3:A$999)-2),4)),""),IF(IFERROR(INDEX(Income!B$3:B$502,SMALL(IF((Income!D$3:D$502="GBP")*(Income!A$3:A$502=DATE(2026,12,18)),ROW(Income!A$3:A$502)-2),4)),"")&lt;&gt;"",IFERROR(INDEX(Income!B$3:B$502,SMALL(IF((Income!D$3:D$502="GBP")*(Income!A$3:A$502=DATE(2026,12,18)),ROW(Income!A$3:A$502)-2),4)),""),""))</f>
        <v/>
      </c>
      <c r="M257" s="152">
        <f t="array" ref="M257">IF(IFERROR(-INDEX(Expenses!D$3:D$999,SMALL(IF((Expenses!E$3:E$999="GBP")*(Expenses!A$3:A$999=DATE(2026,12,19)),ROW(Expenses!A$3:A$999)-2),4)),0)+IFERROR(INDEX(Income!C$3:C$502,SMALL(IF((Income!D$3:D$502="GBP")*(Income!A$3:A$502=DATE(2026,12,19)),ROW(Income!A$3:A$502)-2),4)),0)=0,"",IFERROR(-INDEX(Expenses!D$3:D$999,SMALL(IF((Expenses!E$3:E$999="GBP")*(Expenses!A$3:A$999=DATE(2026,12,19)),ROW(Expenses!A$3:A$999)-2),4)),0)+IFERROR(INDEX(Income!C$3:C$502,SMALL(IF((Income!D$3:D$502="GBP")*(Income!A$3:A$502=DATE(2026,12,19)),ROW(Income!A$3:A$502)-2),4)),0))</f>
        <v/>
      </c>
      <c r="N257" s="126">
        <f t="array" ref="N257">IF(IFERROR(INDEX(Expenses!B$3:B$999,SMALL(IF((Expenses!E$3:E$999="GBP")*(Expenses!A$3:A$999=DATE(2026,12,19)),ROW(Expenses!A$3:A$999)-2),4)),"")&lt;&gt;"",IFERROR(INDEX(Expenses!B$3:B$999,SMALL(IF((Expenses!E$3:E$999="GBP")*(Expenses!A$3:A$999=DATE(2026,12,19)),ROW(Expenses!A$3:A$999)-2),4)),""),IF(IFERROR(INDEX(Income!B$3:B$502,SMALL(IF((Income!D$3:D$502="GBP")*(Income!A$3:A$502=DATE(2026,12,19)),ROW(Income!A$3:A$502)-2),4)),"")&lt;&gt;"",IFERROR(INDEX(Income!B$3:B$502,SMALL(IF((Income!D$3:D$502="GBP")*(Income!A$3:A$502=DATE(2026,12,19)),ROW(Income!A$3:A$502)-2),4)),""),""))</f>
        <v/>
      </c>
      <c r="O257" s="152">
        <f t="array" ref="O257">IF(IFERROR(-INDEX(Expenses!D$3:D$999,SMALL(IF((Expenses!E$3:E$999="GBP")*(Expenses!A$3:A$999=DATE(2026,12,20)),ROW(Expenses!A$3:A$999)-2),4)),0)+IFERROR(INDEX(Income!C$3:C$502,SMALL(IF((Income!D$3:D$502="GBP")*(Income!A$3:A$502=DATE(2026,12,20)),ROW(Income!A$3:A$502)-2),4)),0)=0,"",IFERROR(-INDEX(Expenses!D$3:D$999,SMALL(IF((Expenses!E$3:E$999="GBP")*(Expenses!A$3:A$999=DATE(2026,12,20)),ROW(Expenses!A$3:A$999)-2),4)),0)+IFERROR(INDEX(Income!C$3:C$502,SMALL(IF((Income!D$3:D$502="GBP")*(Income!A$3:A$502=DATE(2026,12,20)),ROW(Income!A$3:A$502)-2),4)),0))</f>
        <v/>
      </c>
      <c r="P257" s="126">
        <f t="array" ref="P257">IF(IFERROR(INDEX(Expenses!B$3:B$999,SMALL(IF((Expenses!E$3:E$999="GBP")*(Expenses!A$3:A$999=DATE(2026,12,20)),ROW(Expenses!A$3:A$999)-2),4)),"")&lt;&gt;"",IFERROR(INDEX(Expenses!B$3:B$999,SMALL(IF((Expenses!E$3:E$999="GBP")*(Expenses!A$3:A$999=DATE(2026,12,20)),ROW(Expenses!A$3:A$999)-2),4)),""),IF(IFERROR(INDEX(Income!B$3:B$502,SMALL(IF((Income!D$3:D$502="GBP")*(Income!A$3:A$502=DATE(2026,12,20)),ROW(Income!A$3:A$502)-2),4)),"")&lt;&gt;"",IFERROR(INDEX(Income!B$3:B$502,SMALL(IF((Income!D$3:D$502="GBP")*(Income!A$3:A$502=DATE(2026,12,20)),ROW(Income!A$3:A$502)-2),4)),""),""))</f>
        <v/>
      </c>
      <c r="Q257" s="9" t="n"/>
      <c r="R257" s="9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68">
      <c r="A258" s="9" t="n"/>
      <c r="B258" s="9" t="n"/>
      <c r="C258" s="152">
        <f t="array" ref="C258">IF(IFERROR(-INDEX(Expenses!D$3:D$999,SMALL(IF((Expenses!E$3:E$999="GBP")*(Expenses!A$3:A$999=DATE(2026,12,14)),ROW(Expenses!A$3:A$999)-2),5)),0)+IFERROR(INDEX(Income!C$3:C$502,SMALL(IF((Income!D$3:D$502="GBP")*(Income!A$3:A$502=DATE(2026,12,14)),ROW(Income!A$3:A$502)-2),5)),0)=0,"",IFERROR(-INDEX(Expenses!D$3:D$999,SMALL(IF((Expenses!E$3:E$999="GBP")*(Expenses!A$3:A$999=DATE(2026,12,14)),ROW(Expenses!A$3:A$999)-2),5)),0)+IFERROR(INDEX(Income!C$3:C$502,SMALL(IF((Income!D$3:D$502="GBP")*(Income!A$3:A$502=DATE(2026,12,14)),ROW(Income!A$3:A$502)-2),5)),0))</f>
        <v/>
      </c>
      <c r="D258" s="126">
        <f t="array" ref="D258">IF(IFERROR(INDEX(Expenses!B$3:B$999,SMALL(IF((Expenses!E$3:E$999="GBP")*(Expenses!A$3:A$999=DATE(2026,12,14)),ROW(Expenses!A$3:A$999)-2),5)),"")&lt;&gt;"",IFERROR(INDEX(Expenses!B$3:B$999,SMALL(IF((Expenses!E$3:E$999="GBP")*(Expenses!A$3:A$999=DATE(2026,12,14)),ROW(Expenses!A$3:A$999)-2),5)),""),IF(IFERROR(INDEX(Income!B$3:B$502,SMALL(IF((Income!D$3:D$502="GBP")*(Income!A$3:A$502=DATE(2026,12,14)),ROW(Income!A$3:A$502)-2),5)),"")&lt;&gt;"",IFERROR(INDEX(Income!B$3:B$502,SMALL(IF((Income!D$3:D$502="GBP")*(Income!A$3:A$502=DATE(2026,12,14)),ROW(Income!A$3:A$502)-2),5)),""),""))</f>
        <v/>
      </c>
      <c r="E258" s="152">
        <f t="array" ref="E258">IF(IFERROR(-INDEX(Expenses!D$3:D$999,SMALL(IF((Expenses!E$3:E$999="GBP")*(Expenses!A$3:A$999=DATE(2026,12,15)),ROW(Expenses!A$3:A$999)-2),5)),0)+IFERROR(INDEX(Income!C$3:C$502,SMALL(IF((Income!D$3:D$502="GBP")*(Income!A$3:A$502=DATE(2026,12,15)),ROW(Income!A$3:A$502)-2),5)),0)=0,"",IFERROR(-INDEX(Expenses!D$3:D$999,SMALL(IF((Expenses!E$3:E$999="GBP")*(Expenses!A$3:A$999=DATE(2026,12,15)),ROW(Expenses!A$3:A$999)-2),5)),0)+IFERROR(INDEX(Income!C$3:C$502,SMALL(IF((Income!D$3:D$502="GBP")*(Income!A$3:A$502=DATE(2026,12,15)),ROW(Income!A$3:A$502)-2),5)),0))</f>
        <v/>
      </c>
      <c r="F258" s="126">
        <f t="array" ref="F258">IF(IFERROR(INDEX(Expenses!B$3:B$999,SMALL(IF((Expenses!E$3:E$999="GBP")*(Expenses!A$3:A$999=DATE(2026,12,15)),ROW(Expenses!A$3:A$999)-2),5)),"")&lt;&gt;"",IFERROR(INDEX(Expenses!B$3:B$999,SMALL(IF((Expenses!E$3:E$999="GBP")*(Expenses!A$3:A$999=DATE(2026,12,15)),ROW(Expenses!A$3:A$999)-2),5)),""),IF(IFERROR(INDEX(Income!B$3:B$502,SMALL(IF((Income!D$3:D$502="GBP")*(Income!A$3:A$502=DATE(2026,12,15)),ROW(Income!A$3:A$502)-2),5)),"")&lt;&gt;"",IFERROR(INDEX(Income!B$3:B$502,SMALL(IF((Income!D$3:D$502="GBP")*(Income!A$3:A$502=DATE(2026,12,15)),ROW(Income!A$3:A$502)-2),5)),""),""))</f>
        <v/>
      </c>
      <c r="G258" s="152">
        <f t="array" ref="G258">IF(IFERROR(-INDEX(Expenses!D$3:D$999,SMALL(IF((Expenses!E$3:E$999="GBP")*(Expenses!A$3:A$999=DATE(2026,12,16)),ROW(Expenses!A$3:A$999)-2),5)),0)+IFERROR(INDEX(Income!C$3:C$502,SMALL(IF((Income!D$3:D$502="GBP")*(Income!A$3:A$502=DATE(2026,12,16)),ROW(Income!A$3:A$502)-2),5)),0)=0,"",IFERROR(-INDEX(Expenses!D$3:D$999,SMALL(IF((Expenses!E$3:E$999="GBP")*(Expenses!A$3:A$999=DATE(2026,12,16)),ROW(Expenses!A$3:A$999)-2),5)),0)+IFERROR(INDEX(Income!C$3:C$502,SMALL(IF((Income!D$3:D$502="GBP")*(Income!A$3:A$502=DATE(2026,12,16)),ROW(Income!A$3:A$502)-2),5)),0))</f>
        <v/>
      </c>
      <c r="H258" s="126">
        <f t="array" ref="H258">IF(IFERROR(INDEX(Expenses!B$3:B$999,SMALL(IF((Expenses!E$3:E$999="GBP")*(Expenses!A$3:A$999=DATE(2026,12,16)),ROW(Expenses!A$3:A$999)-2),5)),"")&lt;&gt;"",IFERROR(INDEX(Expenses!B$3:B$999,SMALL(IF((Expenses!E$3:E$999="GBP")*(Expenses!A$3:A$999=DATE(2026,12,16)),ROW(Expenses!A$3:A$999)-2),5)),""),IF(IFERROR(INDEX(Income!B$3:B$502,SMALL(IF((Income!D$3:D$502="GBP")*(Income!A$3:A$502=DATE(2026,12,16)),ROW(Income!A$3:A$502)-2),5)),"")&lt;&gt;"",IFERROR(INDEX(Income!B$3:B$502,SMALL(IF((Income!D$3:D$502="GBP")*(Income!A$3:A$502=DATE(2026,12,16)),ROW(Income!A$3:A$502)-2),5)),""),""))</f>
        <v/>
      </c>
      <c r="I258" s="152">
        <f t="array" ref="I258">IF(IFERROR(-INDEX(Expenses!D$3:D$999,SMALL(IF((Expenses!E$3:E$999="GBP")*(Expenses!A$3:A$999=DATE(2026,12,17)),ROW(Expenses!A$3:A$999)-2),5)),0)+IFERROR(INDEX(Income!C$3:C$502,SMALL(IF((Income!D$3:D$502="GBP")*(Income!A$3:A$502=DATE(2026,12,17)),ROW(Income!A$3:A$502)-2),5)),0)=0,"",IFERROR(-INDEX(Expenses!D$3:D$999,SMALL(IF((Expenses!E$3:E$999="GBP")*(Expenses!A$3:A$999=DATE(2026,12,17)),ROW(Expenses!A$3:A$999)-2),5)),0)+IFERROR(INDEX(Income!C$3:C$502,SMALL(IF((Income!D$3:D$502="GBP")*(Income!A$3:A$502=DATE(2026,12,17)),ROW(Income!A$3:A$502)-2),5)),0))</f>
        <v/>
      </c>
      <c r="J258" s="126">
        <f t="array" ref="J258">IF(IFERROR(INDEX(Expenses!B$3:B$999,SMALL(IF((Expenses!E$3:E$999="GBP")*(Expenses!A$3:A$999=DATE(2026,12,17)),ROW(Expenses!A$3:A$999)-2),5)),"")&lt;&gt;"",IFERROR(INDEX(Expenses!B$3:B$999,SMALL(IF((Expenses!E$3:E$999="GBP")*(Expenses!A$3:A$999=DATE(2026,12,17)),ROW(Expenses!A$3:A$999)-2),5)),""),IF(IFERROR(INDEX(Income!B$3:B$502,SMALL(IF((Income!D$3:D$502="GBP")*(Income!A$3:A$502=DATE(2026,12,17)),ROW(Income!A$3:A$502)-2),5)),"")&lt;&gt;"",IFERROR(INDEX(Income!B$3:B$502,SMALL(IF((Income!D$3:D$502="GBP")*(Income!A$3:A$502=DATE(2026,12,17)),ROW(Income!A$3:A$502)-2),5)),""),""))</f>
        <v/>
      </c>
      <c r="K258" s="152">
        <f t="array" ref="K258">IF(IFERROR(-INDEX(Expenses!D$3:D$999,SMALL(IF((Expenses!E$3:E$999="GBP")*(Expenses!A$3:A$999=DATE(2026,12,18)),ROW(Expenses!A$3:A$999)-2),5)),0)+IFERROR(INDEX(Income!C$3:C$502,SMALL(IF((Income!D$3:D$502="GBP")*(Income!A$3:A$502=DATE(2026,12,18)),ROW(Income!A$3:A$502)-2),5)),0)=0,"",IFERROR(-INDEX(Expenses!D$3:D$999,SMALL(IF((Expenses!E$3:E$999="GBP")*(Expenses!A$3:A$999=DATE(2026,12,18)),ROW(Expenses!A$3:A$999)-2),5)),0)+IFERROR(INDEX(Income!C$3:C$502,SMALL(IF((Income!D$3:D$502="GBP")*(Income!A$3:A$502=DATE(2026,12,18)),ROW(Income!A$3:A$502)-2),5)),0))</f>
        <v/>
      </c>
      <c r="L258" s="126">
        <f t="array" ref="L258">IF(IFERROR(INDEX(Expenses!B$3:B$999,SMALL(IF((Expenses!E$3:E$999="GBP")*(Expenses!A$3:A$999=DATE(2026,12,18)),ROW(Expenses!A$3:A$999)-2),5)),"")&lt;&gt;"",IFERROR(INDEX(Expenses!B$3:B$999,SMALL(IF((Expenses!E$3:E$999="GBP")*(Expenses!A$3:A$999=DATE(2026,12,18)),ROW(Expenses!A$3:A$999)-2),5)),""),IF(IFERROR(INDEX(Income!B$3:B$502,SMALL(IF((Income!D$3:D$502="GBP")*(Income!A$3:A$502=DATE(2026,12,18)),ROW(Income!A$3:A$502)-2),5)),"")&lt;&gt;"",IFERROR(INDEX(Income!B$3:B$502,SMALL(IF((Income!D$3:D$502="GBP")*(Income!A$3:A$502=DATE(2026,12,18)),ROW(Income!A$3:A$502)-2),5)),""),""))</f>
        <v/>
      </c>
      <c r="M258" s="152">
        <f t="array" ref="M258">IF(IFERROR(-INDEX(Expenses!D$3:D$999,SMALL(IF((Expenses!E$3:E$999="GBP")*(Expenses!A$3:A$999=DATE(2026,12,19)),ROW(Expenses!A$3:A$999)-2),5)),0)+IFERROR(INDEX(Income!C$3:C$502,SMALL(IF((Income!D$3:D$502="GBP")*(Income!A$3:A$502=DATE(2026,12,19)),ROW(Income!A$3:A$502)-2),5)),0)=0,"",IFERROR(-INDEX(Expenses!D$3:D$999,SMALL(IF((Expenses!E$3:E$999="GBP")*(Expenses!A$3:A$999=DATE(2026,12,19)),ROW(Expenses!A$3:A$999)-2),5)),0)+IFERROR(INDEX(Income!C$3:C$502,SMALL(IF((Income!D$3:D$502="GBP")*(Income!A$3:A$502=DATE(2026,12,19)),ROW(Income!A$3:A$502)-2),5)),0))</f>
        <v/>
      </c>
      <c r="N258" s="126">
        <f t="array" ref="N258">IF(IFERROR(INDEX(Expenses!B$3:B$999,SMALL(IF((Expenses!E$3:E$999="GBP")*(Expenses!A$3:A$999=DATE(2026,12,19)),ROW(Expenses!A$3:A$999)-2),5)),"")&lt;&gt;"",IFERROR(INDEX(Expenses!B$3:B$999,SMALL(IF((Expenses!E$3:E$999="GBP")*(Expenses!A$3:A$999=DATE(2026,12,19)),ROW(Expenses!A$3:A$999)-2),5)),""),IF(IFERROR(INDEX(Income!B$3:B$502,SMALL(IF((Income!D$3:D$502="GBP")*(Income!A$3:A$502=DATE(2026,12,19)),ROW(Income!A$3:A$502)-2),5)),"")&lt;&gt;"",IFERROR(INDEX(Income!B$3:B$502,SMALL(IF((Income!D$3:D$502="GBP")*(Income!A$3:A$502=DATE(2026,12,19)),ROW(Income!A$3:A$502)-2),5)),""),""))</f>
        <v/>
      </c>
      <c r="O258" s="152">
        <f t="array" ref="O258">IF(IFERROR(-INDEX(Expenses!D$3:D$999,SMALL(IF((Expenses!E$3:E$999="GBP")*(Expenses!A$3:A$999=DATE(2026,12,20)),ROW(Expenses!A$3:A$999)-2),5)),0)+IFERROR(INDEX(Income!C$3:C$502,SMALL(IF((Income!D$3:D$502="GBP")*(Income!A$3:A$502=DATE(2026,12,20)),ROW(Income!A$3:A$502)-2),5)),0)=0,"",IFERROR(-INDEX(Expenses!D$3:D$999,SMALL(IF((Expenses!E$3:E$999="GBP")*(Expenses!A$3:A$999=DATE(2026,12,20)),ROW(Expenses!A$3:A$999)-2),5)),0)+IFERROR(INDEX(Income!C$3:C$502,SMALL(IF((Income!D$3:D$502="GBP")*(Income!A$3:A$502=DATE(2026,12,20)),ROW(Income!A$3:A$502)-2),5)),0))</f>
        <v/>
      </c>
      <c r="P258" s="126">
        <f t="array" ref="P258">IF(IFERROR(INDEX(Expenses!B$3:B$999,SMALL(IF((Expenses!E$3:E$999="GBP")*(Expenses!A$3:A$999=DATE(2026,12,20)),ROW(Expenses!A$3:A$999)-2),5)),"")&lt;&gt;"",IFERROR(INDEX(Expenses!B$3:B$999,SMALL(IF((Expenses!E$3:E$999="GBP")*(Expenses!A$3:A$999=DATE(2026,12,20)),ROW(Expenses!A$3:A$999)-2),5)),""),IF(IFERROR(INDEX(Income!B$3:B$502,SMALL(IF((Income!D$3:D$502="GBP")*(Income!A$3:A$502=DATE(2026,12,20)),ROW(Income!A$3:A$502)-2),5)),"")&lt;&gt;"",IFERROR(INDEX(Income!B$3:B$502,SMALL(IF((Income!D$3:D$502="GBP")*(Income!A$3:A$502=DATE(2026,12,20)),ROW(Income!A$3:A$502)-2),5)),""),""))</f>
        <v/>
      </c>
      <c r="Q258" s="9" t="n"/>
      <c r="R258" s="9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68">
      <c r="A259" s="151" t="n">
        <v>46377</v>
      </c>
      <c r="B259" s="103" t="n">
        <v>52</v>
      </c>
      <c r="C259" s="152">
        <f t="array" ref="C259">IF(IFERROR(-INDEX(Expenses!D$3:D$999,SMALL(IF((Expenses!E$3:E$999="GBP")*(Expenses!A$3:A$999=DATE(2026,12,21)),ROW(Expenses!A$3:A$999)-2),1)),0)+IFERROR(INDEX(Income!C$3:C$502,SMALL(IF((Income!D$3:D$502="GBP")*(Income!A$3:A$502=DATE(2026,12,21)),ROW(Income!A$3:A$502)-2),1)),0)=0,"",IFERROR(-INDEX(Expenses!D$3:D$999,SMALL(IF((Expenses!E$3:E$999="GBP")*(Expenses!A$3:A$999=DATE(2026,12,21)),ROW(Expenses!A$3:A$999)-2),1)),0)+IFERROR(INDEX(Income!C$3:C$502,SMALL(IF((Income!D$3:D$502="GBP")*(Income!A$3:A$502=DATE(2026,12,21)),ROW(Income!A$3:A$502)-2),1)),0))</f>
        <v/>
      </c>
      <c r="D259" s="126">
        <f t="array" ref="D259">IF(IFERROR(INDEX(Expenses!B$3:B$999,SMALL(IF((Expenses!E$3:E$999="GBP")*(Expenses!A$3:A$999=DATE(2026,12,21)),ROW(Expenses!A$3:A$999)-2),1)),"")&lt;&gt;"",IFERROR(INDEX(Expenses!B$3:B$999,SMALL(IF((Expenses!E$3:E$999="GBP")*(Expenses!A$3:A$999=DATE(2026,12,21)),ROW(Expenses!A$3:A$999)-2),1)),""),IF(IFERROR(INDEX(Income!B$3:B$502,SMALL(IF((Income!D$3:D$502="GBP")*(Income!A$3:A$502=DATE(2026,12,21)),ROW(Income!A$3:A$502)-2),1)),"")&lt;&gt;"",IFERROR(INDEX(Income!B$3:B$502,SMALL(IF((Income!D$3:D$502="GBP")*(Income!A$3:A$502=DATE(2026,12,21)),ROW(Income!A$3:A$502)-2),1)),""),""))</f>
        <v/>
      </c>
      <c r="E259" s="152">
        <f t="array" ref="E259">IF(IFERROR(-INDEX(Expenses!D$3:D$999,SMALL(IF((Expenses!E$3:E$999="GBP")*(Expenses!A$3:A$999=DATE(2026,12,22)),ROW(Expenses!A$3:A$999)-2),1)),0)+IFERROR(INDEX(Income!C$3:C$502,SMALL(IF((Income!D$3:D$502="GBP")*(Income!A$3:A$502=DATE(2026,12,22)),ROW(Income!A$3:A$502)-2),1)),0)=0,"",IFERROR(-INDEX(Expenses!D$3:D$999,SMALL(IF((Expenses!E$3:E$999="GBP")*(Expenses!A$3:A$999=DATE(2026,12,22)),ROW(Expenses!A$3:A$999)-2),1)),0)+IFERROR(INDEX(Income!C$3:C$502,SMALL(IF((Income!D$3:D$502="GBP")*(Income!A$3:A$502=DATE(2026,12,22)),ROW(Income!A$3:A$502)-2),1)),0))</f>
        <v/>
      </c>
      <c r="F259" s="126">
        <f t="array" ref="F259">IF(IFERROR(INDEX(Expenses!B$3:B$999,SMALL(IF((Expenses!E$3:E$999="GBP")*(Expenses!A$3:A$999=DATE(2026,12,22)),ROW(Expenses!A$3:A$999)-2),1)),"")&lt;&gt;"",IFERROR(INDEX(Expenses!B$3:B$999,SMALL(IF((Expenses!E$3:E$999="GBP")*(Expenses!A$3:A$999=DATE(2026,12,22)),ROW(Expenses!A$3:A$999)-2),1)),""),IF(IFERROR(INDEX(Income!B$3:B$502,SMALL(IF((Income!D$3:D$502="GBP")*(Income!A$3:A$502=DATE(2026,12,22)),ROW(Income!A$3:A$502)-2),1)),"")&lt;&gt;"",IFERROR(INDEX(Income!B$3:B$502,SMALL(IF((Income!D$3:D$502="GBP")*(Income!A$3:A$502=DATE(2026,12,22)),ROW(Income!A$3:A$502)-2),1)),""),""))</f>
        <v/>
      </c>
      <c r="G259" s="152">
        <f t="array" ref="G259">IF(IFERROR(-INDEX(Expenses!D$3:D$999,SMALL(IF((Expenses!E$3:E$999="GBP")*(Expenses!A$3:A$999=DATE(2026,12,23)),ROW(Expenses!A$3:A$999)-2),1)),0)+IFERROR(INDEX(Income!C$3:C$502,SMALL(IF((Income!D$3:D$502="GBP")*(Income!A$3:A$502=DATE(2026,12,23)),ROW(Income!A$3:A$502)-2),1)),0)=0,"",IFERROR(-INDEX(Expenses!D$3:D$999,SMALL(IF((Expenses!E$3:E$999="GBP")*(Expenses!A$3:A$999=DATE(2026,12,23)),ROW(Expenses!A$3:A$999)-2),1)),0)+IFERROR(INDEX(Income!C$3:C$502,SMALL(IF((Income!D$3:D$502="GBP")*(Income!A$3:A$502=DATE(2026,12,23)),ROW(Income!A$3:A$502)-2),1)),0))</f>
        <v/>
      </c>
      <c r="H259" s="126">
        <f t="array" ref="H259">IF(IFERROR(INDEX(Expenses!B$3:B$999,SMALL(IF((Expenses!E$3:E$999="GBP")*(Expenses!A$3:A$999=DATE(2026,12,23)),ROW(Expenses!A$3:A$999)-2),1)),"")&lt;&gt;"",IFERROR(INDEX(Expenses!B$3:B$999,SMALL(IF((Expenses!E$3:E$999="GBP")*(Expenses!A$3:A$999=DATE(2026,12,23)),ROW(Expenses!A$3:A$999)-2),1)),""),IF(IFERROR(INDEX(Income!B$3:B$502,SMALL(IF((Income!D$3:D$502="GBP")*(Income!A$3:A$502=DATE(2026,12,23)),ROW(Income!A$3:A$502)-2),1)),"")&lt;&gt;"",IFERROR(INDEX(Income!B$3:B$502,SMALL(IF((Income!D$3:D$502="GBP")*(Income!A$3:A$502=DATE(2026,12,23)),ROW(Income!A$3:A$502)-2),1)),""),""))</f>
        <v/>
      </c>
      <c r="I259" s="152">
        <f t="array" ref="I259">IF(IFERROR(-INDEX(Expenses!D$3:D$999,SMALL(IF((Expenses!E$3:E$999="GBP")*(Expenses!A$3:A$999=DATE(2026,12,24)),ROW(Expenses!A$3:A$999)-2),1)),0)+IFERROR(INDEX(Income!C$3:C$502,SMALL(IF((Income!D$3:D$502="GBP")*(Income!A$3:A$502=DATE(2026,12,24)),ROW(Income!A$3:A$502)-2),1)),0)=0,"",IFERROR(-INDEX(Expenses!D$3:D$999,SMALL(IF((Expenses!E$3:E$999="GBP")*(Expenses!A$3:A$999=DATE(2026,12,24)),ROW(Expenses!A$3:A$999)-2),1)),0)+IFERROR(INDEX(Income!C$3:C$502,SMALL(IF((Income!D$3:D$502="GBP")*(Income!A$3:A$502=DATE(2026,12,24)),ROW(Income!A$3:A$502)-2),1)),0))</f>
        <v/>
      </c>
      <c r="J259" s="126">
        <f t="array" ref="J259">IF(IFERROR(INDEX(Expenses!B$3:B$999,SMALL(IF((Expenses!E$3:E$999="GBP")*(Expenses!A$3:A$999=DATE(2026,12,24)),ROW(Expenses!A$3:A$999)-2),1)),"")&lt;&gt;"",IFERROR(INDEX(Expenses!B$3:B$999,SMALL(IF((Expenses!E$3:E$999="GBP")*(Expenses!A$3:A$999=DATE(2026,12,24)),ROW(Expenses!A$3:A$999)-2),1)),""),IF(IFERROR(INDEX(Income!B$3:B$502,SMALL(IF((Income!D$3:D$502="GBP")*(Income!A$3:A$502=DATE(2026,12,24)),ROW(Income!A$3:A$502)-2),1)),"")&lt;&gt;"",IFERROR(INDEX(Income!B$3:B$502,SMALL(IF((Income!D$3:D$502="GBP")*(Income!A$3:A$502=DATE(2026,12,24)),ROW(Income!A$3:A$502)-2),1)),""),""))</f>
        <v/>
      </c>
      <c r="K259" s="152">
        <f t="array" ref="K259">IF(IFERROR(-INDEX(Expenses!D$3:D$999,SMALL(IF((Expenses!E$3:E$999="GBP")*(Expenses!A$3:A$999=DATE(2026,12,25)),ROW(Expenses!A$3:A$999)-2),1)),0)+IFERROR(INDEX(Income!C$3:C$502,SMALL(IF((Income!D$3:D$502="GBP")*(Income!A$3:A$502=DATE(2026,12,25)),ROW(Income!A$3:A$502)-2),1)),0)=0,"",IFERROR(-INDEX(Expenses!D$3:D$999,SMALL(IF((Expenses!E$3:E$999="GBP")*(Expenses!A$3:A$999=DATE(2026,12,25)),ROW(Expenses!A$3:A$999)-2),1)),0)+IFERROR(INDEX(Income!C$3:C$502,SMALL(IF((Income!D$3:D$502="GBP")*(Income!A$3:A$502=DATE(2026,12,25)),ROW(Income!A$3:A$502)-2),1)),0))</f>
        <v/>
      </c>
      <c r="L259" s="126">
        <f t="array" ref="L259">IF(IFERROR(INDEX(Expenses!B$3:B$999,SMALL(IF((Expenses!E$3:E$999="GBP")*(Expenses!A$3:A$999=DATE(2026,12,25)),ROW(Expenses!A$3:A$999)-2),1)),"")&lt;&gt;"",IFERROR(INDEX(Expenses!B$3:B$999,SMALL(IF((Expenses!E$3:E$999="GBP")*(Expenses!A$3:A$999=DATE(2026,12,25)),ROW(Expenses!A$3:A$999)-2),1)),""),IF(IFERROR(INDEX(Income!B$3:B$502,SMALL(IF((Income!D$3:D$502="GBP")*(Income!A$3:A$502=DATE(2026,12,25)),ROW(Income!A$3:A$502)-2),1)),"")&lt;&gt;"",IFERROR(INDEX(Income!B$3:B$502,SMALL(IF((Income!D$3:D$502="GBP")*(Income!A$3:A$502=DATE(2026,12,25)),ROW(Income!A$3:A$502)-2),1)),""),""))</f>
        <v/>
      </c>
      <c r="M259" s="152">
        <f t="array" ref="M259">IF(IFERROR(-INDEX(Expenses!D$3:D$999,SMALL(IF((Expenses!E$3:E$999="GBP")*(Expenses!A$3:A$999=DATE(2026,12,26)),ROW(Expenses!A$3:A$999)-2),1)),0)+IFERROR(INDEX(Income!C$3:C$502,SMALL(IF((Income!D$3:D$502="GBP")*(Income!A$3:A$502=DATE(2026,12,26)),ROW(Income!A$3:A$502)-2),1)),0)=0,"",IFERROR(-INDEX(Expenses!D$3:D$999,SMALL(IF((Expenses!E$3:E$999="GBP")*(Expenses!A$3:A$999=DATE(2026,12,26)),ROW(Expenses!A$3:A$999)-2),1)),0)+IFERROR(INDEX(Income!C$3:C$502,SMALL(IF((Income!D$3:D$502="GBP")*(Income!A$3:A$502=DATE(2026,12,26)),ROW(Income!A$3:A$502)-2),1)),0))</f>
        <v/>
      </c>
      <c r="N259" s="126">
        <f t="array" ref="N259">IF(IFERROR(INDEX(Expenses!B$3:B$999,SMALL(IF((Expenses!E$3:E$999="GBP")*(Expenses!A$3:A$999=DATE(2026,12,26)),ROW(Expenses!A$3:A$999)-2),1)),"")&lt;&gt;"",IFERROR(INDEX(Expenses!B$3:B$999,SMALL(IF((Expenses!E$3:E$999="GBP")*(Expenses!A$3:A$999=DATE(2026,12,26)),ROW(Expenses!A$3:A$999)-2),1)),""),IF(IFERROR(INDEX(Income!B$3:B$502,SMALL(IF((Income!D$3:D$502="GBP")*(Income!A$3:A$502=DATE(2026,12,26)),ROW(Income!A$3:A$502)-2),1)),"")&lt;&gt;"",IFERROR(INDEX(Income!B$3:B$502,SMALL(IF((Income!D$3:D$502="GBP")*(Income!A$3:A$502=DATE(2026,12,26)),ROW(Income!A$3:A$502)-2),1)),""),""))</f>
        <v/>
      </c>
      <c r="O259" s="152">
        <f t="array" ref="O259">IF(IFERROR(-INDEX(Expenses!D$3:D$999,SMALL(IF((Expenses!E$3:E$999="GBP")*(Expenses!A$3:A$999=DATE(2026,12,27)),ROW(Expenses!A$3:A$999)-2),1)),0)+IFERROR(INDEX(Income!C$3:C$502,SMALL(IF((Income!D$3:D$502="GBP")*(Income!A$3:A$502=DATE(2026,12,27)),ROW(Income!A$3:A$502)-2),1)),0)=0,"",IFERROR(-INDEX(Expenses!D$3:D$999,SMALL(IF((Expenses!E$3:E$999="GBP")*(Expenses!A$3:A$999=DATE(2026,12,27)),ROW(Expenses!A$3:A$999)-2),1)),0)+IFERROR(INDEX(Income!C$3:C$502,SMALL(IF((Income!D$3:D$502="GBP")*(Income!A$3:A$502=DATE(2026,12,27)),ROW(Income!A$3:A$502)-2),1)),0))</f>
        <v/>
      </c>
      <c r="P259" s="126">
        <f t="array" ref="P259">IF(IFERROR(INDEX(Expenses!B$3:B$999,SMALL(IF((Expenses!E$3:E$999="GBP")*(Expenses!A$3:A$999=DATE(2026,12,27)),ROW(Expenses!A$3:A$999)-2),1)),"")&lt;&gt;"",IFERROR(INDEX(Expenses!B$3:B$999,SMALL(IF((Expenses!E$3:E$999="GBP")*(Expenses!A$3:A$999=DATE(2026,12,27)),ROW(Expenses!A$3:A$999)-2),1)),""),IF(IFERROR(INDEX(Income!B$3:B$502,SMALL(IF((Income!D$3:D$502="GBP")*(Income!A$3:A$502=DATE(2026,12,27)),ROW(Income!A$3:A$502)-2),1)),"")&lt;&gt;"",IFERROR(INDEX(Income!B$3:B$502,SMALL(IF((Income!D$3:D$502="GBP")*(Income!A$3:A$502=DATE(2026,12,27)),ROW(Income!A$3:A$502)-2),1)),""),""))</f>
        <v/>
      </c>
      <c r="Q259" s="103" t="n">
        <v>52</v>
      </c>
      <c r="R259" s="134">
        <f>SUM(C259:C263)+SUM(E259:E263)+SUM(G259:G263)+SUM(I259:I263)+SUM(K259:K263)+SUM(M259:M263)+SUM(O259:O263)</f>
        <v/>
      </c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68">
      <c r="A260" s="9" t="n"/>
      <c r="B260" s="9" t="n"/>
      <c r="C260" s="152">
        <f t="array" ref="C260">IF(IFERROR(-INDEX(Expenses!D$3:D$999,SMALL(IF((Expenses!E$3:E$999="GBP")*(Expenses!A$3:A$999=DATE(2026,12,21)),ROW(Expenses!A$3:A$999)-2),2)),0)+IFERROR(INDEX(Income!C$3:C$502,SMALL(IF((Income!D$3:D$502="GBP")*(Income!A$3:A$502=DATE(2026,12,21)),ROW(Income!A$3:A$502)-2),2)),0)=0,"",IFERROR(-INDEX(Expenses!D$3:D$999,SMALL(IF((Expenses!E$3:E$999="GBP")*(Expenses!A$3:A$999=DATE(2026,12,21)),ROW(Expenses!A$3:A$999)-2),2)),0)+IFERROR(INDEX(Income!C$3:C$502,SMALL(IF((Income!D$3:D$502="GBP")*(Income!A$3:A$502=DATE(2026,12,21)),ROW(Income!A$3:A$502)-2),2)),0))</f>
        <v/>
      </c>
      <c r="D260" s="126">
        <f t="array" ref="D260">IF(IFERROR(INDEX(Expenses!B$3:B$999,SMALL(IF((Expenses!E$3:E$999="GBP")*(Expenses!A$3:A$999=DATE(2026,12,21)),ROW(Expenses!A$3:A$999)-2),2)),"")&lt;&gt;"",IFERROR(INDEX(Expenses!B$3:B$999,SMALL(IF((Expenses!E$3:E$999="GBP")*(Expenses!A$3:A$999=DATE(2026,12,21)),ROW(Expenses!A$3:A$999)-2),2)),""),IF(IFERROR(INDEX(Income!B$3:B$502,SMALL(IF((Income!D$3:D$502="GBP")*(Income!A$3:A$502=DATE(2026,12,21)),ROW(Income!A$3:A$502)-2),2)),"")&lt;&gt;"",IFERROR(INDEX(Income!B$3:B$502,SMALL(IF((Income!D$3:D$502="GBP")*(Income!A$3:A$502=DATE(2026,12,21)),ROW(Income!A$3:A$502)-2),2)),""),""))</f>
        <v/>
      </c>
      <c r="E260" s="152">
        <f t="array" ref="E260">IF(IFERROR(-INDEX(Expenses!D$3:D$999,SMALL(IF((Expenses!E$3:E$999="GBP")*(Expenses!A$3:A$999=DATE(2026,12,22)),ROW(Expenses!A$3:A$999)-2),2)),0)+IFERROR(INDEX(Income!C$3:C$502,SMALL(IF((Income!D$3:D$502="GBP")*(Income!A$3:A$502=DATE(2026,12,22)),ROW(Income!A$3:A$502)-2),2)),0)=0,"",IFERROR(-INDEX(Expenses!D$3:D$999,SMALL(IF((Expenses!E$3:E$999="GBP")*(Expenses!A$3:A$999=DATE(2026,12,22)),ROW(Expenses!A$3:A$999)-2),2)),0)+IFERROR(INDEX(Income!C$3:C$502,SMALL(IF((Income!D$3:D$502="GBP")*(Income!A$3:A$502=DATE(2026,12,22)),ROW(Income!A$3:A$502)-2),2)),0))</f>
        <v/>
      </c>
      <c r="F260" s="126">
        <f t="array" ref="F260">IF(IFERROR(INDEX(Expenses!B$3:B$999,SMALL(IF((Expenses!E$3:E$999="GBP")*(Expenses!A$3:A$999=DATE(2026,12,22)),ROW(Expenses!A$3:A$999)-2),2)),"")&lt;&gt;"",IFERROR(INDEX(Expenses!B$3:B$999,SMALL(IF((Expenses!E$3:E$999="GBP")*(Expenses!A$3:A$999=DATE(2026,12,22)),ROW(Expenses!A$3:A$999)-2),2)),""),IF(IFERROR(INDEX(Income!B$3:B$502,SMALL(IF((Income!D$3:D$502="GBP")*(Income!A$3:A$502=DATE(2026,12,22)),ROW(Income!A$3:A$502)-2),2)),"")&lt;&gt;"",IFERROR(INDEX(Income!B$3:B$502,SMALL(IF((Income!D$3:D$502="GBP")*(Income!A$3:A$502=DATE(2026,12,22)),ROW(Income!A$3:A$502)-2),2)),""),""))</f>
        <v/>
      </c>
      <c r="G260" s="152">
        <f t="array" ref="G260">IF(IFERROR(-INDEX(Expenses!D$3:D$999,SMALL(IF((Expenses!E$3:E$999="GBP")*(Expenses!A$3:A$999=DATE(2026,12,23)),ROW(Expenses!A$3:A$999)-2),2)),0)+IFERROR(INDEX(Income!C$3:C$502,SMALL(IF((Income!D$3:D$502="GBP")*(Income!A$3:A$502=DATE(2026,12,23)),ROW(Income!A$3:A$502)-2),2)),0)=0,"",IFERROR(-INDEX(Expenses!D$3:D$999,SMALL(IF((Expenses!E$3:E$999="GBP")*(Expenses!A$3:A$999=DATE(2026,12,23)),ROW(Expenses!A$3:A$999)-2),2)),0)+IFERROR(INDEX(Income!C$3:C$502,SMALL(IF((Income!D$3:D$502="GBP")*(Income!A$3:A$502=DATE(2026,12,23)),ROW(Income!A$3:A$502)-2),2)),0))</f>
        <v/>
      </c>
      <c r="H260" s="126">
        <f t="array" ref="H260">IF(IFERROR(INDEX(Expenses!B$3:B$999,SMALL(IF((Expenses!E$3:E$999="GBP")*(Expenses!A$3:A$999=DATE(2026,12,23)),ROW(Expenses!A$3:A$999)-2),2)),"")&lt;&gt;"",IFERROR(INDEX(Expenses!B$3:B$999,SMALL(IF((Expenses!E$3:E$999="GBP")*(Expenses!A$3:A$999=DATE(2026,12,23)),ROW(Expenses!A$3:A$999)-2),2)),""),IF(IFERROR(INDEX(Income!B$3:B$502,SMALL(IF((Income!D$3:D$502="GBP")*(Income!A$3:A$502=DATE(2026,12,23)),ROW(Income!A$3:A$502)-2),2)),"")&lt;&gt;"",IFERROR(INDEX(Income!B$3:B$502,SMALL(IF((Income!D$3:D$502="GBP")*(Income!A$3:A$502=DATE(2026,12,23)),ROW(Income!A$3:A$502)-2),2)),""),""))</f>
        <v/>
      </c>
      <c r="I260" s="152">
        <f t="array" ref="I260">IF(IFERROR(-INDEX(Expenses!D$3:D$999,SMALL(IF((Expenses!E$3:E$999="GBP")*(Expenses!A$3:A$999=DATE(2026,12,24)),ROW(Expenses!A$3:A$999)-2),2)),0)+IFERROR(INDEX(Income!C$3:C$502,SMALL(IF((Income!D$3:D$502="GBP")*(Income!A$3:A$502=DATE(2026,12,24)),ROW(Income!A$3:A$502)-2),2)),0)=0,"",IFERROR(-INDEX(Expenses!D$3:D$999,SMALL(IF((Expenses!E$3:E$999="GBP")*(Expenses!A$3:A$999=DATE(2026,12,24)),ROW(Expenses!A$3:A$999)-2),2)),0)+IFERROR(INDEX(Income!C$3:C$502,SMALL(IF((Income!D$3:D$502="GBP")*(Income!A$3:A$502=DATE(2026,12,24)),ROW(Income!A$3:A$502)-2),2)),0))</f>
        <v/>
      </c>
      <c r="J260" s="126">
        <f t="array" ref="J260">IF(IFERROR(INDEX(Expenses!B$3:B$999,SMALL(IF((Expenses!E$3:E$999="GBP")*(Expenses!A$3:A$999=DATE(2026,12,24)),ROW(Expenses!A$3:A$999)-2),2)),"")&lt;&gt;"",IFERROR(INDEX(Expenses!B$3:B$999,SMALL(IF((Expenses!E$3:E$999="GBP")*(Expenses!A$3:A$999=DATE(2026,12,24)),ROW(Expenses!A$3:A$999)-2),2)),""),IF(IFERROR(INDEX(Income!B$3:B$502,SMALL(IF((Income!D$3:D$502="GBP")*(Income!A$3:A$502=DATE(2026,12,24)),ROW(Income!A$3:A$502)-2),2)),"")&lt;&gt;"",IFERROR(INDEX(Income!B$3:B$502,SMALL(IF((Income!D$3:D$502="GBP")*(Income!A$3:A$502=DATE(2026,12,24)),ROW(Income!A$3:A$502)-2),2)),""),""))</f>
        <v/>
      </c>
      <c r="K260" s="152">
        <f t="array" ref="K260">IF(IFERROR(-INDEX(Expenses!D$3:D$999,SMALL(IF((Expenses!E$3:E$999="GBP")*(Expenses!A$3:A$999=DATE(2026,12,25)),ROW(Expenses!A$3:A$999)-2),2)),0)+IFERROR(INDEX(Income!C$3:C$502,SMALL(IF((Income!D$3:D$502="GBP")*(Income!A$3:A$502=DATE(2026,12,25)),ROW(Income!A$3:A$502)-2),2)),0)=0,"",IFERROR(-INDEX(Expenses!D$3:D$999,SMALL(IF((Expenses!E$3:E$999="GBP")*(Expenses!A$3:A$999=DATE(2026,12,25)),ROW(Expenses!A$3:A$999)-2),2)),0)+IFERROR(INDEX(Income!C$3:C$502,SMALL(IF((Income!D$3:D$502="GBP")*(Income!A$3:A$502=DATE(2026,12,25)),ROW(Income!A$3:A$502)-2),2)),0))</f>
        <v/>
      </c>
      <c r="L260" s="126">
        <f t="array" ref="L260">IF(IFERROR(INDEX(Expenses!B$3:B$999,SMALL(IF((Expenses!E$3:E$999="GBP")*(Expenses!A$3:A$999=DATE(2026,12,25)),ROW(Expenses!A$3:A$999)-2),2)),"")&lt;&gt;"",IFERROR(INDEX(Expenses!B$3:B$999,SMALL(IF((Expenses!E$3:E$999="GBP")*(Expenses!A$3:A$999=DATE(2026,12,25)),ROW(Expenses!A$3:A$999)-2),2)),""),IF(IFERROR(INDEX(Income!B$3:B$502,SMALL(IF((Income!D$3:D$502="GBP")*(Income!A$3:A$502=DATE(2026,12,25)),ROW(Income!A$3:A$502)-2),2)),"")&lt;&gt;"",IFERROR(INDEX(Income!B$3:B$502,SMALL(IF((Income!D$3:D$502="GBP")*(Income!A$3:A$502=DATE(2026,12,25)),ROW(Income!A$3:A$502)-2),2)),""),""))</f>
        <v/>
      </c>
      <c r="M260" s="152">
        <f t="array" ref="M260">IF(IFERROR(-INDEX(Expenses!D$3:D$999,SMALL(IF((Expenses!E$3:E$999="GBP")*(Expenses!A$3:A$999=DATE(2026,12,26)),ROW(Expenses!A$3:A$999)-2),2)),0)+IFERROR(INDEX(Income!C$3:C$502,SMALL(IF((Income!D$3:D$502="GBP")*(Income!A$3:A$502=DATE(2026,12,26)),ROW(Income!A$3:A$502)-2),2)),0)=0,"",IFERROR(-INDEX(Expenses!D$3:D$999,SMALL(IF((Expenses!E$3:E$999="GBP")*(Expenses!A$3:A$999=DATE(2026,12,26)),ROW(Expenses!A$3:A$999)-2),2)),0)+IFERROR(INDEX(Income!C$3:C$502,SMALL(IF((Income!D$3:D$502="GBP")*(Income!A$3:A$502=DATE(2026,12,26)),ROW(Income!A$3:A$502)-2),2)),0))</f>
        <v/>
      </c>
      <c r="N260" s="126">
        <f t="array" ref="N260">IF(IFERROR(INDEX(Expenses!B$3:B$999,SMALL(IF((Expenses!E$3:E$999="GBP")*(Expenses!A$3:A$999=DATE(2026,12,26)),ROW(Expenses!A$3:A$999)-2),2)),"")&lt;&gt;"",IFERROR(INDEX(Expenses!B$3:B$999,SMALL(IF((Expenses!E$3:E$999="GBP")*(Expenses!A$3:A$999=DATE(2026,12,26)),ROW(Expenses!A$3:A$999)-2),2)),""),IF(IFERROR(INDEX(Income!B$3:B$502,SMALL(IF((Income!D$3:D$502="GBP")*(Income!A$3:A$502=DATE(2026,12,26)),ROW(Income!A$3:A$502)-2),2)),"")&lt;&gt;"",IFERROR(INDEX(Income!B$3:B$502,SMALL(IF((Income!D$3:D$502="GBP")*(Income!A$3:A$502=DATE(2026,12,26)),ROW(Income!A$3:A$502)-2),2)),""),""))</f>
        <v/>
      </c>
      <c r="O260" s="152">
        <f t="array" ref="O260">IF(IFERROR(-INDEX(Expenses!D$3:D$999,SMALL(IF((Expenses!E$3:E$999="GBP")*(Expenses!A$3:A$999=DATE(2026,12,27)),ROW(Expenses!A$3:A$999)-2),2)),0)+IFERROR(INDEX(Income!C$3:C$502,SMALL(IF((Income!D$3:D$502="GBP")*(Income!A$3:A$502=DATE(2026,12,27)),ROW(Income!A$3:A$502)-2),2)),0)=0,"",IFERROR(-INDEX(Expenses!D$3:D$999,SMALL(IF((Expenses!E$3:E$999="GBP")*(Expenses!A$3:A$999=DATE(2026,12,27)),ROW(Expenses!A$3:A$999)-2),2)),0)+IFERROR(INDEX(Income!C$3:C$502,SMALL(IF((Income!D$3:D$502="GBP")*(Income!A$3:A$502=DATE(2026,12,27)),ROW(Income!A$3:A$502)-2),2)),0))</f>
        <v/>
      </c>
      <c r="P260" s="126">
        <f t="array" ref="P260">IF(IFERROR(INDEX(Expenses!B$3:B$999,SMALL(IF((Expenses!E$3:E$999="GBP")*(Expenses!A$3:A$999=DATE(2026,12,27)),ROW(Expenses!A$3:A$999)-2),2)),"")&lt;&gt;"",IFERROR(INDEX(Expenses!B$3:B$999,SMALL(IF((Expenses!E$3:E$999="GBP")*(Expenses!A$3:A$999=DATE(2026,12,27)),ROW(Expenses!A$3:A$999)-2),2)),""),IF(IFERROR(INDEX(Income!B$3:B$502,SMALL(IF((Income!D$3:D$502="GBP")*(Income!A$3:A$502=DATE(2026,12,27)),ROW(Income!A$3:A$502)-2),2)),"")&lt;&gt;"",IFERROR(INDEX(Income!B$3:B$502,SMALL(IF((Income!D$3:D$502="GBP")*(Income!A$3:A$502=DATE(2026,12,27)),ROW(Income!A$3:A$502)-2),2)),""),""))</f>
        <v/>
      </c>
      <c r="Q260" s="9" t="n"/>
      <c r="R260" s="9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68">
      <c r="A261" s="9" t="n"/>
      <c r="B261" s="9" t="n"/>
      <c r="C261" s="152">
        <f t="array" ref="C261">IF(IFERROR(-INDEX(Expenses!D$3:D$999,SMALL(IF((Expenses!E$3:E$999="GBP")*(Expenses!A$3:A$999=DATE(2026,12,21)),ROW(Expenses!A$3:A$999)-2),3)),0)+IFERROR(INDEX(Income!C$3:C$502,SMALL(IF((Income!D$3:D$502="GBP")*(Income!A$3:A$502=DATE(2026,12,21)),ROW(Income!A$3:A$502)-2),3)),0)=0,"",IFERROR(-INDEX(Expenses!D$3:D$999,SMALL(IF((Expenses!E$3:E$999="GBP")*(Expenses!A$3:A$999=DATE(2026,12,21)),ROW(Expenses!A$3:A$999)-2),3)),0)+IFERROR(INDEX(Income!C$3:C$502,SMALL(IF((Income!D$3:D$502="GBP")*(Income!A$3:A$502=DATE(2026,12,21)),ROW(Income!A$3:A$502)-2),3)),0))</f>
        <v/>
      </c>
      <c r="D261" s="126">
        <f t="array" ref="D261">IF(IFERROR(INDEX(Expenses!B$3:B$999,SMALL(IF((Expenses!E$3:E$999="GBP")*(Expenses!A$3:A$999=DATE(2026,12,21)),ROW(Expenses!A$3:A$999)-2),3)),"")&lt;&gt;"",IFERROR(INDEX(Expenses!B$3:B$999,SMALL(IF((Expenses!E$3:E$999="GBP")*(Expenses!A$3:A$999=DATE(2026,12,21)),ROW(Expenses!A$3:A$999)-2),3)),""),IF(IFERROR(INDEX(Income!B$3:B$502,SMALL(IF((Income!D$3:D$502="GBP")*(Income!A$3:A$502=DATE(2026,12,21)),ROW(Income!A$3:A$502)-2),3)),"")&lt;&gt;"",IFERROR(INDEX(Income!B$3:B$502,SMALL(IF((Income!D$3:D$502="GBP")*(Income!A$3:A$502=DATE(2026,12,21)),ROW(Income!A$3:A$502)-2),3)),""),""))</f>
        <v/>
      </c>
      <c r="E261" s="152">
        <f t="array" ref="E261">IF(IFERROR(-INDEX(Expenses!D$3:D$999,SMALL(IF((Expenses!E$3:E$999="GBP")*(Expenses!A$3:A$999=DATE(2026,12,22)),ROW(Expenses!A$3:A$999)-2),3)),0)+IFERROR(INDEX(Income!C$3:C$502,SMALL(IF((Income!D$3:D$502="GBP")*(Income!A$3:A$502=DATE(2026,12,22)),ROW(Income!A$3:A$502)-2),3)),0)=0,"",IFERROR(-INDEX(Expenses!D$3:D$999,SMALL(IF((Expenses!E$3:E$999="GBP")*(Expenses!A$3:A$999=DATE(2026,12,22)),ROW(Expenses!A$3:A$999)-2),3)),0)+IFERROR(INDEX(Income!C$3:C$502,SMALL(IF((Income!D$3:D$502="GBP")*(Income!A$3:A$502=DATE(2026,12,22)),ROW(Income!A$3:A$502)-2),3)),0))</f>
        <v/>
      </c>
      <c r="F261" s="126">
        <f t="array" ref="F261">IF(IFERROR(INDEX(Expenses!B$3:B$999,SMALL(IF((Expenses!E$3:E$999="GBP")*(Expenses!A$3:A$999=DATE(2026,12,22)),ROW(Expenses!A$3:A$999)-2),3)),"")&lt;&gt;"",IFERROR(INDEX(Expenses!B$3:B$999,SMALL(IF((Expenses!E$3:E$999="GBP")*(Expenses!A$3:A$999=DATE(2026,12,22)),ROW(Expenses!A$3:A$999)-2),3)),""),IF(IFERROR(INDEX(Income!B$3:B$502,SMALL(IF((Income!D$3:D$502="GBP")*(Income!A$3:A$502=DATE(2026,12,22)),ROW(Income!A$3:A$502)-2),3)),"")&lt;&gt;"",IFERROR(INDEX(Income!B$3:B$502,SMALL(IF((Income!D$3:D$502="GBP")*(Income!A$3:A$502=DATE(2026,12,22)),ROW(Income!A$3:A$502)-2),3)),""),""))</f>
        <v/>
      </c>
      <c r="G261" s="152">
        <f t="array" ref="G261">IF(IFERROR(-INDEX(Expenses!D$3:D$999,SMALL(IF((Expenses!E$3:E$999="GBP")*(Expenses!A$3:A$999=DATE(2026,12,23)),ROW(Expenses!A$3:A$999)-2),3)),0)+IFERROR(INDEX(Income!C$3:C$502,SMALL(IF((Income!D$3:D$502="GBP")*(Income!A$3:A$502=DATE(2026,12,23)),ROW(Income!A$3:A$502)-2),3)),0)=0,"",IFERROR(-INDEX(Expenses!D$3:D$999,SMALL(IF((Expenses!E$3:E$999="GBP")*(Expenses!A$3:A$999=DATE(2026,12,23)),ROW(Expenses!A$3:A$999)-2),3)),0)+IFERROR(INDEX(Income!C$3:C$502,SMALL(IF((Income!D$3:D$502="GBP")*(Income!A$3:A$502=DATE(2026,12,23)),ROW(Income!A$3:A$502)-2),3)),0))</f>
        <v/>
      </c>
      <c r="H261" s="126">
        <f t="array" ref="H261">IF(IFERROR(INDEX(Expenses!B$3:B$999,SMALL(IF((Expenses!E$3:E$999="GBP")*(Expenses!A$3:A$999=DATE(2026,12,23)),ROW(Expenses!A$3:A$999)-2),3)),"")&lt;&gt;"",IFERROR(INDEX(Expenses!B$3:B$999,SMALL(IF((Expenses!E$3:E$999="GBP")*(Expenses!A$3:A$999=DATE(2026,12,23)),ROW(Expenses!A$3:A$999)-2),3)),""),IF(IFERROR(INDEX(Income!B$3:B$502,SMALL(IF((Income!D$3:D$502="GBP")*(Income!A$3:A$502=DATE(2026,12,23)),ROW(Income!A$3:A$502)-2),3)),"")&lt;&gt;"",IFERROR(INDEX(Income!B$3:B$502,SMALL(IF((Income!D$3:D$502="GBP")*(Income!A$3:A$502=DATE(2026,12,23)),ROW(Income!A$3:A$502)-2),3)),""),""))</f>
        <v/>
      </c>
      <c r="I261" s="152">
        <f t="array" ref="I261">IF(IFERROR(-INDEX(Expenses!D$3:D$999,SMALL(IF((Expenses!E$3:E$999="GBP")*(Expenses!A$3:A$999=DATE(2026,12,24)),ROW(Expenses!A$3:A$999)-2),3)),0)+IFERROR(INDEX(Income!C$3:C$502,SMALL(IF((Income!D$3:D$502="GBP")*(Income!A$3:A$502=DATE(2026,12,24)),ROW(Income!A$3:A$502)-2),3)),0)=0,"",IFERROR(-INDEX(Expenses!D$3:D$999,SMALL(IF((Expenses!E$3:E$999="GBP")*(Expenses!A$3:A$999=DATE(2026,12,24)),ROW(Expenses!A$3:A$999)-2),3)),0)+IFERROR(INDEX(Income!C$3:C$502,SMALL(IF((Income!D$3:D$502="GBP")*(Income!A$3:A$502=DATE(2026,12,24)),ROW(Income!A$3:A$502)-2),3)),0))</f>
        <v/>
      </c>
      <c r="J261" s="126">
        <f t="array" ref="J261">IF(IFERROR(INDEX(Expenses!B$3:B$999,SMALL(IF((Expenses!E$3:E$999="GBP")*(Expenses!A$3:A$999=DATE(2026,12,24)),ROW(Expenses!A$3:A$999)-2),3)),"")&lt;&gt;"",IFERROR(INDEX(Expenses!B$3:B$999,SMALL(IF((Expenses!E$3:E$999="GBP")*(Expenses!A$3:A$999=DATE(2026,12,24)),ROW(Expenses!A$3:A$999)-2),3)),""),IF(IFERROR(INDEX(Income!B$3:B$502,SMALL(IF((Income!D$3:D$502="GBP")*(Income!A$3:A$502=DATE(2026,12,24)),ROW(Income!A$3:A$502)-2),3)),"")&lt;&gt;"",IFERROR(INDEX(Income!B$3:B$502,SMALL(IF((Income!D$3:D$502="GBP")*(Income!A$3:A$502=DATE(2026,12,24)),ROW(Income!A$3:A$502)-2),3)),""),""))</f>
        <v/>
      </c>
      <c r="K261" s="152">
        <f t="array" ref="K261">IF(IFERROR(-INDEX(Expenses!D$3:D$999,SMALL(IF((Expenses!E$3:E$999="GBP")*(Expenses!A$3:A$999=DATE(2026,12,25)),ROW(Expenses!A$3:A$999)-2),3)),0)+IFERROR(INDEX(Income!C$3:C$502,SMALL(IF((Income!D$3:D$502="GBP")*(Income!A$3:A$502=DATE(2026,12,25)),ROW(Income!A$3:A$502)-2),3)),0)=0,"",IFERROR(-INDEX(Expenses!D$3:D$999,SMALL(IF((Expenses!E$3:E$999="GBP")*(Expenses!A$3:A$999=DATE(2026,12,25)),ROW(Expenses!A$3:A$999)-2),3)),0)+IFERROR(INDEX(Income!C$3:C$502,SMALL(IF((Income!D$3:D$502="GBP")*(Income!A$3:A$502=DATE(2026,12,25)),ROW(Income!A$3:A$502)-2),3)),0))</f>
        <v/>
      </c>
      <c r="L261" s="126">
        <f t="array" ref="L261">IF(IFERROR(INDEX(Expenses!B$3:B$999,SMALL(IF((Expenses!E$3:E$999="GBP")*(Expenses!A$3:A$999=DATE(2026,12,25)),ROW(Expenses!A$3:A$999)-2),3)),"")&lt;&gt;"",IFERROR(INDEX(Expenses!B$3:B$999,SMALL(IF((Expenses!E$3:E$999="GBP")*(Expenses!A$3:A$999=DATE(2026,12,25)),ROW(Expenses!A$3:A$999)-2),3)),""),IF(IFERROR(INDEX(Income!B$3:B$502,SMALL(IF((Income!D$3:D$502="GBP")*(Income!A$3:A$502=DATE(2026,12,25)),ROW(Income!A$3:A$502)-2),3)),"")&lt;&gt;"",IFERROR(INDEX(Income!B$3:B$502,SMALL(IF((Income!D$3:D$502="GBP")*(Income!A$3:A$502=DATE(2026,12,25)),ROW(Income!A$3:A$502)-2),3)),""),""))</f>
        <v/>
      </c>
      <c r="M261" s="152">
        <f t="array" ref="M261">IF(IFERROR(-INDEX(Expenses!D$3:D$999,SMALL(IF((Expenses!E$3:E$999="GBP")*(Expenses!A$3:A$999=DATE(2026,12,26)),ROW(Expenses!A$3:A$999)-2),3)),0)+IFERROR(INDEX(Income!C$3:C$502,SMALL(IF((Income!D$3:D$502="GBP")*(Income!A$3:A$502=DATE(2026,12,26)),ROW(Income!A$3:A$502)-2),3)),0)=0,"",IFERROR(-INDEX(Expenses!D$3:D$999,SMALL(IF((Expenses!E$3:E$999="GBP")*(Expenses!A$3:A$999=DATE(2026,12,26)),ROW(Expenses!A$3:A$999)-2),3)),0)+IFERROR(INDEX(Income!C$3:C$502,SMALL(IF((Income!D$3:D$502="GBP")*(Income!A$3:A$502=DATE(2026,12,26)),ROW(Income!A$3:A$502)-2),3)),0))</f>
        <v/>
      </c>
      <c r="N261" s="126">
        <f t="array" ref="N261">IF(IFERROR(INDEX(Expenses!B$3:B$999,SMALL(IF((Expenses!E$3:E$999="GBP")*(Expenses!A$3:A$999=DATE(2026,12,26)),ROW(Expenses!A$3:A$999)-2),3)),"")&lt;&gt;"",IFERROR(INDEX(Expenses!B$3:B$999,SMALL(IF((Expenses!E$3:E$999="GBP")*(Expenses!A$3:A$999=DATE(2026,12,26)),ROW(Expenses!A$3:A$999)-2),3)),""),IF(IFERROR(INDEX(Income!B$3:B$502,SMALL(IF((Income!D$3:D$502="GBP")*(Income!A$3:A$502=DATE(2026,12,26)),ROW(Income!A$3:A$502)-2),3)),"")&lt;&gt;"",IFERROR(INDEX(Income!B$3:B$502,SMALL(IF((Income!D$3:D$502="GBP")*(Income!A$3:A$502=DATE(2026,12,26)),ROW(Income!A$3:A$502)-2),3)),""),""))</f>
        <v/>
      </c>
      <c r="O261" s="152">
        <f t="array" ref="O261">IF(IFERROR(-INDEX(Expenses!D$3:D$999,SMALL(IF((Expenses!E$3:E$999="GBP")*(Expenses!A$3:A$999=DATE(2026,12,27)),ROW(Expenses!A$3:A$999)-2),3)),0)+IFERROR(INDEX(Income!C$3:C$502,SMALL(IF((Income!D$3:D$502="GBP")*(Income!A$3:A$502=DATE(2026,12,27)),ROW(Income!A$3:A$502)-2),3)),0)=0,"",IFERROR(-INDEX(Expenses!D$3:D$999,SMALL(IF((Expenses!E$3:E$999="GBP")*(Expenses!A$3:A$999=DATE(2026,12,27)),ROW(Expenses!A$3:A$999)-2),3)),0)+IFERROR(INDEX(Income!C$3:C$502,SMALL(IF((Income!D$3:D$502="GBP")*(Income!A$3:A$502=DATE(2026,12,27)),ROW(Income!A$3:A$502)-2),3)),0))</f>
        <v/>
      </c>
      <c r="P261" s="126">
        <f t="array" ref="P261">IF(IFERROR(INDEX(Expenses!B$3:B$999,SMALL(IF((Expenses!E$3:E$999="GBP")*(Expenses!A$3:A$999=DATE(2026,12,27)),ROW(Expenses!A$3:A$999)-2),3)),"")&lt;&gt;"",IFERROR(INDEX(Expenses!B$3:B$999,SMALL(IF((Expenses!E$3:E$999="GBP")*(Expenses!A$3:A$999=DATE(2026,12,27)),ROW(Expenses!A$3:A$999)-2),3)),""),IF(IFERROR(INDEX(Income!B$3:B$502,SMALL(IF((Income!D$3:D$502="GBP")*(Income!A$3:A$502=DATE(2026,12,27)),ROW(Income!A$3:A$502)-2),3)),"")&lt;&gt;"",IFERROR(INDEX(Income!B$3:B$502,SMALL(IF((Income!D$3:D$502="GBP")*(Income!A$3:A$502=DATE(2026,12,27)),ROW(Income!A$3:A$502)-2),3)),""),""))</f>
        <v/>
      </c>
      <c r="Q261" s="9" t="n"/>
      <c r="R261" s="9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68">
      <c r="A262" s="9" t="n"/>
      <c r="B262" s="9" t="n"/>
      <c r="C262" s="152">
        <f t="array" ref="C262">IF(IFERROR(-INDEX(Expenses!D$3:D$999,SMALL(IF((Expenses!E$3:E$999="GBP")*(Expenses!A$3:A$999=DATE(2026,12,21)),ROW(Expenses!A$3:A$999)-2),4)),0)+IFERROR(INDEX(Income!C$3:C$502,SMALL(IF((Income!D$3:D$502="GBP")*(Income!A$3:A$502=DATE(2026,12,21)),ROW(Income!A$3:A$502)-2),4)),0)=0,"",IFERROR(-INDEX(Expenses!D$3:D$999,SMALL(IF((Expenses!E$3:E$999="GBP")*(Expenses!A$3:A$999=DATE(2026,12,21)),ROW(Expenses!A$3:A$999)-2),4)),0)+IFERROR(INDEX(Income!C$3:C$502,SMALL(IF((Income!D$3:D$502="GBP")*(Income!A$3:A$502=DATE(2026,12,21)),ROW(Income!A$3:A$502)-2),4)),0))</f>
        <v/>
      </c>
      <c r="D262" s="126">
        <f t="array" ref="D262">IF(IFERROR(INDEX(Expenses!B$3:B$999,SMALL(IF((Expenses!E$3:E$999="GBP")*(Expenses!A$3:A$999=DATE(2026,12,21)),ROW(Expenses!A$3:A$999)-2),4)),"")&lt;&gt;"",IFERROR(INDEX(Expenses!B$3:B$999,SMALL(IF((Expenses!E$3:E$999="GBP")*(Expenses!A$3:A$999=DATE(2026,12,21)),ROW(Expenses!A$3:A$999)-2),4)),""),IF(IFERROR(INDEX(Income!B$3:B$502,SMALL(IF((Income!D$3:D$502="GBP")*(Income!A$3:A$502=DATE(2026,12,21)),ROW(Income!A$3:A$502)-2),4)),"")&lt;&gt;"",IFERROR(INDEX(Income!B$3:B$502,SMALL(IF((Income!D$3:D$502="GBP")*(Income!A$3:A$502=DATE(2026,12,21)),ROW(Income!A$3:A$502)-2),4)),""),""))</f>
        <v/>
      </c>
      <c r="E262" s="152">
        <f t="array" ref="E262">IF(IFERROR(-INDEX(Expenses!D$3:D$999,SMALL(IF((Expenses!E$3:E$999="GBP")*(Expenses!A$3:A$999=DATE(2026,12,22)),ROW(Expenses!A$3:A$999)-2),4)),0)+IFERROR(INDEX(Income!C$3:C$502,SMALL(IF((Income!D$3:D$502="GBP")*(Income!A$3:A$502=DATE(2026,12,22)),ROW(Income!A$3:A$502)-2),4)),0)=0,"",IFERROR(-INDEX(Expenses!D$3:D$999,SMALL(IF((Expenses!E$3:E$999="GBP")*(Expenses!A$3:A$999=DATE(2026,12,22)),ROW(Expenses!A$3:A$999)-2),4)),0)+IFERROR(INDEX(Income!C$3:C$502,SMALL(IF((Income!D$3:D$502="GBP")*(Income!A$3:A$502=DATE(2026,12,22)),ROW(Income!A$3:A$502)-2),4)),0))</f>
        <v/>
      </c>
      <c r="F262" s="126">
        <f t="array" ref="F262">IF(IFERROR(INDEX(Expenses!B$3:B$999,SMALL(IF((Expenses!E$3:E$999="GBP")*(Expenses!A$3:A$999=DATE(2026,12,22)),ROW(Expenses!A$3:A$999)-2),4)),"")&lt;&gt;"",IFERROR(INDEX(Expenses!B$3:B$999,SMALL(IF((Expenses!E$3:E$999="GBP")*(Expenses!A$3:A$999=DATE(2026,12,22)),ROW(Expenses!A$3:A$999)-2),4)),""),IF(IFERROR(INDEX(Income!B$3:B$502,SMALL(IF((Income!D$3:D$502="GBP")*(Income!A$3:A$502=DATE(2026,12,22)),ROW(Income!A$3:A$502)-2),4)),"")&lt;&gt;"",IFERROR(INDEX(Income!B$3:B$502,SMALL(IF((Income!D$3:D$502="GBP")*(Income!A$3:A$502=DATE(2026,12,22)),ROW(Income!A$3:A$502)-2),4)),""),""))</f>
        <v/>
      </c>
      <c r="G262" s="152">
        <f t="array" ref="G262">IF(IFERROR(-INDEX(Expenses!D$3:D$999,SMALL(IF((Expenses!E$3:E$999="GBP")*(Expenses!A$3:A$999=DATE(2026,12,23)),ROW(Expenses!A$3:A$999)-2),4)),0)+IFERROR(INDEX(Income!C$3:C$502,SMALL(IF((Income!D$3:D$502="GBP")*(Income!A$3:A$502=DATE(2026,12,23)),ROW(Income!A$3:A$502)-2),4)),0)=0,"",IFERROR(-INDEX(Expenses!D$3:D$999,SMALL(IF((Expenses!E$3:E$999="GBP")*(Expenses!A$3:A$999=DATE(2026,12,23)),ROW(Expenses!A$3:A$999)-2),4)),0)+IFERROR(INDEX(Income!C$3:C$502,SMALL(IF((Income!D$3:D$502="GBP")*(Income!A$3:A$502=DATE(2026,12,23)),ROW(Income!A$3:A$502)-2),4)),0))</f>
        <v/>
      </c>
      <c r="H262" s="126">
        <f t="array" ref="H262">IF(IFERROR(INDEX(Expenses!B$3:B$999,SMALL(IF((Expenses!E$3:E$999="GBP")*(Expenses!A$3:A$999=DATE(2026,12,23)),ROW(Expenses!A$3:A$999)-2),4)),"")&lt;&gt;"",IFERROR(INDEX(Expenses!B$3:B$999,SMALL(IF((Expenses!E$3:E$999="GBP")*(Expenses!A$3:A$999=DATE(2026,12,23)),ROW(Expenses!A$3:A$999)-2),4)),""),IF(IFERROR(INDEX(Income!B$3:B$502,SMALL(IF((Income!D$3:D$502="GBP")*(Income!A$3:A$502=DATE(2026,12,23)),ROW(Income!A$3:A$502)-2),4)),"")&lt;&gt;"",IFERROR(INDEX(Income!B$3:B$502,SMALL(IF((Income!D$3:D$502="GBP")*(Income!A$3:A$502=DATE(2026,12,23)),ROW(Income!A$3:A$502)-2),4)),""),""))</f>
        <v/>
      </c>
      <c r="I262" s="152">
        <f t="array" ref="I262">IF(IFERROR(-INDEX(Expenses!D$3:D$999,SMALL(IF((Expenses!E$3:E$999="GBP")*(Expenses!A$3:A$999=DATE(2026,12,24)),ROW(Expenses!A$3:A$999)-2),4)),0)+IFERROR(INDEX(Income!C$3:C$502,SMALL(IF((Income!D$3:D$502="GBP")*(Income!A$3:A$502=DATE(2026,12,24)),ROW(Income!A$3:A$502)-2),4)),0)=0,"",IFERROR(-INDEX(Expenses!D$3:D$999,SMALL(IF((Expenses!E$3:E$999="GBP")*(Expenses!A$3:A$999=DATE(2026,12,24)),ROW(Expenses!A$3:A$999)-2),4)),0)+IFERROR(INDEX(Income!C$3:C$502,SMALL(IF((Income!D$3:D$502="GBP")*(Income!A$3:A$502=DATE(2026,12,24)),ROW(Income!A$3:A$502)-2),4)),0))</f>
        <v/>
      </c>
      <c r="J262" s="126">
        <f t="array" ref="J262">IF(IFERROR(INDEX(Expenses!B$3:B$999,SMALL(IF((Expenses!E$3:E$999="GBP")*(Expenses!A$3:A$999=DATE(2026,12,24)),ROW(Expenses!A$3:A$999)-2),4)),"")&lt;&gt;"",IFERROR(INDEX(Expenses!B$3:B$999,SMALL(IF((Expenses!E$3:E$999="GBP")*(Expenses!A$3:A$999=DATE(2026,12,24)),ROW(Expenses!A$3:A$999)-2),4)),""),IF(IFERROR(INDEX(Income!B$3:B$502,SMALL(IF((Income!D$3:D$502="GBP")*(Income!A$3:A$502=DATE(2026,12,24)),ROW(Income!A$3:A$502)-2),4)),"")&lt;&gt;"",IFERROR(INDEX(Income!B$3:B$502,SMALL(IF((Income!D$3:D$502="GBP")*(Income!A$3:A$502=DATE(2026,12,24)),ROW(Income!A$3:A$502)-2),4)),""),""))</f>
        <v/>
      </c>
      <c r="K262" s="152">
        <f t="array" ref="K262">IF(IFERROR(-INDEX(Expenses!D$3:D$999,SMALL(IF((Expenses!E$3:E$999="GBP")*(Expenses!A$3:A$999=DATE(2026,12,25)),ROW(Expenses!A$3:A$999)-2),4)),0)+IFERROR(INDEX(Income!C$3:C$502,SMALL(IF((Income!D$3:D$502="GBP")*(Income!A$3:A$502=DATE(2026,12,25)),ROW(Income!A$3:A$502)-2),4)),0)=0,"",IFERROR(-INDEX(Expenses!D$3:D$999,SMALL(IF((Expenses!E$3:E$999="GBP")*(Expenses!A$3:A$999=DATE(2026,12,25)),ROW(Expenses!A$3:A$999)-2),4)),0)+IFERROR(INDEX(Income!C$3:C$502,SMALL(IF((Income!D$3:D$502="GBP")*(Income!A$3:A$502=DATE(2026,12,25)),ROW(Income!A$3:A$502)-2),4)),0))</f>
        <v/>
      </c>
      <c r="L262" s="126">
        <f t="array" ref="L262">IF(IFERROR(INDEX(Expenses!B$3:B$999,SMALL(IF((Expenses!E$3:E$999="GBP")*(Expenses!A$3:A$999=DATE(2026,12,25)),ROW(Expenses!A$3:A$999)-2),4)),"")&lt;&gt;"",IFERROR(INDEX(Expenses!B$3:B$999,SMALL(IF((Expenses!E$3:E$999="GBP")*(Expenses!A$3:A$999=DATE(2026,12,25)),ROW(Expenses!A$3:A$999)-2),4)),""),IF(IFERROR(INDEX(Income!B$3:B$502,SMALL(IF((Income!D$3:D$502="GBP")*(Income!A$3:A$502=DATE(2026,12,25)),ROW(Income!A$3:A$502)-2),4)),"")&lt;&gt;"",IFERROR(INDEX(Income!B$3:B$502,SMALL(IF((Income!D$3:D$502="GBP")*(Income!A$3:A$502=DATE(2026,12,25)),ROW(Income!A$3:A$502)-2),4)),""),""))</f>
        <v/>
      </c>
      <c r="M262" s="152">
        <f t="array" ref="M262">IF(IFERROR(-INDEX(Expenses!D$3:D$999,SMALL(IF((Expenses!E$3:E$999="GBP")*(Expenses!A$3:A$999=DATE(2026,12,26)),ROW(Expenses!A$3:A$999)-2),4)),0)+IFERROR(INDEX(Income!C$3:C$502,SMALL(IF((Income!D$3:D$502="GBP")*(Income!A$3:A$502=DATE(2026,12,26)),ROW(Income!A$3:A$502)-2),4)),0)=0,"",IFERROR(-INDEX(Expenses!D$3:D$999,SMALL(IF((Expenses!E$3:E$999="GBP")*(Expenses!A$3:A$999=DATE(2026,12,26)),ROW(Expenses!A$3:A$999)-2),4)),0)+IFERROR(INDEX(Income!C$3:C$502,SMALL(IF((Income!D$3:D$502="GBP")*(Income!A$3:A$502=DATE(2026,12,26)),ROW(Income!A$3:A$502)-2),4)),0))</f>
        <v/>
      </c>
      <c r="N262" s="126">
        <f t="array" ref="N262">IF(IFERROR(INDEX(Expenses!B$3:B$999,SMALL(IF((Expenses!E$3:E$999="GBP")*(Expenses!A$3:A$999=DATE(2026,12,26)),ROW(Expenses!A$3:A$999)-2),4)),"")&lt;&gt;"",IFERROR(INDEX(Expenses!B$3:B$999,SMALL(IF((Expenses!E$3:E$999="GBP")*(Expenses!A$3:A$999=DATE(2026,12,26)),ROW(Expenses!A$3:A$999)-2),4)),""),IF(IFERROR(INDEX(Income!B$3:B$502,SMALL(IF((Income!D$3:D$502="GBP")*(Income!A$3:A$502=DATE(2026,12,26)),ROW(Income!A$3:A$502)-2),4)),"")&lt;&gt;"",IFERROR(INDEX(Income!B$3:B$502,SMALL(IF((Income!D$3:D$502="GBP")*(Income!A$3:A$502=DATE(2026,12,26)),ROW(Income!A$3:A$502)-2),4)),""),""))</f>
        <v/>
      </c>
      <c r="O262" s="152">
        <f t="array" ref="O262">IF(IFERROR(-INDEX(Expenses!D$3:D$999,SMALL(IF((Expenses!E$3:E$999="GBP")*(Expenses!A$3:A$999=DATE(2026,12,27)),ROW(Expenses!A$3:A$999)-2),4)),0)+IFERROR(INDEX(Income!C$3:C$502,SMALL(IF((Income!D$3:D$502="GBP")*(Income!A$3:A$502=DATE(2026,12,27)),ROW(Income!A$3:A$502)-2),4)),0)=0,"",IFERROR(-INDEX(Expenses!D$3:D$999,SMALL(IF((Expenses!E$3:E$999="GBP")*(Expenses!A$3:A$999=DATE(2026,12,27)),ROW(Expenses!A$3:A$999)-2),4)),0)+IFERROR(INDEX(Income!C$3:C$502,SMALL(IF((Income!D$3:D$502="GBP")*(Income!A$3:A$502=DATE(2026,12,27)),ROW(Income!A$3:A$502)-2),4)),0))</f>
        <v/>
      </c>
      <c r="P262" s="126">
        <f t="array" ref="P262">IF(IFERROR(INDEX(Expenses!B$3:B$999,SMALL(IF((Expenses!E$3:E$999="GBP")*(Expenses!A$3:A$999=DATE(2026,12,27)),ROW(Expenses!A$3:A$999)-2),4)),"")&lt;&gt;"",IFERROR(INDEX(Expenses!B$3:B$999,SMALL(IF((Expenses!E$3:E$999="GBP")*(Expenses!A$3:A$999=DATE(2026,12,27)),ROW(Expenses!A$3:A$999)-2),4)),""),IF(IFERROR(INDEX(Income!B$3:B$502,SMALL(IF((Income!D$3:D$502="GBP")*(Income!A$3:A$502=DATE(2026,12,27)),ROW(Income!A$3:A$502)-2),4)),"")&lt;&gt;"",IFERROR(INDEX(Income!B$3:B$502,SMALL(IF((Income!D$3:D$502="GBP")*(Income!A$3:A$502=DATE(2026,12,27)),ROW(Income!A$3:A$502)-2),4)),""),""))</f>
        <v/>
      </c>
      <c r="Q262" s="9" t="n"/>
      <c r="R262" s="9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68">
      <c r="A263" s="9" t="n"/>
      <c r="B263" s="9" t="n"/>
      <c r="C263" s="152">
        <f t="array" ref="C263">IF(IFERROR(-INDEX(Expenses!D$3:D$999,SMALL(IF((Expenses!E$3:E$999="GBP")*(Expenses!A$3:A$999=DATE(2026,12,21)),ROW(Expenses!A$3:A$999)-2),5)),0)+IFERROR(INDEX(Income!C$3:C$502,SMALL(IF((Income!D$3:D$502="GBP")*(Income!A$3:A$502=DATE(2026,12,21)),ROW(Income!A$3:A$502)-2),5)),0)=0,"",IFERROR(-INDEX(Expenses!D$3:D$999,SMALL(IF((Expenses!E$3:E$999="GBP")*(Expenses!A$3:A$999=DATE(2026,12,21)),ROW(Expenses!A$3:A$999)-2),5)),0)+IFERROR(INDEX(Income!C$3:C$502,SMALL(IF((Income!D$3:D$502="GBP")*(Income!A$3:A$502=DATE(2026,12,21)),ROW(Income!A$3:A$502)-2),5)),0))</f>
        <v/>
      </c>
      <c r="D263" s="126">
        <f t="array" ref="D263">IF(IFERROR(INDEX(Expenses!B$3:B$999,SMALL(IF((Expenses!E$3:E$999="GBP")*(Expenses!A$3:A$999=DATE(2026,12,21)),ROW(Expenses!A$3:A$999)-2),5)),"")&lt;&gt;"",IFERROR(INDEX(Expenses!B$3:B$999,SMALL(IF((Expenses!E$3:E$999="GBP")*(Expenses!A$3:A$999=DATE(2026,12,21)),ROW(Expenses!A$3:A$999)-2),5)),""),IF(IFERROR(INDEX(Income!B$3:B$502,SMALL(IF((Income!D$3:D$502="GBP")*(Income!A$3:A$502=DATE(2026,12,21)),ROW(Income!A$3:A$502)-2),5)),"")&lt;&gt;"",IFERROR(INDEX(Income!B$3:B$502,SMALL(IF((Income!D$3:D$502="GBP")*(Income!A$3:A$502=DATE(2026,12,21)),ROW(Income!A$3:A$502)-2),5)),""),""))</f>
        <v/>
      </c>
      <c r="E263" s="152">
        <f t="array" ref="E263">IF(IFERROR(-INDEX(Expenses!D$3:D$999,SMALL(IF((Expenses!E$3:E$999="GBP")*(Expenses!A$3:A$999=DATE(2026,12,22)),ROW(Expenses!A$3:A$999)-2),5)),0)+IFERROR(INDEX(Income!C$3:C$502,SMALL(IF((Income!D$3:D$502="GBP")*(Income!A$3:A$502=DATE(2026,12,22)),ROW(Income!A$3:A$502)-2),5)),0)=0,"",IFERROR(-INDEX(Expenses!D$3:D$999,SMALL(IF((Expenses!E$3:E$999="GBP")*(Expenses!A$3:A$999=DATE(2026,12,22)),ROW(Expenses!A$3:A$999)-2),5)),0)+IFERROR(INDEX(Income!C$3:C$502,SMALL(IF((Income!D$3:D$502="GBP")*(Income!A$3:A$502=DATE(2026,12,22)),ROW(Income!A$3:A$502)-2),5)),0))</f>
        <v/>
      </c>
      <c r="F263" s="126">
        <f t="array" ref="F263">IF(IFERROR(INDEX(Expenses!B$3:B$999,SMALL(IF((Expenses!E$3:E$999="GBP")*(Expenses!A$3:A$999=DATE(2026,12,22)),ROW(Expenses!A$3:A$999)-2),5)),"")&lt;&gt;"",IFERROR(INDEX(Expenses!B$3:B$999,SMALL(IF((Expenses!E$3:E$999="GBP")*(Expenses!A$3:A$999=DATE(2026,12,22)),ROW(Expenses!A$3:A$999)-2),5)),""),IF(IFERROR(INDEX(Income!B$3:B$502,SMALL(IF((Income!D$3:D$502="GBP")*(Income!A$3:A$502=DATE(2026,12,22)),ROW(Income!A$3:A$502)-2),5)),"")&lt;&gt;"",IFERROR(INDEX(Income!B$3:B$502,SMALL(IF((Income!D$3:D$502="GBP")*(Income!A$3:A$502=DATE(2026,12,22)),ROW(Income!A$3:A$502)-2),5)),""),""))</f>
        <v/>
      </c>
      <c r="G263" s="152">
        <f t="array" ref="G263">IF(IFERROR(-INDEX(Expenses!D$3:D$999,SMALL(IF((Expenses!E$3:E$999="GBP")*(Expenses!A$3:A$999=DATE(2026,12,23)),ROW(Expenses!A$3:A$999)-2),5)),0)+IFERROR(INDEX(Income!C$3:C$502,SMALL(IF((Income!D$3:D$502="GBP")*(Income!A$3:A$502=DATE(2026,12,23)),ROW(Income!A$3:A$502)-2),5)),0)=0,"",IFERROR(-INDEX(Expenses!D$3:D$999,SMALL(IF((Expenses!E$3:E$999="GBP")*(Expenses!A$3:A$999=DATE(2026,12,23)),ROW(Expenses!A$3:A$999)-2),5)),0)+IFERROR(INDEX(Income!C$3:C$502,SMALL(IF((Income!D$3:D$502="GBP")*(Income!A$3:A$502=DATE(2026,12,23)),ROW(Income!A$3:A$502)-2),5)),0))</f>
        <v/>
      </c>
      <c r="H263" s="126">
        <f t="array" ref="H263">IF(IFERROR(INDEX(Expenses!B$3:B$999,SMALL(IF((Expenses!E$3:E$999="GBP")*(Expenses!A$3:A$999=DATE(2026,12,23)),ROW(Expenses!A$3:A$999)-2),5)),"")&lt;&gt;"",IFERROR(INDEX(Expenses!B$3:B$999,SMALL(IF((Expenses!E$3:E$999="GBP")*(Expenses!A$3:A$999=DATE(2026,12,23)),ROW(Expenses!A$3:A$999)-2),5)),""),IF(IFERROR(INDEX(Income!B$3:B$502,SMALL(IF((Income!D$3:D$502="GBP")*(Income!A$3:A$502=DATE(2026,12,23)),ROW(Income!A$3:A$502)-2),5)),"")&lt;&gt;"",IFERROR(INDEX(Income!B$3:B$502,SMALL(IF((Income!D$3:D$502="GBP")*(Income!A$3:A$502=DATE(2026,12,23)),ROW(Income!A$3:A$502)-2),5)),""),""))</f>
        <v/>
      </c>
      <c r="I263" s="152">
        <f t="array" ref="I263">IF(IFERROR(-INDEX(Expenses!D$3:D$999,SMALL(IF((Expenses!E$3:E$999="GBP")*(Expenses!A$3:A$999=DATE(2026,12,24)),ROW(Expenses!A$3:A$999)-2),5)),0)+IFERROR(INDEX(Income!C$3:C$502,SMALL(IF((Income!D$3:D$502="GBP")*(Income!A$3:A$502=DATE(2026,12,24)),ROW(Income!A$3:A$502)-2),5)),0)=0,"",IFERROR(-INDEX(Expenses!D$3:D$999,SMALL(IF((Expenses!E$3:E$999="GBP")*(Expenses!A$3:A$999=DATE(2026,12,24)),ROW(Expenses!A$3:A$999)-2),5)),0)+IFERROR(INDEX(Income!C$3:C$502,SMALL(IF((Income!D$3:D$502="GBP")*(Income!A$3:A$502=DATE(2026,12,24)),ROW(Income!A$3:A$502)-2),5)),0))</f>
        <v/>
      </c>
      <c r="J263" s="126">
        <f t="array" ref="J263">IF(IFERROR(INDEX(Expenses!B$3:B$999,SMALL(IF((Expenses!E$3:E$999="GBP")*(Expenses!A$3:A$999=DATE(2026,12,24)),ROW(Expenses!A$3:A$999)-2),5)),"")&lt;&gt;"",IFERROR(INDEX(Expenses!B$3:B$999,SMALL(IF((Expenses!E$3:E$999="GBP")*(Expenses!A$3:A$999=DATE(2026,12,24)),ROW(Expenses!A$3:A$999)-2),5)),""),IF(IFERROR(INDEX(Income!B$3:B$502,SMALL(IF((Income!D$3:D$502="GBP")*(Income!A$3:A$502=DATE(2026,12,24)),ROW(Income!A$3:A$502)-2),5)),"")&lt;&gt;"",IFERROR(INDEX(Income!B$3:B$502,SMALL(IF((Income!D$3:D$502="GBP")*(Income!A$3:A$502=DATE(2026,12,24)),ROW(Income!A$3:A$502)-2),5)),""),""))</f>
        <v/>
      </c>
      <c r="K263" s="152">
        <f t="array" ref="K263">IF(IFERROR(-INDEX(Expenses!D$3:D$999,SMALL(IF((Expenses!E$3:E$999="GBP")*(Expenses!A$3:A$999=DATE(2026,12,25)),ROW(Expenses!A$3:A$999)-2),5)),0)+IFERROR(INDEX(Income!C$3:C$502,SMALL(IF((Income!D$3:D$502="GBP")*(Income!A$3:A$502=DATE(2026,12,25)),ROW(Income!A$3:A$502)-2),5)),0)=0,"",IFERROR(-INDEX(Expenses!D$3:D$999,SMALL(IF((Expenses!E$3:E$999="GBP")*(Expenses!A$3:A$999=DATE(2026,12,25)),ROW(Expenses!A$3:A$999)-2),5)),0)+IFERROR(INDEX(Income!C$3:C$502,SMALL(IF((Income!D$3:D$502="GBP")*(Income!A$3:A$502=DATE(2026,12,25)),ROW(Income!A$3:A$502)-2),5)),0))</f>
        <v/>
      </c>
      <c r="L263" s="126">
        <f t="array" ref="L263">IF(IFERROR(INDEX(Expenses!B$3:B$999,SMALL(IF((Expenses!E$3:E$999="GBP")*(Expenses!A$3:A$999=DATE(2026,12,25)),ROW(Expenses!A$3:A$999)-2),5)),"")&lt;&gt;"",IFERROR(INDEX(Expenses!B$3:B$999,SMALL(IF((Expenses!E$3:E$999="GBP")*(Expenses!A$3:A$999=DATE(2026,12,25)),ROW(Expenses!A$3:A$999)-2),5)),""),IF(IFERROR(INDEX(Income!B$3:B$502,SMALL(IF((Income!D$3:D$502="GBP")*(Income!A$3:A$502=DATE(2026,12,25)),ROW(Income!A$3:A$502)-2),5)),"")&lt;&gt;"",IFERROR(INDEX(Income!B$3:B$502,SMALL(IF((Income!D$3:D$502="GBP")*(Income!A$3:A$502=DATE(2026,12,25)),ROW(Income!A$3:A$502)-2),5)),""),""))</f>
        <v/>
      </c>
      <c r="M263" s="152">
        <f t="array" ref="M263">IF(IFERROR(-INDEX(Expenses!D$3:D$999,SMALL(IF((Expenses!E$3:E$999="GBP")*(Expenses!A$3:A$999=DATE(2026,12,26)),ROW(Expenses!A$3:A$999)-2),5)),0)+IFERROR(INDEX(Income!C$3:C$502,SMALL(IF((Income!D$3:D$502="GBP")*(Income!A$3:A$502=DATE(2026,12,26)),ROW(Income!A$3:A$502)-2),5)),0)=0,"",IFERROR(-INDEX(Expenses!D$3:D$999,SMALL(IF((Expenses!E$3:E$999="GBP")*(Expenses!A$3:A$999=DATE(2026,12,26)),ROW(Expenses!A$3:A$999)-2),5)),0)+IFERROR(INDEX(Income!C$3:C$502,SMALL(IF((Income!D$3:D$502="GBP")*(Income!A$3:A$502=DATE(2026,12,26)),ROW(Income!A$3:A$502)-2),5)),0))</f>
        <v/>
      </c>
      <c r="N263" s="126">
        <f t="array" ref="N263">IF(IFERROR(INDEX(Expenses!B$3:B$999,SMALL(IF((Expenses!E$3:E$999="GBP")*(Expenses!A$3:A$999=DATE(2026,12,26)),ROW(Expenses!A$3:A$999)-2),5)),"")&lt;&gt;"",IFERROR(INDEX(Expenses!B$3:B$999,SMALL(IF((Expenses!E$3:E$999="GBP")*(Expenses!A$3:A$999=DATE(2026,12,26)),ROW(Expenses!A$3:A$999)-2),5)),""),IF(IFERROR(INDEX(Income!B$3:B$502,SMALL(IF((Income!D$3:D$502="GBP")*(Income!A$3:A$502=DATE(2026,12,26)),ROW(Income!A$3:A$502)-2),5)),"")&lt;&gt;"",IFERROR(INDEX(Income!B$3:B$502,SMALL(IF((Income!D$3:D$502="GBP")*(Income!A$3:A$502=DATE(2026,12,26)),ROW(Income!A$3:A$502)-2),5)),""),""))</f>
        <v/>
      </c>
      <c r="O263" s="152">
        <f t="array" ref="O263">IF(IFERROR(-INDEX(Expenses!D$3:D$999,SMALL(IF((Expenses!E$3:E$999="GBP")*(Expenses!A$3:A$999=DATE(2026,12,27)),ROW(Expenses!A$3:A$999)-2),5)),0)+IFERROR(INDEX(Income!C$3:C$502,SMALL(IF((Income!D$3:D$502="GBP")*(Income!A$3:A$502=DATE(2026,12,27)),ROW(Income!A$3:A$502)-2),5)),0)=0,"",IFERROR(-INDEX(Expenses!D$3:D$999,SMALL(IF((Expenses!E$3:E$999="GBP")*(Expenses!A$3:A$999=DATE(2026,12,27)),ROW(Expenses!A$3:A$999)-2),5)),0)+IFERROR(INDEX(Income!C$3:C$502,SMALL(IF((Income!D$3:D$502="GBP")*(Income!A$3:A$502=DATE(2026,12,27)),ROW(Income!A$3:A$502)-2),5)),0))</f>
        <v/>
      </c>
      <c r="P263" s="126">
        <f t="array" ref="P263">IF(IFERROR(INDEX(Expenses!B$3:B$999,SMALL(IF((Expenses!E$3:E$999="GBP")*(Expenses!A$3:A$999=DATE(2026,12,27)),ROW(Expenses!A$3:A$999)-2),5)),"")&lt;&gt;"",IFERROR(INDEX(Expenses!B$3:B$999,SMALL(IF((Expenses!E$3:E$999="GBP")*(Expenses!A$3:A$999=DATE(2026,12,27)),ROW(Expenses!A$3:A$999)-2),5)),""),IF(IFERROR(INDEX(Income!B$3:B$502,SMALL(IF((Income!D$3:D$502="GBP")*(Income!A$3:A$502=DATE(2026,12,27)),ROW(Income!A$3:A$502)-2),5)),"")&lt;&gt;"",IFERROR(INDEX(Income!B$3:B$502,SMALL(IF((Income!D$3:D$502="GBP")*(Income!A$3:A$502=DATE(2026,12,27)),ROW(Income!A$3:A$502)-2),5)),""),""))</f>
        <v/>
      </c>
      <c r="Q263" s="9" t="n"/>
      <c r="R263" s="9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68">
      <c r="A264" s="151" t="n">
        <v>46384</v>
      </c>
      <c r="B264" s="103" t="n">
        <v>53</v>
      </c>
      <c r="C264" s="152">
        <f t="array" ref="C264">IF(IFERROR(-INDEX(Expenses!D$3:D$999,SMALL(IF((Expenses!E$3:E$999="GBP")*(Expenses!A$3:A$999=DATE(2026,12,28)),ROW(Expenses!A$3:A$999)-2),1)),0)+IFERROR(INDEX(Income!C$3:C$502,SMALL(IF((Income!D$3:D$502="GBP")*(Income!A$3:A$502=DATE(2026,12,28)),ROW(Income!A$3:A$502)-2),1)),0)=0,"",IFERROR(-INDEX(Expenses!D$3:D$999,SMALL(IF((Expenses!E$3:E$999="GBP")*(Expenses!A$3:A$999=DATE(2026,12,28)),ROW(Expenses!A$3:A$999)-2),1)),0)+IFERROR(INDEX(Income!C$3:C$502,SMALL(IF((Income!D$3:D$502="GBP")*(Income!A$3:A$502=DATE(2026,12,28)),ROW(Income!A$3:A$502)-2),1)),0))</f>
        <v/>
      </c>
      <c r="D264" s="126">
        <f t="array" ref="D264">IF(IFERROR(INDEX(Expenses!B$3:B$999,SMALL(IF((Expenses!E$3:E$999="GBP")*(Expenses!A$3:A$999=DATE(2026,12,28)),ROW(Expenses!A$3:A$999)-2),1)),"")&lt;&gt;"",IFERROR(INDEX(Expenses!B$3:B$999,SMALL(IF((Expenses!E$3:E$999="GBP")*(Expenses!A$3:A$999=DATE(2026,12,28)),ROW(Expenses!A$3:A$999)-2),1)),""),IF(IFERROR(INDEX(Income!B$3:B$502,SMALL(IF((Income!D$3:D$502="GBP")*(Income!A$3:A$502=DATE(2026,12,28)),ROW(Income!A$3:A$502)-2),1)),"")&lt;&gt;"",IFERROR(INDEX(Income!B$3:B$502,SMALL(IF((Income!D$3:D$502="GBP")*(Income!A$3:A$502=DATE(2026,12,28)),ROW(Income!A$3:A$502)-2),1)),""),""))</f>
        <v/>
      </c>
      <c r="E264" s="152">
        <f t="array" ref="E264">IF(IFERROR(-INDEX(Expenses!D$3:D$999,SMALL(IF((Expenses!E$3:E$999="GBP")*(Expenses!A$3:A$999=DATE(2026,12,29)),ROW(Expenses!A$3:A$999)-2),1)),0)+IFERROR(INDEX(Income!C$3:C$502,SMALL(IF((Income!D$3:D$502="GBP")*(Income!A$3:A$502=DATE(2026,12,29)),ROW(Income!A$3:A$502)-2),1)),0)=0,"",IFERROR(-INDEX(Expenses!D$3:D$999,SMALL(IF((Expenses!E$3:E$999="GBP")*(Expenses!A$3:A$999=DATE(2026,12,29)),ROW(Expenses!A$3:A$999)-2),1)),0)+IFERROR(INDEX(Income!C$3:C$502,SMALL(IF((Income!D$3:D$502="GBP")*(Income!A$3:A$502=DATE(2026,12,29)),ROW(Income!A$3:A$502)-2),1)),0))</f>
        <v/>
      </c>
      <c r="F264" s="126">
        <f t="array" ref="F264">IF(IFERROR(INDEX(Expenses!B$3:B$999,SMALL(IF((Expenses!E$3:E$999="GBP")*(Expenses!A$3:A$999=DATE(2026,12,29)),ROW(Expenses!A$3:A$999)-2),1)),"")&lt;&gt;"",IFERROR(INDEX(Expenses!B$3:B$999,SMALL(IF((Expenses!E$3:E$999="GBP")*(Expenses!A$3:A$999=DATE(2026,12,29)),ROW(Expenses!A$3:A$999)-2),1)),""),IF(IFERROR(INDEX(Income!B$3:B$502,SMALL(IF((Income!D$3:D$502="GBP")*(Income!A$3:A$502=DATE(2026,12,29)),ROW(Income!A$3:A$502)-2),1)),"")&lt;&gt;"",IFERROR(INDEX(Income!B$3:B$502,SMALL(IF((Income!D$3:D$502="GBP")*(Income!A$3:A$502=DATE(2026,12,29)),ROW(Income!A$3:A$502)-2),1)),""),""))</f>
        <v/>
      </c>
      <c r="G264" s="152">
        <f t="array" ref="G264">IF(IFERROR(-INDEX(Expenses!D$3:D$999,SMALL(IF((Expenses!E$3:E$999="GBP")*(Expenses!A$3:A$999=DATE(2026,12,30)),ROW(Expenses!A$3:A$999)-2),1)),0)+IFERROR(INDEX(Income!C$3:C$502,SMALL(IF((Income!D$3:D$502="GBP")*(Income!A$3:A$502=DATE(2026,12,30)),ROW(Income!A$3:A$502)-2),1)),0)=0,"",IFERROR(-INDEX(Expenses!D$3:D$999,SMALL(IF((Expenses!E$3:E$999="GBP")*(Expenses!A$3:A$999=DATE(2026,12,30)),ROW(Expenses!A$3:A$999)-2),1)),0)+IFERROR(INDEX(Income!C$3:C$502,SMALL(IF((Income!D$3:D$502="GBP")*(Income!A$3:A$502=DATE(2026,12,30)),ROW(Income!A$3:A$502)-2),1)),0))</f>
        <v/>
      </c>
      <c r="H264" s="126">
        <f t="array" ref="H264">IF(IFERROR(INDEX(Expenses!B$3:B$999,SMALL(IF((Expenses!E$3:E$999="GBP")*(Expenses!A$3:A$999=DATE(2026,12,30)),ROW(Expenses!A$3:A$999)-2),1)),"")&lt;&gt;"",IFERROR(INDEX(Expenses!B$3:B$999,SMALL(IF((Expenses!E$3:E$999="GBP")*(Expenses!A$3:A$999=DATE(2026,12,30)),ROW(Expenses!A$3:A$999)-2),1)),""),IF(IFERROR(INDEX(Income!B$3:B$502,SMALL(IF((Income!D$3:D$502="GBP")*(Income!A$3:A$502=DATE(2026,12,30)),ROW(Income!A$3:A$502)-2),1)),"")&lt;&gt;"",IFERROR(INDEX(Income!B$3:B$502,SMALL(IF((Income!D$3:D$502="GBP")*(Income!A$3:A$502=DATE(2026,12,30)),ROW(Income!A$3:A$502)-2),1)),""),""))</f>
        <v/>
      </c>
      <c r="I264" s="152">
        <f t="array" ref="I264">IF(IFERROR(-INDEX(Expenses!D$3:D$999,SMALL(IF((Expenses!E$3:E$999="GBP")*(Expenses!A$3:A$999=DATE(2026,12,31)),ROW(Expenses!A$3:A$999)-2),1)),0)+IFERROR(INDEX(Income!C$3:C$502,SMALL(IF((Income!D$3:D$502="GBP")*(Income!A$3:A$502=DATE(2026,12,31)),ROW(Income!A$3:A$502)-2),1)),0)=0,"",IFERROR(-INDEX(Expenses!D$3:D$999,SMALL(IF((Expenses!E$3:E$999="GBP")*(Expenses!A$3:A$999=DATE(2026,12,31)),ROW(Expenses!A$3:A$999)-2),1)),0)+IFERROR(INDEX(Income!C$3:C$502,SMALL(IF((Income!D$3:D$502="GBP")*(Income!A$3:A$502=DATE(2026,12,31)),ROW(Income!A$3:A$502)-2),1)),0))</f>
        <v/>
      </c>
      <c r="J264" s="126">
        <f t="array" ref="J264">IF(IFERROR(INDEX(Expenses!B$3:B$999,SMALL(IF((Expenses!E$3:E$999="GBP")*(Expenses!A$3:A$999=DATE(2026,12,31)),ROW(Expenses!A$3:A$999)-2),1)),"")&lt;&gt;"",IFERROR(INDEX(Expenses!B$3:B$999,SMALL(IF((Expenses!E$3:E$999="GBP")*(Expenses!A$3:A$999=DATE(2026,12,31)),ROW(Expenses!A$3:A$999)-2),1)),""),IF(IFERROR(INDEX(Income!B$3:B$502,SMALL(IF((Income!D$3:D$502="GBP")*(Income!A$3:A$502=DATE(2026,12,31)),ROW(Income!A$3:A$502)-2),1)),"")&lt;&gt;"",IFERROR(INDEX(Income!B$3:B$502,SMALL(IF((Income!D$3:D$502="GBP")*(Income!A$3:A$502=DATE(2026,12,31)),ROW(Income!A$3:A$502)-2),1)),""),""))</f>
        <v/>
      </c>
      <c r="K264" s="152">
        <f t="array" ref="K264">IF(IFERROR(-INDEX(Expenses!D$3:D$999,SMALL(IF((Expenses!E$3:E$999="GBP")*(Expenses!A$3:A$999=DATE(2027,1,1)),ROW(Expenses!A$3:A$999)-2),1)),0)+IFERROR(INDEX(Income!C$3:C$502,SMALL(IF((Income!D$3:D$502="GBP")*(Income!A$3:A$502=DATE(2027,1,1)),ROW(Income!A$3:A$502)-2),1)),0)=0,"",IFERROR(-INDEX(Expenses!D$3:D$999,SMALL(IF((Expenses!E$3:E$999="GBP")*(Expenses!A$3:A$999=DATE(2027,1,1)),ROW(Expenses!A$3:A$999)-2),1)),0)+IFERROR(INDEX(Income!C$3:C$502,SMALL(IF((Income!D$3:D$502="GBP")*(Income!A$3:A$502=DATE(2027,1,1)),ROW(Income!A$3:A$502)-2),1)),0))</f>
        <v/>
      </c>
      <c r="L264" s="126">
        <f t="array" ref="L264">IF(IFERROR(INDEX(Expenses!B$3:B$999,SMALL(IF((Expenses!E$3:E$999="GBP")*(Expenses!A$3:A$999=DATE(2027,1,1)),ROW(Expenses!A$3:A$999)-2),1)),"")&lt;&gt;"",IFERROR(INDEX(Expenses!B$3:B$999,SMALL(IF((Expenses!E$3:E$999="GBP")*(Expenses!A$3:A$999=DATE(2027,1,1)),ROW(Expenses!A$3:A$999)-2),1)),""),IF(IFERROR(INDEX(Income!B$3:B$502,SMALL(IF((Income!D$3:D$502="GBP")*(Income!A$3:A$502=DATE(2027,1,1)),ROW(Income!A$3:A$502)-2),1)),"")&lt;&gt;"",IFERROR(INDEX(Income!B$3:B$502,SMALL(IF((Income!D$3:D$502="GBP")*(Income!A$3:A$502=DATE(2027,1,1)),ROW(Income!A$3:A$502)-2),1)),""),""))</f>
        <v/>
      </c>
      <c r="M264" s="152">
        <f t="array" ref="M264">IF(IFERROR(-INDEX(Expenses!D$3:D$999,SMALL(IF((Expenses!E$3:E$999="GBP")*(Expenses!A$3:A$999=DATE(2027,1,2)),ROW(Expenses!A$3:A$999)-2),1)),0)+IFERROR(INDEX(Income!C$3:C$502,SMALL(IF((Income!D$3:D$502="GBP")*(Income!A$3:A$502=DATE(2027,1,2)),ROW(Income!A$3:A$502)-2),1)),0)=0,"",IFERROR(-INDEX(Expenses!D$3:D$999,SMALL(IF((Expenses!E$3:E$999="GBP")*(Expenses!A$3:A$999=DATE(2027,1,2)),ROW(Expenses!A$3:A$999)-2),1)),0)+IFERROR(INDEX(Income!C$3:C$502,SMALL(IF((Income!D$3:D$502="GBP")*(Income!A$3:A$502=DATE(2027,1,2)),ROW(Income!A$3:A$502)-2),1)),0))</f>
        <v/>
      </c>
      <c r="N264" s="126">
        <f t="array" ref="N264">IF(IFERROR(INDEX(Expenses!B$3:B$999,SMALL(IF((Expenses!E$3:E$999="GBP")*(Expenses!A$3:A$999=DATE(2027,1,2)),ROW(Expenses!A$3:A$999)-2),1)),"")&lt;&gt;"",IFERROR(INDEX(Expenses!B$3:B$999,SMALL(IF((Expenses!E$3:E$999="GBP")*(Expenses!A$3:A$999=DATE(2027,1,2)),ROW(Expenses!A$3:A$999)-2),1)),""),IF(IFERROR(INDEX(Income!B$3:B$502,SMALL(IF((Income!D$3:D$502="GBP")*(Income!A$3:A$502=DATE(2027,1,2)),ROW(Income!A$3:A$502)-2),1)),"")&lt;&gt;"",IFERROR(INDEX(Income!B$3:B$502,SMALL(IF((Income!D$3:D$502="GBP")*(Income!A$3:A$502=DATE(2027,1,2)),ROW(Income!A$3:A$502)-2),1)),""),""))</f>
        <v/>
      </c>
      <c r="O264" s="152">
        <f t="array" ref="O264">IF(IFERROR(-INDEX(Expenses!D$3:D$999,SMALL(IF((Expenses!E$3:E$999="GBP")*(Expenses!A$3:A$999=DATE(2027,1,3)),ROW(Expenses!A$3:A$999)-2),1)),0)+IFERROR(INDEX(Income!C$3:C$502,SMALL(IF((Income!D$3:D$502="GBP")*(Income!A$3:A$502=DATE(2027,1,3)),ROW(Income!A$3:A$502)-2),1)),0)=0,"",IFERROR(-INDEX(Expenses!D$3:D$999,SMALL(IF((Expenses!E$3:E$999="GBP")*(Expenses!A$3:A$999=DATE(2027,1,3)),ROW(Expenses!A$3:A$999)-2),1)),0)+IFERROR(INDEX(Income!C$3:C$502,SMALL(IF((Income!D$3:D$502="GBP")*(Income!A$3:A$502=DATE(2027,1,3)),ROW(Income!A$3:A$502)-2),1)),0))</f>
        <v/>
      </c>
      <c r="P264" s="126">
        <f t="array" ref="P264">IF(IFERROR(INDEX(Expenses!B$3:B$999,SMALL(IF((Expenses!E$3:E$999="GBP")*(Expenses!A$3:A$999=DATE(2027,1,3)),ROW(Expenses!A$3:A$999)-2),1)),"")&lt;&gt;"",IFERROR(INDEX(Expenses!B$3:B$999,SMALL(IF((Expenses!E$3:E$999="GBP")*(Expenses!A$3:A$999=DATE(2027,1,3)),ROW(Expenses!A$3:A$999)-2),1)),""),IF(IFERROR(INDEX(Income!B$3:B$502,SMALL(IF((Income!D$3:D$502="GBP")*(Income!A$3:A$502=DATE(2027,1,3)),ROW(Income!A$3:A$502)-2),1)),"")&lt;&gt;"",IFERROR(INDEX(Income!B$3:B$502,SMALL(IF((Income!D$3:D$502="GBP")*(Income!A$3:A$502=DATE(2027,1,3)),ROW(Income!A$3:A$502)-2),1)),""),""))</f>
        <v/>
      </c>
      <c r="Q264" s="103" t="n">
        <v>53</v>
      </c>
      <c r="R264" s="134">
        <f>SUM(C264:C268)+SUM(E264:E268)+SUM(G264:G268)+SUM(I264:I268)+SUM(K264:K268)+SUM(M264:M268)+SUM(O264:O268)</f>
        <v/>
      </c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68">
      <c r="A265" s="9" t="n"/>
      <c r="B265" s="9" t="n"/>
      <c r="C265" s="152">
        <f t="array" ref="C265">IF(IFERROR(-INDEX(Expenses!D$3:D$999,SMALL(IF((Expenses!E$3:E$999="GBP")*(Expenses!A$3:A$999=DATE(2026,12,28)),ROW(Expenses!A$3:A$999)-2),2)),0)+IFERROR(INDEX(Income!C$3:C$502,SMALL(IF((Income!D$3:D$502="GBP")*(Income!A$3:A$502=DATE(2026,12,28)),ROW(Income!A$3:A$502)-2),2)),0)=0,"",IFERROR(-INDEX(Expenses!D$3:D$999,SMALL(IF((Expenses!E$3:E$999="GBP")*(Expenses!A$3:A$999=DATE(2026,12,28)),ROW(Expenses!A$3:A$999)-2),2)),0)+IFERROR(INDEX(Income!C$3:C$502,SMALL(IF((Income!D$3:D$502="GBP")*(Income!A$3:A$502=DATE(2026,12,28)),ROW(Income!A$3:A$502)-2),2)),0))</f>
        <v/>
      </c>
      <c r="D265" s="126">
        <f t="array" ref="D265">IF(IFERROR(INDEX(Expenses!B$3:B$999,SMALL(IF((Expenses!E$3:E$999="GBP")*(Expenses!A$3:A$999=DATE(2026,12,28)),ROW(Expenses!A$3:A$999)-2),2)),"")&lt;&gt;"",IFERROR(INDEX(Expenses!B$3:B$999,SMALL(IF((Expenses!E$3:E$999="GBP")*(Expenses!A$3:A$999=DATE(2026,12,28)),ROW(Expenses!A$3:A$999)-2),2)),""),IF(IFERROR(INDEX(Income!B$3:B$502,SMALL(IF((Income!D$3:D$502="GBP")*(Income!A$3:A$502=DATE(2026,12,28)),ROW(Income!A$3:A$502)-2),2)),"")&lt;&gt;"",IFERROR(INDEX(Income!B$3:B$502,SMALL(IF((Income!D$3:D$502="GBP")*(Income!A$3:A$502=DATE(2026,12,28)),ROW(Income!A$3:A$502)-2),2)),""),""))</f>
        <v/>
      </c>
      <c r="E265" s="152">
        <f t="array" ref="E265">IF(IFERROR(-INDEX(Expenses!D$3:D$999,SMALL(IF((Expenses!E$3:E$999="GBP")*(Expenses!A$3:A$999=DATE(2026,12,29)),ROW(Expenses!A$3:A$999)-2),2)),0)+IFERROR(INDEX(Income!C$3:C$502,SMALL(IF((Income!D$3:D$502="GBP")*(Income!A$3:A$502=DATE(2026,12,29)),ROW(Income!A$3:A$502)-2),2)),0)=0,"",IFERROR(-INDEX(Expenses!D$3:D$999,SMALL(IF((Expenses!E$3:E$999="GBP")*(Expenses!A$3:A$999=DATE(2026,12,29)),ROW(Expenses!A$3:A$999)-2),2)),0)+IFERROR(INDEX(Income!C$3:C$502,SMALL(IF((Income!D$3:D$502="GBP")*(Income!A$3:A$502=DATE(2026,12,29)),ROW(Income!A$3:A$502)-2),2)),0))</f>
        <v/>
      </c>
      <c r="F265" s="126">
        <f t="array" ref="F265">IF(IFERROR(INDEX(Expenses!B$3:B$999,SMALL(IF((Expenses!E$3:E$999="GBP")*(Expenses!A$3:A$999=DATE(2026,12,29)),ROW(Expenses!A$3:A$999)-2),2)),"")&lt;&gt;"",IFERROR(INDEX(Expenses!B$3:B$999,SMALL(IF((Expenses!E$3:E$999="GBP")*(Expenses!A$3:A$999=DATE(2026,12,29)),ROW(Expenses!A$3:A$999)-2),2)),""),IF(IFERROR(INDEX(Income!B$3:B$502,SMALL(IF((Income!D$3:D$502="GBP")*(Income!A$3:A$502=DATE(2026,12,29)),ROW(Income!A$3:A$502)-2),2)),"")&lt;&gt;"",IFERROR(INDEX(Income!B$3:B$502,SMALL(IF((Income!D$3:D$502="GBP")*(Income!A$3:A$502=DATE(2026,12,29)),ROW(Income!A$3:A$502)-2),2)),""),""))</f>
        <v/>
      </c>
      <c r="G265" s="152">
        <f t="array" ref="G265">IF(IFERROR(-INDEX(Expenses!D$3:D$999,SMALL(IF((Expenses!E$3:E$999="GBP")*(Expenses!A$3:A$999=DATE(2026,12,30)),ROW(Expenses!A$3:A$999)-2),2)),0)+IFERROR(INDEX(Income!C$3:C$502,SMALL(IF((Income!D$3:D$502="GBP")*(Income!A$3:A$502=DATE(2026,12,30)),ROW(Income!A$3:A$502)-2),2)),0)=0,"",IFERROR(-INDEX(Expenses!D$3:D$999,SMALL(IF((Expenses!E$3:E$999="GBP")*(Expenses!A$3:A$999=DATE(2026,12,30)),ROW(Expenses!A$3:A$999)-2),2)),0)+IFERROR(INDEX(Income!C$3:C$502,SMALL(IF((Income!D$3:D$502="GBP")*(Income!A$3:A$502=DATE(2026,12,30)),ROW(Income!A$3:A$502)-2),2)),0))</f>
        <v/>
      </c>
      <c r="H265" s="126">
        <f t="array" ref="H265">IF(IFERROR(INDEX(Expenses!B$3:B$999,SMALL(IF((Expenses!E$3:E$999="GBP")*(Expenses!A$3:A$999=DATE(2026,12,30)),ROW(Expenses!A$3:A$999)-2),2)),"")&lt;&gt;"",IFERROR(INDEX(Expenses!B$3:B$999,SMALL(IF((Expenses!E$3:E$999="GBP")*(Expenses!A$3:A$999=DATE(2026,12,30)),ROW(Expenses!A$3:A$999)-2),2)),""),IF(IFERROR(INDEX(Income!B$3:B$502,SMALL(IF((Income!D$3:D$502="GBP")*(Income!A$3:A$502=DATE(2026,12,30)),ROW(Income!A$3:A$502)-2),2)),"")&lt;&gt;"",IFERROR(INDEX(Income!B$3:B$502,SMALL(IF((Income!D$3:D$502="GBP")*(Income!A$3:A$502=DATE(2026,12,30)),ROW(Income!A$3:A$502)-2),2)),""),""))</f>
        <v/>
      </c>
      <c r="I265" s="152">
        <f t="array" ref="I265">IF(IFERROR(-INDEX(Expenses!D$3:D$999,SMALL(IF((Expenses!E$3:E$999="GBP")*(Expenses!A$3:A$999=DATE(2026,12,31)),ROW(Expenses!A$3:A$999)-2),2)),0)+IFERROR(INDEX(Income!C$3:C$502,SMALL(IF((Income!D$3:D$502="GBP")*(Income!A$3:A$502=DATE(2026,12,31)),ROW(Income!A$3:A$502)-2),2)),0)=0,"",IFERROR(-INDEX(Expenses!D$3:D$999,SMALL(IF((Expenses!E$3:E$999="GBP")*(Expenses!A$3:A$999=DATE(2026,12,31)),ROW(Expenses!A$3:A$999)-2),2)),0)+IFERROR(INDEX(Income!C$3:C$502,SMALL(IF((Income!D$3:D$502="GBP")*(Income!A$3:A$502=DATE(2026,12,31)),ROW(Income!A$3:A$502)-2),2)),0))</f>
        <v/>
      </c>
      <c r="J265" s="126">
        <f t="array" ref="J265">IF(IFERROR(INDEX(Expenses!B$3:B$999,SMALL(IF((Expenses!E$3:E$999="GBP")*(Expenses!A$3:A$999=DATE(2026,12,31)),ROW(Expenses!A$3:A$999)-2),2)),"")&lt;&gt;"",IFERROR(INDEX(Expenses!B$3:B$999,SMALL(IF((Expenses!E$3:E$999="GBP")*(Expenses!A$3:A$999=DATE(2026,12,31)),ROW(Expenses!A$3:A$999)-2),2)),""),IF(IFERROR(INDEX(Income!B$3:B$502,SMALL(IF((Income!D$3:D$502="GBP")*(Income!A$3:A$502=DATE(2026,12,31)),ROW(Income!A$3:A$502)-2),2)),"")&lt;&gt;"",IFERROR(INDEX(Income!B$3:B$502,SMALL(IF((Income!D$3:D$502="GBP")*(Income!A$3:A$502=DATE(2026,12,31)),ROW(Income!A$3:A$502)-2),2)),""),""))</f>
        <v/>
      </c>
      <c r="K265" s="152">
        <f t="array" ref="K265">IF(IFERROR(-INDEX(Expenses!D$3:D$999,SMALL(IF((Expenses!E$3:E$999="GBP")*(Expenses!A$3:A$999=DATE(2027,1,1)),ROW(Expenses!A$3:A$999)-2),2)),0)+IFERROR(INDEX(Income!C$3:C$502,SMALL(IF((Income!D$3:D$502="GBP")*(Income!A$3:A$502=DATE(2027,1,1)),ROW(Income!A$3:A$502)-2),2)),0)=0,"",IFERROR(-INDEX(Expenses!D$3:D$999,SMALL(IF((Expenses!E$3:E$999="GBP")*(Expenses!A$3:A$999=DATE(2027,1,1)),ROW(Expenses!A$3:A$999)-2),2)),0)+IFERROR(INDEX(Income!C$3:C$502,SMALL(IF((Income!D$3:D$502="GBP")*(Income!A$3:A$502=DATE(2027,1,1)),ROW(Income!A$3:A$502)-2),2)),0))</f>
        <v/>
      </c>
      <c r="L265" s="126">
        <f t="array" ref="L265">IF(IFERROR(INDEX(Expenses!B$3:B$999,SMALL(IF((Expenses!E$3:E$999="GBP")*(Expenses!A$3:A$999=DATE(2027,1,1)),ROW(Expenses!A$3:A$999)-2),2)),"")&lt;&gt;"",IFERROR(INDEX(Expenses!B$3:B$999,SMALL(IF((Expenses!E$3:E$999="GBP")*(Expenses!A$3:A$999=DATE(2027,1,1)),ROW(Expenses!A$3:A$999)-2),2)),""),IF(IFERROR(INDEX(Income!B$3:B$502,SMALL(IF((Income!D$3:D$502="GBP")*(Income!A$3:A$502=DATE(2027,1,1)),ROW(Income!A$3:A$502)-2),2)),"")&lt;&gt;"",IFERROR(INDEX(Income!B$3:B$502,SMALL(IF((Income!D$3:D$502="GBP")*(Income!A$3:A$502=DATE(2027,1,1)),ROW(Income!A$3:A$502)-2),2)),""),""))</f>
        <v/>
      </c>
      <c r="M265" s="152">
        <f t="array" ref="M265">IF(IFERROR(-INDEX(Expenses!D$3:D$999,SMALL(IF((Expenses!E$3:E$999="GBP")*(Expenses!A$3:A$999=DATE(2027,1,2)),ROW(Expenses!A$3:A$999)-2),2)),0)+IFERROR(INDEX(Income!C$3:C$502,SMALL(IF((Income!D$3:D$502="GBP")*(Income!A$3:A$502=DATE(2027,1,2)),ROW(Income!A$3:A$502)-2),2)),0)=0,"",IFERROR(-INDEX(Expenses!D$3:D$999,SMALL(IF((Expenses!E$3:E$999="GBP")*(Expenses!A$3:A$999=DATE(2027,1,2)),ROW(Expenses!A$3:A$999)-2),2)),0)+IFERROR(INDEX(Income!C$3:C$502,SMALL(IF((Income!D$3:D$502="GBP")*(Income!A$3:A$502=DATE(2027,1,2)),ROW(Income!A$3:A$502)-2),2)),0))</f>
        <v/>
      </c>
      <c r="N265" s="126">
        <f t="array" ref="N265">IF(IFERROR(INDEX(Expenses!B$3:B$999,SMALL(IF((Expenses!E$3:E$999="GBP")*(Expenses!A$3:A$999=DATE(2027,1,2)),ROW(Expenses!A$3:A$999)-2),2)),"")&lt;&gt;"",IFERROR(INDEX(Expenses!B$3:B$999,SMALL(IF((Expenses!E$3:E$999="GBP")*(Expenses!A$3:A$999=DATE(2027,1,2)),ROW(Expenses!A$3:A$999)-2),2)),""),IF(IFERROR(INDEX(Income!B$3:B$502,SMALL(IF((Income!D$3:D$502="GBP")*(Income!A$3:A$502=DATE(2027,1,2)),ROW(Income!A$3:A$502)-2),2)),"")&lt;&gt;"",IFERROR(INDEX(Income!B$3:B$502,SMALL(IF((Income!D$3:D$502="GBP")*(Income!A$3:A$502=DATE(2027,1,2)),ROW(Income!A$3:A$502)-2),2)),""),""))</f>
        <v/>
      </c>
      <c r="O265" s="152">
        <f t="array" ref="O265">IF(IFERROR(-INDEX(Expenses!D$3:D$999,SMALL(IF((Expenses!E$3:E$999="GBP")*(Expenses!A$3:A$999=DATE(2027,1,3)),ROW(Expenses!A$3:A$999)-2),2)),0)+IFERROR(INDEX(Income!C$3:C$502,SMALL(IF((Income!D$3:D$502="GBP")*(Income!A$3:A$502=DATE(2027,1,3)),ROW(Income!A$3:A$502)-2),2)),0)=0,"",IFERROR(-INDEX(Expenses!D$3:D$999,SMALL(IF((Expenses!E$3:E$999="GBP")*(Expenses!A$3:A$999=DATE(2027,1,3)),ROW(Expenses!A$3:A$999)-2),2)),0)+IFERROR(INDEX(Income!C$3:C$502,SMALL(IF((Income!D$3:D$502="GBP")*(Income!A$3:A$502=DATE(2027,1,3)),ROW(Income!A$3:A$502)-2),2)),0))</f>
        <v/>
      </c>
      <c r="P265" s="126">
        <f t="array" ref="P265">IF(IFERROR(INDEX(Expenses!B$3:B$999,SMALL(IF((Expenses!E$3:E$999="GBP")*(Expenses!A$3:A$999=DATE(2027,1,3)),ROW(Expenses!A$3:A$999)-2),2)),"")&lt;&gt;"",IFERROR(INDEX(Expenses!B$3:B$999,SMALL(IF((Expenses!E$3:E$999="GBP")*(Expenses!A$3:A$999=DATE(2027,1,3)),ROW(Expenses!A$3:A$999)-2),2)),""),IF(IFERROR(INDEX(Income!B$3:B$502,SMALL(IF((Income!D$3:D$502="GBP")*(Income!A$3:A$502=DATE(2027,1,3)),ROW(Income!A$3:A$502)-2),2)),"")&lt;&gt;"",IFERROR(INDEX(Income!B$3:B$502,SMALL(IF((Income!D$3:D$502="GBP")*(Income!A$3:A$502=DATE(2027,1,3)),ROW(Income!A$3:A$502)-2),2)),""),""))</f>
        <v/>
      </c>
      <c r="Q265" s="9" t="n"/>
      <c r="R265" s="9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68">
      <c r="A266" s="9" t="n"/>
      <c r="B266" s="9" t="n"/>
      <c r="C266" s="152">
        <f t="array" ref="C266">IF(IFERROR(-INDEX(Expenses!D$3:D$999,SMALL(IF((Expenses!E$3:E$999="GBP")*(Expenses!A$3:A$999=DATE(2026,12,28)),ROW(Expenses!A$3:A$999)-2),3)),0)+IFERROR(INDEX(Income!C$3:C$502,SMALL(IF((Income!D$3:D$502="GBP")*(Income!A$3:A$502=DATE(2026,12,28)),ROW(Income!A$3:A$502)-2),3)),0)=0,"",IFERROR(-INDEX(Expenses!D$3:D$999,SMALL(IF((Expenses!E$3:E$999="GBP")*(Expenses!A$3:A$999=DATE(2026,12,28)),ROW(Expenses!A$3:A$999)-2),3)),0)+IFERROR(INDEX(Income!C$3:C$502,SMALL(IF((Income!D$3:D$502="GBP")*(Income!A$3:A$502=DATE(2026,12,28)),ROW(Income!A$3:A$502)-2),3)),0))</f>
        <v/>
      </c>
      <c r="D266" s="126">
        <f t="array" ref="D266">IF(IFERROR(INDEX(Expenses!B$3:B$999,SMALL(IF((Expenses!E$3:E$999="GBP")*(Expenses!A$3:A$999=DATE(2026,12,28)),ROW(Expenses!A$3:A$999)-2),3)),"")&lt;&gt;"",IFERROR(INDEX(Expenses!B$3:B$999,SMALL(IF((Expenses!E$3:E$999="GBP")*(Expenses!A$3:A$999=DATE(2026,12,28)),ROW(Expenses!A$3:A$999)-2),3)),""),IF(IFERROR(INDEX(Income!B$3:B$502,SMALL(IF((Income!D$3:D$502="GBP")*(Income!A$3:A$502=DATE(2026,12,28)),ROW(Income!A$3:A$502)-2),3)),"")&lt;&gt;"",IFERROR(INDEX(Income!B$3:B$502,SMALL(IF((Income!D$3:D$502="GBP")*(Income!A$3:A$502=DATE(2026,12,28)),ROW(Income!A$3:A$502)-2),3)),""),""))</f>
        <v/>
      </c>
      <c r="E266" s="152">
        <f t="array" ref="E266">IF(IFERROR(-INDEX(Expenses!D$3:D$999,SMALL(IF((Expenses!E$3:E$999="GBP")*(Expenses!A$3:A$999=DATE(2026,12,29)),ROW(Expenses!A$3:A$999)-2),3)),0)+IFERROR(INDEX(Income!C$3:C$502,SMALL(IF((Income!D$3:D$502="GBP")*(Income!A$3:A$502=DATE(2026,12,29)),ROW(Income!A$3:A$502)-2),3)),0)=0,"",IFERROR(-INDEX(Expenses!D$3:D$999,SMALL(IF((Expenses!E$3:E$999="GBP")*(Expenses!A$3:A$999=DATE(2026,12,29)),ROW(Expenses!A$3:A$999)-2),3)),0)+IFERROR(INDEX(Income!C$3:C$502,SMALL(IF((Income!D$3:D$502="GBP")*(Income!A$3:A$502=DATE(2026,12,29)),ROW(Income!A$3:A$502)-2),3)),0))</f>
        <v/>
      </c>
      <c r="F266" s="126">
        <f t="array" ref="F266">IF(IFERROR(INDEX(Expenses!B$3:B$999,SMALL(IF((Expenses!E$3:E$999="GBP")*(Expenses!A$3:A$999=DATE(2026,12,29)),ROW(Expenses!A$3:A$999)-2),3)),"")&lt;&gt;"",IFERROR(INDEX(Expenses!B$3:B$999,SMALL(IF((Expenses!E$3:E$999="GBP")*(Expenses!A$3:A$999=DATE(2026,12,29)),ROW(Expenses!A$3:A$999)-2),3)),""),IF(IFERROR(INDEX(Income!B$3:B$502,SMALL(IF((Income!D$3:D$502="GBP")*(Income!A$3:A$502=DATE(2026,12,29)),ROW(Income!A$3:A$502)-2),3)),"")&lt;&gt;"",IFERROR(INDEX(Income!B$3:B$502,SMALL(IF((Income!D$3:D$502="GBP")*(Income!A$3:A$502=DATE(2026,12,29)),ROW(Income!A$3:A$502)-2),3)),""),""))</f>
        <v/>
      </c>
      <c r="G266" s="152">
        <f t="array" ref="G266">IF(IFERROR(-INDEX(Expenses!D$3:D$999,SMALL(IF((Expenses!E$3:E$999="GBP")*(Expenses!A$3:A$999=DATE(2026,12,30)),ROW(Expenses!A$3:A$999)-2),3)),0)+IFERROR(INDEX(Income!C$3:C$502,SMALL(IF((Income!D$3:D$502="GBP")*(Income!A$3:A$502=DATE(2026,12,30)),ROW(Income!A$3:A$502)-2),3)),0)=0,"",IFERROR(-INDEX(Expenses!D$3:D$999,SMALL(IF((Expenses!E$3:E$999="GBP")*(Expenses!A$3:A$999=DATE(2026,12,30)),ROW(Expenses!A$3:A$999)-2),3)),0)+IFERROR(INDEX(Income!C$3:C$502,SMALL(IF((Income!D$3:D$502="GBP")*(Income!A$3:A$502=DATE(2026,12,30)),ROW(Income!A$3:A$502)-2),3)),0))</f>
        <v/>
      </c>
      <c r="H266" s="126">
        <f t="array" ref="H266">IF(IFERROR(INDEX(Expenses!B$3:B$999,SMALL(IF((Expenses!E$3:E$999="GBP")*(Expenses!A$3:A$999=DATE(2026,12,30)),ROW(Expenses!A$3:A$999)-2),3)),"")&lt;&gt;"",IFERROR(INDEX(Expenses!B$3:B$999,SMALL(IF((Expenses!E$3:E$999="GBP")*(Expenses!A$3:A$999=DATE(2026,12,30)),ROW(Expenses!A$3:A$999)-2),3)),""),IF(IFERROR(INDEX(Income!B$3:B$502,SMALL(IF((Income!D$3:D$502="GBP")*(Income!A$3:A$502=DATE(2026,12,30)),ROW(Income!A$3:A$502)-2),3)),"")&lt;&gt;"",IFERROR(INDEX(Income!B$3:B$502,SMALL(IF((Income!D$3:D$502="GBP")*(Income!A$3:A$502=DATE(2026,12,30)),ROW(Income!A$3:A$502)-2),3)),""),""))</f>
        <v/>
      </c>
      <c r="I266" s="152">
        <f t="array" ref="I266">IF(IFERROR(-INDEX(Expenses!D$3:D$999,SMALL(IF((Expenses!E$3:E$999="GBP")*(Expenses!A$3:A$999=DATE(2026,12,31)),ROW(Expenses!A$3:A$999)-2),3)),0)+IFERROR(INDEX(Income!C$3:C$502,SMALL(IF((Income!D$3:D$502="GBP")*(Income!A$3:A$502=DATE(2026,12,31)),ROW(Income!A$3:A$502)-2),3)),0)=0,"",IFERROR(-INDEX(Expenses!D$3:D$999,SMALL(IF((Expenses!E$3:E$999="GBP")*(Expenses!A$3:A$999=DATE(2026,12,31)),ROW(Expenses!A$3:A$999)-2),3)),0)+IFERROR(INDEX(Income!C$3:C$502,SMALL(IF((Income!D$3:D$502="GBP")*(Income!A$3:A$502=DATE(2026,12,31)),ROW(Income!A$3:A$502)-2),3)),0))</f>
        <v/>
      </c>
      <c r="J266" s="126">
        <f t="array" ref="J266">IF(IFERROR(INDEX(Expenses!B$3:B$999,SMALL(IF((Expenses!E$3:E$999="GBP")*(Expenses!A$3:A$999=DATE(2026,12,31)),ROW(Expenses!A$3:A$999)-2),3)),"")&lt;&gt;"",IFERROR(INDEX(Expenses!B$3:B$999,SMALL(IF((Expenses!E$3:E$999="GBP")*(Expenses!A$3:A$999=DATE(2026,12,31)),ROW(Expenses!A$3:A$999)-2),3)),""),IF(IFERROR(INDEX(Income!B$3:B$502,SMALL(IF((Income!D$3:D$502="GBP")*(Income!A$3:A$502=DATE(2026,12,31)),ROW(Income!A$3:A$502)-2),3)),"")&lt;&gt;"",IFERROR(INDEX(Income!B$3:B$502,SMALL(IF((Income!D$3:D$502="GBP")*(Income!A$3:A$502=DATE(2026,12,31)),ROW(Income!A$3:A$502)-2),3)),""),""))</f>
        <v/>
      </c>
      <c r="K266" s="152">
        <f t="array" ref="K266">IF(IFERROR(-INDEX(Expenses!D$3:D$999,SMALL(IF((Expenses!E$3:E$999="GBP")*(Expenses!A$3:A$999=DATE(2027,1,1)),ROW(Expenses!A$3:A$999)-2),3)),0)+IFERROR(INDEX(Income!C$3:C$502,SMALL(IF((Income!D$3:D$502="GBP")*(Income!A$3:A$502=DATE(2027,1,1)),ROW(Income!A$3:A$502)-2),3)),0)=0,"",IFERROR(-INDEX(Expenses!D$3:D$999,SMALL(IF((Expenses!E$3:E$999="GBP")*(Expenses!A$3:A$999=DATE(2027,1,1)),ROW(Expenses!A$3:A$999)-2),3)),0)+IFERROR(INDEX(Income!C$3:C$502,SMALL(IF((Income!D$3:D$502="GBP")*(Income!A$3:A$502=DATE(2027,1,1)),ROW(Income!A$3:A$502)-2),3)),0))</f>
        <v/>
      </c>
      <c r="L266" s="126">
        <f t="array" ref="L266">IF(IFERROR(INDEX(Expenses!B$3:B$999,SMALL(IF((Expenses!E$3:E$999="GBP")*(Expenses!A$3:A$999=DATE(2027,1,1)),ROW(Expenses!A$3:A$999)-2),3)),"")&lt;&gt;"",IFERROR(INDEX(Expenses!B$3:B$999,SMALL(IF((Expenses!E$3:E$999="GBP")*(Expenses!A$3:A$999=DATE(2027,1,1)),ROW(Expenses!A$3:A$999)-2),3)),""),IF(IFERROR(INDEX(Income!B$3:B$502,SMALL(IF((Income!D$3:D$502="GBP")*(Income!A$3:A$502=DATE(2027,1,1)),ROW(Income!A$3:A$502)-2),3)),"")&lt;&gt;"",IFERROR(INDEX(Income!B$3:B$502,SMALL(IF((Income!D$3:D$502="GBP")*(Income!A$3:A$502=DATE(2027,1,1)),ROW(Income!A$3:A$502)-2),3)),""),""))</f>
        <v/>
      </c>
      <c r="M266" s="152">
        <f t="array" ref="M266">IF(IFERROR(-INDEX(Expenses!D$3:D$999,SMALL(IF((Expenses!E$3:E$999="GBP")*(Expenses!A$3:A$999=DATE(2027,1,2)),ROW(Expenses!A$3:A$999)-2),3)),0)+IFERROR(INDEX(Income!C$3:C$502,SMALL(IF((Income!D$3:D$502="GBP")*(Income!A$3:A$502=DATE(2027,1,2)),ROW(Income!A$3:A$502)-2),3)),0)=0,"",IFERROR(-INDEX(Expenses!D$3:D$999,SMALL(IF((Expenses!E$3:E$999="GBP")*(Expenses!A$3:A$999=DATE(2027,1,2)),ROW(Expenses!A$3:A$999)-2),3)),0)+IFERROR(INDEX(Income!C$3:C$502,SMALL(IF((Income!D$3:D$502="GBP")*(Income!A$3:A$502=DATE(2027,1,2)),ROW(Income!A$3:A$502)-2),3)),0))</f>
        <v/>
      </c>
      <c r="N266" s="126">
        <f t="array" ref="N266">IF(IFERROR(INDEX(Expenses!B$3:B$999,SMALL(IF((Expenses!E$3:E$999="GBP")*(Expenses!A$3:A$999=DATE(2027,1,2)),ROW(Expenses!A$3:A$999)-2),3)),"")&lt;&gt;"",IFERROR(INDEX(Expenses!B$3:B$999,SMALL(IF((Expenses!E$3:E$999="GBP")*(Expenses!A$3:A$999=DATE(2027,1,2)),ROW(Expenses!A$3:A$999)-2),3)),""),IF(IFERROR(INDEX(Income!B$3:B$502,SMALL(IF((Income!D$3:D$502="GBP")*(Income!A$3:A$502=DATE(2027,1,2)),ROW(Income!A$3:A$502)-2),3)),"")&lt;&gt;"",IFERROR(INDEX(Income!B$3:B$502,SMALL(IF((Income!D$3:D$502="GBP")*(Income!A$3:A$502=DATE(2027,1,2)),ROW(Income!A$3:A$502)-2),3)),""),""))</f>
        <v/>
      </c>
      <c r="O266" s="152">
        <f t="array" ref="O266">IF(IFERROR(-INDEX(Expenses!D$3:D$999,SMALL(IF((Expenses!E$3:E$999="GBP")*(Expenses!A$3:A$999=DATE(2027,1,3)),ROW(Expenses!A$3:A$999)-2),3)),0)+IFERROR(INDEX(Income!C$3:C$502,SMALL(IF((Income!D$3:D$502="GBP")*(Income!A$3:A$502=DATE(2027,1,3)),ROW(Income!A$3:A$502)-2),3)),0)=0,"",IFERROR(-INDEX(Expenses!D$3:D$999,SMALL(IF((Expenses!E$3:E$999="GBP")*(Expenses!A$3:A$999=DATE(2027,1,3)),ROW(Expenses!A$3:A$999)-2),3)),0)+IFERROR(INDEX(Income!C$3:C$502,SMALL(IF((Income!D$3:D$502="GBP")*(Income!A$3:A$502=DATE(2027,1,3)),ROW(Income!A$3:A$502)-2),3)),0))</f>
        <v/>
      </c>
      <c r="P266" s="126">
        <f t="array" ref="P266">IF(IFERROR(INDEX(Expenses!B$3:B$999,SMALL(IF((Expenses!E$3:E$999="GBP")*(Expenses!A$3:A$999=DATE(2027,1,3)),ROW(Expenses!A$3:A$999)-2),3)),"")&lt;&gt;"",IFERROR(INDEX(Expenses!B$3:B$999,SMALL(IF((Expenses!E$3:E$999="GBP")*(Expenses!A$3:A$999=DATE(2027,1,3)),ROW(Expenses!A$3:A$999)-2),3)),""),IF(IFERROR(INDEX(Income!B$3:B$502,SMALL(IF((Income!D$3:D$502="GBP")*(Income!A$3:A$502=DATE(2027,1,3)),ROW(Income!A$3:A$502)-2),3)),"")&lt;&gt;"",IFERROR(INDEX(Income!B$3:B$502,SMALL(IF((Income!D$3:D$502="GBP")*(Income!A$3:A$502=DATE(2027,1,3)),ROW(Income!A$3:A$502)-2),3)),""),""))</f>
        <v/>
      </c>
      <c r="Q266" s="9" t="n"/>
      <c r="R266" s="9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68">
      <c r="A267" s="9" t="n"/>
      <c r="B267" s="9" t="n"/>
      <c r="C267" s="152">
        <f t="array" ref="C267">IF(IFERROR(-INDEX(Expenses!D$3:D$999,SMALL(IF((Expenses!E$3:E$999="GBP")*(Expenses!A$3:A$999=DATE(2026,12,28)),ROW(Expenses!A$3:A$999)-2),4)),0)+IFERROR(INDEX(Income!C$3:C$502,SMALL(IF((Income!D$3:D$502="GBP")*(Income!A$3:A$502=DATE(2026,12,28)),ROW(Income!A$3:A$502)-2),4)),0)=0,"",IFERROR(-INDEX(Expenses!D$3:D$999,SMALL(IF((Expenses!E$3:E$999="GBP")*(Expenses!A$3:A$999=DATE(2026,12,28)),ROW(Expenses!A$3:A$999)-2),4)),0)+IFERROR(INDEX(Income!C$3:C$502,SMALL(IF((Income!D$3:D$502="GBP")*(Income!A$3:A$502=DATE(2026,12,28)),ROW(Income!A$3:A$502)-2),4)),0))</f>
        <v/>
      </c>
      <c r="D267" s="126">
        <f t="array" ref="D267">IF(IFERROR(INDEX(Expenses!B$3:B$999,SMALL(IF((Expenses!E$3:E$999="GBP")*(Expenses!A$3:A$999=DATE(2026,12,28)),ROW(Expenses!A$3:A$999)-2),4)),"")&lt;&gt;"",IFERROR(INDEX(Expenses!B$3:B$999,SMALL(IF((Expenses!E$3:E$999="GBP")*(Expenses!A$3:A$999=DATE(2026,12,28)),ROW(Expenses!A$3:A$999)-2),4)),""),IF(IFERROR(INDEX(Income!B$3:B$502,SMALL(IF((Income!D$3:D$502="GBP")*(Income!A$3:A$502=DATE(2026,12,28)),ROW(Income!A$3:A$502)-2),4)),"")&lt;&gt;"",IFERROR(INDEX(Income!B$3:B$502,SMALL(IF((Income!D$3:D$502="GBP")*(Income!A$3:A$502=DATE(2026,12,28)),ROW(Income!A$3:A$502)-2),4)),""),""))</f>
        <v/>
      </c>
      <c r="E267" s="152">
        <f t="array" ref="E267">IF(IFERROR(-INDEX(Expenses!D$3:D$999,SMALL(IF((Expenses!E$3:E$999="GBP")*(Expenses!A$3:A$999=DATE(2026,12,29)),ROW(Expenses!A$3:A$999)-2),4)),0)+IFERROR(INDEX(Income!C$3:C$502,SMALL(IF((Income!D$3:D$502="GBP")*(Income!A$3:A$502=DATE(2026,12,29)),ROW(Income!A$3:A$502)-2),4)),0)=0,"",IFERROR(-INDEX(Expenses!D$3:D$999,SMALL(IF((Expenses!E$3:E$999="GBP")*(Expenses!A$3:A$999=DATE(2026,12,29)),ROW(Expenses!A$3:A$999)-2),4)),0)+IFERROR(INDEX(Income!C$3:C$502,SMALL(IF((Income!D$3:D$502="GBP")*(Income!A$3:A$502=DATE(2026,12,29)),ROW(Income!A$3:A$502)-2),4)),0))</f>
        <v/>
      </c>
      <c r="F267" s="126">
        <f t="array" ref="F267">IF(IFERROR(INDEX(Expenses!B$3:B$999,SMALL(IF((Expenses!E$3:E$999="GBP")*(Expenses!A$3:A$999=DATE(2026,12,29)),ROW(Expenses!A$3:A$999)-2),4)),"")&lt;&gt;"",IFERROR(INDEX(Expenses!B$3:B$999,SMALL(IF((Expenses!E$3:E$999="GBP")*(Expenses!A$3:A$999=DATE(2026,12,29)),ROW(Expenses!A$3:A$999)-2),4)),""),IF(IFERROR(INDEX(Income!B$3:B$502,SMALL(IF((Income!D$3:D$502="GBP")*(Income!A$3:A$502=DATE(2026,12,29)),ROW(Income!A$3:A$502)-2),4)),"")&lt;&gt;"",IFERROR(INDEX(Income!B$3:B$502,SMALL(IF((Income!D$3:D$502="GBP")*(Income!A$3:A$502=DATE(2026,12,29)),ROW(Income!A$3:A$502)-2),4)),""),""))</f>
        <v/>
      </c>
      <c r="G267" s="152">
        <f t="array" ref="G267">IF(IFERROR(-INDEX(Expenses!D$3:D$999,SMALL(IF((Expenses!E$3:E$999="GBP")*(Expenses!A$3:A$999=DATE(2026,12,30)),ROW(Expenses!A$3:A$999)-2),4)),0)+IFERROR(INDEX(Income!C$3:C$502,SMALL(IF((Income!D$3:D$502="GBP")*(Income!A$3:A$502=DATE(2026,12,30)),ROW(Income!A$3:A$502)-2),4)),0)=0,"",IFERROR(-INDEX(Expenses!D$3:D$999,SMALL(IF((Expenses!E$3:E$999="GBP")*(Expenses!A$3:A$999=DATE(2026,12,30)),ROW(Expenses!A$3:A$999)-2),4)),0)+IFERROR(INDEX(Income!C$3:C$502,SMALL(IF((Income!D$3:D$502="GBP")*(Income!A$3:A$502=DATE(2026,12,30)),ROW(Income!A$3:A$502)-2),4)),0))</f>
        <v/>
      </c>
      <c r="H267" s="126">
        <f t="array" ref="H267">IF(IFERROR(INDEX(Expenses!B$3:B$999,SMALL(IF((Expenses!E$3:E$999="GBP")*(Expenses!A$3:A$999=DATE(2026,12,30)),ROW(Expenses!A$3:A$999)-2),4)),"")&lt;&gt;"",IFERROR(INDEX(Expenses!B$3:B$999,SMALL(IF((Expenses!E$3:E$999="GBP")*(Expenses!A$3:A$999=DATE(2026,12,30)),ROW(Expenses!A$3:A$999)-2),4)),""),IF(IFERROR(INDEX(Income!B$3:B$502,SMALL(IF((Income!D$3:D$502="GBP")*(Income!A$3:A$502=DATE(2026,12,30)),ROW(Income!A$3:A$502)-2),4)),"")&lt;&gt;"",IFERROR(INDEX(Income!B$3:B$502,SMALL(IF((Income!D$3:D$502="GBP")*(Income!A$3:A$502=DATE(2026,12,30)),ROW(Income!A$3:A$502)-2),4)),""),""))</f>
        <v/>
      </c>
      <c r="I267" s="152">
        <f t="array" ref="I267">IF(IFERROR(-INDEX(Expenses!D$3:D$999,SMALL(IF((Expenses!E$3:E$999="GBP")*(Expenses!A$3:A$999=DATE(2026,12,31)),ROW(Expenses!A$3:A$999)-2),4)),0)+IFERROR(INDEX(Income!C$3:C$502,SMALL(IF((Income!D$3:D$502="GBP")*(Income!A$3:A$502=DATE(2026,12,31)),ROW(Income!A$3:A$502)-2),4)),0)=0,"",IFERROR(-INDEX(Expenses!D$3:D$999,SMALL(IF((Expenses!E$3:E$999="GBP")*(Expenses!A$3:A$999=DATE(2026,12,31)),ROW(Expenses!A$3:A$999)-2),4)),0)+IFERROR(INDEX(Income!C$3:C$502,SMALL(IF((Income!D$3:D$502="GBP")*(Income!A$3:A$502=DATE(2026,12,31)),ROW(Income!A$3:A$502)-2),4)),0))</f>
        <v/>
      </c>
      <c r="J267" s="126">
        <f t="array" ref="J267">IF(IFERROR(INDEX(Expenses!B$3:B$999,SMALL(IF((Expenses!E$3:E$999="GBP")*(Expenses!A$3:A$999=DATE(2026,12,31)),ROW(Expenses!A$3:A$999)-2),4)),"")&lt;&gt;"",IFERROR(INDEX(Expenses!B$3:B$999,SMALL(IF((Expenses!E$3:E$999="GBP")*(Expenses!A$3:A$999=DATE(2026,12,31)),ROW(Expenses!A$3:A$999)-2),4)),""),IF(IFERROR(INDEX(Income!B$3:B$502,SMALL(IF((Income!D$3:D$502="GBP")*(Income!A$3:A$502=DATE(2026,12,31)),ROW(Income!A$3:A$502)-2),4)),"")&lt;&gt;"",IFERROR(INDEX(Income!B$3:B$502,SMALL(IF((Income!D$3:D$502="GBP")*(Income!A$3:A$502=DATE(2026,12,31)),ROW(Income!A$3:A$502)-2),4)),""),""))</f>
        <v/>
      </c>
      <c r="K267" s="152">
        <f t="array" ref="K267">IF(IFERROR(-INDEX(Expenses!D$3:D$999,SMALL(IF((Expenses!E$3:E$999="GBP")*(Expenses!A$3:A$999=DATE(2027,1,1)),ROW(Expenses!A$3:A$999)-2),4)),0)+IFERROR(INDEX(Income!C$3:C$502,SMALL(IF((Income!D$3:D$502="GBP")*(Income!A$3:A$502=DATE(2027,1,1)),ROW(Income!A$3:A$502)-2),4)),0)=0,"",IFERROR(-INDEX(Expenses!D$3:D$999,SMALL(IF((Expenses!E$3:E$999="GBP")*(Expenses!A$3:A$999=DATE(2027,1,1)),ROW(Expenses!A$3:A$999)-2),4)),0)+IFERROR(INDEX(Income!C$3:C$502,SMALL(IF((Income!D$3:D$502="GBP")*(Income!A$3:A$502=DATE(2027,1,1)),ROW(Income!A$3:A$502)-2),4)),0))</f>
        <v/>
      </c>
      <c r="L267" s="126">
        <f t="array" ref="L267">IF(IFERROR(INDEX(Expenses!B$3:B$999,SMALL(IF((Expenses!E$3:E$999="GBP")*(Expenses!A$3:A$999=DATE(2027,1,1)),ROW(Expenses!A$3:A$999)-2),4)),"")&lt;&gt;"",IFERROR(INDEX(Expenses!B$3:B$999,SMALL(IF((Expenses!E$3:E$999="GBP")*(Expenses!A$3:A$999=DATE(2027,1,1)),ROW(Expenses!A$3:A$999)-2),4)),""),IF(IFERROR(INDEX(Income!B$3:B$502,SMALL(IF((Income!D$3:D$502="GBP")*(Income!A$3:A$502=DATE(2027,1,1)),ROW(Income!A$3:A$502)-2),4)),"")&lt;&gt;"",IFERROR(INDEX(Income!B$3:B$502,SMALL(IF((Income!D$3:D$502="GBP")*(Income!A$3:A$502=DATE(2027,1,1)),ROW(Income!A$3:A$502)-2),4)),""),""))</f>
        <v/>
      </c>
      <c r="M267" s="152">
        <f t="array" ref="M267">IF(IFERROR(-INDEX(Expenses!D$3:D$999,SMALL(IF((Expenses!E$3:E$999="GBP")*(Expenses!A$3:A$999=DATE(2027,1,2)),ROW(Expenses!A$3:A$999)-2),4)),0)+IFERROR(INDEX(Income!C$3:C$502,SMALL(IF((Income!D$3:D$502="GBP")*(Income!A$3:A$502=DATE(2027,1,2)),ROW(Income!A$3:A$502)-2),4)),0)=0,"",IFERROR(-INDEX(Expenses!D$3:D$999,SMALL(IF((Expenses!E$3:E$999="GBP")*(Expenses!A$3:A$999=DATE(2027,1,2)),ROW(Expenses!A$3:A$999)-2),4)),0)+IFERROR(INDEX(Income!C$3:C$502,SMALL(IF((Income!D$3:D$502="GBP")*(Income!A$3:A$502=DATE(2027,1,2)),ROW(Income!A$3:A$502)-2),4)),0))</f>
        <v/>
      </c>
      <c r="N267" s="126">
        <f t="array" ref="N267">IF(IFERROR(INDEX(Expenses!B$3:B$999,SMALL(IF((Expenses!E$3:E$999="GBP")*(Expenses!A$3:A$999=DATE(2027,1,2)),ROW(Expenses!A$3:A$999)-2),4)),"")&lt;&gt;"",IFERROR(INDEX(Expenses!B$3:B$999,SMALL(IF((Expenses!E$3:E$999="GBP")*(Expenses!A$3:A$999=DATE(2027,1,2)),ROW(Expenses!A$3:A$999)-2),4)),""),IF(IFERROR(INDEX(Income!B$3:B$502,SMALL(IF((Income!D$3:D$502="GBP")*(Income!A$3:A$502=DATE(2027,1,2)),ROW(Income!A$3:A$502)-2),4)),"")&lt;&gt;"",IFERROR(INDEX(Income!B$3:B$502,SMALL(IF((Income!D$3:D$502="GBP")*(Income!A$3:A$502=DATE(2027,1,2)),ROW(Income!A$3:A$502)-2),4)),""),""))</f>
        <v/>
      </c>
      <c r="O267" s="152">
        <f t="array" ref="O267">IF(IFERROR(-INDEX(Expenses!D$3:D$999,SMALL(IF((Expenses!E$3:E$999="GBP")*(Expenses!A$3:A$999=DATE(2027,1,3)),ROW(Expenses!A$3:A$999)-2),4)),0)+IFERROR(INDEX(Income!C$3:C$502,SMALL(IF((Income!D$3:D$502="GBP")*(Income!A$3:A$502=DATE(2027,1,3)),ROW(Income!A$3:A$502)-2),4)),0)=0,"",IFERROR(-INDEX(Expenses!D$3:D$999,SMALL(IF((Expenses!E$3:E$999="GBP")*(Expenses!A$3:A$999=DATE(2027,1,3)),ROW(Expenses!A$3:A$999)-2),4)),0)+IFERROR(INDEX(Income!C$3:C$502,SMALL(IF((Income!D$3:D$502="GBP")*(Income!A$3:A$502=DATE(2027,1,3)),ROW(Income!A$3:A$502)-2),4)),0))</f>
        <v/>
      </c>
      <c r="P267" s="126">
        <f t="array" ref="P267">IF(IFERROR(INDEX(Expenses!B$3:B$999,SMALL(IF((Expenses!E$3:E$999="GBP")*(Expenses!A$3:A$999=DATE(2027,1,3)),ROW(Expenses!A$3:A$999)-2),4)),"")&lt;&gt;"",IFERROR(INDEX(Expenses!B$3:B$999,SMALL(IF((Expenses!E$3:E$999="GBP")*(Expenses!A$3:A$999=DATE(2027,1,3)),ROW(Expenses!A$3:A$999)-2),4)),""),IF(IFERROR(INDEX(Income!B$3:B$502,SMALL(IF((Income!D$3:D$502="GBP")*(Income!A$3:A$502=DATE(2027,1,3)),ROW(Income!A$3:A$502)-2),4)),"")&lt;&gt;"",IFERROR(INDEX(Income!B$3:B$502,SMALL(IF((Income!D$3:D$502="GBP")*(Income!A$3:A$502=DATE(2027,1,3)),ROW(Income!A$3:A$502)-2),4)),""),""))</f>
        <v/>
      </c>
      <c r="Q267" s="9" t="n"/>
      <c r="R267" s="9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68">
      <c r="A268" s="9" t="n"/>
      <c r="B268" s="9" t="n"/>
      <c r="C268" s="152">
        <f t="array" ref="C268">IF(IFERROR(-INDEX(Expenses!D$3:D$999,SMALL(IF((Expenses!E$3:E$999="GBP")*(Expenses!A$3:A$999=DATE(2026,12,28)),ROW(Expenses!A$3:A$999)-2),5)),0)+IFERROR(INDEX(Income!C$3:C$502,SMALL(IF((Income!D$3:D$502="GBP")*(Income!A$3:A$502=DATE(2026,12,28)),ROW(Income!A$3:A$502)-2),5)),0)=0,"",IFERROR(-INDEX(Expenses!D$3:D$999,SMALL(IF((Expenses!E$3:E$999="GBP")*(Expenses!A$3:A$999=DATE(2026,12,28)),ROW(Expenses!A$3:A$999)-2),5)),0)+IFERROR(INDEX(Income!C$3:C$502,SMALL(IF((Income!D$3:D$502="GBP")*(Income!A$3:A$502=DATE(2026,12,28)),ROW(Income!A$3:A$502)-2),5)),0))</f>
        <v/>
      </c>
      <c r="D268" s="126">
        <f t="array" ref="D268">IF(IFERROR(INDEX(Expenses!B$3:B$999,SMALL(IF((Expenses!E$3:E$999="GBP")*(Expenses!A$3:A$999=DATE(2026,12,28)),ROW(Expenses!A$3:A$999)-2),5)),"")&lt;&gt;"",IFERROR(INDEX(Expenses!B$3:B$999,SMALL(IF((Expenses!E$3:E$999="GBP")*(Expenses!A$3:A$999=DATE(2026,12,28)),ROW(Expenses!A$3:A$999)-2),5)),""),IF(IFERROR(INDEX(Income!B$3:B$502,SMALL(IF((Income!D$3:D$502="GBP")*(Income!A$3:A$502=DATE(2026,12,28)),ROW(Income!A$3:A$502)-2),5)),"")&lt;&gt;"",IFERROR(INDEX(Income!B$3:B$502,SMALL(IF((Income!D$3:D$502="GBP")*(Income!A$3:A$502=DATE(2026,12,28)),ROW(Income!A$3:A$502)-2),5)),""),""))</f>
        <v/>
      </c>
      <c r="E268" s="152">
        <f t="array" ref="E268">IF(IFERROR(-INDEX(Expenses!D$3:D$999,SMALL(IF((Expenses!E$3:E$999="GBP")*(Expenses!A$3:A$999=DATE(2026,12,29)),ROW(Expenses!A$3:A$999)-2),5)),0)+IFERROR(INDEX(Income!C$3:C$502,SMALL(IF((Income!D$3:D$502="GBP")*(Income!A$3:A$502=DATE(2026,12,29)),ROW(Income!A$3:A$502)-2),5)),0)=0,"",IFERROR(-INDEX(Expenses!D$3:D$999,SMALL(IF((Expenses!E$3:E$999="GBP")*(Expenses!A$3:A$999=DATE(2026,12,29)),ROW(Expenses!A$3:A$999)-2),5)),0)+IFERROR(INDEX(Income!C$3:C$502,SMALL(IF((Income!D$3:D$502="GBP")*(Income!A$3:A$502=DATE(2026,12,29)),ROW(Income!A$3:A$502)-2),5)),0))</f>
        <v/>
      </c>
      <c r="F268" s="126">
        <f t="array" ref="F268">IF(IFERROR(INDEX(Expenses!B$3:B$999,SMALL(IF((Expenses!E$3:E$999="GBP")*(Expenses!A$3:A$999=DATE(2026,12,29)),ROW(Expenses!A$3:A$999)-2),5)),"")&lt;&gt;"",IFERROR(INDEX(Expenses!B$3:B$999,SMALL(IF((Expenses!E$3:E$999="GBP")*(Expenses!A$3:A$999=DATE(2026,12,29)),ROW(Expenses!A$3:A$999)-2),5)),""),IF(IFERROR(INDEX(Income!B$3:B$502,SMALL(IF((Income!D$3:D$502="GBP")*(Income!A$3:A$502=DATE(2026,12,29)),ROW(Income!A$3:A$502)-2),5)),"")&lt;&gt;"",IFERROR(INDEX(Income!B$3:B$502,SMALL(IF((Income!D$3:D$502="GBP")*(Income!A$3:A$502=DATE(2026,12,29)),ROW(Income!A$3:A$502)-2),5)),""),""))</f>
        <v/>
      </c>
      <c r="G268" s="152">
        <f t="array" ref="G268">IF(IFERROR(-INDEX(Expenses!D$3:D$999,SMALL(IF((Expenses!E$3:E$999="GBP")*(Expenses!A$3:A$999=DATE(2026,12,30)),ROW(Expenses!A$3:A$999)-2),5)),0)+IFERROR(INDEX(Income!C$3:C$502,SMALL(IF((Income!D$3:D$502="GBP")*(Income!A$3:A$502=DATE(2026,12,30)),ROW(Income!A$3:A$502)-2),5)),0)=0,"",IFERROR(-INDEX(Expenses!D$3:D$999,SMALL(IF((Expenses!E$3:E$999="GBP")*(Expenses!A$3:A$999=DATE(2026,12,30)),ROW(Expenses!A$3:A$999)-2),5)),0)+IFERROR(INDEX(Income!C$3:C$502,SMALL(IF((Income!D$3:D$502="GBP")*(Income!A$3:A$502=DATE(2026,12,30)),ROW(Income!A$3:A$502)-2),5)),0))</f>
        <v/>
      </c>
      <c r="H268" s="126">
        <f t="array" ref="H268">IF(IFERROR(INDEX(Expenses!B$3:B$999,SMALL(IF((Expenses!E$3:E$999="GBP")*(Expenses!A$3:A$999=DATE(2026,12,30)),ROW(Expenses!A$3:A$999)-2),5)),"")&lt;&gt;"",IFERROR(INDEX(Expenses!B$3:B$999,SMALL(IF((Expenses!E$3:E$999="GBP")*(Expenses!A$3:A$999=DATE(2026,12,30)),ROW(Expenses!A$3:A$999)-2),5)),""),IF(IFERROR(INDEX(Income!B$3:B$502,SMALL(IF((Income!D$3:D$502="GBP")*(Income!A$3:A$502=DATE(2026,12,30)),ROW(Income!A$3:A$502)-2),5)),"")&lt;&gt;"",IFERROR(INDEX(Income!B$3:B$502,SMALL(IF((Income!D$3:D$502="GBP")*(Income!A$3:A$502=DATE(2026,12,30)),ROW(Income!A$3:A$502)-2),5)),""),""))</f>
        <v/>
      </c>
      <c r="I268" s="152">
        <f t="array" ref="I268">IF(IFERROR(-INDEX(Expenses!D$3:D$999,SMALL(IF((Expenses!E$3:E$999="GBP")*(Expenses!A$3:A$999=DATE(2026,12,31)),ROW(Expenses!A$3:A$999)-2),5)),0)+IFERROR(INDEX(Income!C$3:C$502,SMALL(IF((Income!D$3:D$502="GBP")*(Income!A$3:A$502=DATE(2026,12,31)),ROW(Income!A$3:A$502)-2),5)),0)=0,"",IFERROR(-INDEX(Expenses!D$3:D$999,SMALL(IF((Expenses!E$3:E$999="GBP")*(Expenses!A$3:A$999=DATE(2026,12,31)),ROW(Expenses!A$3:A$999)-2),5)),0)+IFERROR(INDEX(Income!C$3:C$502,SMALL(IF((Income!D$3:D$502="GBP")*(Income!A$3:A$502=DATE(2026,12,31)),ROW(Income!A$3:A$502)-2),5)),0))</f>
        <v/>
      </c>
      <c r="J268" s="126">
        <f t="array" ref="J268">IF(IFERROR(INDEX(Expenses!B$3:B$999,SMALL(IF((Expenses!E$3:E$999="GBP")*(Expenses!A$3:A$999=DATE(2026,12,31)),ROW(Expenses!A$3:A$999)-2),5)),"")&lt;&gt;"",IFERROR(INDEX(Expenses!B$3:B$999,SMALL(IF((Expenses!E$3:E$999="GBP")*(Expenses!A$3:A$999=DATE(2026,12,31)),ROW(Expenses!A$3:A$999)-2),5)),""),IF(IFERROR(INDEX(Income!B$3:B$502,SMALL(IF((Income!D$3:D$502="GBP")*(Income!A$3:A$502=DATE(2026,12,31)),ROW(Income!A$3:A$502)-2),5)),"")&lt;&gt;"",IFERROR(INDEX(Income!B$3:B$502,SMALL(IF((Income!D$3:D$502="GBP")*(Income!A$3:A$502=DATE(2026,12,31)),ROW(Income!A$3:A$502)-2),5)),""),""))</f>
        <v/>
      </c>
      <c r="K268" s="152">
        <f t="array" ref="K268">IF(IFERROR(-INDEX(Expenses!D$3:D$999,SMALL(IF((Expenses!E$3:E$999="GBP")*(Expenses!A$3:A$999=DATE(2027,1,1)),ROW(Expenses!A$3:A$999)-2),5)),0)+IFERROR(INDEX(Income!C$3:C$502,SMALL(IF((Income!D$3:D$502="GBP")*(Income!A$3:A$502=DATE(2027,1,1)),ROW(Income!A$3:A$502)-2),5)),0)=0,"",IFERROR(-INDEX(Expenses!D$3:D$999,SMALL(IF((Expenses!E$3:E$999="GBP")*(Expenses!A$3:A$999=DATE(2027,1,1)),ROW(Expenses!A$3:A$999)-2),5)),0)+IFERROR(INDEX(Income!C$3:C$502,SMALL(IF((Income!D$3:D$502="GBP")*(Income!A$3:A$502=DATE(2027,1,1)),ROW(Income!A$3:A$502)-2),5)),0))</f>
        <v/>
      </c>
      <c r="L268" s="126">
        <f t="array" ref="L268">IF(IFERROR(INDEX(Expenses!B$3:B$999,SMALL(IF((Expenses!E$3:E$999="GBP")*(Expenses!A$3:A$999=DATE(2027,1,1)),ROW(Expenses!A$3:A$999)-2),5)),"")&lt;&gt;"",IFERROR(INDEX(Expenses!B$3:B$999,SMALL(IF((Expenses!E$3:E$999="GBP")*(Expenses!A$3:A$999=DATE(2027,1,1)),ROW(Expenses!A$3:A$999)-2),5)),""),IF(IFERROR(INDEX(Income!B$3:B$502,SMALL(IF((Income!D$3:D$502="GBP")*(Income!A$3:A$502=DATE(2027,1,1)),ROW(Income!A$3:A$502)-2),5)),"")&lt;&gt;"",IFERROR(INDEX(Income!B$3:B$502,SMALL(IF((Income!D$3:D$502="GBP")*(Income!A$3:A$502=DATE(2027,1,1)),ROW(Income!A$3:A$502)-2),5)),""),""))</f>
        <v/>
      </c>
      <c r="M268" s="152">
        <f t="array" ref="M268">IF(IFERROR(-INDEX(Expenses!D$3:D$999,SMALL(IF((Expenses!E$3:E$999="GBP")*(Expenses!A$3:A$999=DATE(2027,1,2)),ROW(Expenses!A$3:A$999)-2),5)),0)+IFERROR(INDEX(Income!C$3:C$502,SMALL(IF((Income!D$3:D$502="GBP")*(Income!A$3:A$502=DATE(2027,1,2)),ROW(Income!A$3:A$502)-2),5)),0)=0,"",IFERROR(-INDEX(Expenses!D$3:D$999,SMALL(IF((Expenses!E$3:E$999="GBP")*(Expenses!A$3:A$999=DATE(2027,1,2)),ROW(Expenses!A$3:A$999)-2),5)),0)+IFERROR(INDEX(Income!C$3:C$502,SMALL(IF((Income!D$3:D$502="GBP")*(Income!A$3:A$502=DATE(2027,1,2)),ROW(Income!A$3:A$502)-2),5)),0))</f>
        <v/>
      </c>
      <c r="N268" s="126">
        <f t="array" ref="N268">IF(IFERROR(INDEX(Expenses!B$3:B$999,SMALL(IF((Expenses!E$3:E$999="GBP")*(Expenses!A$3:A$999=DATE(2027,1,2)),ROW(Expenses!A$3:A$999)-2),5)),"")&lt;&gt;"",IFERROR(INDEX(Expenses!B$3:B$999,SMALL(IF((Expenses!E$3:E$999="GBP")*(Expenses!A$3:A$999=DATE(2027,1,2)),ROW(Expenses!A$3:A$999)-2),5)),""),IF(IFERROR(INDEX(Income!B$3:B$502,SMALL(IF((Income!D$3:D$502="GBP")*(Income!A$3:A$502=DATE(2027,1,2)),ROW(Income!A$3:A$502)-2),5)),"")&lt;&gt;"",IFERROR(INDEX(Income!B$3:B$502,SMALL(IF((Income!D$3:D$502="GBP")*(Income!A$3:A$502=DATE(2027,1,2)),ROW(Income!A$3:A$502)-2),5)),""),""))</f>
        <v/>
      </c>
      <c r="O268" s="152">
        <f t="array" ref="O268">IF(IFERROR(-INDEX(Expenses!D$3:D$999,SMALL(IF((Expenses!E$3:E$999="GBP")*(Expenses!A$3:A$999=DATE(2027,1,3)),ROW(Expenses!A$3:A$999)-2),5)),0)+IFERROR(INDEX(Income!C$3:C$502,SMALL(IF((Income!D$3:D$502="GBP")*(Income!A$3:A$502=DATE(2027,1,3)),ROW(Income!A$3:A$502)-2),5)),0)=0,"",IFERROR(-INDEX(Expenses!D$3:D$999,SMALL(IF((Expenses!E$3:E$999="GBP")*(Expenses!A$3:A$999=DATE(2027,1,3)),ROW(Expenses!A$3:A$999)-2),5)),0)+IFERROR(INDEX(Income!C$3:C$502,SMALL(IF((Income!D$3:D$502="GBP")*(Income!A$3:A$502=DATE(2027,1,3)),ROW(Income!A$3:A$502)-2),5)),0))</f>
        <v/>
      </c>
      <c r="P268" s="126">
        <f t="array" ref="P268">IF(IFERROR(INDEX(Expenses!B$3:B$999,SMALL(IF((Expenses!E$3:E$999="GBP")*(Expenses!A$3:A$999=DATE(2027,1,3)),ROW(Expenses!A$3:A$999)-2),5)),"")&lt;&gt;"",IFERROR(INDEX(Expenses!B$3:B$999,SMALL(IF((Expenses!E$3:E$999="GBP")*(Expenses!A$3:A$999=DATE(2027,1,3)),ROW(Expenses!A$3:A$999)-2),5)),""),IF(IFERROR(INDEX(Income!B$3:B$502,SMALL(IF((Income!D$3:D$502="GBP")*(Income!A$3:A$502=DATE(2027,1,3)),ROW(Income!A$3:A$502)-2),5)),"")&lt;&gt;"",IFERROR(INDEX(Income!B$3:B$502,SMALL(IF((Income!D$3:D$502="GBP")*(Income!A$3:A$502=DATE(2027,1,3)),ROW(Income!A$3:A$502)-2),5)),""),""))</f>
        <v/>
      </c>
      <c r="Q268" s="9" t="n"/>
      <c r="R268" s="9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6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6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6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6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6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6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6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6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6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6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6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6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6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6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6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6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6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6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6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6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6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6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6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6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6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6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6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6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6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6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6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6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6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6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6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6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6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6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6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6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6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6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6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6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6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6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6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6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6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6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6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6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6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6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6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6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6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6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6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6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6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6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6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6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6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6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6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6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6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6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6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6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6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6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6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6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6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6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6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6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6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6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6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6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6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6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6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6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6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6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6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6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6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6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6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6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6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6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6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6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6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6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6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6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6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6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6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6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6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6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6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6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6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6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6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6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6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6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6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6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6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6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6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6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6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6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6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6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6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6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6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6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6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6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6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6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6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6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6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6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6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6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6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6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6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6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6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6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6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6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6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6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6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6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6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6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6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6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6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6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6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6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6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6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6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6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6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6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6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6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6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6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6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6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6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6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6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6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6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6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6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6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6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6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6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6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6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6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6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6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6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6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6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6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6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6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6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6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6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6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6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6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6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6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6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6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6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6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6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6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6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6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6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6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6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6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6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6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6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6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6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6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6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6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6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6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6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6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6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6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6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6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6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6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6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6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6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6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6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6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6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6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6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6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6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6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6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6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6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6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6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6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6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6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6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6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6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6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6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6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6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6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6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6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6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6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6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6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6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6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6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6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6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6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6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6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6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6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6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6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6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6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6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6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6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6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6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6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6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6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6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6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6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6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6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6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6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6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6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6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6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6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6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6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6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6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6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6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6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6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6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6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6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6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6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6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6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6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6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6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6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6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6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6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6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6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6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6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6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6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6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6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6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6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6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6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6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6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6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6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6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6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6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6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6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6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6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6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6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6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6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6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6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6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6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6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6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6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6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6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6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6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6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6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6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6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6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6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6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6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6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6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6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6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6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6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6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6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6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6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6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6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6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6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6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6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6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6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6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6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6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6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6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6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6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6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6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6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6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6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6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6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6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6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6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6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6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6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6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6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6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6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6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6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6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6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6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6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6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6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6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6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6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6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6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6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6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6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6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6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6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6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6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6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6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6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6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6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6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6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6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6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6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6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6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6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6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6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6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6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6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6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6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6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6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6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6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6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6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6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6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6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6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6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6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6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6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6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6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6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6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6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6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6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6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6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6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6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6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6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6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6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6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6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6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6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6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6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6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6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6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6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6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6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6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6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6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6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6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6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6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6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6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6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6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6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6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6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6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6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6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6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6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6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6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6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6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6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6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6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6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6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6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6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6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6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6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6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6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6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6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6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6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6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6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6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6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6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6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6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6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6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6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6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6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6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6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6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6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6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6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6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6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6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6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6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6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6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6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6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6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6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6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6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6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6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6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6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6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6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6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6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6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6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6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6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6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6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6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6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6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6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6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6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6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6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6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6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6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6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6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6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6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6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6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6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6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6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6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6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6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6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6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6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6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6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6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6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6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6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6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6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6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6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6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6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6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6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6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6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6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6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6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6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6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6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6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6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6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6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6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6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6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6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6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6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6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6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6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6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6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6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6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6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6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6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6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6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6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6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6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6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6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6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6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6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6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6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6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6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6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6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6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6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6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6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6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6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6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6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6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6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6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6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6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6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6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6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6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6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6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6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6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6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6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6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6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6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6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6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6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6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6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6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6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6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6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6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6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6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6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6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6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6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6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6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6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6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6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6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6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6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6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6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6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6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6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6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6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6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6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6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6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6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6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8">
    <mergeCell ref="O2:P2"/>
    <mergeCell ref="M2:N2"/>
    <mergeCell ref="C2:D2"/>
    <mergeCell ref="G2:H2"/>
    <mergeCell ref="E2:F2"/>
    <mergeCell ref="K2:L2"/>
    <mergeCell ref="I2:J2"/>
    <mergeCell ref="A1:R1"/>
  </mergeCells>
  <conditionalFormatting sqref="C4:C1000">
    <cfRule type="cellIs" priority="1" operator="lessThan" dxfId="7">
      <formula>0</formula>
    </cfRule>
    <cfRule type="cellIs" priority="2" operator="greaterThan" dxfId="6">
      <formula>0</formula>
    </cfRule>
  </conditionalFormatting>
  <conditionalFormatting sqref="E4:E1000">
    <cfRule type="cellIs" priority="3" operator="lessThan" dxfId="7">
      <formula>0</formula>
    </cfRule>
    <cfRule type="cellIs" priority="4" operator="greaterThan" dxfId="6">
      <formula>0</formula>
    </cfRule>
  </conditionalFormatting>
  <conditionalFormatting sqref="G4:G1000">
    <cfRule type="cellIs" priority="5" operator="lessThan" dxfId="7">
      <formula>0</formula>
    </cfRule>
    <cfRule type="cellIs" priority="6" operator="greaterThan" dxfId="6">
      <formula>0</formula>
    </cfRule>
  </conditionalFormatting>
  <conditionalFormatting sqref="I4:I1000">
    <cfRule type="cellIs" priority="7" operator="lessThan" dxfId="7">
      <formula>0</formula>
    </cfRule>
    <cfRule type="cellIs" priority="8" operator="greaterThan" dxfId="6">
      <formula>0</formula>
    </cfRule>
  </conditionalFormatting>
  <conditionalFormatting sqref="K4:K1000">
    <cfRule type="cellIs" priority="9" operator="lessThan" dxfId="7">
      <formula>0</formula>
    </cfRule>
    <cfRule type="cellIs" priority="10" operator="greaterThan" dxfId="6">
      <formula>0</formula>
    </cfRule>
  </conditionalFormatting>
  <conditionalFormatting sqref="M4:M1000">
    <cfRule type="cellIs" priority="11" operator="lessThan" dxfId="7">
      <formula>0</formula>
    </cfRule>
    <cfRule type="cellIs" priority="12" operator="greaterThan" dxfId="6">
      <formula>0</formula>
    </cfRule>
  </conditionalFormatting>
  <conditionalFormatting sqref="O4:O1000">
    <cfRule type="cellIs" priority="13" operator="lessThan" dxfId="7">
      <formula>0</formula>
    </cfRule>
    <cfRule type="cellIs" priority="14" operator="greaterThan" dxfId="6">
      <formula>0</formula>
    </cfRule>
  </conditionalFormatting>
  <conditionalFormatting sqref="R4:R1000">
    <cfRule type="cellIs" priority="15" operator="lessThan" dxfId="7">
      <formula>0</formula>
    </cfRule>
    <cfRule type="cellIs" priority="16" operator="greaterThanOrEqual" dxfId="6">
      <formula>0</formula>
    </cfRule>
  </conditionalFormatting>
  <pageMargins left="0.75" right="0.75" top="1" bottom="1" header="0" footer="0"/>
  <pageSetup orientation="portrait" paperSize="9"/>
</worksheet>
</file>

<file path=xl/worksheets/sheet14.xml><?xml version="1.0" encoding="utf-8"?>
<worksheet xmlns="http://schemas.openxmlformats.org/spreadsheetml/2006/main">
  <sheetPr>
    <tabColor rgb="FFFF660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168" min="1" max="1"/>
    <col width="7" customWidth="1" style="168" min="2" max="2"/>
    <col width="12" customWidth="1" style="168" min="3" max="3"/>
    <col width="16" customWidth="1" style="168" min="4" max="4"/>
    <col width="12" customWidth="1" style="168" min="5" max="5"/>
    <col width="16" customWidth="1" style="168" min="6" max="6"/>
    <col width="12" customWidth="1" style="168" min="7" max="7"/>
    <col width="16" customWidth="1" style="168" min="8" max="8"/>
    <col width="12" customWidth="1" style="168" min="9" max="9"/>
    <col width="16" customWidth="1" style="168" min="10" max="10"/>
    <col width="12" customWidth="1" style="168" min="11" max="11"/>
    <col width="16" customWidth="1" style="168" min="12" max="12"/>
    <col width="12" customWidth="1" style="168" min="13" max="13"/>
    <col width="16" customWidth="1" style="168" min="14" max="14"/>
    <col width="12" customWidth="1" style="168" min="15" max="15"/>
    <col width="16" customWidth="1" style="168" min="16" max="16"/>
    <col width="8" customWidth="1" style="168" min="17" max="17"/>
    <col width="14" customWidth="1" style="168" min="18" max="18"/>
  </cols>
  <sheetData>
    <row r="1">
      <c r="A1" s="101" t="inlineStr">
        <is>
          <t>ITEMISED WEEKLY VIEW (INR)</t>
        </is>
      </c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35" t="inlineStr">
        <is>
          <t>Week
Commencing</t>
        </is>
      </c>
      <c r="B2" s="147" t="inlineStr">
        <is>
          <t>Week</t>
        </is>
      </c>
      <c r="C2" s="147" t="inlineStr">
        <is>
          <t>Monday</t>
        </is>
      </c>
      <c r="D2" s="197" t="n"/>
      <c r="E2" s="147" t="inlineStr">
        <is>
          <t>Tuesday</t>
        </is>
      </c>
      <c r="F2" s="197" t="n"/>
      <c r="G2" s="147" t="inlineStr">
        <is>
          <t>Wednesday</t>
        </is>
      </c>
      <c r="H2" s="197" t="n"/>
      <c r="I2" s="147" t="inlineStr">
        <is>
          <t>Thursday</t>
        </is>
      </c>
      <c r="J2" s="197" t="n"/>
      <c r="K2" s="147" t="inlineStr">
        <is>
          <t>Friday</t>
        </is>
      </c>
      <c r="L2" s="197" t="n"/>
      <c r="M2" s="147" t="inlineStr">
        <is>
          <t>Saturday</t>
        </is>
      </c>
      <c r="N2" s="197" t="n"/>
      <c r="O2" s="147" t="inlineStr">
        <is>
          <t>Sunday</t>
        </is>
      </c>
      <c r="P2" s="197" t="n"/>
      <c r="Q2" s="135" t="inlineStr">
        <is>
          <t>Week
No</t>
        </is>
      </c>
      <c r="R2" s="135" t="inlineStr">
        <is>
          <t>Total for
Week</t>
        </is>
      </c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49" t="n"/>
      <c r="B3" s="149" t="n"/>
      <c r="C3" s="150" t="inlineStr">
        <is>
          <t>Amount</t>
        </is>
      </c>
      <c r="D3" s="150" t="inlineStr">
        <is>
          <t>Description</t>
        </is>
      </c>
      <c r="E3" s="150" t="inlineStr">
        <is>
          <t>Amount</t>
        </is>
      </c>
      <c r="F3" s="150" t="inlineStr">
        <is>
          <t>Description</t>
        </is>
      </c>
      <c r="G3" s="150" t="inlineStr">
        <is>
          <t>Amount</t>
        </is>
      </c>
      <c r="H3" s="150" t="inlineStr">
        <is>
          <t>Description</t>
        </is>
      </c>
      <c r="I3" s="150" t="inlineStr">
        <is>
          <t>Amount</t>
        </is>
      </c>
      <c r="J3" s="150" t="inlineStr">
        <is>
          <t>Description</t>
        </is>
      </c>
      <c r="K3" s="150" t="inlineStr">
        <is>
          <t>Amount</t>
        </is>
      </c>
      <c r="L3" s="150" t="inlineStr">
        <is>
          <t>Description</t>
        </is>
      </c>
      <c r="M3" s="150" t="inlineStr">
        <is>
          <t>Amount</t>
        </is>
      </c>
      <c r="N3" s="150" t="inlineStr">
        <is>
          <t>Description</t>
        </is>
      </c>
      <c r="O3" s="150" t="inlineStr">
        <is>
          <t>Amount</t>
        </is>
      </c>
      <c r="P3" s="150" t="inlineStr">
        <is>
          <t>Description</t>
        </is>
      </c>
      <c r="Q3" s="149" t="n"/>
      <c r="R3" s="149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51" t="n">
        <v>46020</v>
      </c>
      <c r="B4" s="103" t="n">
        <v>1</v>
      </c>
      <c r="C4" s="153">
        <f t="array" ref="C4">IF(IFERROR(-INDEX(Expenses!D$3:D$999,SMALL(IF((Expenses!E$3:E$999="INR")*(Expenses!A$3:A$999=DATE(2025,12,29)),ROW(Expenses!A$3:A$999)-2),1)),0)+IFERROR(INDEX(Income!C$3:C$502,SMALL(IF((Income!D$3:D$502="INR")*(Income!A$3:A$502=DATE(2025,12,29)),ROW(Income!A$3:A$502)-2),1)),0)=0,"",IFERROR(-INDEX(Expenses!D$3:D$999,SMALL(IF((Expenses!E$3:E$999="INR")*(Expenses!A$3:A$999=DATE(2025,12,29)),ROW(Expenses!A$3:A$999)-2),1)),0)+IFERROR(INDEX(Income!C$3:C$502,SMALL(IF((Income!D$3:D$502="INR")*(Income!A$3:A$502=DATE(2025,12,29)),ROW(Income!A$3:A$502)-2),1)),0))</f>
        <v/>
      </c>
      <c r="D4" s="126">
        <f t="array" ref="D4">IF(IFERROR(INDEX(Expenses!B$3:B$999,SMALL(IF((Expenses!E$3:E$999="INR")*(Expenses!A$3:A$999=DATE(2025,12,29)),ROW(Expenses!A$3:A$999)-2),1)),"")&lt;&gt;"",IFERROR(INDEX(Expenses!B$3:B$999,SMALL(IF((Expenses!E$3:E$999="INR")*(Expenses!A$3:A$999=DATE(2025,12,29)),ROW(Expenses!A$3:A$999)-2),1)),""),IF(IFERROR(INDEX(Income!B$3:B$502,SMALL(IF((Income!D$3:D$502="INR")*(Income!A$3:A$502=DATE(2025,12,29)),ROW(Income!A$3:A$502)-2),1)),"")&lt;&gt;"",IFERROR(INDEX(Income!B$3:B$502,SMALL(IF((Income!D$3:D$502="INR")*(Income!A$3:A$502=DATE(2025,12,29)),ROW(Income!A$3:A$502)-2),1)),""),""))</f>
        <v/>
      </c>
      <c r="E4" s="153">
        <f t="array" ref="E4">IF(IFERROR(-INDEX(Expenses!D$3:D$999,SMALL(IF((Expenses!E$3:E$999="INR")*(Expenses!A$3:A$999=DATE(2025,12,30)),ROW(Expenses!A$3:A$999)-2),1)),0)+IFERROR(INDEX(Income!C$3:C$502,SMALL(IF((Income!D$3:D$502="INR")*(Income!A$3:A$502=DATE(2025,12,30)),ROW(Income!A$3:A$502)-2),1)),0)=0,"",IFERROR(-INDEX(Expenses!D$3:D$999,SMALL(IF((Expenses!E$3:E$999="INR")*(Expenses!A$3:A$999=DATE(2025,12,30)),ROW(Expenses!A$3:A$999)-2),1)),0)+IFERROR(INDEX(Income!C$3:C$502,SMALL(IF((Income!D$3:D$502="INR")*(Income!A$3:A$502=DATE(2025,12,30)),ROW(Income!A$3:A$502)-2),1)),0))</f>
        <v/>
      </c>
      <c r="F4" s="126">
        <f t="array" ref="F4">IF(IFERROR(INDEX(Expenses!B$3:B$999,SMALL(IF((Expenses!E$3:E$999="INR")*(Expenses!A$3:A$999=DATE(2025,12,30)),ROW(Expenses!A$3:A$999)-2),1)),"")&lt;&gt;"",IFERROR(INDEX(Expenses!B$3:B$999,SMALL(IF((Expenses!E$3:E$999="INR")*(Expenses!A$3:A$999=DATE(2025,12,30)),ROW(Expenses!A$3:A$999)-2),1)),""),IF(IFERROR(INDEX(Income!B$3:B$502,SMALL(IF((Income!D$3:D$502="INR")*(Income!A$3:A$502=DATE(2025,12,30)),ROW(Income!A$3:A$502)-2),1)),"")&lt;&gt;"",IFERROR(INDEX(Income!B$3:B$502,SMALL(IF((Income!D$3:D$502="INR")*(Income!A$3:A$502=DATE(2025,12,30)),ROW(Income!A$3:A$502)-2),1)),""),""))</f>
        <v/>
      </c>
      <c r="G4" s="153">
        <f t="array" ref="G4">IF(IFERROR(-INDEX(Expenses!D$3:D$999,SMALL(IF((Expenses!E$3:E$999="INR")*(Expenses!A$3:A$999=DATE(2025,12,31)),ROW(Expenses!A$3:A$999)-2),1)),0)+IFERROR(INDEX(Income!C$3:C$502,SMALL(IF((Income!D$3:D$502="INR")*(Income!A$3:A$502=DATE(2025,12,31)),ROW(Income!A$3:A$502)-2),1)),0)=0,"",IFERROR(-INDEX(Expenses!D$3:D$999,SMALL(IF((Expenses!E$3:E$999="INR")*(Expenses!A$3:A$999=DATE(2025,12,31)),ROW(Expenses!A$3:A$999)-2),1)),0)+IFERROR(INDEX(Income!C$3:C$502,SMALL(IF((Income!D$3:D$502="INR")*(Income!A$3:A$502=DATE(2025,12,31)),ROW(Income!A$3:A$502)-2),1)),0))</f>
        <v/>
      </c>
      <c r="H4" s="126">
        <f t="array" ref="H4">IF(IFERROR(INDEX(Expenses!B$3:B$999,SMALL(IF((Expenses!E$3:E$999="INR")*(Expenses!A$3:A$999=DATE(2025,12,31)),ROW(Expenses!A$3:A$999)-2),1)),"")&lt;&gt;"",IFERROR(INDEX(Expenses!B$3:B$999,SMALL(IF((Expenses!E$3:E$999="INR")*(Expenses!A$3:A$999=DATE(2025,12,31)),ROW(Expenses!A$3:A$999)-2),1)),""),IF(IFERROR(INDEX(Income!B$3:B$502,SMALL(IF((Income!D$3:D$502="INR")*(Income!A$3:A$502=DATE(2025,12,31)),ROW(Income!A$3:A$502)-2),1)),"")&lt;&gt;"",IFERROR(INDEX(Income!B$3:B$502,SMALL(IF((Income!D$3:D$502="INR")*(Income!A$3:A$502=DATE(2025,12,31)),ROW(Income!A$3:A$502)-2),1)),""),""))</f>
        <v/>
      </c>
      <c r="I4" s="153">
        <f t="array" ref="I4">IF(IFERROR(-INDEX(Expenses!D$3:D$999,SMALL(IF((Expenses!E$3:E$999="INR")*(Expenses!A$3:A$999=DATE(2026,1,1)),ROW(Expenses!A$3:A$999)-2),1)),0)+IFERROR(INDEX(Income!C$3:C$502,SMALL(IF((Income!D$3:D$502="INR")*(Income!A$3:A$502=DATE(2026,1,1)),ROW(Income!A$3:A$502)-2),1)),0)=0,"",IFERROR(-INDEX(Expenses!D$3:D$999,SMALL(IF((Expenses!E$3:E$999="INR")*(Expenses!A$3:A$999=DATE(2026,1,1)),ROW(Expenses!A$3:A$999)-2),1)),0)+IFERROR(INDEX(Income!C$3:C$502,SMALL(IF((Income!D$3:D$502="INR")*(Income!A$3:A$502=DATE(2026,1,1)),ROW(Income!A$3:A$502)-2),1)),0))</f>
        <v/>
      </c>
      <c r="J4" s="126">
        <f t="array" ref="J4">IF(IFERROR(INDEX(Expenses!B$3:B$999,SMALL(IF((Expenses!E$3:E$999="INR")*(Expenses!A$3:A$999=DATE(2026,1,1)),ROW(Expenses!A$3:A$999)-2),1)),"")&lt;&gt;"",IFERROR(INDEX(Expenses!B$3:B$999,SMALL(IF((Expenses!E$3:E$999="INR")*(Expenses!A$3:A$999=DATE(2026,1,1)),ROW(Expenses!A$3:A$999)-2),1)),""),IF(IFERROR(INDEX(Income!B$3:B$502,SMALL(IF((Income!D$3:D$502="INR")*(Income!A$3:A$502=DATE(2026,1,1)),ROW(Income!A$3:A$502)-2),1)),"")&lt;&gt;"",IFERROR(INDEX(Income!B$3:B$502,SMALL(IF((Income!D$3:D$502="INR")*(Income!A$3:A$502=DATE(2026,1,1)),ROW(Income!A$3:A$502)-2),1)),""),""))</f>
        <v/>
      </c>
      <c r="K4" s="153">
        <f t="array" ref="K4">IF(IFERROR(-INDEX(Expenses!D$3:D$999,SMALL(IF((Expenses!E$3:E$999="INR")*(Expenses!A$3:A$999=DATE(2026,1,2)),ROW(Expenses!A$3:A$999)-2),1)),0)+IFERROR(INDEX(Income!C$3:C$502,SMALL(IF((Income!D$3:D$502="INR")*(Income!A$3:A$502=DATE(2026,1,2)),ROW(Income!A$3:A$502)-2),1)),0)=0,"",IFERROR(-INDEX(Expenses!D$3:D$999,SMALL(IF((Expenses!E$3:E$999="INR")*(Expenses!A$3:A$999=DATE(2026,1,2)),ROW(Expenses!A$3:A$999)-2),1)),0)+IFERROR(INDEX(Income!C$3:C$502,SMALL(IF((Income!D$3:D$502="INR")*(Income!A$3:A$502=DATE(2026,1,2)),ROW(Income!A$3:A$502)-2),1)),0))</f>
        <v/>
      </c>
      <c r="L4" s="126">
        <f t="array" ref="L4">IF(IFERROR(INDEX(Expenses!B$3:B$999,SMALL(IF((Expenses!E$3:E$999="INR")*(Expenses!A$3:A$999=DATE(2026,1,2)),ROW(Expenses!A$3:A$999)-2),1)),"")&lt;&gt;"",IFERROR(INDEX(Expenses!B$3:B$999,SMALL(IF((Expenses!E$3:E$999="INR")*(Expenses!A$3:A$999=DATE(2026,1,2)),ROW(Expenses!A$3:A$999)-2),1)),""),IF(IFERROR(INDEX(Income!B$3:B$502,SMALL(IF((Income!D$3:D$502="INR")*(Income!A$3:A$502=DATE(2026,1,2)),ROW(Income!A$3:A$502)-2),1)),"")&lt;&gt;"",IFERROR(INDEX(Income!B$3:B$502,SMALL(IF((Income!D$3:D$502="INR")*(Income!A$3:A$502=DATE(2026,1,2)),ROW(Income!A$3:A$502)-2),1)),""),""))</f>
        <v/>
      </c>
      <c r="M4" s="153">
        <f t="array" ref="M4">IF(IFERROR(-INDEX(Expenses!D$3:D$999,SMALL(IF((Expenses!E$3:E$999="INR")*(Expenses!A$3:A$999=DATE(2026,1,3)),ROW(Expenses!A$3:A$999)-2),1)),0)+IFERROR(INDEX(Income!C$3:C$502,SMALL(IF((Income!D$3:D$502="INR")*(Income!A$3:A$502=DATE(2026,1,3)),ROW(Income!A$3:A$502)-2),1)),0)=0,"",IFERROR(-INDEX(Expenses!D$3:D$999,SMALL(IF((Expenses!E$3:E$999="INR")*(Expenses!A$3:A$999=DATE(2026,1,3)),ROW(Expenses!A$3:A$999)-2),1)),0)+IFERROR(INDEX(Income!C$3:C$502,SMALL(IF((Income!D$3:D$502="INR")*(Income!A$3:A$502=DATE(2026,1,3)),ROW(Income!A$3:A$502)-2),1)),0))</f>
        <v/>
      </c>
      <c r="N4" s="126">
        <f t="array" ref="N4">IF(IFERROR(INDEX(Expenses!B$3:B$999,SMALL(IF((Expenses!E$3:E$999="INR")*(Expenses!A$3:A$999=DATE(2026,1,3)),ROW(Expenses!A$3:A$999)-2),1)),"")&lt;&gt;"",IFERROR(INDEX(Expenses!B$3:B$999,SMALL(IF((Expenses!E$3:E$999="INR")*(Expenses!A$3:A$999=DATE(2026,1,3)),ROW(Expenses!A$3:A$999)-2),1)),""),IF(IFERROR(INDEX(Income!B$3:B$502,SMALL(IF((Income!D$3:D$502="INR")*(Income!A$3:A$502=DATE(2026,1,3)),ROW(Income!A$3:A$502)-2),1)),"")&lt;&gt;"",IFERROR(INDEX(Income!B$3:B$502,SMALL(IF((Income!D$3:D$502="INR")*(Income!A$3:A$502=DATE(2026,1,3)),ROW(Income!A$3:A$502)-2),1)),""),""))</f>
        <v/>
      </c>
      <c r="O4" s="153">
        <f t="array" ref="O4">IF(IFERROR(-INDEX(Expenses!D$3:D$999,SMALL(IF((Expenses!E$3:E$999="INR")*(Expenses!A$3:A$999=DATE(2026,1,4)),ROW(Expenses!A$3:A$999)-2),1)),0)+IFERROR(INDEX(Income!C$3:C$502,SMALL(IF((Income!D$3:D$502="INR")*(Income!A$3:A$502=DATE(2026,1,4)),ROW(Income!A$3:A$502)-2),1)),0)=0,"",IFERROR(-INDEX(Expenses!D$3:D$999,SMALL(IF((Expenses!E$3:E$999="INR")*(Expenses!A$3:A$999=DATE(2026,1,4)),ROW(Expenses!A$3:A$999)-2),1)),0)+IFERROR(INDEX(Income!C$3:C$502,SMALL(IF((Income!D$3:D$502="INR")*(Income!A$3:A$502=DATE(2026,1,4)),ROW(Income!A$3:A$502)-2),1)),0))</f>
        <v/>
      </c>
      <c r="P4" s="126">
        <f t="array" ref="P4">IF(IFERROR(INDEX(Expenses!B$3:B$999,SMALL(IF((Expenses!E$3:E$999="INR")*(Expenses!A$3:A$999=DATE(2026,1,4)),ROW(Expenses!A$3:A$999)-2),1)),"")&lt;&gt;"",IFERROR(INDEX(Expenses!B$3:B$999,SMALL(IF((Expenses!E$3:E$999="INR")*(Expenses!A$3:A$999=DATE(2026,1,4)),ROW(Expenses!A$3:A$999)-2),1)),""),IF(IFERROR(INDEX(Income!B$3:B$502,SMALL(IF((Income!D$3:D$502="INR")*(Income!A$3:A$502=DATE(2026,1,4)),ROW(Income!A$3:A$502)-2),1)),"")&lt;&gt;"",IFERROR(INDEX(Income!B$3:B$502,SMALL(IF((Income!D$3:D$502="INR")*(Income!A$3:A$502=DATE(2026,1,4)),ROW(Income!A$3:A$502)-2),1)),""),""))</f>
        <v/>
      </c>
      <c r="Q4" s="103" t="n">
        <v>1</v>
      </c>
      <c r="R4" s="142">
        <f>SUM(C4:C8)+SUM(E4:E8)+SUM(G4:G8)+SUM(I4:I8)+SUM(K4:K8)+SUM(M4:M8)+SUM(O4:O8)</f>
        <v/>
      </c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9" t="n"/>
      <c r="B5" s="9" t="n"/>
      <c r="C5" s="153">
        <f t="array" ref="C5">IF(IFERROR(-INDEX(Expenses!D$3:D$999,SMALL(IF((Expenses!E$3:E$999="INR")*(Expenses!A$3:A$999=DATE(2025,12,29)),ROW(Expenses!A$3:A$999)-2),2)),0)+IFERROR(INDEX(Income!C$3:C$502,SMALL(IF((Income!D$3:D$502="INR")*(Income!A$3:A$502=DATE(2025,12,29)),ROW(Income!A$3:A$502)-2),2)),0)=0,"",IFERROR(-INDEX(Expenses!D$3:D$999,SMALL(IF((Expenses!E$3:E$999="INR")*(Expenses!A$3:A$999=DATE(2025,12,29)),ROW(Expenses!A$3:A$999)-2),2)),0)+IFERROR(INDEX(Income!C$3:C$502,SMALL(IF((Income!D$3:D$502="INR")*(Income!A$3:A$502=DATE(2025,12,29)),ROW(Income!A$3:A$502)-2),2)),0))</f>
        <v/>
      </c>
      <c r="D5" s="126">
        <f t="array" ref="D5">IF(IFERROR(INDEX(Expenses!B$3:B$999,SMALL(IF((Expenses!E$3:E$999="INR")*(Expenses!A$3:A$999=DATE(2025,12,29)),ROW(Expenses!A$3:A$999)-2),2)),"")&lt;&gt;"",IFERROR(INDEX(Expenses!B$3:B$999,SMALL(IF((Expenses!E$3:E$999="INR")*(Expenses!A$3:A$999=DATE(2025,12,29)),ROW(Expenses!A$3:A$999)-2),2)),""),IF(IFERROR(INDEX(Income!B$3:B$502,SMALL(IF((Income!D$3:D$502="INR")*(Income!A$3:A$502=DATE(2025,12,29)),ROW(Income!A$3:A$502)-2),2)),"")&lt;&gt;"",IFERROR(INDEX(Income!B$3:B$502,SMALL(IF((Income!D$3:D$502="INR")*(Income!A$3:A$502=DATE(2025,12,29)),ROW(Income!A$3:A$502)-2),2)),""),""))</f>
        <v/>
      </c>
      <c r="E5" s="153">
        <f t="array" ref="E5">IF(IFERROR(-INDEX(Expenses!D$3:D$999,SMALL(IF((Expenses!E$3:E$999="INR")*(Expenses!A$3:A$999=DATE(2025,12,30)),ROW(Expenses!A$3:A$999)-2),2)),0)+IFERROR(INDEX(Income!C$3:C$502,SMALL(IF((Income!D$3:D$502="INR")*(Income!A$3:A$502=DATE(2025,12,30)),ROW(Income!A$3:A$502)-2),2)),0)=0,"",IFERROR(-INDEX(Expenses!D$3:D$999,SMALL(IF((Expenses!E$3:E$999="INR")*(Expenses!A$3:A$999=DATE(2025,12,30)),ROW(Expenses!A$3:A$999)-2),2)),0)+IFERROR(INDEX(Income!C$3:C$502,SMALL(IF((Income!D$3:D$502="INR")*(Income!A$3:A$502=DATE(2025,12,30)),ROW(Income!A$3:A$502)-2),2)),0))</f>
        <v/>
      </c>
      <c r="F5" s="126">
        <f t="array" ref="F5">IF(IFERROR(INDEX(Expenses!B$3:B$999,SMALL(IF((Expenses!E$3:E$999="INR")*(Expenses!A$3:A$999=DATE(2025,12,30)),ROW(Expenses!A$3:A$999)-2),2)),"")&lt;&gt;"",IFERROR(INDEX(Expenses!B$3:B$999,SMALL(IF((Expenses!E$3:E$999="INR")*(Expenses!A$3:A$999=DATE(2025,12,30)),ROW(Expenses!A$3:A$999)-2),2)),""),IF(IFERROR(INDEX(Income!B$3:B$502,SMALL(IF((Income!D$3:D$502="INR")*(Income!A$3:A$502=DATE(2025,12,30)),ROW(Income!A$3:A$502)-2),2)),"")&lt;&gt;"",IFERROR(INDEX(Income!B$3:B$502,SMALL(IF((Income!D$3:D$502="INR")*(Income!A$3:A$502=DATE(2025,12,30)),ROW(Income!A$3:A$502)-2),2)),""),""))</f>
        <v/>
      </c>
      <c r="G5" s="153">
        <f t="array" ref="G5">IF(IFERROR(-INDEX(Expenses!D$3:D$999,SMALL(IF((Expenses!E$3:E$999="INR")*(Expenses!A$3:A$999=DATE(2025,12,31)),ROW(Expenses!A$3:A$999)-2),2)),0)+IFERROR(INDEX(Income!C$3:C$502,SMALL(IF((Income!D$3:D$502="INR")*(Income!A$3:A$502=DATE(2025,12,31)),ROW(Income!A$3:A$502)-2),2)),0)=0,"",IFERROR(-INDEX(Expenses!D$3:D$999,SMALL(IF((Expenses!E$3:E$999="INR")*(Expenses!A$3:A$999=DATE(2025,12,31)),ROW(Expenses!A$3:A$999)-2),2)),0)+IFERROR(INDEX(Income!C$3:C$502,SMALL(IF((Income!D$3:D$502="INR")*(Income!A$3:A$502=DATE(2025,12,31)),ROW(Income!A$3:A$502)-2),2)),0))</f>
        <v/>
      </c>
      <c r="H5" s="126">
        <f t="array" ref="H5">IF(IFERROR(INDEX(Expenses!B$3:B$999,SMALL(IF((Expenses!E$3:E$999="INR")*(Expenses!A$3:A$999=DATE(2025,12,31)),ROW(Expenses!A$3:A$999)-2),2)),"")&lt;&gt;"",IFERROR(INDEX(Expenses!B$3:B$999,SMALL(IF((Expenses!E$3:E$999="INR")*(Expenses!A$3:A$999=DATE(2025,12,31)),ROW(Expenses!A$3:A$999)-2),2)),""),IF(IFERROR(INDEX(Income!B$3:B$502,SMALL(IF((Income!D$3:D$502="INR")*(Income!A$3:A$502=DATE(2025,12,31)),ROW(Income!A$3:A$502)-2),2)),"")&lt;&gt;"",IFERROR(INDEX(Income!B$3:B$502,SMALL(IF((Income!D$3:D$502="INR")*(Income!A$3:A$502=DATE(2025,12,31)),ROW(Income!A$3:A$502)-2),2)),""),""))</f>
        <v/>
      </c>
      <c r="I5" s="153">
        <f t="array" ref="I5">IF(IFERROR(-INDEX(Expenses!D$3:D$999,SMALL(IF((Expenses!E$3:E$999="INR")*(Expenses!A$3:A$999=DATE(2026,1,1)),ROW(Expenses!A$3:A$999)-2),2)),0)+IFERROR(INDEX(Income!C$3:C$502,SMALL(IF((Income!D$3:D$502="INR")*(Income!A$3:A$502=DATE(2026,1,1)),ROW(Income!A$3:A$502)-2),2)),0)=0,"",IFERROR(-INDEX(Expenses!D$3:D$999,SMALL(IF((Expenses!E$3:E$999="INR")*(Expenses!A$3:A$999=DATE(2026,1,1)),ROW(Expenses!A$3:A$999)-2),2)),0)+IFERROR(INDEX(Income!C$3:C$502,SMALL(IF((Income!D$3:D$502="INR")*(Income!A$3:A$502=DATE(2026,1,1)),ROW(Income!A$3:A$502)-2),2)),0))</f>
        <v/>
      </c>
      <c r="J5" s="126">
        <f t="array" ref="J5">IF(IFERROR(INDEX(Expenses!B$3:B$999,SMALL(IF((Expenses!E$3:E$999="INR")*(Expenses!A$3:A$999=DATE(2026,1,1)),ROW(Expenses!A$3:A$999)-2),2)),"")&lt;&gt;"",IFERROR(INDEX(Expenses!B$3:B$999,SMALL(IF((Expenses!E$3:E$999="INR")*(Expenses!A$3:A$999=DATE(2026,1,1)),ROW(Expenses!A$3:A$999)-2),2)),""),IF(IFERROR(INDEX(Income!B$3:B$502,SMALL(IF((Income!D$3:D$502="INR")*(Income!A$3:A$502=DATE(2026,1,1)),ROW(Income!A$3:A$502)-2),2)),"")&lt;&gt;"",IFERROR(INDEX(Income!B$3:B$502,SMALL(IF((Income!D$3:D$502="INR")*(Income!A$3:A$502=DATE(2026,1,1)),ROW(Income!A$3:A$502)-2),2)),""),""))</f>
        <v/>
      </c>
      <c r="K5" s="153">
        <f t="array" ref="K5">IF(IFERROR(-INDEX(Expenses!D$3:D$999,SMALL(IF((Expenses!E$3:E$999="INR")*(Expenses!A$3:A$999=DATE(2026,1,2)),ROW(Expenses!A$3:A$999)-2),2)),0)+IFERROR(INDEX(Income!C$3:C$502,SMALL(IF((Income!D$3:D$502="INR")*(Income!A$3:A$502=DATE(2026,1,2)),ROW(Income!A$3:A$502)-2),2)),0)=0,"",IFERROR(-INDEX(Expenses!D$3:D$999,SMALL(IF((Expenses!E$3:E$999="INR")*(Expenses!A$3:A$999=DATE(2026,1,2)),ROW(Expenses!A$3:A$999)-2),2)),0)+IFERROR(INDEX(Income!C$3:C$502,SMALL(IF((Income!D$3:D$502="INR")*(Income!A$3:A$502=DATE(2026,1,2)),ROW(Income!A$3:A$502)-2),2)),0))</f>
        <v/>
      </c>
      <c r="L5" s="126">
        <f t="array" ref="L5">IF(IFERROR(INDEX(Expenses!B$3:B$999,SMALL(IF((Expenses!E$3:E$999="INR")*(Expenses!A$3:A$999=DATE(2026,1,2)),ROW(Expenses!A$3:A$999)-2),2)),"")&lt;&gt;"",IFERROR(INDEX(Expenses!B$3:B$999,SMALL(IF((Expenses!E$3:E$999="INR")*(Expenses!A$3:A$999=DATE(2026,1,2)),ROW(Expenses!A$3:A$999)-2),2)),""),IF(IFERROR(INDEX(Income!B$3:B$502,SMALL(IF((Income!D$3:D$502="INR")*(Income!A$3:A$502=DATE(2026,1,2)),ROW(Income!A$3:A$502)-2),2)),"")&lt;&gt;"",IFERROR(INDEX(Income!B$3:B$502,SMALL(IF((Income!D$3:D$502="INR")*(Income!A$3:A$502=DATE(2026,1,2)),ROW(Income!A$3:A$502)-2),2)),""),""))</f>
        <v/>
      </c>
      <c r="M5" s="153">
        <f t="array" ref="M5">IF(IFERROR(-INDEX(Expenses!D$3:D$999,SMALL(IF((Expenses!E$3:E$999="INR")*(Expenses!A$3:A$999=DATE(2026,1,3)),ROW(Expenses!A$3:A$999)-2),2)),0)+IFERROR(INDEX(Income!C$3:C$502,SMALL(IF((Income!D$3:D$502="INR")*(Income!A$3:A$502=DATE(2026,1,3)),ROW(Income!A$3:A$502)-2),2)),0)=0,"",IFERROR(-INDEX(Expenses!D$3:D$999,SMALL(IF((Expenses!E$3:E$999="INR")*(Expenses!A$3:A$999=DATE(2026,1,3)),ROW(Expenses!A$3:A$999)-2),2)),0)+IFERROR(INDEX(Income!C$3:C$502,SMALL(IF((Income!D$3:D$502="INR")*(Income!A$3:A$502=DATE(2026,1,3)),ROW(Income!A$3:A$502)-2),2)),0))</f>
        <v/>
      </c>
      <c r="N5" s="126">
        <f t="array" ref="N5">IF(IFERROR(INDEX(Expenses!B$3:B$999,SMALL(IF((Expenses!E$3:E$999="INR")*(Expenses!A$3:A$999=DATE(2026,1,3)),ROW(Expenses!A$3:A$999)-2),2)),"")&lt;&gt;"",IFERROR(INDEX(Expenses!B$3:B$999,SMALL(IF((Expenses!E$3:E$999="INR")*(Expenses!A$3:A$999=DATE(2026,1,3)),ROW(Expenses!A$3:A$999)-2),2)),""),IF(IFERROR(INDEX(Income!B$3:B$502,SMALL(IF((Income!D$3:D$502="INR")*(Income!A$3:A$502=DATE(2026,1,3)),ROW(Income!A$3:A$502)-2),2)),"")&lt;&gt;"",IFERROR(INDEX(Income!B$3:B$502,SMALL(IF((Income!D$3:D$502="INR")*(Income!A$3:A$502=DATE(2026,1,3)),ROW(Income!A$3:A$502)-2),2)),""),""))</f>
        <v/>
      </c>
      <c r="O5" s="153">
        <f t="array" ref="O5">IF(IFERROR(-INDEX(Expenses!D$3:D$999,SMALL(IF((Expenses!E$3:E$999="INR")*(Expenses!A$3:A$999=DATE(2026,1,4)),ROW(Expenses!A$3:A$999)-2),2)),0)+IFERROR(INDEX(Income!C$3:C$502,SMALL(IF((Income!D$3:D$502="INR")*(Income!A$3:A$502=DATE(2026,1,4)),ROW(Income!A$3:A$502)-2),2)),0)=0,"",IFERROR(-INDEX(Expenses!D$3:D$999,SMALL(IF((Expenses!E$3:E$999="INR")*(Expenses!A$3:A$999=DATE(2026,1,4)),ROW(Expenses!A$3:A$999)-2),2)),0)+IFERROR(INDEX(Income!C$3:C$502,SMALL(IF((Income!D$3:D$502="INR")*(Income!A$3:A$502=DATE(2026,1,4)),ROW(Income!A$3:A$502)-2),2)),0))</f>
        <v/>
      </c>
      <c r="P5" s="126">
        <f t="array" ref="P5">IF(IFERROR(INDEX(Expenses!B$3:B$999,SMALL(IF((Expenses!E$3:E$999="INR")*(Expenses!A$3:A$999=DATE(2026,1,4)),ROW(Expenses!A$3:A$999)-2),2)),"")&lt;&gt;"",IFERROR(INDEX(Expenses!B$3:B$999,SMALL(IF((Expenses!E$3:E$999="INR")*(Expenses!A$3:A$999=DATE(2026,1,4)),ROW(Expenses!A$3:A$999)-2),2)),""),IF(IFERROR(INDEX(Income!B$3:B$502,SMALL(IF((Income!D$3:D$502="INR")*(Income!A$3:A$502=DATE(2026,1,4)),ROW(Income!A$3:A$502)-2),2)),"")&lt;&gt;"",IFERROR(INDEX(Income!B$3:B$502,SMALL(IF((Income!D$3:D$502="INR")*(Income!A$3:A$502=DATE(2026,1,4)),ROW(Income!A$3:A$502)-2),2)),""),""))</f>
        <v/>
      </c>
      <c r="Q5" s="9" t="n"/>
      <c r="R5" s="9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9" t="n"/>
      <c r="B6" s="9" t="n"/>
      <c r="C6" s="153">
        <f t="array" ref="C6">IF(IFERROR(-INDEX(Expenses!D$3:D$999,SMALL(IF((Expenses!E$3:E$999="INR")*(Expenses!A$3:A$999=DATE(2025,12,29)),ROW(Expenses!A$3:A$999)-2),3)),0)+IFERROR(INDEX(Income!C$3:C$502,SMALL(IF((Income!D$3:D$502="INR")*(Income!A$3:A$502=DATE(2025,12,29)),ROW(Income!A$3:A$502)-2),3)),0)=0,"",IFERROR(-INDEX(Expenses!D$3:D$999,SMALL(IF((Expenses!E$3:E$999="INR")*(Expenses!A$3:A$999=DATE(2025,12,29)),ROW(Expenses!A$3:A$999)-2),3)),0)+IFERROR(INDEX(Income!C$3:C$502,SMALL(IF((Income!D$3:D$502="INR")*(Income!A$3:A$502=DATE(2025,12,29)),ROW(Income!A$3:A$502)-2),3)),0))</f>
        <v/>
      </c>
      <c r="D6" s="126">
        <f t="array" ref="D6">IF(IFERROR(INDEX(Expenses!B$3:B$999,SMALL(IF((Expenses!E$3:E$999="INR")*(Expenses!A$3:A$999=DATE(2025,12,29)),ROW(Expenses!A$3:A$999)-2),3)),"")&lt;&gt;"",IFERROR(INDEX(Expenses!B$3:B$999,SMALL(IF((Expenses!E$3:E$999="INR")*(Expenses!A$3:A$999=DATE(2025,12,29)),ROW(Expenses!A$3:A$999)-2),3)),""),IF(IFERROR(INDEX(Income!B$3:B$502,SMALL(IF((Income!D$3:D$502="INR")*(Income!A$3:A$502=DATE(2025,12,29)),ROW(Income!A$3:A$502)-2),3)),"")&lt;&gt;"",IFERROR(INDEX(Income!B$3:B$502,SMALL(IF((Income!D$3:D$502="INR")*(Income!A$3:A$502=DATE(2025,12,29)),ROW(Income!A$3:A$502)-2),3)),""),""))</f>
        <v/>
      </c>
      <c r="E6" s="153">
        <f t="array" ref="E6">IF(IFERROR(-INDEX(Expenses!D$3:D$999,SMALL(IF((Expenses!E$3:E$999="INR")*(Expenses!A$3:A$999=DATE(2025,12,30)),ROW(Expenses!A$3:A$999)-2),3)),0)+IFERROR(INDEX(Income!C$3:C$502,SMALL(IF((Income!D$3:D$502="INR")*(Income!A$3:A$502=DATE(2025,12,30)),ROW(Income!A$3:A$502)-2),3)),0)=0,"",IFERROR(-INDEX(Expenses!D$3:D$999,SMALL(IF((Expenses!E$3:E$999="INR")*(Expenses!A$3:A$999=DATE(2025,12,30)),ROW(Expenses!A$3:A$999)-2),3)),0)+IFERROR(INDEX(Income!C$3:C$502,SMALL(IF((Income!D$3:D$502="INR")*(Income!A$3:A$502=DATE(2025,12,30)),ROW(Income!A$3:A$502)-2),3)),0))</f>
        <v/>
      </c>
      <c r="F6" s="126">
        <f t="array" ref="F6">IF(IFERROR(INDEX(Expenses!B$3:B$999,SMALL(IF((Expenses!E$3:E$999="INR")*(Expenses!A$3:A$999=DATE(2025,12,30)),ROW(Expenses!A$3:A$999)-2),3)),"")&lt;&gt;"",IFERROR(INDEX(Expenses!B$3:B$999,SMALL(IF((Expenses!E$3:E$999="INR")*(Expenses!A$3:A$999=DATE(2025,12,30)),ROW(Expenses!A$3:A$999)-2),3)),""),IF(IFERROR(INDEX(Income!B$3:B$502,SMALL(IF((Income!D$3:D$502="INR")*(Income!A$3:A$502=DATE(2025,12,30)),ROW(Income!A$3:A$502)-2),3)),"")&lt;&gt;"",IFERROR(INDEX(Income!B$3:B$502,SMALL(IF((Income!D$3:D$502="INR")*(Income!A$3:A$502=DATE(2025,12,30)),ROW(Income!A$3:A$502)-2),3)),""),""))</f>
        <v/>
      </c>
      <c r="G6" s="153">
        <f t="array" ref="G6">IF(IFERROR(-INDEX(Expenses!D$3:D$999,SMALL(IF((Expenses!E$3:E$999="INR")*(Expenses!A$3:A$999=DATE(2025,12,31)),ROW(Expenses!A$3:A$999)-2),3)),0)+IFERROR(INDEX(Income!C$3:C$502,SMALL(IF((Income!D$3:D$502="INR")*(Income!A$3:A$502=DATE(2025,12,31)),ROW(Income!A$3:A$502)-2),3)),0)=0,"",IFERROR(-INDEX(Expenses!D$3:D$999,SMALL(IF((Expenses!E$3:E$999="INR")*(Expenses!A$3:A$999=DATE(2025,12,31)),ROW(Expenses!A$3:A$999)-2),3)),0)+IFERROR(INDEX(Income!C$3:C$502,SMALL(IF((Income!D$3:D$502="INR")*(Income!A$3:A$502=DATE(2025,12,31)),ROW(Income!A$3:A$502)-2),3)),0))</f>
        <v/>
      </c>
      <c r="H6" s="126">
        <f t="array" ref="H6">IF(IFERROR(INDEX(Expenses!B$3:B$999,SMALL(IF((Expenses!E$3:E$999="INR")*(Expenses!A$3:A$999=DATE(2025,12,31)),ROW(Expenses!A$3:A$999)-2),3)),"")&lt;&gt;"",IFERROR(INDEX(Expenses!B$3:B$999,SMALL(IF((Expenses!E$3:E$999="INR")*(Expenses!A$3:A$999=DATE(2025,12,31)),ROW(Expenses!A$3:A$999)-2),3)),""),IF(IFERROR(INDEX(Income!B$3:B$502,SMALL(IF((Income!D$3:D$502="INR")*(Income!A$3:A$502=DATE(2025,12,31)),ROW(Income!A$3:A$502)-2),3)),"")&lt;&gt;"",IFERROR(INDEX(Income!B$3:B$502,SMALL(IF((Income!D$3:D$502="INR")*(Income!A$3:A$502=DATE(2025,12,31)),ROW(Income!A$3:A$502)-2),3)),""),""))</f>
        <v/>
      </c>
      <c r="I6" s="153">
        <f t="array" ref="I6">IF(IFERROR(-INDEX(Expenses!D$3:D$999,SMALL(IF((Expenses!E$3:E$999="INR")*(Expenses!A$3:A$999=DATE(2026,1,1)),ROW(Expenses!A$3:A$999)-2),3)),0)+IFERROR(INDEX(Income!C$3:C$502,SMALL(IF((Income!D$3:D$502="INR")*(Income!A$3:A$502=DATE(2026,1,1)),ROW(Income!A$3:A$502)-2),3)),0)=0,"",IFERROR(-INDEX(Expenses!D$3:D$999,SMALL(IF((Expenses!E$3:E$999="INR")*(Expenses!A$3:A$999=DATE(2026,1,1)),ROW(Expenses!A$3:A$999)-2),3)),0)+IFERROR(INDEX(Income!C$3:C$502,SMALL(IF((Income!D$3:D$502="INR")*(Income!A$3:A$502=DATE(2026,1,1)),ROW(Income!A$3:A$502)-2),3)),0))</f>
        <v/>
      </c>
      <c r="J6" s="126">
        <f t="array" ref="J6">IF(IFERROR(INDEX(Expenses!B$3:B$999,SMALL(IF((Expenses!E$3:E$999="INR")*(Expenses!A$3:A$999=DATE(2026,1,1)),ROW(Expenses!A$3:A$999)-2),3)),"")&lt;&gt;"",IFERROR(INDEX(Expenses!B$3:B$999,SMALL(IF((Expenses!E$3:E$999="INR")*(Expenses!A$3:A$999=DATE(2026,1,1)),ROW(Expenses!A$3:A$999)-2),3)),""),IF(IFERROR(INDEX(Income!B$3:B$502,SMALL(IF((Income!D$3:D$502="INR")*(Income!A$3:A$502=DATE(2026,1,1)),ROW(Income!A$3:A$502)-2),3)),"")&lt;&gt;"",IFERROR(INDEX(Income!B$3:B$502,SMALL(IF((Income!D$3:D$502="INR")*(Income!A$3:A$502=DATE(2026,1,1)),ROW(Income!A$3:A$502)-2),3)),""),""))</f>
        <v/>
      </c>
      <c r="K6" s="153">
        <f t="array" ref="K6">IF(IFERROR(-INDEX(Expenses!D$3:D$999,SMALL(IF((Expenses!E$3:E$999="INR")*(Expenses!A$3:A$999=DATE(2026,1,2)),ROW(Expenses!A$3:A$999)-2),3)),0)+IFERROR(INDEX(Income!C$3:C$502,SMALL(IF((Income!D$3:D$502="INR")*(Income!A$3:A$502=DATE(2026,1,2)),ROW(Income!A$3:A$502)-2),3)),0)=0,"",IFERROR(-INDEX(Expenses!D$3:D$999,SMALL(IF((Expenses!E$3:E$999="INR")*(Expenses!A$3:A$999=DATE(2026,1,2)),ROW(Expenses!A$3:A$999)-2),3)),0)+IFERROR(INDEX(Income!C$3:C$502,SMALL(IF((Income!D$3:D$502="INR")*(Income!A$3:A$502=DATE(2026,1,2)),ROW(Income!A$3:A$502)-2),3)),0))</f>
        <v/>
      </c>
      <c r="L6" s="126">
        <f t="array" ref="L6">IF(IFERROR(INDEX(Expenses!B$3:B$999,SMALL(IF((Expenses!E$3:E$999="INR")*(Expenses!A$3:A$999=DATE(2026,1,2)),ROW(Expenses!A$3:A$999)-2),3)),"")&lt;&gt;"",IFERROR(INDEX(Expenses!B$3:B$999,SMALL(IF((Expenses!E$3:E$999="INR")*(Expenses!A$3:A$999=DATE(2026,1,2)),ROW(Expenses!A$3:A$999)-2),3)),""),IF(IFERROR(INDEX(Income!B$3:B$502,SMALL(IF((Income!D$3:D$502="INR")*(Income!A$3:A$502=DATE(2026,1,2)),ROW(Income!A$3:A$502)-2),3)),"")&lt;&gt;"",IFERROR(INDEX(Income!B$3:B$502,SMALL(IF((Income!D$3:D$502="INR")*(Income!A$3:A$502=DATE(2026,1,2)),ROW(Income!A$3:A$502)-2),3)),""),""))</f>
        <v/>
      </c>
      <c r="M6" s="153">
        <f t="array" ref="M6">IF(IFERROR(-INDEX(Expenses!D$3:D$999,SMALL(IF((Expenses!E$3:E$999="INR")*(Expenses!A$3:A$999=DATE(2026,1,3)),ROW(Expenses!A$3:A$999)-2),3)),0)+IFERROR(INDEX(Income!C$3:C$502,SMALL(IF((Income!D$3:D$502="INR")*(Income!A$3:A$502=DATE(2026,1,3)),ROW(Income!A$3:A$502)-2),3)),0)=0,"",IFERROR(-INDEX(Expenses!D$3:D$999,SMALL(IF((Expenses!E$3:E$999="INR")*(Expenses!A$3:A$999=DATE(2026,1,3)),ROW(Expenses!A$3:A$999)-2),3)),0)+IFERROR(INDEX(Income!C$3:C$502,SMALL(IF((Income!D$3:D$502="INR")*(Income!A$3:A$502=DATE(2026,1,3)),ROW(Income!A$3:A$502)-2),3)),0))</f>
        <v/>
      </c>
      <c r="N6" s="126">
        <f t="array" ref="N6">IF(IFERROR(INDEX(Expenses!B$3:B$999,SMALL(IF((Expenses!E$3:E$999="INR")*(Expenses!A$3:A$999=DATE(2026,1,3)),ROW(Expenses!A$3:A$999)-2),3)),"")&lt;&gt;"",IFERROR(INDEX(Expenses!B$3:B$999,SMALL(IF((Expenses!E$3:E$999="INR")*(Expenses!A$3:A$999=DATE(2026,1,3)),ROW(Expenses!A$3:A$999)-2),3)),""),IF(IFERROR(INDEX(Income!B$3:B$502,SMALL(IF((Income!D$3:D$502="INR")*(Income!A$3:A$502=DATE(2026,1,3)),ROW(Income!A$3:A$502)-2),3)),"")&lt;&gt;"",IFERROR(INDEX(Income!B$3:B$502,SMALL(IF((Income!D$3:D$502="INR")*(Income!A$3:A$502=DATE(2026,1,3)),ROW(Income!A$3:A$502)-2),3)),""),""))</f>
        <v/>
      </c>
      <c r="O6" s="153">
        <f t="array" ref="O6">IF(IFERROR(-INDEX(Expenses!D$3:D$999,SMALL(IF((Expenses!E$3:E$999="INR")*(Expenses!A$3:A$999=DATE(2026,1,4)),ROW(Expenses!A$3:A$999)-2),3)),0)+IFERROR(INDEX(Income!C$3:C$502,SMALL(IF((Income!D$3:D$502="INR")*(Income!A$3:A$502=DATE(2026,1,4)),ROW(Income!A$3:A$502)-2),3)),0)=0,"",IFERROR(-INDEX(Expenses!D$3:D$999,SMALL(IF((Expenses!E$3:E$999="INR")*(Expenses!A$3:A$999=DATE(2026,1,4)),ROW(Expenses!A$3:A$999)-2),3)),0)+IFERROR(INDEX(Income!C$3:C$502,SMALL(IF((Income!D$3:D$502="INR")*(Income!A$3:A$502=DATE(2026,1,4)),ROW(Income!A$3:A$502)-2),3)),0))</f>
        <v/>
      </c>
      <c r="P6" s="126">
        <f t="array" ref="P6">IF(IFERROR(INDEX(Expenses!B$3:B$999,SMALL(IF((Expenses!E$3:E$999="INR")*(Expenses!A$3:A$999=DATE(2026,1,4)),ROW(Expenses!A$3:A$999)-2),3)),"")&lt;&gt;"",IFERROR(INDEX(Expenses!B$3:B$999,SMALL(IF((Expenses!E$3:E$999="INR")*(Expenses!A$3:A$999=DATE(2026,1,4)),ROW(Expenses!A$3:A$999)-2),3)),""),IF(IFERROR(INDEX(Income!B$3:B$502,SMALL(IF((Income!D$3:D$502="INR")*(Income!A$3:A$502=DATE(2026,1,4)),ROW(Income!A$3:A$502)-2),3)),"")&lt;&gt;"",IFERROR(INDEX(Income!B$3:B$502,SMALL(IF((Income!D$3:D$502="INR")*(Income!A$3:A$502=DATE(2026,1,4)),ROW(Income!A$3:A$502)-2),3)),""),""))</f>
        <v/>
      </c>
      <c r="Q6" s="9" t="n"/>
      <c r="R6" s="9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9" t="n"/>
      <c r="B7" s="9" t="n"/>
      <c r="C7" s="153">
        <f t="array" ref="C7">IF(IFERROR(-INDEX(Expenses!D$3:D$999,SMALL(IF((Expenses!E$3:E$999="INR")*(Expenses!A$3:A$999=DATE(2025,12,29)),ROW(Expenses!A$3:A$999)-2),4)),0)+IFERROR(INDEX(Income!C$3:C$502,SMALL(IF((Income!D$3:D$502="INR")*(Income!A$3:A$502=DATE(2025,12,29)),ROW(Income!A$3:A$502)-2),4)),0)=0,"",IFERROR(-INDEX(Expenses!D$3:D$999,SMALL(IF((Expenses!E$3:E$999="INR")*(Expenses!A$3:A$999=DATE(2025,12,29)),ROW(Expenses!A$3:A$999)-2),4)),0)+IFERROR(INDEX(Income!C$3:C$502,SMALL(IF((Income!D$3:D$502="INR")*(Income!A$3:A$502=DATE(2025,12,29)),ROW(Income!A$3:A$502)-2),4)),0))</f>
        <v/>
      </c>
      <c r="D7" s="126">
        <f t="array" ref="D7">IF(IFERROR(INDEX(Expenses!B$3:B$999,SMALL(IF((Expenses!E$3:E$999="INR")*(Expenses!A$3:A$999=DATE(2025,12,29)),ROW(Expenses!A$3:A$999)-2),4)),"")&lt;&gt;"",IFERROR(INDEX(Expenses!B$3:B$999,SMALL(IF((Expenses!E$3:E$999="INR")*(Expenses!A$3:A$999=DATE(2025,12,29)),ROW(Expenses!A$3:A$999)-2),4)),""),IF(IFERROR(INDEX(Income!B$3:B$502,SMALL(IF((Income!D$3:D$502="INR")*(Income!A$3:A$502=DATE(2025,12,29)),ROW(Income!A$3:A$502)-2),4)),"")&lt;&gt;"",IFERROR(INDEX(Income!B$3:B$502,SMALL(IF((Income!D$3:D$502="INR")*(Income!A$3:A$502=DATE(2025,12,29)),ROW(Income!A$3:A$502)-2),4)),""),""))</f>
        <v/>
      </c>
      <c r="E7" s="153">
        <f t="array" ref="E7">IF(IFERROR(-INDEX(Expenses!D$3:D$999,SMALL(IF((Expenses!E$3:E$999="INR")*(Expenses!A$3:A$999=DATE(2025,12,30)),ROW(Expenses!A$3:A$999)-2),4)),0)+IFERROR(INDEX(Income!C$3:C$502,SMALL(IF((Income!D$3:D$502="INR")*(Income!A$3:A$502=DATE(2025,12,30)),ROW(Income!A$3:A$502)-2),4)),0)=0,"",IFERROR(-INDEX(Expenses!D$3:D$999,SMALL(IF((Expenses!E$3:E$999="INR")*(Expenses!A$3:A$999=DATE(2025,12,30)),ROW(Expenses!A$3:A$999)-2),4)),0)+IFERROR(INDEX(Income!C$3:C$502,SMALL(IF((Income!D$3:D$502="INR")*(Income!A$3:A$502=DATE(2025,12,30)),ROW(Income!A$3:A$502)-2),4)),0))</f>
        <v/>
      </c>
      <c r="F7" s="126">
        <f t="array" ref="F7">IF(IFERROR(INDEX(Expenses!B$3:B$999,SMALL(IF((Expenses!E$3:E$999="INR")*(Expenses!A$3:A$999=DATE(2025,12,30)),ROW(Expenses!A$3:A$999)-2),4)),"")&lt;&gt;"",IFERROR(INDEX(Expenses!B$3:B$999,SMALL(IF((Expenses!E$3:E$999="INR")*(Expenses!A$3:A$999=DATE(2025,12,30)),ROW(Expenses!A$3:A$999)-2),4)),""),IF(IFERROR(INDEX(Income!B$3:B$502,SMALL(IF((Income!D$3:D$502="INR")*(Income!A$3:A$502=DATE(2025,12,30)),ROW(Income!A$3:A$502)-2),4)),"")&lt;&gt;"",IFERROR(INDEX(Income!B$3:B$502,SMALL(IF((Income!D$3:D$502="INR")*(Income!A$3:A$502=DATE(2025,12,30)),ROW(Income!A$3:A$502)-2),4)),""),""))</f>
        <v/>
      </c>
      <c r="G7" s="153">
        <f t="array" ref="G7">IF(IFERROR(-INDEX(Expenses!D$3:D$999,SMALL(IF((Expenses!E$3:E$999="INR")*(Expenses!A$3:A$999=DATE(2025,12,31)),ROW(Expenses!A$3:A$999)-2),4)),0)+IFERROR(INDEX(Income!C$3:C$502,SMALL(IF((Income!D$3:D$502="INR")*(Income!A$3:A$502=DATE(2025,12,31)),ROW(Income!A$3:A$502)-2),4)),0)=0,"",IFERROR(-INDEX(Expenses!D$3:D$999,SMALL(IF((Expenses!E$3:E$999="INR")*(Expenses!A$3:A$999=DATE(2025,12,31)),ROW(Expenses!A$3:A$999)-2),4)),0)+IFERROR(INDEX(Income!C$3:C$502,SMALL(IF((Income!D$3:D$502="INR")*(Income!A$3:A$502=DATE(2025,12,31)),ROW(Income!A$3:A$502)-2),4)),0))</f>
        <v/>
      </c>
      <c r="H7" s="126">
        <f t="array" ref="H7">IF(IFERROR(INDEX(Expenses!B$3:B$999,SMALL(IF((Expenses!E$3:E$999="INR")*(Expenses!A$3:A$999=DATE(2025,12,31)),ROW(Expenses!A$3:A$999)-2),4)),"")&lt;&gt;"",IFERROR(INDEX(Expenses!B$3:B$999,SMALL(IF((Expenses!E$3:E$999="INR")*(Expenses!A$3:A$999=DATE(2025,12,31)),ROW(Expenses!A$3:A$999)-2),4)),""),IF(IFERROR(INDEX(Income!B$3:B$502,SMALL(IF((Income!D$3:D$502="INR")*(Income!A$3:A$502=DATE(2025,12,31)),ROW(Income!A$3:A$502)-2),4)),"")&lt;&gt;"",IFERROR(INDEX(Income!B$3:B$502,SMALL(IF((Income!D$3:D$502="INR")*(Income!A$3:A$502=DATE(2025,12,31)),ROW(Income!A$3:A$502)-2),4)),""),""))</f>
        <v/>
      </c>
      <c r="I7" s="153">
        <f t="array" ref="I7">IF(IFERROR(-INDEX(Expenses!D$3:D$999,SMALL(IF((Expenses!E$3:E$999="INR")*(Expenses!A$3:A$999=DATE(2026,1,1)),ROW(Expenses!A$3:A$999)-2),4)),0)+IFERROR(INDEX(Income!C$3:C$502,SMALL(IF((Income!D$3:D$502="INR")*(Income!A$3:A$502=DATE(2026,1,1)),ROW(Income!A$3:A$502)-2),4)),0)=0,"",IFERROR(-INDEX(Expenses!D$3:D$999,SMALL(IF((Expenses!E$3:E$999="INR")*(Expenses!A$3:A$999=DATE(2026,1,1)),ROW(Expenses!A$3:A$999)-2),4)),0)+IFERROR(INDEX(Income!C$3:C$502,SMALL(IF((Income!D$3:D$502="INR")*(Income!A$3:A$502=DATE(2026,1,1)),ROW(Income!A$3:A$502)-2),4)),0))</f>
        <v/>
      </c>
      <c r="J7" s="126">
        <f t="array" ref="J7">IF(IFERROR(INDEX(Expenses!B$3:B$999,SMALL(IF((Expenses!E$3:E$999="INR")*(Expenses!A$3:A$999=DATE(2026,1,1)),ROW(Expenses!A$3:A$999)-2),4)),"")&lt;&gt;"",IFERROR(INDEX(Expenses!B$3:B$999,SMALL(IF((Expenses!E$3:E$999="INR")*(Expenses!A$3:A$999=DATE(2026,1,1)),ROW(Expenses!A$3:A$999)-2),4)),""),IF(IFERROR(INDEX(Income!B$3:B$502,SMALL(IF((Income!D$3:D$502="INR")*(Income!A$3:A$502=DATE(2026,1,1)),ROW(Income!A$3:A$502)-2),4)),"")&lt;&gt;"",IFERROR(INDEX(Income!B$3:B$502,SMALL(IF((Income!D$3:D$502="INR")*(Income!A$3:A$502=DATE(2026,1,1)),ROW(Income!A$3:A$502)-2),4)),""),""))</f>
        <v/>
      </c>
      <c r="K7" s="153">
        <f t="array" ref="K7">IF(IFERROR(-INDEX(Expenses!D$3:D$999,SMALL(IF((Expenses!E$3:E$999="INR")*(Expenses!A$3:A$999=DATE(2026,1,2)),ROW(Expenses!A$3:A$999)-2),4)),0)+IFERROR(INDEX(Income!C$3:C$502,SMALL(IF((Income!D$3:D$502="INR")*(Income!A$3:A$502=DATE(2026,1,2)),ROW(Income!A$3:A$502)-2),4)),0)=0,"",IFERROR(-INDEX(Expenses!D$3:D$999,SMALL(IF((Expenses!E$3:E$999="INR")*(Expenses!A$3:A$999=DATE(2026,1,2)),ROW(Expenses!A$3:A$999)-2),4)),0)+IFERROR(INDEX(Income!C$3:C$502,SMALL(IF((Income!D$3:D$502="INR")*(Income!A$3:A$502=DATE(2026,1,2)),ROW(Income!A$3:A$502)-2),4)),0))</f>
        <v/>
      </c>
      <c r="L7" s="126">
        <f t="array" ref="L7">IF(IFERROR(INDEX(Expenses!B$3:B$999,SMALL(IF((Expenses!E$3:E$999="INR")*(Expenses!A$3:A$999=DATE(2026,1,2)),ROW(Expenses!A$3:A$999)-2),4)),"")&lt;&gt;"",IFERROR(INDEX(Expenses!B$3:B$999,SMALL(IF((Expenses!E$3:E$999="INR")*(Expenses!A$3:A$999=DATE(2026,1,2)),ROW(Expenses!A$3:A$999)-2),4)),""),IF(IFERROR(INDEX(Income!B$3:B$502,SMALL(IF((Income!D$3:D$502="INR")*(Income!A$3:A$502=DATE(2026,1,2)),ROW(Income!A$3:A$502)-2),4)),"")&lt;&gt;"",IFERROR(INDEX(Income!B$3:B$502,SMALL(IF((Income!D$3:D$502="INR")*(Income!A$3:A$502=DATE(2026,1,2)),ROW(Income!A$3:A$502)-2),4)),""),""))</f>
        <v/>
      </c>
      <c r="M7" s="153">
        <f t="array" ref="M7">IF(IFERROR(-INDEX(Expenses!D$3:D$999,SMALL(IF((Expenses!E$3:E$999="INR")*(Expenses!A$3:A$999=DATE(2026,1,3)),ROW(Expenses!A$3:A$999)-2),4)),0)+IFERROR(INDEX(Income!C$3:C$502,SMALL(IF((Income!D$3:D$502="INR")*(Income!A$3:A$502=DATE(2026,1,3)),ROW(Income!A$3:A$502)-2),4)),0)=0,"",IFERROR(-INDEX(Expenses!D$3:D$999,SMALL(IF((Expenses!E$3:E$999="INR")*(Expenses!A$3:A$999=DATE(2026,1,3)),ROW(Expenses!A$3:A$999)-2),4)),0)+IFERROR(INDEX(Income!C$3:C$502,SMALL(IF((Income!D$3:D$502="INR")*(Income!A$3:A$502=DATE(2026,1,3)),ROW(Income!A$3:A$502)-2),4)),0))</f>
        <v/>
      </c>
      <c r="N7" s="126">
        <f t="array" ref="N7">IF(IFERROR(INDEX(Expenses!B$3:B$999,SMALL(IF((Expenses!E$3:E$999="INR")*(Expenses!A$3:A$999=DATE(2026,1,3)),ROW(Expenses!A$3:A$999)-2),4)),"")&lt;&gt;"",IFERROR(INDEX(Expenses!B$3:B$999,SMALL(IF((Expenses!E$3:E$999="INR")*(Expenses!A$3:A$999=DATE(2026,1,3)),ROW(Expenses!A$3:A$999)-2),4)),""),IF(IFERROR(INDEX(Income!B$3:B$502,SMALL(IF((Income!D$3:D$502="INR")*(Income!A$3:A$502=DATE(2026,1,3)),ROW(Income!A$3:A$502)-2),4)),"")&lt;&gt;"",IFERROR(INDEX(Income!B$3:B$502,SMALL(IF((Income!D$3:D$502="INR")*(Income!A$3:A$502=DATE(2026,1,3)),ROW(Income!A$3:A$502)-2),4)),""),""))</f>
        <v/>
      </c>
      <c r="O7" s="153">
        <f t="array" ref="O7">IF(IFERROR(-INDEX(Expenses!D$3:D$999,SMALL(IF((Expenses!E$3:E$999="INR")*(Expenses!A$3:A$999=DATE(2026,1,4)),ROW(Expenses!A$3:A$999)-2),4)),0)+IFERROR(INDEX(Income!C$3:C$502,SMALL(IF((Income!D$3:D$502="INR")*(Income!A$3:A$502=DATE(2026,1,4)),ROW(Income!A$3:A$502)-2),4)),0)=0,"",IFERROR(-INDEX(Expenses!D$3:D$999,SMALL(IF((Expenses!E$3:E$999="INR")*(Expenses!A$3:A$999=DATE(2026,1,4)),ROW(Expenses!A$3:A$999)-2),4)),0)+IFERROR(INDEX(Income!C$3:C$502,SMALL(IF((Income!D$3:D$502="INR")*(Income!A$3:A$502=DATE(2026,1,4)),ROW(Income!A$3:A$502)-2),4)),0))</f>
        <v/>
      </c>
      <c r="P7" s="126">
        <f t="array" ref="P7">IF(IFERROR(INDEX(Expenses!B$3:B$999,SMALL(IF((Expenses!E$3:E$999="INR")*(Expenses!A$3:A$999=DATE(2026,1,4)),ROW(Expenses!A$3:A$999)-2),4)),"")&lt;&gt;"",IFERROR(INDEX(Expenses!B$3:B$999,SMALL(IF((Expenses!E$3:E$999="INR")*(Expenses!A$3:A$999=DATE(2026,1,4)),ROW(Expenses!A$3:A$999)-2),4)),""),IF(IFERROR(INDEX(Income!B$3:B$502,SMALL(IF((Income!D$3:D$502="INR")*(Income!A$3:A$502=DATE(2026,1,4)),ROW(Income!A$3:A$502)-2),4)),"")&lt;&gt;"",IFERROR(INDEX(Income!B$3:B$502,SMALL(IF((Income!D$3:D$502="INR")*(Income!A$3:A$502=DATE(2026,1,4)),ROW(Income!A$3:A$502)-2),4)),""),""))</f>
        <v/>
      </c>
      <c r="Q7" s="9" t="n"/>
      <c r="R7" s="9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9" t="n"/>
      <c r="B8" s="9" t="n"/>
      <c r="C8" s="153">
        <f t="array" ref="C8">IF(IFERROR(-INDEX(Expenses!D$3:D$999,SMALL(IF((Expenses!E$3:E$999="INR")*(Expenses!A$3:A$999=DATE(2025,12,29)),ROW(Expenses!A$3:A$999)-2),5)),0)+IFERROR(INDEX(Income!C$3:C$502,SMALL(IF((Income!D$3:D$502="INR")*(Income!A$3:A$502=DATE(2025,12,29)),ROW(Income!A$3:A$502)-2),5)),0)=0,"",IFERROR(-INDEX(Expenses!D$3:D$999,SMALL(IF((Expenses!E$3:E$999="INR")*(Expenses!A$3:A$999=DATE(2025,12,29)),ROW(Expenses!A$3:A$999)-2),5)),0)+IFERROR(INDEX(Income!C$3:C$502,SMALL(IF((Income!D$3:D$502="INR")*(Income!A$3:A$502=DATE(2025,12,29)),ROW(Income!A$3:A$502)-2),5)),0))</f>
        <v/>
      </c>
      <c r="D8" s="126">
        <f t="array" ref="D8">IF(IFERROR(INDEX(Expenses!B$3:B$999,SMALL(IF((Expenses!E$3:E$999="INR")*(Expenses!A$3:A$999=DATE(2025,12,29)),ROW(Expenses!A$3:A$999)-2),5)),"")&lt;&gt;"",IFERROR(INDEX(Expenses!B$3:B$999,SMALL(IF((Expenses!E$3:E$999="INR")*(Expenses!A$3:A$999=DATE(2025,12,29)),ROW(Expenses!A$3:A$999)-2),5)),""),IF(IFERROR(INDEX(Income!B$3:B$502,SMALL(IF((Income!D$3:D$502="INR")*(Income!A$3:A$502=DATE(2025,12,29)),ROW(Income!A$3:A$502)-2),5)),"")&lt;&gt;"",IFERROR(INDEX(Income!B$3:B$502,SMALL(IF((Income!D$3:D$502="INR")*(Income!A$3:A$502=DATE(2025,12,29)),ROW(Income!A$3:A$502)-2),5)),""),""))</f>
        <v/>
      </c>
      <c r="E8" s="153">
        <f t="array" ref="E8">IF(IFERROR(-INDEX(Expenses!D$3:D$999,SMALL(IF((Expenses!E$3:E$999="INR")*(Expenses!A$3:A$999=DATE(2025,12,30)),ROW(Expenses!A$3:A$999)-2),5)),0)+IFERROR(INDEX(Income!C$3:C$502,SMALL(IF((Income!D$3:D$502="INR")*(Income!A$3:A$502=DATE(2025,12,30)),ROW(Income!A$3:A$502)-2),5)),0)=0,"",IFERROR(-INDEX(Expenses!D$3:D$999,SMALL(IF((Expenses!E$3:E$999="INR")*(Expenses!A$3:A$999=DATE(2025,12,30)),ROW(Expenses!A$3:A$999)-2),5)),0)+IFERROR(INDEX(Income!C$3:C$502,SMALL(IF((Income!D$3:D$502="INR")*(Income!A$3:A$502=DATE(2025,12,30)),ROW(Income!A$3:A$502)-2),5)),0))</f>
        <v/>
      </c>
      <c r="F8" s="126">
        <f t="array" ref="F8">IF(IFERROR(INDEX(Expenses!B$3:B$999,SMALL(IF((Expenses!E$3:E$999="INR")*(Expenses!A$3:A$999=DATE(2025,12,30)),ROW(Expenses!A$3:A$999)-2),5)),"")&lt;&gt;"",IFERROR(INDEX(Expenses!B$3:B$999,SMALL(IF((Expenses!E$3:E$999="INR")*(Expenses!A$3:A$999=DATE(2025,12,30)),ROW(Expenses!A$3:A$999)-2),5)),""),IF(IFERROR(INDEX(Income!B$3:B$502,SMALL(IF((Income!D$3:D$502="INR")*(Income!A$3:A$502=DATE(2025,12,30)),ROW(Income!A$3:A$502)-2),5)),"")&lt;&gt;"",IFERROR(INDEX(Income!B$3:B$502,SMALL(IF((Income!D$3:D$502="INR")*(Income!A$3:A$502=DATE(2025,12,30)),ROW(Income!A$3:A$502)-2),5)),""),""))</f>
        <v/>
      </c>
      <c r="G8" s="153">
        <f t="array" ref="G8">IF(IFERROR(-INDEX(Expenses!D$3:D$999,SMALL(IF((Expenses!E$3:E$999="INR")*(Expenses!A$3:A$999=DATE(2025,12,31)),ROW(Expenses!A$3:A$999)-2),5)),0)+IFERROR(INDEX(Income!C$3:C$502,SMALL(IF((Income!D$3:D$502="INR")*(Income!A$3:A$502=DATE(2025,12,31)),ROW(Income!A$3:A$502)-2),5)),0)=0,"",IFERROR(-INDEX(Expenses!D$3:D$999,SMALL(IF((Expenses!E$3:E$999="INR")*(Expenses!A$3:A$999=DATE(2025,12,31)),ROW(Expenses!A$3:A$999)-2),5)),0)+IFERROR(INDEX(Income!C$3:C$502,SMALL(IF((Income!D$3:D$502="INR")*(Income!A$3:A$502=DATE(2025,12,31)),ROW(Income!A$3:A$502)-2),5)),0))</f>
        <v/>
      </c>
      <c r="H8" s="126">
        <f t="array" ref="H8">IF(IFERROR(INDEX(Expenses!B$3:B$999,SMALL(IF((Expenses!E$3:E$999="INR")*(Expenses!A$3:A$999=DATE(2025,12,31)),ROW(Expenses!A$3:A$999)-2),5)),"")&lt;&gt;"",IFERROR(INDEX(Expenses!B$3:B$999,SMALL(IF((Expenses!E$3:E$999="INR")*(Expenses!A$3:A$999=DATE(2025,12,31)),ROW(Expenses!A$3:A$999)-2),5)),""),IF(IFERROR(INDEX(Income!B$3:B$502,SMALL(IF((Income!D$3:D$502="INR")*(Income!A$3:A$502=DATE(2025,12,31)),ROW(Income!A$3:A$502)-2),5)),"")&lt;&gt;"",IFERROR(INDEX(Income!B$3:B$502,SMALL(IF((Income!D$3:D$502="INR")*(Income!A$3:A$502=DATE(2025,12,31)),ROW(Income!A$3:A$502)-2),5)),""),""))</f>
        <v/>
      </c>
      <c r="I8" s="153">
        <f t="array" ref="I8">IF(IFERROR(-INDEX(Expenses!D$3:D$999,SMALL(IF((Expenses!E$3:E$999="INR")*(Expenses!A$3:A$999=DATE(2026,1,1)),ROW(Expenses!A$3:A$999)-2),5)),0)+IFERROR(INDEX(Income!C$3:C$502,SMALL(IF((Income!D$3:D$502="INR")*(Income!A$3:A$502=DATE(2026,1,1)),ROW(Income!A$3:A$502)-2),5)),0)=0,"",IFERROR(-INDEX(Expenses!D$3:D$999,SMALL(IF((Expenses!E$3:E$999="INR")*(Expenses!A$3:A$999=DATE(2026,1,1)),ROW(Expenses!A$3:A$999)-2),5)),0)+IFERROR(INDEX(Income!C$3:C$502,SMALL(IF((Income!D$3:D$502="INR")*(Income!A$3:A$502=DATE(2026,1,1)),ROW(Income!A$3:A$502)-2),5)),0))</f>
        <v/>
      </c>
      <c r="J8" s="126">
        <f t="array" ref="J8">IF(IFERROR(INDEX(Expenses!B$3:B$999,SMALL(IF((Expenses!E$3:E$999="INR")*(Expenses!A$3:A$999=DATE(2026,1,1)),ROW(Expenses!A$3:A$999)-2),5)),"")&lt;&gt;"",IFERROR(INDEX(Expenses!B$3:B$999,SMALL(IF((Expenses!E$3:E$999="INR")*(Expenses!A$3:A$999=DATE(2026,1,1)),ROW(Expenses!A$3:A$999)-2),5)),""),IF(IFERROR(INDEX(Income!B$3:B$502,SMALL(IF((Income!D$3:D$502="INR")*(Income!A$3:A$502=DATE(2026,1,1)),ROW(Income!A$3:A$502)-2),5)),"")&lt;&gt;"",IFERROR(INDEX(Income!B$3:B$502,SMALL(IF((Income!D$3:D$502="INR")*(Income!A$3:A$502=DATE(2026,1,1)),ROW(Income!A$3:A$502)-2),5)),""),""))</f>
        <v/>
      </c>
      <c r="K8" s="153">
        <f t="array" ref="K8">IF(IFERROR(-INDEX(Expenses!D$3:D$999,SMALL(IF((Expenses!E$3:E$999="INR")*(Expenses!A$3:A$999=DATE(2026,1,2)),ROW(Expenses!A$3:A$999)-2),5)),0)+IFERROR(INDEX(Income!C$3:C$502,SMALL(IF((Income!D$3:D$502="INR")*(Income!A$3:A$502=DATE(2026,1,2)),ROW(Income!A$3:A$502)-2),5)),0)=0,"",IFERROR(-INDEX(Expenses!D$3:D$999,SMALL(IF((Expenses!E$3:E$999="INR")*(Expenses!A$3:A$999=DATE(2026,1,2)),ROW(Expenses!A$3:A$999)-2),5)),0)+IFERROR(INDEX(Income!C$3:C$502,SMALL(IF((Income!D$3:D$502="INR")*(Income!A$3:A$502=DATE(2026,1,2)),ROW(Income!A$3:A$502)-2),5)),0))</f>
        <v/>
      </c>
      <c r="L8" s="126">
        <f t="array" ref="L8">IF(IFERROR(INDEX(Expenses!B$3:B$999,SMALL(IF((Expenses!E$3:E$999="INR")*(Expenses!A$3:A$999=DATE(2026,1,2)),ROW(Expenses!A$3:A$999)-2),5)),"")&lt;&gt;"",IFERROR(INDEX(Expenses!B$3:B$999,SMALL(IF((Expenses!E$3:E$999="INR")*(Expenses!A$3:A$999=DATE(2026,1,2)),ROW(Expenses!A$3:A$999)-2),5)),""),IF(IFERROR(INDEX(Income!B$3:B$502,SMALL(IF((Income!D$3:D$502="INR")*(Income!A$3:A$502=DATE(2026,1,2)),ROW(Income!A$3:A$502)-2),5)),"")&lt;&gt;"",IFERROR(INDEX(Income!B$3:B$502,SMALL(IF((Income!D$3:D$502="INR")*(Income!A$3:A$502=DATE(2026,1,2)),ROW(Income!A$3:A$502)-2),5)),""),""))</f>
        <v/>
      </c>
      <c r="M8" s="153">
        <f t="array" ref="M8">IF(IFERROR(-INDEX(Expenses!D$3:D$999,SMALL(IF((Expenses!E$3:E$999="INR")*(Expenses!A$3:A$999=DATE(2026,1,3)),ROW(Expenses!A$3:A$999)-2),5)),0)+IFERROR(INDEX(Income!C$3:C$502,SMALL(IF((Income!D$3:D$502="INR")*(Income!A$3:A$502=DATE(2026,1,3)),ROW(Income!A$3:A$502)-2),5)),0)=0,"",IFERROR(-INDEX(Expenses!D$3:D$999,SMALL(IF((Expenses!E$3:E$999="INR")*(Expenses!A$3:A$999=DATE(2026,1,3)),ROW(Expenses!A$3:A$999)-2),5)),0)+IFERROR(INDEX(Income!C$3:C$502,SMALL(IF((Income!D$3:D$502="INR")*(Income!A$3:A$502=DATE(2026,1,3)),ROW(Income!A$3:A$502)-2),5)),0))</f>
        <v/>
      </c>
      <c r="N8" s="126">
        <f t="array" ref="N8">IF(IFERROR(INDEX(Expenses!B$3:B$999,SMALL(IF((Expenses!E$3:E$999="INR")*(Expenses!A$3:A$999=DATE(2026,1,3)),ROW(Expenses!A$3:A$999)-2),5)),"")&lt;&gt;"",IFERROR(INDEX(Expenses!B$3:B$999,SMALL(IF((Expenses!E$3:E$999="INR")*(Expenses!A$3:A$999=DATE(2026,1,3)),ROW(Expenses!A$3:A$999)-2),5)),""),IF(IFERROR(INDEX(Income!B$3:B$502,SMALL(IF((Income!D$3:D$502="INR")*(Income!A$3:A$502=DATE(2026,1,3)),ROW(Income!A$3:A$502)-2),5)),"")&lt;&gt;"",IFERROR(INDEX(Income!B$3:B$502,SMALL(IF((Income!D$3:D$502="INR")*(Income!A$3:A$502=DATE(2026,1,3)),ROW(Income!A$3:A$502)-2),5)),""),""))</f>
        <v/>
      </c>
      <c r="O8" s="153">
        <f t="array" ref="O8">IF(IFERROR(-INDEX(Expenses!D$3:D$999,SMALL(IF((Expenses!E$3:E$999="INR")*(Expenses!A$3:A$999=DATE(2026,1,4)),ROW(Expenses!A$3:A$999)-2),5)),0)+IFERROR(INDEX(Income!C$3:C$502,SMALL(IF((Income!D$3:D$502="INR")*(Income!A$3:A$502=DATE(2026,1,4)),ROW(Income!A$3:A$502)-2),5)),0)=0,"",IFERROR(-INDEX(Expenses!D$3:D$999,SMALL(IF((Expenses!E$3:E$999="INR")*(Expenses!A$3:A$999=DATE(2026,1,4)),ROW(Expenses!A$3:A$999)-2),5)),0)+IFERROR(INDEX(Income!C$3:C$502,SMALL(IF((Income!D$3:D$502="INR")*(Income!A$3:A$502=DATE(2026,1,4)),ROW(Income!A$3:A$502)-2),5)),0))</f>
        <v/>
      </c>
      <c r="P8" s="126">
        <f t="array" ref="P8">IF(IFERROR(INDEX(Expenses!B$3:B$999,SMALL(IF((Expenses!E$3:E$999="INR")*(Expenses!A$3:A$999=DATE(2026,1,4)),ROW(Expenses!A$3:A$999)-2),5)),"")&lt;&gt;"",IFERROR(INDEX(Expenses!B$3:B$999,SMALL(IF((Expenses!E$3:E$999="INR")*(Expenses!A$3:A$999=DATE(2026,1,4)),ROW(Expenses!A$3:A$999)-2),5)),""),IF(IFERROR(INDEX(Income!B$3:B$502,SMALL(IF((Income!D$3:D$502="INR")*(Income!A$3:A$502=DATE(2026,1,4)),ROW(Income!A$3:A$502)-2),5)),"")&lt;&gt;"",IFERROR(INDEX(Income!B$3:B$502,SMALL(IF((Income!D$3:D$502="INR")*(Income!A$3:A$502=DATE(2026,1,4)),ROW(Income!A$3:A$502)-2),5)),""),""))</f>
        <v/>
      </c>
      <c r="Q8" s="9" t="n"/>
      <c r="R8" s="9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51" t="n">
        <v>46027</v>
      </c>
      <c r="B9" s="103" t="n">
        <v>2</v>
      </c>
      <c r="C9" s="153">
        <f t="array" ref="C9">IF(IFERROR(-INDEX(Expenses!D$3:D$999,SMALL(IF((Expenses!E$3:E$999="INR")*(Expenses!A$3:A$999=DATE(2026,1,5)),ROW(Expenses!A$3:A$999)-2),1)),0)+IFERROR(INDEX(Income!C$3:C$502,SMALL(IF((Income!D$3:D$502="INR")*(Income!A$3:A$502=DATE(2026,1,5)),ROW(Income!A$3:A$502)-2),1)),0)=0,"",IFERROR(-INDEX(Expenses!D$3:D$999,SMALL(IF((Expenses!E$3:E$999="INR")*(Expenses!A$3:A$999=DATE(2026,1,5)),ROW(Expenses!A$3:A$999)-2),1)),0)+IFERROR(INDEX(Income!C$3:C$502,SMALL(IF((Income!D$3:D$502="INR")*(Income!A$3:A$502=DATE(2026,1,5)),ROW(Income!A$3:A$502)-2),1)),0))</f>
        <v/>
      </c>
      <c r="D9" s="126">
        <f t="array" ref="D9">IF(IFERROR(INDEX(Expenses!B$3:B$999,SMALL(IF((Expenses!E$3:E$999="INR")*(Expenses!A$3:A$999=DATE(2026,1,5)),ROW(Expenses!A$3:A$999)-2),1)),"")&lt;&gt;"",IFERROR(INDEX(Expenses!B$3:B$999,SMALL(IF((Expenses!E$3:E$999="INR")*(Expenses!A$3:A$999=DATE(2026,1,5)),ROW(Expenses!A$3:A$999)-2),1)),""),IF(IFERROR(INDEX(Income!B$3:B$502,SMALL(IF((Income!D$3:D$502="INR")*(Income!A$3:A$502=DATE(2026,1,5)),ROW(Income!A$3:A$502)-2),1)),"")&lt;&gt;"",IFERROR(INDEX(Income!B$3:B$502,SMALL(IF((Income!D$3:D$502="INR")*(Income!A$3:A$502=DATE(2026,1,5)),ROW(Income!A$3:A$502)-2),1)),""),""))</f>
        <v/>
      </c>
      <c r="E9" s="153">
        <f t="array" ref="E9">IF(IFERROR(-INDEX(Expenses!D$3:D$999,SMALL(IF((Expenses!E$3:E$999="INR")*(Expenses!A$3:A$999=DATE(2026,1,6)),ROW(Expenses!A$3:A$999)-2),1)),0)+IFERROR(INDEX(Income!C$3:C$502,SMALL(IF((Income!D$3:D$502="INR")*(Income!A$3:A$502=DATE(2026,1,6)),ROW(Income!A$3:A$502)-2),1)),0)=0,"",IFERROR(-INDEX(Expenses!D$3:D$999,SMALL(IF((Expenses!E$3:E$999="INR")*(Expenses!A$3:A$999=DATE(2026,1,6)),ROW(Expenses!A$3:A$999)-2),1)),0)+IFERROR(INDEX(Income!C$3:C$502,SMALL(IF((Income!D$3:D$502="INR")*(Income!A$3:A$502=DATE(2026,1,6)),ROW(Income!A$3:A$502)-2),1)),0))</f>
        <v/>
      </c>
      <c r="F9" s="126">
        <f t="array" ref="F9">IF(IFERROR(INDEX(Expenses!B$3:B$999,SMALL(IF((Expenses!E$3:E$999="INR")*(Expenses!A$3:A$999=DATE(2026,1,6)),ROW(Expenses!A$3:A$999)-2),1)),"")&lt;&gt;"",IFERROR(INDEX(Expenses!B$3:B$999,SMALL(IF((Expenses!E$3:E$999="INR")*(Expenses!A$3:A$999=DATE(2026,1,6)),ROW(Expenses!A$3:A$999)-2),1)),""),IF(IFERROR(INDEX(Income!B$3:B$502,SMALL(IF((Income!D$3:D$502="INR")*(Income!A$3:A$502=DATE(2026,1,6)),ROW(Income!A$3:A$502)-2),1)),"")&lt;&gt;"",IFERROR(INDEX(Income!B$3:B$502,SMALL(IF((Income!D$3:D$502="INR")*(Income!A$3:A$502=DATE(2026,1,6)),ROW(Income!A$3:A$502)-2),1)),""),""))</f>
        <v/>
      </c>
      <c r="G9" s="153">
        <f t="array" ref="G9">IF(IFERROR(-INDEX(Expenses!D$3:D$999,SMALL(IF((Expenses!E$3:E$999="INR")*(Expenses!A$3:A$999=DATE(2026,1,7)),ROW(Expenses!A$3:A$999)-2),1)),0)+IFERROR(INDEX(Income!C$3:C$502,SMALL(IF((Income!D$3:D$502="INR")*(Income!A$3:A$502=DATE(2026,1,7)),ROW(Income!A$3:A$502)-2),1)),0)=0,"",IFERROR(-INDEX(Expenses!D$3:D$999,SMALL(IF((Expenses!E$3:E$999="INR")*(Expenses!A$3:A$999=DATE(2026,1,7)),ROW(Expenses!A$3:A$999)-2),1)),0)+IFERROR(INDEX(Income!C$3:C$502,SMALL(IF((Income!D$3:D$502="INR")*(Income!A$3:A$502=DATE(2026,1,7)),ROW(Income!A$3:A$502)-2),1)),0))</f>
        <v/>
      </c>
      <c r="H9" s="126">
        <f t="array" ref="H9">IF(IFERROR(INDEX(Expenses!B$3:B$999,SMALL(IF((Expenses!E$3:E$999="INR")*(Expenses!A$3:A$999=DATE(2026,1,7)),ROW(Expenses!A$3:A$999)-2),1)),"")&lt;&gt;"",IFERROR(INDEX(Expenses!B$3:B$999,SMALL(IF((Expenses!E$3:E$999="INR")*(Expenses!A$3:A$999=DATE(2026,1,7)),ROW(Expenses!A$3:A$999)-2),1)),""),IF(IFERROR(INDEX(Income!B$3:B$502,SMALL(IF((Income!D$3:D$502="INR")*(Income!A$3:A$502=DATE(2026,1,7)),ROW(Income!A$3:A$502)-2),1)),"")&lt;&gt;"",IFERROR(INDEX(Income!B$3:B$502,SMALL(IF((Income!D$3:D$502="INR")*(Income!A$3:A$502=DATE(2026,1,7)),ROW(Income!A$3:A$502)-2),1)),""),""))</f>
        <v/>
      </c>
      <c r="I9" s="153">
        <f t="array" ref="I9">IF(IFERROR(-INDEX(Expenses!D$3:D$999,SMALL(IF((Expenses!E$3:E$999="INR")*(Expenses!A$3:A$999=DATE(2026,1,8)),ROW(Expenses!A$3:A$999)-2),1)),0)+IFERROR(INDEX(Income!C$3:C$502,SMALL(IF((Income!D$3:D$502="INR")*(Income!A$3:A$502=DATE(2026,1,8)),ROW(Income!A$3:A$502)-2),1)),0)=0,"",IFERROR(-INDEX(Expenses!D$3:D$999,SMALL(IF((Expenses!E$3:E$999="INR")*(Expenses!A$3:A$999=DATE(2026,1,8)),ROW(Expenses!A$3:A$999)-2),1)),0)+IFERROR(INDEX(Income!C$3:C$502,SMALL(IF((Income!D$3:D$502="INR")*(Income!A$3:A$502=DATE(2026,1,8)),ROW(Income!A$3:A$502)-2),1)),0))</f>
        <v/>
      </c>
      <c r="J9" s="126">
        <f t="array" ref="J9">IF(IFERROR(INDEX(Expenses!B$3:B$999,SMALL(IF((Expenses!E$3:E$999="INR")*(Expenses!A$3:A$999=DATE(2026,1,8)),ROW(Expenses!A$3:A$999)-2),1)),"")&lt;&gt;"",IFERROR(INDEX(Expenses!B$3:B$999,SMALL(IF((Expenses!E$3:E$999="INR")*(Expenses!A$3:A$999=DATE(2026,1,8)),ROW(Expenses!A$3:A$999)-2),1)),""),IF(IFERROR(INDEX(Income!B$3:B$502,SMALL(IF((Income!D$3:D$502="INR")*(Income!A$3:A$502=DATE(2026,1,8)),ROW(Income!A$3:A$502)-2),1)),"")&lt;&gt;"",IFERROR(INDEX(Income!B$3:B$502,SMALL(IF((Income!D$3:D$502="INR")*(Income!A$3:A$502=DATE(2026,1,8)),ROW(Income!A$3:A$502)-2),1)),""),""))</f>
        <v/>
      </c>
      <c r="K9" s="153">
        <f t="array" ref="K9">IF(IFERROR(-INDEX(Expenses!D$3:D$999,SMALL(IF((Expenses!E$3:E$999="INR")*(Expenses!A$3:A$999=DATE(2026,1,9)),ROW(Expenses!A$3:A$999)-2),1)),0)+IFERROR(INDEX(Income!C$3:C$502,SMALL(IF((Income!D$3:D$502="INR")*(Income!A$3:A$502=DATE(2026,1,9)),ROW(Income!A$3:A$502)-2),1)),0)=0,"",IFERROR(-INDEX(Expenses!D$3:D$999,SMALL(IF((Expenses!E$3:E$999="INR")*(Expenses!A$3:A$999=DATE(2026,1,9)),ROW(Expenses!A$3:A$999)-2),1)),0)+IFERROR(INDEX(Income!C$3:C$502,SMALL(IF((Income!D$3:D$502="INR")*(Income!A$3:A$502=DATE(2026,1,9)),ROW(Income!A$3:A$502)-2),1)),0))</f>
        <v/>
      </c>
      <c r="L9" s="126">
        <f t="array" ref="L9">IF(IFERROR(INDEX(Expenses!B$3:B$999,SMALL(IF((Expenses!E$3:E$999="INR")*(Expenses!A$3:A$999=DATE(2026,1,9)),ROW(Expenses!A$3:A$999)-2),1)),"")&lt;&gt;"",IFERROR(INDEX(Expenses!B$3:B$999,SMALL(IF((Expenses!E$3:E$999="INR")*(Expenses!A$3:A$999=DATE(2026,1,9)),ROW(Expenses!A$3:A$999)-2),1)),""),IF(IFERROR(INDEX(Income!B$3:B$502,SMALL(IF((Income!D$3:D$502="INR")*(Income!A$3:A$502=DATE(2026,1,9)),ROW(Income!A$3:A$502)-2),1)),"")&lt;&gt;"",IFERROR(INDEX(Income!B$3:B$502,SMALL(IF((Income!D$3:D$502="INR")*(Income!A$3:A$502=DATE(2026,1,9)),ROW(Income!A$3:A$502)-2),1)),""),""))</f>
        <v/>
      </c>
      <c r="M9" s="153">
        <f t="array" ref="M9">IF(IFERROR(-INDEX(Expenses!D$3:D$999,SMALL(IF((Expenses!E$3:E$999="INR")*(Expenses!A$3:A$999=DATE(2026,1,10)),ROW(Expenses!A$3:A$999)-2),1)),0)+IFERROR(INDEX(Income!C$3:C$502,SMALL(IF((Income!D$3:D$502="INR")*(Income!A$3:A$502=DATE(2026,1,10)),ROW(Income!A$3:A$502)-2),1)),0)=0,"",IFERROR(-INDEX(Expenses!D$3:D$999,SMALL(IF((Expenses!E$3:E$999="INR")*(Expenses!A$3:A$999=DATE(2026,1,10)),ROW(Expenses!A$3:A$999)-2),1)),0)+IFERROR(INDEX(Income!C$3:C$502,SMALL(IF((Income!D$3:D$502="INR")*(Income!A$3:A$502=DATE(2026,1,10)),ROW(Income!A$3:A$502)-2),1)),0))</f>
        <v/>
      </c>
      <c r="N9" s="126">
        <f t="array" ref="N9">IF(IFERROR(INDEX(Expenses!B$3:B$999,SMALL(IF((Expenses!E$3:E$999="INR")*(Expenses!A$3:A$999=DATE(2026,1,10)),ROW(Expenses!A$3:A$999)-2),1)),"")&lt;&gt;"",IFERROR(INDEX(Expenses!B$3:B$999,SMALL(IF((Expenses!E$3:E$999="INR")*(Expenses!A$3:A$999=DATE(2026,1,10)),ROW(Expenses!A$3:A$999)-2),1)),""),IF(IFERROR(INDEX(Income!B$3:B$502,SMALL(IF((Income!D$3:D$502="INR")*(Income!A$3:A$502=DATE(2026,1,10)),ROW(Income!A$3:A$502)-2),1)),"")&lt;&gt;"",IFERROR(INDEX(Income!B$3:B$502,SMALL(IF((Income!D$3:D$502="INR")*(Income!A$3:A$502=DATE(2026,1,10)),ROW(Income!A$3:A$502)-2),1)),""),""))</f>
        <v/>
      </c>
      <c r="O9" s="153">
        <f t="array" ref="O9">IF(IFERROR(-INDEX(Expenses!D$3:D$999,SMALL(IF((Expenses!E$3:E$999="INR")*(Expenses!A$3:A$999=DATE(2026,1,11)),ROW(Expenses!A$3:A$999)-2),1)),0)+IFERROR(INDEX(Income!C$3:C$502,SMALL(IF((Income!D$3:D$502="INR")*(Income!A$3:A$502=DATE(2026,1,11)),ROW(Income!A$3:A$502)-2),1)),0)=0,"",IFERROR(-INDEX(Expenses!D$3:D$999,SMALL(IF((Expenses!E$3:E$999="INR")*(Expenses!A$3:A$999=DATE(2026,1,11)),ROW(Expenses!A$3:A$999)-2),1)),0)+IFERROR(INDEX(Income!C$3:C$502,SMALL(IF((Income!D$3:D$502="INR")*(Income!A$3:A$502=DATE(2026,1,11)),ROW(Income!A$3:A$502)-2),1)),0))</f>
        <v/>
      </c>
      <c r="P9" s="126">
        <f t="array" ref="P9">IF(IFERROR(INDEX(Expenses!B$3:B$999,SMALL(IF((Expenses!E$3:E$999="INR")*(Expenses!A$3:A$999=DATE(2026,1,11)),ROW(Expenses!A$3:A$999)-2),1)),"")&lt;&gt;"",IFERROR(INDEX(Expenses!B$3:B$999,SMALL(IF((Expenses!E$3:E$999="INR")*(Expenses!A$3:A$999=DATE(2026,1,11)),ROW(Expenses!A$3:A$999)-2),1)),""),IF(IFERROR(INDEX(Income!B$3:B$502,SMALL(IF((Income!D$3:D$502="INR")*(Income!A$3:A$502=DATE(2026,1,11)),ROW(Income!A$3:A$502)-2),1)),"")&lt;&gt;"",IFERROR(INDEX(Income!B$3:B$502,SMALL(IF((Income!D$3:D$502="INR")*(Income!A$3:A$502=DATE(2026,1,11)),ROW(Income!A$3:A$502)-2),1)),""),""))</f>
        <v/>
      </c>
      <c r="Q9" s="103" t="n">
        <v>2</v>
      </c>
      <c r="R9" s="142">
        <f>SUM(C9:C13)+SUM(E9:E13)+SUM(G9:G13)+SUM(I9:I13)+SUM(K9:K13)+SUM(M9:M13)+SUM(O9:O13)</f>
        <v/>
      </c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9" t="n"/>
      <c r="B10" s="9" t="n"/>
      <c r="C10" s="153">
        <f t="array" ref="C10">IF(IFERROR(-INDEX(Expenses!D$3:D$999,SMALL(IF((Expenses!E$3:E$999="INR")*(Expenses!A$3:A$999=DATE(2026,1,5)),ROW(Expenses!A$3:A$999)-2),2)),0)+IFERROR(INDEX(Income!C$3:C$502,SMALL(IF((Income!D$3:D$502="INR")*(Income!A$3:A$502=DATE(2026,1,5)),ROW(Income!A$3:A$502)-2),2)),0)=0,"",IFERROR(-INDEX(Expenses!D$3:D$999,SMALL(IF((Expenses!E$3:E$999="INR")*(Expenses!A$3:A$999=DATE(2026,1,5)),ROW(Expenses!A$3:A$999)-2),2)),0)+IFERROR(INDEX(Income!C$3:C$502,SMALL(IF((Income!D$3:D$502="INR")*(Income!A$3:A$502=DATE(2026,1,5)),ROW(Income!A$3:A$502)-2),2)),0))</f>
        <v/>
      </c>
      <c r="D10" s="126">
        <f t="array" ref="D10">IF(IFERROR(INDEX(Expenses!B$3:B$999,SMALL(IF((Expenses!E$3:E$999="INR")*(Expenses!A$3:A$999=DATE(2026,1,5)),ROW(Expenses!A$3:A$999)-2),2)),"")&lt;&gt;"",IFERROR(INDEX(Expenses!B$3:B$999,SMALL(IF((Expenses!E$3:E$999="INR")*(Expenses!A$3:A$999=DATE(2026,1,5)),ROW(Expenses!A$3:A$999)-2),2)),""),IF(IFERROR(INDEX(Income!B$3:B$502,SMALL(IF((Income!D$3:D$502="INR")*(Income!A$3:A$502=DATE(2026,1,5)),ROW(Income!A$3:A$502)-2),2)),"")&lt;&gt;"",IFERROR(INDEX(Income!B$3:B$502,SMALL(IF((Income!D$3:D$502="INR")*(Income!A$3:A$502=DATE(2026,1,5)),ROW(Income!A$3:A$502)-2),2)),""),""))</f>
        <v/>
      </c>
      <c r="E10" s="153">
        <f t="array" ref="E10">IF(IFERROR(-INDEX(Expenses!D$3:D$999,SMALL(IF((Expenses!E$3:E$999="INR")*(Expenses!A$3:A$999=DATE(2026,1,6)),ROW(Expenses!A$3:A$999)-2),2)),0)+IFERROR(INDEX(Income!C$3:C$502,SMALL(IF((Income!D$3:D$502="INR")*(Income!A$3:A$502=DATE(2026,1,6)),ROW(Income!A$3:A$502)-2),2)),0)=0,"",IFERROR(-INDEX(Expenses!D$3:D$999,SMALL(IF((Expenses!E$3:E$999="INR")*(Expenses!A$3:A$999=DATE(2026,1,6)),ROW(Expenses!A$3:A$999)-2),2)),0)+IFERROR(INDEX(Income!C$3:C$502,SMALL(IF((Income!D$3:D$502="INR")*(Income!A$3:A$502=DATE(2026,1,6)),ROW(Income!A$3:A$502)-2),2)),0))</f>
        <v/>
      </c>
      <c r="F10" s="126">
        <f t="array" ref="F10">IF(IFERROR(INDEX(Expenses!B$3:B$999,SMALL(IF((Expenses!E$3:E$999="INR")*(Expenses!A$3:A$999=DATE(2026,1,6)),ROW(Expenses!A$3:A$999)-2),2)),"")&lt;&gt;"",IFERROR(INDEX(Expenses!B$3:B$999,SMALL(IF((Expenses!E$3:E$999="INR")*(Expenses!A$3:A$999=DATE(2026,1,6)),ROW(Expenses!A$3:A$999)-2),2)),""),IF(IFERROR(INDEX(Income!B$3:B$502,SMALL(IF((Income!D$3:D$502="INR")*(Income!A$3:A$502=DATE(2026,1,6)),ROW(Income!A$3:A$502)-2),2)),"")&lt;&gt;"",IFERROR(INDEX(Income!B$3:B$502,SMALL(IF((Income!D$3:D$502="INR")*(Income!A$3:A$502=DATE(2026,1,6)),ROW(Income!A$3:A$502)-2),2)),""),""))</f>
        <v/>
      </c>
      <c r="G10" s="153">
        <f t="array" ref="G10">IF(IFERROR(-INDEX(Expenses!D$3:D$999,SMALL(IF((Expenses!E$3:E$999="INR")*(Expenses!A$3:A$999=DATE(2026,1,7)),ROW(Expenses!A$3:A$999)-2),2)),0)+IFERROR(INDEX(Income!C$3:C$502,SMALL(IF((Income!D$3:D$502="INR")*(Income!A$3:A$502=DATE(2026,1,7)),ROW(Income!A$3:A$502)-2),2)),0)=0,"",IFERROR(-INDEX(Expenses!D$3:D$999,SMALL(IF((Expenses!E$3:E$999="INR")*(Expenses!A$3:A$999=DATE(2026,1,7)),ROW(Expenses!A$3:A$999)-2),2)),0)+IFERROR(INDEX(Income!C$3:C$502,SMALL(IF((Income!D$3:D$502="INR")*(Income!A$3:A$502=DATE(2026,1,7)),ROW(Income!A$3:A$502)-2),2)),0))</f>
        <v/>
      </c>
      <c r="H10" s="126">
        <f t="array" ref="H10">IF(IFERROR(INDEX(Expenses!B$3:B$999,SMALL(IF((Expenses!E$3:E$999="INR")*(Expenses!A$3:A$999=DATE(2026,1,7)),ROW(Expenses!A$3:A$999)-2),2)),"")&lt;&gt;"",IFERROR(INDEX(Expenses!B$3:B$999,SMALL(IF((Expenses!E$3:E$999="INR")*(Expenses!A$3:A$999=DATE(2026,1,7)),ROW(Expenses!A$3:A$999)-2),2)),""),IF(IFERROR(INDEX(Income!B$3:B$502,SMALL(IF((Income!D$3:D$502="INR")*(Income!A$3:A$502=DATE(2026,1,7)),ROW(Income!A$3:A$502)-2),2)),"")&lt;&gt;"",IFERROR(INDEX(Income!B$3:B$502,SMALL(IF((Income!D$3:D$502="INR")*(Income!A$3:A$502=DATE(2026,1,7)),ROW(Income!A$3:A$502)-2),2)),""),""))</f>
        <v/>
      </c>
      <c r="I10" s="153">
        <f t="array" ref="I10">IF(IFERROR(-INDEX(Expenses!D$3:D$999,SMALL(IF((Expenses!E$3:E$999="INR")*(Expenses!A$3:A$999=DATE(2026,1,8)),ROW(Expenses!A$3:A$999)-2),2)),0)+IFERROR(INDEX(Income!C$3:C$502,SMALL(IF((Income!D$3:D$502="INR")*(Income!A$3:A$502=DATE(2026,1,8)),ROW(Income!A$3:A$502)-2),2)),0)=0,"",IFERROR(-INDEX(Expenses!D$3:D$999,SMALL(IF((Expenses!E$3:E$999="INR")*(Expenses!A$3:A$999=DATE(2026,1,8)),ROW(Expenses!A$3:A$999)-2),2)),0)+IFERROR(INDEX(Income!C$3:C$502,SMALL(IF((Income!D$3:D$502="INR")*(Income!A$3:A$502=DATE(2026,1,8)),ROW(Income!A$3:A$502)-2),2)),0))</f>
        <v/>
      </c>
      <c r="J10" s="126">
        <f t="array" ref="J10">IF(IFERROR(INDEX(Expenses!B$3:B$999,SMALL(IF((Expenses!E$3:E$999="INR")*(Expenses!A$3:A$999=DATE(2026,1,8)),ROW(Expenses!A$3:A$999)-2),2)),"")&lt;&gt;"",IFERROR(INDEX(Expenses!B$3:B$999,SMALL(IF((Expenses!E$3:E$999="INR")*(Expenses!A$3:A$999=DATE(2026,1,8)),ROW(Expenses!A$3:A$999)-2),2)),""),IF(IFERROR(INDEX(Income!B$3:B$502,SMALL(IF((Income!D$3:D$502="INR")*(Income!A$3:A$502=DATE(2026,1,8)),ROW(Income!A$3:A$502)-2),2)),"")&lt;&gt;"",IFERROR(INDEX(Income!B$3:B$502,SMALL(IF((Income!D$3:D$502="INR")*(Income!A$3:A$502=DATE(2026,1,8)),ROW(Income!A$3:A$502)-2),2)),""),""))</f>
        <v/>
      </c>
      <c r="K10" s="153">
        <f t="array" ref="K10">IF(IFERROR(-INDEX(Expenses!D$3:D$999,SMALL(IF((Expenses!E$3:E$999="INR")*(Expenses!A$3:A$999=DATE(2026,1,9)),ROW(Expenses!A$3:A$999)-2),2)),0)+IFERROR(INDEX(Income!C$3:C$502,SMALL(IF((Income!D$3:D$502="INR")*(Income!A$3:A$502=DATE(2026,1,9)),ROW(Income!A$3:A$502)-2),2)),0)=0,"",IFERROR(-INDEX(Expenses!D$3:D$999,SMALL(IF((Expenses!E$3:E$999="INR")*(Expenses!A$3:A$999=DATE(2026,1,9)),ROW(Expenses!A$3:A$999)-2),2)),0)+IFERROR(INDEX(Income!C$3:C$502,SMALL(IF((Income!D$3:D$502="INR")*(Income!A$3:A$502=DATE(2026,1,9)),ROW(Income!A$3:A$502)-2),2)),0))</f>
        <v/>
      </c>
      <c r="L10" s="126">
        <f t="array" ref="L10">IF(IFERROR(INDEX(Expenses!B$3:B$999,SMALL(IF((Expenses!E$3:E$999="INR")*(Expenses!A$3:A$999=DATE(2026,1,9)),ROW(Expenses!A$3:A$999)-2),2)),"")&lt;&gt;"",IFERROR(INDEX(Expenses!B$3:B$999,SMALL(IF((Expenses!E$3:E$999="INR")*(Expenses!A$3:A$999=DATE(2026,1,9)),ROW(Expenses!A$3:A$999)-2),2)),""),IF(IFERROR(INDEX(Income!B$3:B$502,SMALL(IF((Income!D$3:D$502="INR")*(Income!A$3:A$502=DATE(2026,1,9)),ROW(Income!A$3:A$502)-2),2)),"")&lt;&gt;"",IFERROR(INDEX(Income!B$3:B$502,SMALL(IF((Income!D$3:D$502="INR")*(Income!A$3:A$502=DATE(2026,1,9)),ROW(Income!A$3:A$502)-2),2)),""),""))</f>
        <v/>
      </c>
      <c r="M10" s="153">
        <f t="array" ref="M10">IF(IFERROR(-INDEX(Expenses!D$3:D$999,SMALL(IF((Expenses!E$3:E$999="INR")*(Expenses!A$3:A$999=DATE(2026,1,10)),ROW(Expenses!A$3:A$999)-2),2)),0)+IFERROR(INDEX(Income!C$3:C$502,SMALL(IF((Income!D$3:D$502="INR")*(Income!A$3:A$502=DATE(2026,1,10)),ROW(Income!A$3:A$502)-2),2)),0)=0,"",IFERROR(-INDEX(Expenses!D$3:D$999,SMALL(IF((Expenses!E$3:E$999="INR")*(Expenses!A$3:A$999=DATE(2026,1,10)),ROW(Expenses!A$3:A$999)-2),2)),0)+IFERROR(INDEX(Income!C$3:C$502,SMALL(IF((Income!D$3:D$502="INR")*(Income!A$3:A$502=DATE(2026,1,10)),ROW(Income!A$3:A$502)-2),2)),0))</f>
        <v/>
      </c>
      <c r="N10" s="126">
        <f t="array" ref="N10">IF(IFERROR(INDEX(Expenses!B$3:B$999,SMALL(IF((Expenses!E$3:E$999="INR")*(Expenses!A$3:A$999=DATE(2026,1,10)),ROW(Expenses!A$3:A$999)-2),2)),"")&lt;&gt;"",IFERROR(INDEX(Expenses!B$3:B$999,SMALL(IF((Expenses!E$3:E$999="INR")*(Expenses!A$3:A$999=DATE(2026,1,10)),ROW(Expenses!A$3:A$999)-2),2)),""),IF(IFERROR(INDEX(Income!B$3:B$502,SMALL(IF((Income!D$3:D$502="INR")*(Income!A$3:A$502=DATE(2026,1,10)),ROW(Income!A$3:A$502)-2),2)),"")&lt;&gt;"",IFERROR(INDEX(Income!B$3:B$502,SMALL(IF((Income!D$3:D$502="INR")*(Income!A$3:A$502=DATE(2026,1,10)),ROW(Income!A$3:A$502)-2),2)),""),""))</f>
        <v/>
      </c>
      <c r="O10" s="153">
        <f t="array" ref="O10">IF(IFERROR(-INDEX(Expenses!D$3:D$999,SMALL(IF((Expenses!E$3:E$999="INR")*(Expenses!A$3:A$999=DATE(2026,1,11)),ROW(Expenses!A$3:A$999)-2),2)),0)+IFERROR(INDEX(Income!C$3:C$502,SMALL(IF((Income!D$3:D$502="INR")*(Income!A$3:A$502=DATE(2026,1,11)),ROW(Income!A$3:A$502)-2),2)),0)=0,"",IFERROR(-INDEX(Expenses!D$3:D$999,SMALL(IF((Expenses!E$3:E$999="INR")*(Expenses!A$3:A$999=DATE(2026,1,11)),ROW(Expenses!A$3:A$999)-2),2)),0)+IFERROR(INDEX(Income!C$3:C$502,SMALL(IF((Income!D$3:D$502="INR")*(Income!A$3:A$502=DATE(2026,1,11)),ROW(Income!A$3:A$502)-2),2)),0))</f>
        <v/>
      </c>
      <c r="P10" s="126">
        <f t="array" ref="P10">IF(IFERROR(INDEX(Expenses!B$3:B$999,SMALL(IF((Expenses!E$3:E$999="INR")*(Expenses!A$3:A$999=DATE(2026,1,11)),ROW(Expenses!A$3:A$999)-2),2)),"")&lt;&gt;"",IFERROR(INDEX(Expenses!B$3:B$999,SMALL(IF((Expenses!E$3:E$999="INR")*(Expenses!A$3:A$999=DATE(2026,1,11)),ROW(Expenses!A$3:A$999)-2),2)),""),IF(IFERROR(INDEX(Income!B$3:B$502,SMALL(IF((Income!D$3:D$502="INR")*(Income!A$3:A$502=DATE(2026,1,11)),ROW(Income!A$3:A$502)-2),2)),"")&lt;&gt;"",IFERROR(INDEX(Income!B$3:B$502,SMALL(IF((Income!D$3:D$502="INR")*(Income!A$3:A$502=DATE(2026,1,11)),ROW(Income!A$3:A$502)-2),2)),""),""))</f>
        <v/>
      </c>
      <c r="Q10" s="9" t="n"/>
      <c r="R10" s="9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9" t="n"/>
      <c r="B11" s="9" t="n"/>
      <c r="C11" s="153">
        <f t="array" ref="C11">IF(IFERROR(-INDEX(Expenses!D$3:D$999,SMALL(IF((Expenses!E$3:E$999="INR")*(Expenses!A$3:A$999=DATE(2026,1,5)),ROW(Expenses!A$3:A$999)-2),3)),0)+IFERROR(INDEX(Income!C$3:C$502,SMALL(IF((Income!D$3:D$502="INR")*(Income!A$3:A$502=DATE(2026,1,5)),ROW(Income!A$3:A$502)-2),3)),0)=0,"",IFERROR(-INDEX(Expenses!D$3:D$999,SMALL(IF((Expenses!E$3:E$999="INR")*(Expenses!A$3:A$999=DATE(2026,1,5)),ROW(Expenses!A$3:A$999)-2),3)),0)+IFERROR(INDEX(Income!C$3:C$502,SMALL(IF((Income!D$3:D$502="INR")*(Income!A$3:A$502=DATE(2026,1,5)),ROW(Income!A$3:A$502)-2),3)),0))</f>
        <v/>
      </c>
      <c r="D11" s="126">
        <f t="array" ref="D11">IF(IFERROR(INDEX(Expenses!B$3:B$999,SMALL(IF((Expenses!E$3:E$999="INR")*(Expenses!A$3:A$999=DATE(2026,1,5)),ROW(Expenses!A$3:A$999)-2),3)),"")&lt;&gt;"",IFERROR(INDEX(Expenses!B$3:B$999,SMALL(IF((Expenses!E$3:E$999="INR")*(Expenses!A$3:A$999=DATE(2026,1,5)),ROW(Expenses!A$3:A$999)-2),3)),""),IF(IFERROR(INDEX(Income!B$3:B$502,SMALL(IF((Income!D$3:D$502="INR")*(Income!A$3:A$502=DATE(2026,1,5)),ROW(Income!A$3:A$502)-2),3)),"")&lt;&gt;"",IFERROR(INDEX(Income!B$3:B$502,SMALL(IF((Income!D$3:D$502="INR")*(Income!A$3:A$502=DATE(2026,1,5)),ROW(Income!A$3:A$502)-2),3)),""),""))</f>
        <v/>
      </c>
      <c r="E11" s="153">
        <f t="array" ref="E11">IF(IFERROR(-INDEX(Expenses!D$3:D$999,SMALL(IF((Expenses!E$3:E$999="INR")*(Expenses!A$3:A$999=DATE(2026,1,6)),ROW(Expenses!A$3:A$999)-2),3)),0)+IFERROR(INDEX(Income!C$3:C$502,SMALL(IF((Income!D$3:D$502="INR")*(Income!A$3:A$502=DATE(2026,1,6)),ROW(Income!A$3:A$502)-2),3)),0)=0,"",IFERROR(-INDEX(Expenses!D$3:D$999,SMALL(IF((Expenses!E$3:E$999="INR")*(Expenses!A$3:A$999=DATE(2026,1,6)),ROW(Expenses!A$3:A$999)-2),3)),0)+IFERROR(INDEX(Income!C$3:C$502,SMALL(IF((Income!D$3:D$502="INR")*(Income!A$3:A$502=DATE(2026,1,6)),ROW(Income!A$3:A$502)-2),3)),0))</f>
        <v/>
      </c>
      <c r="F11" s="126">
        <f t="array" ref="F11">IF(IFERROR(INDEX(Expenses!B$3:B$999,SMALL(IF((Expenses!E$3:E$999="INR")*(Expenses!A$3:A$999=DATE(2026,1,6)),ROW(Expenses!A$3:A$999)-2),3)),"")&lt;&gt;"",IFERROR(INDEX(Expenses!B$3:B$999,SMALL(IF((Expenses!E$3:E$999="INR")*(Expenses!A$3:A$999=DATE(2026,1,6)),ROW(Expenses!A$3:A$999)-2),3)),""),IF(IFERROR(INDEX(Income!B$3:B$502,SMALL(IF((Income!D$3:D$502="INR")*(Income!A$3:A$502=DATE(2026,1,6)),ROW(Income!A$3:A$502)-2),3)),"")&lt;&gt;"",IFERROR(INDEX(Income!B$3:B$502,SMALL(IF((Income!D$3:D$502="INR")*(Income!A$3:A$502=DATE(2026,1,6)),ROW(Income!A$3:A$502)-2),3)),""),""))</f>
        <v/>
      </c>
      <c r="G11" s="153">
        <f t="array" ref="G11">IF(IFERROR(-INDEX(Expenses!D$3:D$999,SMALL(IF((Expenses!E$3:E$999="INR")*(Expenses!A$3:A$999=DATE(2026,1,7)),ROW(Expenses!A$3:A$999)-2),3)),0)+IFERROR(INDEX(Income!C$3:C$502,SMALL(IF((Income!D$3:D$502="INR")*(Income!A$3:A$502=DATE(2026,1,7)),ROW(Income!A$3:A$502)-2),3)),0)=0,"",IFERROR(-INDEX(Expenses!D$3:D$999,SMALL(IF((Expenses!E$3:E$999="INR")*(Expenses!A$3:A$999=DATE(2026,1,7)),ROW(Expenses!A$3:A$999)-2),3)),0)+IFERROR(INDEX(Income!C$3:C$502,SMALL(IF((Income!D$3:D$502="INR")*(Income!A$3:A$502=DATE(2026,1,7)),ROW(Income!A$3:A$502)-2),3)),0))</f>
        <v/>
      </c>
      <c r="H11" s="126">
        <f t="array" ref="H11">IF(IFERROR(INDEX(Expenses!B$3:B$999,SMALL(IF((Expenses!E$3:E$999="INR")*(Expenses!A$3:A$999=DATE(2026,1,7)),ROW(Expenses!A$3:A$999)-2),3)),"")&lt;&gt;"",IFERROR(INDEX(Expenses!B$3:B$999,SMALL(IF((Expenses!E$3:E$999="INR")*(Expenses!A$3:A$999=DATE(2026,1,7)),ROW(Expenses!A$3:A$999)-2),3)),""),IF(IFERROR(INDEX(Income!B$3:B$502,SMALL(IF((Income!D$3:D$502="INR")*(Income!A$3:A$502=DATE(2026,1,7)),ROW(Income!A$3:A$502)-2),3)),"")&lt;&gt;"",IFERROR(INDEX(Income!B$3:B$502,SMALL(IF((Income!D$3:D$502="INR")*(Income!A$3:A$502=DATE(2026,1,7)),ROW(Income!A$3:A$502)-2),3)),""),""))</f>
        <v/>
      </c>
      <c r="I11" s="153">
        <f t="array" ref="I11">IF(IFERROR(-INDEX(Expenses!D$3:D$999,SMALL(IF((Expenses!E$3:E$999="INR")*(Expenses!A$3:A$999=DATE(2026,1,8)),ROW(Expenses!A$3:A$999)-2),3)),0)+IFERROR(INDEX(Income!C$3:C$502,SMALL(IF((Income!D$3:D$502="INR")*(Income!A$3:A$502=DATE(2026,1,8)),ROW(Income!A$3:A$502)-2),3)),0)=0,"",IFERROR(-INDEX(Expenses!D$3:D$999,SMALL(IF((Expenses!E$3:E$999="INR")*(Expenses!A$3:A$999=DATE(2026,1,8)),ROW(Expenses!A$3:A$999)-2),3)),0)+IFERROR(INDEX(Income!C$3:C$502,SMALL(IF((Income!D$3:D$502="INR")*(Income!A$3:A$502=DATE(2026,1,8)),ROW(Income!A$3:A$502)-2),3)),0))</f>
        <v/>
      </c>
      <c r="J11" s="126">
        <f t="array" ref="J11">IF(IFERROR(INDEX(Expenses!B$3:B$999,SMALL(IF((Expenses!E$3:E$999="INR")*(Expenses!A$3:A$999=DATE(2026,1,8)),ROW(Expenses!A$3:A$999)-2),3)),"")&lt;&gt;"",IFERROR(INDEX(Expenses!B$3:B$999,SMALL(IF((Expenses!E$3:E$999="INR")*(Expenses!A$3:A$999=DATE(2026,1,8)),ROW(Expenses!A$3:A$999)-2),3)),""),IF(IFERROR(INDEX(Income!B$3:B$502,SMALL(IF((Income!D$3:D$502="INR")*(Income!A$3:A$502=DATE(2026,1,8)),ROW(Income!A$3:A$502)-2),3)),"")&lt;&gt;"",IFERROR(INDEX(Income!B$3:B$502,SMALL(IF((Income!D$3:D$502="INR")*(Income!A$3:A$502=DATE(2026,1,8)),ROW(Income!A$3:A$502)-2),3)),""),""))</f>
        <v/>
      </c>
      <c r="K11" s="153">
        <f t="array" ref="K11">IF(IFERROR(-INDEX(Expenses!D$3:D$999,SMALL(IF((Expenses!E$3:E$999="INR")*(Expenses!A$3:A$999=DATE(2026,1,9)),ROW(Expenses!A$3:A$999)-2),3)),0)+IFERROR(INDEX(Income!C$3:C$502,SMALL(IF((Income!D$3:D$502="INR")*(Income!A$3:A$502=DATE(2026,1,9)),ROW(Income!A$3:A$502)-2),3)),0)=0,"",IFERROR(-INDEX(Expenses!D$3:D$999,SMALL(IF((Expenses!E$3:E$999="INR")*(Expenses!A$3:A$999=DATE(2026,1,9)),ROW(Expenses!A$3:A$999)-2),3)),0)+IFERROR(INDEX(Income!C$3:C$502,SMALL(IF((Income!D$3:D$502="INR")*(Income!A$3:A$502=DATE(2026,1,9)),ROW(Income!A$3:A$502)-2),3)),0))</f>
        <v/>
      </c>
      <c r="L11" s="126">
        <f t="array" ref="L11">IF(IFERROR(INDEX(Expenses!B$3:B$999,SMALL(IF((Expenses!E$3:E$999="INR")*(Expenses!A$3:A$999=DATE(2026,1,9)),ROW(Expenses!A$3:A$999)-2),3)),"")&lt;&gt;"",IFERROR(INDEX(Expenses!B$3:B$999,SMALL(IF((Expenses!E$3:E$999="INR")*(Expenses!A$3:A$999=DATE(2026,1,9)),ROW(Expenses!A$3:A$999)-2),3)),""),IF(IFERROR(INDEX(Income!B$3:B$502,SMALL(IF((Income!D$3:D$502="INR")*(Income!A$3:A$502=DATE(2026,1,9)),ROW(Income!A$3:A$502)-2),3)),"")&lt;&gt;"",IFERROR(INDEX(Income!B$3:B$502,SMALL(IF((Income!D$3:D$502="INR")*(Income!A$3:A$502=DATE(2026,1,9)),ROW(Income!A$3:A$502)-2),3)),""),""))</f>
        <v/>
      </c>
      <c r="M11" s="153">
        <f t="array" ref="M11">IF(IFERROR(-INDEX(Expenses!D$3:D$999,SMALL(IF((Expenses!E$3:E$999="INR")*(Expenses!A$3:A$999=DATE(2026,1,10)),ROW(Expenses!A$3:A$999)-2),3)),0)+IFERROR(INDEX(Income!C$3:C$502,SMALL(IF((Income!D$3:D$502="INR")*(Income!A$3:A$502=DATE(2026,1,10)),ROW(Income!A$3:A$502)-2),3)),0)=0,"",IFERROR(-INDEX(Expenses!D$3:D$999,SMALL(IF((Expenses!E$3:E$999="INR")*(Expenses!A$3:A$999=DATE(2026,1,10)),ROW(Expenses!A$3:A$999)-2),3)),0)+IFERROR(INDEX(Income!C$3:C$502,SMALL(IF((Income!D$3:D$502="INR")*(Income!A$3:A$502=DATE(2026,1,10)),ROW(Income!A$3:A$502)-2),3)),0))</f>
        <v/>
      </c>
      <c r="N11" s="126">
        <f t="array" ref="N11">IF(IFERROR(INDEX(Expenses!B$3:B$999,SMALL(IF((Expenses!E$3:E$999="INR")*(Expenses!A$3:A$999=DATE(2026,1,10)),ROW(Expenses!A$3:A$999)-2),3)),"")&lt;&gt;"",IFERROR(INDEX(Expenses!B$3:B$999,SMALL(IF((Expenses!E$3:E$999="INR")*(Expenses!A$3:A$999=DATE(2026,1,10)),ROW(Expenses!A$3:A$999)-2),3)),""),IF(IFERROR(INDEX(Income!B$3:B$502,SMALL(IF((Income!D$3:D$502="INR")*(Income!A$3:A$502=DATE(2026,1,10)),ROW(Income!A$3:A$502)-2),3)),"")&lt;&gt;"",IFERROR(INDEX(Income!B$3:B$502,SMALL(IF((Income!D$3:D$502="INR")*(Income!A$3:A$502=DATE(2026,1,10)),ROW(Income!A$3:A$502)-2),3)),""),""))</f>
        <v/>
      </c>
      <c r="O11" s="153">
        <f t="array" ref="O11">IF(IFERROR(-INDEX(Expenses!D$3:D$999,SMALL(IF((Expenses!E$3:E$999="INR")*(Expenses!A$3:A$999=DATE(2026,1,11)),ROW(Expenses!A$3:A$999)-2),3)),0)+IFERROR(INDEX(Income!C$3:C$502,SMALL(IF((Income!D$3:D$502="INR")*(Income!A$3:A$502=DATE(2026,1,11)),ROW(Income!A$3:A$502)-2),3)),0)=0,"",IFERROR(-INDEX(Expenses!D$3:D$999,SMALL(IF((Expenses!E$3:E$999="INR")*(Expenses!A$3:A$999=DATE(2026,1,11)),ROW(Expenses!A$3:A$999)-2),3)),0)+IFERROR(INDEX(Income!C$3:C$502,SMALL(IF((Income!D$3:D$502="INR")*(Income!A$3:A$502=DATE(2026,1,11)),ROW(Income!A$3:A$502)-2),3)),0))</f>
        <v/>
      </c>
      <c r="P11" s="126">
        <f t="array" ref="P11">IF(IFERROR(INDEX(Expenses!B$3:B$999,SMALL(IF((Expenses!E$3:E$999="INR")*(Expenses!A$3:A$999=DATE(2026,1,11)),ROW(Expenses!A$3:A$999)-2),3)),"")&lt;&gt;"",IFERROR(INDEX(Expenses!B$3:B$999,SMALL(IF((Expenses!E$3:E$999="INR")*(Expenses!A$3:A$999=DATE(2026,1,11)),ROW(Expenses!A$3:A$999)-2),3)),""),IF(IFERROR(INDEX(Income!B$3:B$502,SMALL(IF((Income!D$3:D$502="INR")*(Income!A$3:A$502=DATE(2026,1,11)),ROW(Income!A$3:A$502)-2),3)),"")&lt;&gt;"",IFERROR(INDEX(Income!B$3:B$502,SMALL(IF((Income!D$3:D$502="INR")*(Income!A$3:A$502=DATE(2026,1,11)),ROW(Income!A$3:A$502)-2),3)),""),""))</f>
        <v/>
      </c>
      <c r="Q11" s="9" t="n"/>
      <c r="R11" s="9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9" t="n"/>
      <c r="B12" s="9" t="n"/>
      <c r="C12" s="153">
        <f t="array" ref="C12">IF(IFERROR(-INDEX(Expenses!D$3:D$999,SMALL(IF((Expenses!E$3:E$999="INR")*(Expenses!A$3:A$999=DATE(2026,1,5)),ROW(Expenses!A$3:A$999)-2),4)),0)+IFERROR(INDEX(Income!C$3:C$502,SMALL(IF((Income!D$3:D$502="INR")*(Income!A$3:A$502=DATE(2026,1,5)),ROW(Income!A$3:A$502)-2),4)),0)=0,"",IFERROR(-INDEX(Expenses!D$3:D$999,SMALL(IF((Expenses!E$3:E$999="INR")*(Expenses!A$3:A$999=DATE(2026,1,5)),ROW(Expenses!A$3:A$999)-2),4)),0)+IFERROR(INDEX(Income!C$3:C$502,SMALL(IF((Income!D$3:D$502="INR")*(Income!A$3:A$502=DATE(2026,1,5)),ROW(Income!A$3:A$502)-2),4)),0))</f>
        <v/>
      </c>
      <c r="D12" s="126">
        <f t="array" ref="D12">IF(IFERROR(INDEX(Expenses!B$3:B$999,SMALL(IF((Expenses!E$3:E$999="INR")*(Expenses!A$3:A$999=DATE(2026,1,5)),ROW(Expenses!A$3:A$999)-2),4)),"")&lt;&gt;"",IFERROR(INDEX(Expenses!B$3:B$999,SMALL(IF((Expenses!E$3:E$999="INR")*(Expenses!A$3:A$999=DATE(2026,1,5)),ROW(Expenses!A$3:A$999)-2),4)),""),IF(IFERROR(INDEX(Income!B$3:B$502,SMALL(IF((Income!D$3:D$502="INR")*(Income!A$3:A$502=DATE(2026,1,5)),ROW(Income!A$3:A$502)-2),4)),"")&lt;&gt;"",IFERROR(INDEX(Income!B$3:B$502,SMALL(IF((Income!D$3:D$502="INR")*(Income!A$3:A$502=DATE(2026,1,5)),ROW(Income!A$3:A$502)-2),4)),""),""))</f>
        <v/>
      </c>
      <c r="E12" s="153">
        <f t="array" ref="E12">IF(IFERROR(-INDEX(Expenses!D$3:D$999,SMALL(IF((Expenses!E$3:E$999="INR")*(Expenses!A$3:A$999=DATE(2026,1,6)),ROW(Expenses!A$3:A$999)-2),4)),0)+IFERROR(INDEX(Income!C$3:C$502,SMALL(IF((Income!D$3:D$502="INR")*(Income!A$3:A$502=DATE(2026,1,6)),ROW(Income!A$3:A$502)-2),4)),0)=0,"",IFERROR(-INDEX(Expenses!D$3:D$999,SMALL(IF((Expenses!E$3:E$999="INR")*(Expenses!A$3:A$999=DATE(2026,1,6)),ROW(Expenses!A$3:A$999)-2),4)),0)+IFERROR(INDEX(Income!C$3:C$502,SMALL(IF((Income!D$3:D$502="INR")*(Income!A$3:A$502=DATE(2026,1,6)),ROW(Income!A$3:A$502)-2),4)),0))</f>
        <v/>
      </c>
      <c r="F12" s="126">
        <f t="array" ref="F12">IF(IFERROR(INDEX(Expenses!B$3:B$999,SMALL(IF((Expenses!E$3:E$999="INR")*(Expenses!A$3:A$999=DATE(2026,1,6)),ROW(Expenses!A$3:A$999)-2),4)),"")&lt;&gt;"",IFERROR(INDEX(Expenses!B$3:B$999,SMALL(IF((Expenses!E$3:E$999="INR")*(Expenses!A$3:A$999=DATE(2026,1,6)),ROW(Expenses!A$3:A$999)-2),4)),""),IF(IFERROR(INDEX(Income!B$3:B$502,SMALL(IF((Income!D$3:D$502="INR")*(Income!A$3:A$502=DATE(2026,1,6)),ROW(Income!A$3:A$502)-2),4)),"")&lt;&gt;"",IFERROR(INDEX(Income!B$3:B$502,SMALL(IF((Income!D$3:D$502="INR")*(Income!A$3:A$502=DATE(2026,1,6)),ROW(Income!A$3:A$502)-2),4)),""),""))</f>
        <v/>
      </c>
      <c r="G12" s="153">
        <f t="array" ref="G12">IF(IFERROR(-INDEX(Expenses!D$3:D$999,SMALL(IF((Expenses!E$3:E$999="INR")*(Expenses!A$3:A$999=DATE(2026,1,7)),ROW(Expenses!A$3:A$999)-2),4)),0)+IFERROR(INDEX(Income!C$3:C$502,SMALL(IF((Income!D$3:D$502="INR")*(Income!A$3:A$502=DATE(2026,1,7)),ROW(Income!A$3:A$502)-2),4)),0)=0,"",IFERROR(-INDEX(Expenses!D$3:D$999,SMALL(IF((Expenses!E$3:E$999="INR")*(Expenses!A$3:A$999=DATE(2026,1,7)),ROW(Expenses!A$3:A$999)-2),4)),0)+IFERROR(INDEX(Income!C$3:C$502,SMALL(IF((Income!D$3:D$502="INR")*(Income!A$3:A$502=DATE(2026,1,7)),ROW(Income!A$3:A$502)-2),4)),0))</f>
        <v/>
      </c>
      <c r="H12" s="126">
        <f t="array" ref="H12">IF(IFERROR(INDEX(Expenses!B$3:B$999,SMALL(IF((Expenses!E$3:E$999="INR")*(Expenses!A$3:A$999=DATE(2026,1,7)),ROW(Expenses!A$3:A$999)-2),4)),"")&lt;&gt;"",IFERROR(INDEX(Expenses!B$3:B$999,SMALL(IF((Expenses!E$3:E$999="INR")*(Expenses!A$3:A$999=DATE(2026,1,7)),ROW(Expenses!A$3:A$999)-2),4)),""),IF(IFERROR(INDEX(Income!B$3:B$502,SMALL(IF((Income!D$3:D$502="INR")*(Income!A$3:A$502=DATE(2026,1,7)),ROW(Income!A$3:A$502)-2),4)),"")&lt;&gt;"",IFERROR(INDEX(Income!B$3:B$502,SMALL(IF((Income!D$3:D$502="INR")*(Income!A$3:A$502=DATE(2026,1,7)),ROW(Income!A$3:A$502)-2),4)),""),""))</f>
        <v/>
      </c>
      <c r="I12" s="153">
        <f t="array" ref="I12">IF(IFERROR(-INDEX(Expenses!D$3:D$999,SMALL(IF((Expenses!E$3:E$999="INR")*(Expenses!A$3:A$999=DATE(2026,1,8)),ROW(Expenses!A$3:A$999)-2),4)),0)+IFERROR(INDEX(Income!C$3:C$502,SMALL(IF((Income!D$3:D$502="INR")*(Income!A$3:A$502=DATE(2026,1,8)),ROW(Income!A$3:A$502)-2),4)),0)=0,"",IFERROR(-INDEX(Expenses!D$3:D$999,SMALL(IF((Expenses!E$3:E$999="INR")*(Expenses!A$3:A$999=DATE(2026,1,8)),ROW(Expenses!A$3:A$999)-2),4)),0)+IFERROR(INDEX(Income!C$3:C$502,SMALL(IF((Income!D$3:D$502="INR")*(Income!A$3:A$502=DATE(2026,1,8)),ROW(Income!A$3:A$502)-2),4)),0))</f>
        <v/>
      </c>
      <c r="J12" s="126">
        <f t="array" ref="J12">IF(IFERROR(INDEX(Expenses!B$3:B$999,SMALL(IF((Expenses!E$3:E$999="INR")*(Expenses!A$3:A$999=DATE(2026,1,8)),ROW(Expenses!A$3:A$999)-2),4)),"")&lt;&gt;"",IFERROR(INDEX(Expenses!B$3:B$999,SMALL(IF((Expenses!E$3:E$999="INR")*(Expenses!A$3:A$999=DATE(2026,1,8)),ROW(Expenses!A$3:A$999)-2),4)),""),IF(IFERROR(INDEX(Income!B$3:B$502,SMALL(IF((Income!D$3:D$502="INR")*(Income!A$3:A$502=DATE(2026,1,8)),ROW(Income!A$3:A$502)-2),4)),"")&lt;&gt;"",IFERROR(INDEX(Income!B$3:B$502,SMALL(IF((Income!D$3:D$502="INR")*(Income!A$3:A$502=DATE(2026,1,8)),ROW(Income!A$3:A$502)-2),4)),""),""))</f>
        <v/>
      </c>
      <c r="K12" s="153">
        <f t="array" ref="K12">IF(IFERROR(-INDEX(Expenses!D$3:D$999,SMALL(IF((Expenses!E$3:E$999="INR")*(Expenses!A$3:A$999=DATE(2026,1,9)),ROW(Expenses!A$3:A$999)-2),4)),0)+IFERROR(INDEX(Income!C$3:C$502,SMALL(IF((Income!D$3:D$502="INR")*(Income!A$3:A$502=DATE(2026,1,9)),ROW(Income!A$3:A$502)-2),4)),0)=0,"",IFERROR(-INDEX(Expenses!D$3:D$999,SMALL(IF((Expenses!E$3:E$999="INR")*(Expenses!A$3:A$999=DATE(2026,1,9)),ROW(Expenses!A$3:A$999)-2),4)),0)+IFERROR(INDEX(Income!C$3:C$502,SMALL(IF((Income!D$3:D$502="INR")*(Income!A$3:A$502=DATE(2026,1,9)),ROW(Income!A$3:A$502)-2),4)),0))</f>
        <v/>
      </c>
      <c r="L12" s="126">
        <f t="array" ref="L12">IF(IFERROR(INDEX(Expenses!B$3:B$999,SMALL(IF((Expenses!E$3:E$999="INR")*(Expenses!A$3:A$999=DATE(2026,1,9)),ROW(Expenses!A$3:A$999)-2),4)),"")&lt;&gt;"",IFERROR(INDEX(Expenses!B$3:B$999,SMALL(IF((Expenses!E$3:E$999="INR")*(Expenses!A$3:A$999=DATE(2026,1,9)),ROW(Expenses!A$3:A$999)-2),4)),""),IF(IFERROR(INDEX(Income!B$3:B$502,SMALL(IF((Income!D$3:D$502="INR")*(Income!A$3:A$502=DATE(2026,1,9)),ROW(Income!A$3:A$502)-2),4)),"")&lt;&gt;"",IFERROR(INDEX(Income!B$3:B$502,SMALL(IF((Income!D$3:D$502="INR")*(Income!A$3:A$502=DATE(2026,1,9)),ROW(Income!A$3:A$502)-2),4)),""),""))</f>
        <v/>
      </c>
      <c r="M12" s="153">
        <f t="array" ref="M12">IF(IFERROR(-INDEX(Expenses!D$3:D$999,SMALL(IF((Expenses!E$3:E$999="INR")*(Expenses!A$3:A$999=DATE(2026,1,10)),ROW(Expenses!A$3:A$999)-2),4)),0)+IFERROR(INDEX(Income!C$3:C$502,SMALL(IF((Income!D$3:D$502="INR")*(Income!A$3:A$502=DATE(2026,1,10)),ROW(Income!A$3:A$502)-2),4)),0)=0,"",IFERROR(-INDEX(Expenses!D$3:D$999,SMALL(IF((Expenses!E$3:E$999="INR")*(Expenses!A$3:A$999=DATE(2026,1,10)),ROW(Expenses!A$3:A$999)-2),4)),0)+IFERROR(INDEX(Income!C$3:C$502,SMALL(IF((Income!D$3:D$502="INR")*(Income!A$3:A$502=DATE(2026,1,10)),ROW(Income!A$3:A$502)-2),4)),0))</f>
        <v/>
      </c>
      <c r="N12" s="126">
        <f t="array" ref="N12">IF(IFERROR(INDEX(Expenses!B$3:B$999,SMALL(IF((Expenses!E$3:E$999="INR")*(Expenses!A$3:A$999=DATE(2026,1,10)),ROW(Expenses!A$3:A$999)-2),4)),"")&lt;&gt;"",IFERROR(INDEX(Expenses!B$3:B$999,SMALL(IF((Expenses!E$3:E$999="INR")*(Expenses!A$3:A$999=DATE(2026,1,10)),ROW(Expenses!A$3:A$999)-2),4)),""),IF(IFERROR(INDEX(Income!B$3:B$502,SMALL(IF((Income!D$3:D$502="INR")*(Income!A$3:A$502=DATE(2026,1,10)),ROW(Income!A$3:A$502)-2),4)),"")&lt;&gt;"",IFERROR(INDEX(Income!B$3:B$502,SMALL(IF((Income!D$3:D$502="INR")*(Income!A$3:A$502=DATE(2026,1,10)),ROW(Income!A$3:A$502)-2),4)),""),""))</f>
        <v/>
      </c>
      <c r="O12" s="153">
        <f t="array" ref="O12">IF(IFERROR(-INDEX(Expenses!D$3:D$999,SMALL(IF((Expenses!E$3:E$999="INR")*(Expenses!A$3:A$999=DATE(2026,1,11)),ROW(Expenses!A$3:A$999)-2),4)),0)+IFERROR(INDEX(Income!C$3:C$502,SMALL(IF((Income!D$3:D$502="INR")*(Income!A$3:A$502=DATE(2026,1,11)),ROW(Income!A$3:A$502)-2),4)),0)=0,"",IFERROR(-INDEX(Expenses!D$3:D$999,SMALL(IF((Expenses!E$3:E$999="INR")*(Expenses!A$3:A$999=DATE(2026,1,11)),ROW(Expenses!A$3:A$999)-2),4)),0)+IFERROR(INDEX(Income!C$3:C$502,SMALL(IF((Income!D$3:D$502="INR")*(Income!A$3:A$502=DATE(2026,1,11)),ROW(Income!A$3:A$502)-2),4)),0))</f>
        <v/>
      </c>
      <c r="P12" s="126">
        <f t="array" ref="P12">IF(IFERROR(INDEX(Expenses!B$3:B$999,SMALL(IF((Expenses!E$3:E$999="INR")*(Expenses!A$3:A$999=DATE(2026,1,11)),ROW(Expenses!A$3:A$999)-2),4)),"")&lt;&gt;"",IFERROR(INDEX(Expenses!B$3:B$999,SMALL(IF((Expenses!E$3:E$999="INR")*(Expenses!A$3:A$999=DATE(2026,1,11)),ROW(Expenses!A$3:A$999)-2),4)),""),IF(IFERROR(INDEX(Income!B$3:B$502,SMALL(IF((Income!D$3:D$502="INR")*(Income!A$3:A$502=DATE(2026,1,11)),ROW(Income!A$3:A$502)-2),4)),"")&lt;&gt;"",IFERROR(INDEX(Income!B$3:B$502,SMALL(IF((Income!D$3:D$502="INR")*(Income!A$3:A$502=DATE(2026,1,11)),ROW(Income!A$3:A$502)-2),4)),""),""))</f>
        <v/>
      </c>
      <c r="Q12" s="9" t="n"/>
      <c r="R12" s="9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9" t="n"/>
      <c r="B13" s="9" t="n"/>
      <c r="C13" s="153">
        <f t="array" ref="C13">IF(IFERROR(-INDEX(Expenses!D$3:D$999,SMALL(IF((Expenses!E$3:E$999="INR")*(Expenses!A$3:A$999=DATE(2026,1,5)),ROW(Expenses!A$3:A$999)-2),5)),0)+IFERROR(INDEX(Income!C$3:C$502,SMALL(IF((Income!D$3:D$502="INR")*(Income!A$3:A$502=DATE(2026,1,5)),ROW(Income!A$3:A$502)-2),5)),0)=0,"",IFERROR(-INDEX(Expenses!D$3:D$999,SMALL(IF((Expenses!E$3:E$999="INR")*(Expenses!A$3:A$999=DATE(2026,1,5)),ROW(Expenses!A$3:A$999)-2),5)),0)+IFERROR(INDEX(Income!C$3:C$502,SMALL(IF((Income!D$3:D$502="INR")*(Income!A$3:A$502=DATE(2026,1,5)),ROW(Income!A$3:A$502)-2),5)),0))</f>
        <v/>
      </c>
      <c r="D13" s="126">
        <f t="array" ref="D13">IF(IFERROR(INDEX(Expenses!B$3:B$999,SMALL(IF((Expenses!E$3:E$999="INR")*(Expenses!A$3:A$999=DATE(2026,1,5)),ROW(Expenses!A$3:A$999)-2),5)),"")&lt;&gt;"",IFERROR(INDEX(Expenses!B$3:B$999,SMALL(IF((Expenses!E$3:E$999="INR")*(Expenses!A$3:A$999=DATE(2026,1,5)),ROW(Expenses!A$3:A$999)-2),5)),""),IF(IFERROR(INDEX(Income!B$3:B$502,SMALL(IF((Income!D$3:D$502="INR")*(Income!A$3:A$502=DATE(2026,1,5)),ROW(Income!A$3:A$502)-2),5)),"")&lt;&gt;"",IFERROR(INDEX(Income!B$3:B$502,SMALL(IF((Income!D$3:D$502="INR")*(Income!A$3:A$502=DATE(2026,1,5)),ROW(Income!A$3:A$502)-2),5)),""),""))</f>
        <v/>
      </c>
      <c r="E13" s="153">
        <f t="array" ref="E13">IF(IFERROR(-INDEX(Expenses!D$3:D$999,SMALL(IF((Expenses!E$3:E$999="INR")*(Expenses!A$3:A$999=DATE(2026,1,6)),ROW(Expenses!A$3:A$999)-2),5)),0)+IFERROR(INDEX(Income!C$3:C$502,SMALL(IF((Income!D$3:D$502="INR")*(Income!A$3:A$502=DATE(2026,1,6)),ROW(Income!A$3:A$502)-2),5)),0)=0,"",IFERROR(-INDEX(Expenses!D$3:D$999,SMALL(IF((Expenses!E$3:E$999="INR")*(Expenses!A$3:A$999=DATE(2026,1,6)),ROW(Expenses!A$3:A$999)-2),5)),0)+IFERROR(INDEX(Income!C$3:C$502,SMALL(IF((Income!D$3:D$502="INR")*(Income!A$3:A$502=DATE(2026,1,6)),ROW(Income!A$3:A$502)-2),5)),0))</f>
        <v/>
      </c>
      <c r="F13" s="126">
        <f t="array" ref="F13">IF(IFERROR(INDEX(Expenses!B$3:B$999,SMALL(IF((Expenses!E$3:E$999="INR")*(Expenses!A$3:A$999=DATE(2026,1,6)),ROW(Expenses!A$3:A$999)-2),5)),"")&lt;&gt;"",IFERROR(INDEX(Expenses!B$3:B$999,SMALL(IF((Expenses!E$3:E$999="INR")*(Expenses!A$3:A$999=DATE(2026,1,6)),ROW(Expenses!A$3:A$999)-2),5)),""),IF(IFERROR(INDEX(Income!B$3:B$502,SMALL(IF((Income!D$3:D$502="INR")*(Income!A$3:A$502=DATE(2026,1,6)),ROW(Income!A$3:A$502)-2),5)),"")&lt;&gt;"",IFERROR(INDEX(Income!B$3:B$502,SMALL(IF((Income!D$3:D$502="INR")*(Income!A$3:A$502=DATE(2026,1,6)),ROW(Income!A$3:A$502)-2),5)),""),""))</f>
        <v/>
      </c>
      <c r="G13" s="153">
        <f t="array" ref="G13">IF(IFERROR(-INDEX(Expenses!D$3:D$999,SMALL(IF((Expenses!E$3:E$999="INR")*(Expenses!A$3:A$999=DATE(2026,1,7)),ROW(Expenses!A$3:A$999)-2),5)),0)+IFERROR(INDEX(Income!C$3:C$502,SMALL(IF((Income!D$3:D$502="INR")*(Income!A$3:A$502=DATE(2026,1,7)),ROW(Income!A$3:A$502)-2),5)),0)=0,"",IFERROR(-INDEX(Expenses!D$3:D$999,SMALL(IF((Expenses!E$3:E$999="INR")*(Expenses!A$3:A$999=DATE(2026,1,7)),ROW(Expenses!A$3:A$999)-2),5)),0)+IFERROR(INDEX(Income!C$3:C$502,SMALL(IF((Income!D$3:D$502="INR")*(Income!A$3:A$502=DATE(2026,1,7)),ROW(Income!A$3:A$502)-2),5)),0))</f>
        <v/>
      </c>
      <c r="H13" s="126">
        <f t="array" ref="H13">IF(IFERROR(INDEX(Expenses!B$3:B$999,SMALL(IF((Expenses!E$3:E$999="INR")*(Expenses!A$3:A$999=DATE(2026,1,7)),ROW(Expenses!A$3:A$999)-2),5)),"")&lt;&gt;"",IFERROR(INDEX(Expenses!B$3:B$999,SMALL(IF((Expenses!E$3:E$999="INR")*(Expenses!A$3:A$999=DATE(2026,1,7)),ROW(Expenses!A$3:A$999)-2),5)),""),IF(IFERROR(INDEX(Income!B$3:B$502,SMALL(IF((Income!D$3:D$502="INR")*(Income!A$3:A$502=DATE(2026,1,7)),ROW(Income!A$3:A$502)-2),5)),"")&lt;&gt;"",IFERROR(INDEX(Income!B$3:B$502,SMALL(IF((Income!D$3:D$502="INR")*(Income!A$3:A$502=DATE(2026,1,7)),ROW(Income!A$3:A$502)-2),5)),""),""))</f>
        <v/>
      </c>
      <c r="I13" s="153">
        <f t="array" ref="I13">IF(IFERROR(-INDEX(Expenses!D$3:D$999,SMALL(IF((Expenses!E$3:E$999="INR")*(Expenses!A$3:A$999=DATE(2026,1,8)),ROW(Expenses!A$3:A$999)-2),5)),0)+IFERROR(INDEX(Income!C$3:C$502,SMALL(IF((Income!D$3:D$502="INR")*(Income!A$3:A$502=DATE(2026,1,8)),ROW(Income!A$3:A$502)-2),5)),0)=0,"",IFERROR(-INDEX(Expenses!D$3:D$999,SMALL(IF((Expenses!E$3:E$999="INR")*(Expenses!A$3:A$999=DATE(2026,1,8)),ROW(Expenses!A$3:A$999)-2),5)),0)+IFERROR(INDEX(Income!C$3:C$502,SMALL(IF((Income!D$3:D$502="INR")*(Income!A$3:A$502=DATE(2026,1,8)),ROW(Income!A$3:A$502)-2),5)),0))</f>
        <v/>
      </c>
      <c r="J13" s="126">
        <f t="array" ref="J13">IF(IFERROR(INDEX(Expenses!B$3:B$999,SMALL(IF((Expenses!E$3:E$999="INR")*(Expenses!A$3:A$999=DATE(2026,1,8)),ROW(Expenses!A$3:A$999)-2),5)),"")&lt;&gt;"",IFERROR(INDEX(Expenses!B$3:B$999,SMALL(IF((Expenses!E$3:E$999="INR")*(Expenses!A$3:A$999=DATE(2026,1,8)),ROW(Expenses!A$3:A$999)-2),5)),""),IF(IFERROR(INDEX(Income!B$3:B$502,SMALL(IF((Income!D$3:D$502="INR")*(Income!A$3:A$502=DATE(2026,1,8)),ROW(Income!A$3:A$502)-2),5)),"")&lt;&gt;"",IFERROR(INDEX(Income!B$3:B$502,SMALL(IF((Income!D$3:D$502="INR")*(Income!A$3:A$502=DATE(2026,1,8)),ROW(Income!A$3:A$502)-2),5)),""),""))</f>
        <v/>
      </c>
      <c r="K13" s="153">
        <f t="array" ref="K13">IF(IFERROR(-INDEX(Expenses!D$3:D$999,SMALL(IF((Expenses!E$3:E$999="INR")*(Expenses!A$3:A$999=DATE(2026,1,9)),ROW(Expenses!A$3:A$999)-2),5)),0)+IFERROR(INDEX(Income!C$3:C$502,SMALL(IF((Income!D$3:D$502="INR")*(Income!A$3:A$502=DATE(2026,1,9)),ROW(Income!A$3:A$502)-2),5)),0)=0,"",IFERROR(-INDEX(Expenses!D$3:D$999,SMALL(IF((Expenses!E$3:E$999="INR")*(Expenses!A$3:A$999=DATE(2026,1,9)),ROW(Expenses!A$3:A$999)-2),5)),0)+IFERROR(INDEX(Income!C$3:C$502,SMALL(IF((Income!D$3:D$502="INR")*(Income!A$3:A$502=DATE(2026,1,9)),ROW(Income!A$3:A$502)-2),5)),0))</f>
        <v/>
      </c>
      <c r="L13" s="126">
        <f t="array" ref="L13">IF(IFERROR(INDEX(Expenses!B$3:B$999,SMALL(IF((Expenses!E$3:E$999="INR")*(Expenses!A$3:A$999=DATE(2026,1,9)),ROW(Expenses!A$3:A$999)-2),5)),"")&lt;&gt;"",IFERROR(INDEX(Expenses!B$3:B$999,SMALL(IF((Expenses!E$3:E$999="INR")*(Expenses!A$3:A$999=DATE(2026,1,9)),ROW(Expenses!A$3:A$999)-2),5)),""),IF(IFERROR(INDEX(Income!B$3:B$502,SMALL(IF((Income!D$3:D$502="INR")*(Income!A$3:A$502=DATE(2026,1,9)),ROW(Income!A$3:A$502)-2),5)),"")&lt;&gt;"",IFERROR(INDEX(Income!B$3:B$502,SMALL(IF((Income!D$3:D$502="INR")*(Income!A$3:A$502=DATE(2026,1,9)),ROW(Income!A$3:A$502)-2),5)),""),""))</f>
        <v/>
      </c>
      <c r="M13" s="153">
        <f t="array" ref="M13">IF(IFERROR(-INDEX(Expenses!D$3:D$999,SMALL(IF((Expenses!E$3:E$999="INR")*(Expenses!A$3:A$999=DATE(2026,1,10)),ROW(Expenses!A$3:A$999)-2),5)),0)+IFERROR(INDEX(Income!C$3:C$502,SMALL(IF((Income!D$3:D$502="INR")*(Income!A$3:A$502=DATE(2026,1,10)),ROW(Income!A$3:A$502)-2),5)),0)=0,"",IFERROR(-INDEX(Expenses!D$3:D$999,SMALL(IF((Expenses!E$3:E$999="INR")*(Expenses!A$3:A$999=DATE(2026,1,10)),ROW(Expenses!A$3:A$999)-2),5)),0)+IFERROR(INDEX(Income!C$3:C$502,SMALL(IF((Income!D$3:D$502="INR")*(Income!A$3:A$502=DATE(2026,1,10)),ROW(Income!A$3:A$502)-2),5)),0))</f>
        <v/>
      </c>
      <c r="N13" s="126">
        <f t="array" ref="N13">IF(IFERROR(INDEX(Expenses!B$3:B$999,SMALL(IF((Expenses!E$3:E$999="INR")*(Expenses!A$3:A$999=DATE(2026,1,10)),ROW(Expenses!A$3:A$999)-2),5)),"")&lt;&gt;"",IFERROR(INDEX(Expenses!B$3:B$999,SMALL(IF((Expenses!E$3:E$999="INR")*(Expenses!A$3:A$999=DATE(2026,1,10)),ROW(Expenses!A$3:A$999)-2),5)),""),IF(IFERROR(INDEX(Income!B$3:B$502,SMALL(IF((Income!D$3:D$502="INR")*(Income!A$3:A$502=DATE(2026,1,10)),ROW(Income!A$3:A$502)-2),5)),"")&lt;&gt;"",IFERROR(INDEX(Income!B$3:B$502,SMALL(IF((Income!D$3:D$502="INR")*(Income!A$3:A$502=DATE(2026,1,10)),ROW(Income!A$3:A$502)-2),5)),""),""))</f>
        <v/>
      </c>
      <c r="O13" s="153">
        <f t="array" ref="O13">IF(IFERROR(-INDEX(Expenses!D$3:D$999,SMALL(IF((Expenses!E$3:E$999="INR")*(Expenses!A$3:A$999=DATE(2026,1,11)),ROW(Expenses!A$3:A$999)-2),5)),0)+IFERROR(INDEX(Income!C$3:C$502,SMALL(IF((Income!D$3:D$502="INR")*(Income!A$3:A$502=DATE(2026,1,11)),ROW(Income!A$3:A$502)-2),5)),0)=0,"",IFERROR(-INDEX(Expenses!D$3:D$999,SMALL(IF((Expenses!E$3:E$999="INR")*(Expenses!A$3:A$999=DATE(2026,1,11)),ROW(Expenses!A$3:A$999)-2),5)),0)+IFERROR(INDEX(Income!C$3:C$502,SMALL(IF((Income!D$3:D$502="INR")*(Income!A$3:A$502=DATE(2026,1,11)),ROW(Income!A$3:A$502)-2),5)),0))</f>
        <v/>
      </c>
      <c r="P13" s="126">
        <f t="array" ref="P13">IF(IFERROR(INDEX(Expenses!B$3:B$999,SMALL(IF((Expenses!E$3:E$999="INR")*(Expenses!A$3:A$999=DATE(2026,1,11)),ROW(Expenses!A$3:A$999)-2),5)),"")&lt;&gt;"",IFERROR(INDEX(Expenses!B$3:B$999,SMALL(IF((Expenses!E$3:E$999="INR")*(Expenses!A$3:A$999=DATE(2026,1,11)),ROW(Expenses!A$3:A$999)-2),5)),""),IF(IFERROR(INDEX(Income!B$3:B$502,SMALL(IF((Income!D$3:D$502="INR")*(Income!A$3:A$502=DATE(2026,1,11)),ROW(Income!A$3:A$502)-2),5)),"")&lt;&gt;"",IFERROR(INDEX(Income!B$3:B$502,SMALL(IF((Income!D$3:D$502="INR")*(Income!A$3:A$502=DATE(2026,1,11)),ROW(Income!A$3:A$502)-2),5)),""),""))</f>
        <v/>
      </c>
      <c r="Q13" s="9" t="n"/>
      <c r="R13" s="9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151" t="n">
        <v>46034</v>
      </c>
      <c r="B14" s="103" t="n">
        <v>3</v>
      </c>
      <c r="C14" s="153">
        <f t="array" ref="C14">IF(IFERROR(-INDEX(Expenses!D$3:D$999,SMALL(IF((Expenses!E$3:E$999="INR")*(Expenses!A$3:A$999=DATE(2026,1,12)),ROW(Expenses!A$3:A$999)-2),1)),0)+IFERROR(INDEX(Income!C$3:C$502,SMALL(IF((Income!D$3:D$502="INR")*(Income!A$3:A$502=DATE(2026,1,12)),ROW(Income!A$3:A$502)-2),1)),0)=0,"",IFERROR(-INDEX(Expenses!D$3:D$999,SMALL(IF((Expenses!E$3:E$999="INR")*(Expenses!A$3:A$999=DATE(2026,1,12)),ROW(Expenses!A$3:A$999)-2),1)),0)+IFERROR(INDEX(Income!C$3:C$502,SMALL(IF((Income!D$3:D$502="INR")*(Income!A$3:A$502=DATE(2026,1,12)),ROW(Income!A$3:A$502)-2),1)),0))</f>
        <v/>
      </c>
      <c r="D14" s="126">
        <f t="array" ref="D14">IF(IFERROR(INDEX(Expenses!B$3:B$999,SMALL(IF((Expenses!E$3:E$999="INR")*(Expenses!A$3:A$999=DATE(2026,1,12)),ROW(Expenses!A$3:A$999)-2),1)),"")&lt;&gt;"",IFERROR(INDEX(Expenses!B$3:B$999,SMALL(IF((Expenses!E$3:E$999="INR")*(Expenses!A$3:A$999=DATE(2026,1,12)),ROW(Expenses!A$3:A$999)-2),1)),""),IF(IFERROR(INDEX(Income!B$3:B$502,SMALL(IF((Income!D$3:D$502="INR")*(Income!A$3:A$502=DATE(2026,1,12)),ROW(Income!A$3:A$502)-2),1)),"")&lt;&gt;"",IFERROR(INDEX(Income!B$3:B$502,SMALL(IF((Income!D$3:D$502="INR")*(Income!A$3:A$502=DATE(2026,1,12)),ROW(Income!A$3:A$502)-2),1)),""),""))</f>
        <v/>
      </c>
      <c r="E14" s="153">
        <f t="array" ref="E14">IF(IFERROR(-INDEX(Expenses!D$3:D$999,SMALL(IF((Expenses!E$3:E$999="INR")*(Expenses!A$3:A$999=DATE(2026,1,13)),ROW(Expenses!A$3:A$999)-2),1)),0)+IFERROR(INDEX(Income!C$3:C$502,SMALL(IF((Income!D$3:D$502="INR")*(Income!A$3:A$502=DATE(2026,1,13)),ROW(Income!A$3:A$502)-2),1)),0)=0,"",IFERROR(-INDEX(Expenses!D$3:D$999,SMALL(IF((Expenses!E$3:E$999="INR")*(Expenses!A$3:A$999=DATE(2026,1,13)),ROW(Expenses!A$3:A$999)-2),1)),0)+IFERROR(INDEX(Income!C$3:C$502,SMALL(IF((Income!D$3:D$502="INR")*(Income!A$3:A$502=DATE(2026,1,13)),ROW(Income!A$3:A$502)-2),1)),0))</f>
        <v/>
      </c>
      <c r="F14" s="126">
        <f t="array" ref="F14">IF(IFERROR(INDEX(Expenses!B$3:B$999,SMALL(IF((Expenses!E$3:E$999="INR")*(Expenses!A$3:A$999=DATE(2026,1,13)),ROW(Expenses!A$3:A$999)-2),1)),"")&lt;&gt;"",IFERROR(INDEX(Expenses!B$3:B$999,SMALL(IF((Expenses!E$3:E$999="INR")*(Expenses!A$3:A$999=DATE(2026,1,13)),ROW(Expenses!A$3:A$999)-2),1)),""),IF(IFERROR(INDEX(Income!B$3:B$502,SMALL(IF((Income!D$3:D$502="INR")*(Income!A$3:A$502=DATE(2026,1,13)),ROW(Income!A$3:A$502)-2),1)),"")&lt;&gt;"",IFERROR(INDEX(Income!B$3:B$502,SMALL(IF((Income!D$3:D$502="INR")*(Income!A$3:A$502=DATE(2026,1,13)),ROW(Income!A$3:A$502)-2),1)),""),""))</f>
        <v/>
      </c>
      <c r="G14" s="153">
        <f t="array" ref="G14">IF(IFERROR(-INDEX(Expenses!D$3:D$999,SMALL(IF((Expenses!E$3:E$999="INR")*(Expenses!A$3:A$999=DATE(2026,1,14)),ROW(Expenses!A$3:A$999)-2),1)),0)+IFERROR(INDEX(Income!C$3:C$502,SMALL(IF((Income!D$3:D$502="INR")*(Income!A$3:A$502=DATE(2026,1,14)),ROW(Income!A$3:A$502)-2),1)),0)=0,"",IFERROR(-INDEX(Expenses!D$3:D$999,SMALL(IF((Expenses!E$3:E$999="INR")*(Expenses!A$3:A$999=DATE(2026,1,14)),ROW(Expenses!A$3:A$999)-2),1)),0)+IFERROR(INDEX(Income!C$3:C$502,SMALL(IF((Income!D$3:D$502="INR")*(Income!A$3:A$502=DATE(2026,1,14)),ROW(Income!A$3:A$502)-2),1)),0))</f>
        <v/>
      </c>
      <c r="H14" s="126">
        <f t="array" ref="H14">IF(IFERROR(INDEX(Expenses!B$3:B$999,SMALL(IF((Expenses!E$3:E$999="INR")*(Expenses!A$3:A$999=DATE(2026,1,14)),ROW(Expenses!A$3:A$999)-2),1)),"")&lt;&gt;"",IFERROR(INDEX(Expenses!B$3:B$999,SMALL(IF((Expenses!E$3:E$999="INR")*(Expenses!A$3:A$999=DATE(2026,1,14)),ROW(Expenses!A$3:A$999)-2),1)),""),IF(IFERROR(INDEX(Income!B$3:B$502,SMALL(IF((Income!D$3:D$502="INR")*(Income!A$3:A$502=DATE(2026,1,14)),ROW(Income!A$3:A$502)-2),1)),"")&lt;&gt;"",IFERROR(INDEX(Income!B$3:B$502,SMALL(IF((Income!D$3:D$502="INR")*(Income!A$3:A$502=DATE(2026,1,14)),ROW(Income!A$3:A$502)-2),1)),""),""))</f>
        <v/>
      </c>
      <c r="I14" s="153">
        <f t="array" ref="I14">IF(IFERROR(-INDEX(Expenses!D$3:D$999,SMALL(IF((Expenses!E$3:E$999="INR")*(Expenses!A$3:A$999=DATE(2026,1,15)),ROW(Expenses!A$3:A$999)-2),1)),0)+IFERROR(INDEX(Income!C$3:C$502,SMALL(IF((Income!D$3:D$502="INR")*(Income!A$3:A$502=DATE(2026,1,15)),ROW(Income!A$3:A$502)-2),1)),0)=0,"",IFERROR(-INDEX(Expenses!D$3:D$999,SMALL(IF((Expenses!E$3:E$999="INR")*(Expenses!A$3:A$999=DATE(2026,1,15)),ROW(Expenses!A$3:A$999)-2),1)),0)+IFERROR(INDEX(Income!C$3:C$502,SMALL(IF((Income!D$3:D$502="INR")*(Income!A$3:A$502=DATE(2026,1,15)),ROW(Income!A$3:A$502)-2),1)),0))</f>
        <v/>
      </c>
      <c r="J14" s="126">
        <f t="array" ref="J14">IF(IFERROR(INDEX(Expenses!B$3:B$999,SMALL(IF((Expenses!E$3:E$999="INR")*(Expenses!A$3:A$999=DATE(2026,1,15)),ROW(Expenses!A$3:A$999)-2),1)),"")&lt;&gt;"",IFERROR(INDEX(Expenses!B$3:B$999,SMALL(IF((Expenses!E$3:E$999="INR")*(Expenses!A$3:A$999=DATE(2026,1,15)),ROW(Expenses!A$3:A$999)-2),1)),""),IF(IFERROR(INDEX(Income!B$3:B$502,SMALL(IF((Income!D$3:D$502="INR")*(Income!A$3:A$502=DATE(2026,1,15)),ROW(Income!A$3:A$502)-2),1)),"")&lt;&gt;"",IFERROR(INDEX(Income!B$3:B$502,SMALL(IF((Income!D$3:D$502="INR")*(Income!A$3:A$502=DATE(2026,1,15)),ROW(Income!A$3:A$502)-2),1)),""),""))</f>
        <v/>
      </c>
      <c r="K14" s="153">
        <f t="array" ref="K14">IF(IFERROR(-INDEX(Expenses!D$3:D$999,SMALL(IF((Expenses!E$3:E$999="INR")*(Expenses!A$3:A$999=DATE(2026,1,16)),ROW(Expenses!A$3:A$999)-2),1)),0)+IFERROR(INDEX(Income!C$3:C$502,SMALL(IF((Income!D$3:D$502="INR")*(Income!A$3:A$502=DATE(2026,1,16)),ROW(Income!A$3:A$502)-2),1)),0)=0,"",IFERROR(-INDEX(Expenses!D$3:D$999,SMALL(IF((Expenses!E$3:E$999="INR")*(Expenses!A$3:A$999=DATE(2026,1,16)),ROW(Expenses!A$3:A$999)-2),1)),0)+IFERROR(INDEX(Income!C$3:C$502,SMALL(IF((Income!D$3:D$502="INR")*(Income!A$3:A$502=DATE(2026,1,16)),ROW(Income!A$3:A$502)-2),1)),0))</f>
        <v/>
      </c>
      <c r="L14" s="126">
        <f t="array" ref="L14">IF(IFERROR(INDEX(Expenses!B$3:B$999,SMALL(IF((Expenses!E$3:E$999="INR")*(Expenses!A$3:A$999=DATE(2026,1,16)),ROW(Expenses!A$3:A$999)-2),1)),"")&lt;&gt;"",IFERROR(INDEX(Expenses!B$3:B$999,SMALL(IF((Expenses!E$3:E$999="INR")*(Expenses!A$3:A$999=DATE(2026,1,16)),ROW(Expenses!A$3:A$999)-2),1)),""),IF(IFERROR(INDEX(Income!B$3:B$502,SMALL(IF((Income!D$3:D$502="INR")*(Income!A$3:A$502=DATE(2026,1,16)),ROW(Income!A$3:A$502)-2),1)),"")&lt;&gt;"",IFERROR(INDEX(Income!B$3:B$502,SMALL(IF((Income!D$3:D$502="INR")*(Income!A$3:A$502=DATE(2026,1,16)),ROW(Income!A$3:A$502)-2),1)),""),""))</f>
        <v/>
      </c>
      <c r="M14" s="153">
        <f t="array" ref="M14">IF(IFERROR(-INDEX(Expenses!D$3:D$999,SMALL(IF((Expenses!E$3:E$999="INR")*(Expenses!A$3:A$999=DATE(2026,1,17)),ROW(Expenses!A$3:A$999)-2),1)),0)+IFERROR(INDEX(Income!C$3:C$502,SMALL(IF((Income!D$3:D$502="INR")*(Income!A$3:A$502=DATE(2026,1,17)),ROW(Income!A$3:A$502)-2),1)),0)=0,"",IFERROR(-INDEX(Expenses!D$3:D$999,SMALL(IF((Expenses!E$3:E$999="INR")*(Expenses!A$3:A$999=DATE(2026,1,17)),ROW(Expenses!A$3:A$999)-2),1)),0)+IFERROR(INDEX(Income!C$3:C$502,SMALL(IF((Income!D$3:D$502="INR")*(Income!A$3:A$502=DATE(2026,1,17)),ROW(Income!A$3:A$502)-2),1)),0))</f>
        <v/>
      </c>
      <c r="N14" s="126">
        <f t="array" ref="N14">IF(IFERROR(INDEX(Expenses!B$3:B$999,SMALL(IF((Expenses!E$3:E$999="INR")*(Expenses!A$3:A$999=DATE(2026,1,17)),ROW(Expenses!A$3:A$999)-2),1)),"")&lt;&gt;"",IFERROR(INDEX(Expenses!B$3:B$999,SMALL(IF((Expenses!E$3:E$999="INR")*(Expenses!A$3:A$999=DATE(2026,1,17)),ROW(Expenses!A$3:A$999)-2),1)),""),IF(IFERROR(INDEX(Income!B$3:B$502,SMALL(IF((Income!D$3:D$502="INR")*(Income!A$3:A$502=DATE(2026,1,17)),ROW(Income!A$3:A$502)-2),1)),"")&lt;&gt;"",IFERROR(INDEX(Income!B$3:B$502,SMALL(IF((Income!D$3:D$502="INR")*(Income!A$3:A$502=DATE(2026,1,17)),ROW(Income!A$3:A$502)-2),1)),""),""))</f>
        <v/>
      </c>
      <c r="O14" s="153">
        <f t="array" ref="O14">IF(IFERROR(-INDEX(Expenses!D$3:D$999,SMALL(IF((Expenses!E$3:E$999="INR")*(Expenses!A$3:A$999=DATE(2026,1,18)),ROW(Expenses!A$3:A$999)-2),1)),0)+IFERROR(INDEX(Income!C$3:C$502,SMALL(IF((Income!D$3:D$502="INR")*(Income!A$3:A$502=DATE(2026,1,18)),ROW(Income!A$3:A$502)-2),1)),0)=0,"",IFERROR(-INDEX(Expenses!D$3:D$999,SMALL(IF((Expenses!E$3:E$999="INR")*(Expenses!A$3:A$999=DATE(2026,1,18)),ROW(Expenses!A$3:A$999)-2),1)),0)+IFERROR(INDEX(Income!C$3:C$502,SMALL(IF((Income!D$3:D$502="INR")*(Income!A$3:A$502=DATE(2026,1,18)),ROW(Income!A$3:A$502)-2),1)),0))</f>
        <v/>
      </c>
      <c r="P14" s="126">
        <f t="array" ref="P14">IF(IFERROR(INDEX(Expenses!B$3:B$999,SMALL(IF((Expenses!E$3:E$999="INR")*(Expenses!A$3:A$999=DATE(2026,1,18)),ROW(Expenses!A$3:A$999)-2),1)),"")&lt;&gt;"",IFERROR(INDEX(Expenses!B$3:B$999,SMALL(IF((Expenses!E$3:E$999="INR")*(Expenses!A$3:A$999=DATE(2026,1,18)),ROW(Expenses!A$3:A$999)-2),1)),""),IF(IFERROR(INDEX(Income!B$3:B$502,SMALL(IF((Income!D$3:D$502="INR")*(Income!A$3:A$502=DATE(2026,1,18)),ROW(Income!A$3:A$502)-2),1)),"")&lt;&gt;"",IFERROR(INDEX(Income!B$3:B$502,SMALL(IF((Income!D$3:D$502="INR")*(Income!A$3:A$502=DATE(2026,1,18)),ROW(Income!A$3:A$502)-2),1)),""),""))</f>
        <v/>
      </c>
      <c r="Q14" s="103" t="n">
        <v>3</v>
      </c>
      <c r="R14" s="142">
        <f>SUM(C14:C18)+SUM(E14:E18)+SUM(G14:G18)+SUM(I14:I18)+SUM(K14:K18)+SUM(M14:M18)+SUM(O14:O18)</f>
        <v/>
      </c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9" t="n"/>
      <c r="B15" s="9" t="n"/>
      <c r="C15" s="153">
        <f t="array" ref="C15">IF(IFERROR(-INDEX(Expenses!D$3:D$999,SMALL(IF((Expenses!E$3:E$999="INR")*(Expenses!A$3:A$999=DATE(2026,1,12)),ROW(Expenses!A$3:A$999)-2),2)),0)+IFERROR(INDEX(Income!C$3:C$502,SMALL(IF((Income!D$3:D$502="INR")*(Income!A$3:A$502=DATE(2026,1,12)),ROW(Income!A$3:A$502)-2),2)),0)=0,"",IFERROR(-INDEX(Expenses!D$3:D$999,SMALL(IF((Expenses!E$3:E$999="INR")*(Expenses!A$3:A$999=DATE(2026,1,12)),ROW(Expenses!A$3:A$999)-2),2)),0)+IFERROR(INDEX(Income!C$3:C$502,SMALL(IF((Income!D$3:D$502="INR")*(Income!A$3:A$502=DATE(2026,1,12)),ROW(Income!A$3:A$502)-2),2)),0))</f>
        <v/>
      </c>
      <c r="D15" s="126">
        <f t="array" ref="D15">IF(IFERROR(INDEX(Expenses!B$3:B$999,SMALL(IF((Expenses!E$3:E$999="INR")*(Expenses!A$3:A$999=DATE(2026,1,12)),ROW(Expenses!A$3:A$999)-2),2)),"")&lt;&gt;"",IFERROR(INDEX(Expenses!B$3:B$999,SMALL(IF((Expenses!E$3:E$999="INR")*(Expenses!A$3:A$999=DATE(2026,1,12)),ROW(Expenses!A$3:A$999)-2),2)),""),IF(IFERROR(INDEX(Income!B$3:B$502,SMALL(IF((Income!D$3:D$502="INR")*(Income!A$3:A$502=DATE(2026,1,12)),ROW(Income!A$3:A$502)-2),2)),"")&lt;&gt;"",IFERROR(INDEX(Income!B$3:B$502,SMALL(IF((Income!D$3:D$502="INR")*(Income!A$3:A$502=DATE(2026,1,12)),ROW(Income!A$3:A$502)-2),2)),""),""))</f>
        <v/>
      </c>
      <c r="E15" s="153">
        <f t="array" ref="E15">IF(IFERROR(-INDEX(Expenses!D$3:D$999,SMALL(IF((Expenses!E$3:E$999="INR")*(Expenses!A$3:A$999=DATE(2026,1,13)),ROW(Expenses!A$3:A$999)-2),2)),0)+IFERROR(INDEX(Income!C$3:C$502,SMALL(IF((Income!D$3:D$502="INR")*(Income!A$3:A$502=DATE(2026,1,13)),ROW(Income!A$3:A$502)-2),2)),0)=0,"",IFERROR(-INDEX(Expenses!D$3:D$999,SMALL(IF((Expenses!E$3:E$999="INR")*(Expenses!A$3:A$999=DATE(2026,1,13)),ROW(Expenses!A$3:A$999)-2),2)),0)+IFERROR(INDEX(Income!C$3:C$502,SMALL(IF((Income!D$3:D$502="INR")*(Income!A$3:A$502=DATE(2026,1,13)),ROW(Income!A$3:A$502)-2),2)),0))</f>
        <v/>
      </c>
      <c r="F15" s="126">
        <f t="array" ref="F15">IF(IFERROR(INDEX(Expenses!B$3:B$999,SMALL(IF((Expenses!E$3:E$999="INR")*(Expenses!A$3:A$999=DATE(2026,1,13)),ROW(Expenses!A$3:A$999)-2),2)),"")&lt;&gt;"",IFERROR(INDEX(Expenses!B$3:B$999,SMALL(IF((Expenses!E$3:E$999="INR")*(Expenses!A$3:A$999=DATE(2026,1,13)),ROW(Expenses!A$3:A$999)-2),2)),""),IF(IFERROR(INDEX(Income!B$3:B$502,SMALL(IF((Income!D$3:D$502="INR")*(Income!A$3:A$502=DATE(2026,1,13)),ROW(Income!A$3:A$502)-2),2)),"")&lt;&gt;"",IFERROR(INDEX(Income!B$3:B$502,SMALL(IF((Income!D$3:D$502="INR")*(Income!A$3:A$502=DATE(2026,1,13)),ROW(Income!A$3:A$502)-2),2)),""),""))</f>
        <v/>
      </c>
      <c r="G15" s="153">
        <f t="array" ref="G15">IF(IFERROR(-INDEX(Expenses!D$3:D$999,SMALL(IF((Expenses!E$3:E$999="INR")*(Expenses!A$3:A$999=DATE(2026,1,14)),ROW(Expenses!A$3:A$999)-2),2)),0)+IFERROR(INDEX(Income!C$3:C$502,SMALL(IF((Income!D$3:D$502="INR")*(Income!A$3:A$502=DATE(2026,1,14)),ROW(Income!A$3:A$502)-2),2)),0)=0,"",IFERROR(-INDEX(Expenses!D$3:D$999,SMALL(IF((Expenses!E$3:E$999="INR")*(Expenses!A$3:A$999=DATE(2026,1,14)),ROW(Expenses!A$3:A$999)-2),2)),0)+IFERROR(INDEX(Income!C$3:C$502,SMALL(IF((Income!D$3:D$502="INR")*(Income!A$3:A$502=DATE(2026,1,14)),ROW(Income!A$3:A$502)-2),2)),0))</f>
        <v/>
      </c>
      <c r="H15" s="126">
        <f t="array" ref="H15">IF(IFERROR(INDEX(Expenses!B$3:B$999,SMALL(IF((Expenses!E$3:E$999="INR")*(Expenses!A$3:A$999=DATE(2026,1,14)),ROW(Expenses!A$3:A$999)-2),2)),"")&lt;&gt;"",IFERROR(INDEX(Expenses!B$3:B$999,SMALL(IF((Expenses!E$3:E$999="INR")*(Expenses!A$3:A$999=DATE(2026,1,14)),ROW(Expenses!A$3:A$999)-2),2)),""),IF(IFERROR(INDEX(Income!B$3:B$502,SMALL(IF((Income!D$3:D$502="INR")*(Income!A$3:A$502=DATE(2026,1,14)),ROW(Income!A$3:A$502)-2),2)),"")&lt;&gt;"",IFERROR(INDEX(Income!B$3:B$502,SMALL(IF((Income!D$3:D$502="INR")*(Income!A$3:A$502=DATE(2026,1,14)),ROW(Income!A$3:A$502)-2),2)),""),""))</f>
        <v/>
      </c>
      <c r="I15" s="153">
        <f t="array" ref="I15">IF(IFERROR(-INDEX(Expenses!D$3:D$999,SMALL(IF((Expenses!E$3:E$999="INR")*(Expenses!A$3:A$999=DATE(2026,1,15)),ROW(Expenses!A$3:A$999)-2),2)),0)+IFERROR(INDEX(Income!C$3:C$502,SMALL(IF((Income!D$3:D$502="INR")*(Income!A$3:A$502=DATE(2026,1,15)),ROW(Income!A$3:A$502)-2),2)),0)=0,"",IFERROR(-INDEX(Expenses!D$3:D$999,SMALL(IF((Expenses!E$3:E$999="INR")*(Expenses!A$3:A$999=DATE(2026,1,15)),ROW(Expenses!A$3:A$999)-2),2)),0)+IFERROR(INDEX(Income!C$3:C$502,SMALL(IF((Income!D$3:D$502="INR")*(Income!A$3:A$502=DATE(2026,1,15)),ROW(Income!A$3:A$502)-2),2)),0))</f>
        <v/>
      </c>
      <c r="J15" s="126">
        <f t="array" ref="J15">IF(IFERROR(INDEX(Expenses!B$3:B$999,SMALL(IF((Expenses!E$3:E$999="INR")*(Expenses!A$3:A$999=DATE(2026,1,15)),ROW(Expenses!A$3:A$999)-2),2)),"")&lt;&gt;"",IFERROR(INDEX(Expenses!B$3:B$999,SMALL(IF((Expenses!E$3:E$999="INR")*(Expenses!A$3:A$999=DATE(2026,1,15)),ROW(Expenses!A$3:A$999)-2),2)),""),IF(IFERROR(INDEX(Income!B$3:B$502,SMALL(IF((Income!D$3:D$502="INR")*(Income!A$3:A$502=DATE(2026,1,15)),ROW(Income!A$3:A$502)-2),2)),"")&lt;&gt;"",IFERROR(INDEX(Income!B$3:B$502,SMALL(IF((Income!D$3:D$502="INR")*(Income!A$3:A$502=DATE(2026,1,15)),ROW(Income!A$3:A$502)-2),2)),""),""))</f>
        <v/>
      </c>
      <c r="K15" s="153">
        <f t="array" ref="K15">IF(IFERROR(-INDEX(Expenses!D$3:D$999,SMALL(IF((Expenses!E$3:E$999="INR")*(Expenses!A$3:A$999=DATE(2026,1,16)),ROW(Expenses!A$3:A$999)-2),2)),0)+IFERROR(INDEX(Income!C$3:C$502,SMALL(IF((Income!D$3:D$502="INR")*(Income!A$3:A$502=DATE(2026,1,16)),ROW(Income!A$3:A$502)-2),2)),0)=0,"",IFERROR(-INDEX(Expenses!D$3:D$999,SMALL(IF((Expenses!E$3:E$999="INR")*(Expenses!A$3:A$999=DATE(2026,1,16)),ROW(Expenses!A$3:A$999)-2),2)),0)+IFERROR(INDEX(Income!C$3:C$502,SMALL(IF((Income!D$3:D$502="INR")*(Income!A$3:A$502=DATE(2026,1,16)),ROW(Income!A$3:A$502)-2),2)),0))</f>
        <v/>
      </c>
      <c r="L15" s="126">
        <f t="array" ref="L15">IF(IFERROR(INDEX(Expenses!B$3:B$999,SMALL(IF((Expenses!E$3:E$999="INR")*(Expenses!A$3:A$999=DATE(2026,1,16)),ROW(Expenses!A$3:A$999)-2),2)),"")&lt;&gt;"",IFERROR(INDEX(Expenses!B$3:B$999,SMALL(IF((Expenses!E$3:E$999="INR")*(Expenses!A$3:A$999=DATE(2026,1,16)),ROW(Expenses!A$3:A$999)-2),2)),""),IF(IFERROR(INDEX(Income!B$3:B$502,SMALL(IF((Income!D$3:D$502="INR")*(Income!A$3:A$502=DATE(2026,1,16)),ROW(Income!A$3:A$502)-2),2)),"")&lt;&gt;"",IFERROR(INDEX(Income!B$3:B$502,SMALL(IF((Income!D$3:D$502="INR")*(Income!A$3:A$502=DATE(2026,1,16)),ROW(Income!A$3:A$502)-2),2)),""),""))</f>
        <v/>
      </c>
      <c r="M15" s="153">
        <f t="array" ref="M15">IF(IFERROR(-INDEX(Expenses!D$3:D$999,SMALL(IF((Expenses!E$3:E$999="INR")*(Expenses!A$3:A$999=DATE(2026,1,17)),ROW(Expenses!A$3:A$999)-2),2)),0)+IFERROR(INDEX(Income!C$3:C$502,SMALL(IF((Income!D$3:D$502="INR")*(Income!A$3:A$502=DATE(2026,1,17)),ROW(Income!A$3:A$502)-2),2)),0)=0,"",IFERROR(-INDEX(Expenses!D$3:D$999,SMALL(IF((Expenses!E$3:E$999="INR")*(Expenses!A$3:A$999=DATE(2026,1,17)),ROW(Expenses!A$3:A$999)-2),2)),0)+IFERROR(INDEX(Income!C$3:C$502,SMALL(IF((Income!D$3:D$502="INR")*(Income!A$3:A$502=DATE(2026,1,17)),ROW(Income!A$3:A$502)-2),2)),0))</f>
        <v/>
      </c>
      <c r="N15" s="126">
        <f t="array" ref="N15">IF(IFERROR(INDEX(Expenses!B$3:B$999,SMALL(IF((Expenses!E$3:E$999="INR")*(Expenses!A$3:A$999=DATE(2026,1,17)),ROW(Expenses!A$3:A$999)-2),2)),"")&lt;&gt;"",IFERROR(INDEX(Expenses!B$3:B$999,SMALL(IF((Expenses!E$3:E$999="INR")*(Expenses!A$3:A$999=DATE(2026,1,17)),ROW(Expenses!A$3:A$999)-2),2)),""),IF(IFERROR(INDEX(Income!B$3:B$502,SMALL(IF((Income!D$3:D$502="INR")*(Income!A$3:A$502=DATE(2026,1,17)),ROW(Income!A$3:A$502)-2),2)),"")&lt;&gt;"",IFERROR(INDEX(Income!B$3:B$502,SMALL(IF((Income!D$3:D$502="INR")*(Income!A$3:A$502=DATE(2026,1,17)),ROW(Income!A$3:A$502)-2),2)),""),""))</f>
        <v/>
      </c>
      <c r="O15" s="153">
        <f t="array" ref="O15">IF(IFERROR(-INDEX(Expenses!D$3:D$999,SMALL(IF((Expenses!E$3:E$999="INR")*(Expenses!A$3:A$999=DATE(2026,1,18)),ROW(Expenses!A$3:A$999)-2),2)),0)+IFERROR(INDEX(Income!C$3:C$502,SMALL(IF((Income!D$3:D$502="INR")*(Income!A$3:A$502=DATE(2026,1,18)),ROW(Income!A$3:A$502)-2),2)),0)=0,"",IFERROR(-INDEX(Expenses!D$3:D$999,SMALL(IF((Expenses!E$3:E$999="INR")*(Expenses!A$3:A$999=DATE(2026,1,18)),ROW(Expenses!A$3:A$999)-2),2)),0)+IFERROR(INDEX(Income!C$3:C$502,SMALL(IF((Income!D$3:D$502="INR")*(Income!A$3:A$502=DATE(2026,1,18)),ROW(Income!A$3:A$502)-2),2)),0))</f>
        <v/>
      </c>
      <c r="P15" s="126">
        <f t="array" ref="P15">IF(IFERROR(INDEX(Expenses!B$3:B$999,SMALL(IF((Expenses!E$3:E$999="INR")*(Expenses!A$3:A$999=DATE(2026,1,18)),ROW(Expenses!A$3:A$999)-2),2)),"")&lt;&gt;"",IFERROR(INDEX(Expenses!B$3:B$999,SMALL(IF((Expenses!E$3:E$999="INR")*(Expenses!A$3:A$999=DATE(2026,1,18)),ROW(Expenses!A$3:A$999)-2),2)),""),IF(IFERROR(INDEX(Income!B$3:B$502,SMALL(IF((Income!D$3:D$502="INR")*(Income!A$3:A$502=DATE(2026,1,18)),ROW(Income!A$3:A$502)-2),2)),"")&lt;&gt;"",IFERROR(INDEX(Income!B$3:B$502,SMALL(IF((Income!D$3:D$502="INR")*(Income!A$3:A$502=DATE(2026,1,18)),ROW(Income!A$3:A$502)-2),2)),""),""))</f>
        <v/>
      </c>
      <c r="Q15" s="9" t="n"/>
      <c r="R15" s="9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9" t="n"/>
      <c r="B16" s="9" t="n"/>
      <c r="C16" s="153">
        <f t="array" ref="C16">IF(IFERROR(-INDEX(Expenses!D$3:D$999,SMALL(IF((Expenses!E$3:E$999="INR")*(Expenses!A$3:A$999=DATE(2026,1,12)),ROW(Expenses!A$3:A$999)-2),3)),0)+IFERROR(INDEX(Income!C$3:C$502,SMALL(IF((Income!D$3:D$502="INR")*(Income!A$3:A$502=DATE(2026,1,12)),ROW(Income!A$3:A$502)-2),3)),0)=0,"",IFERROR(-INDEX(Expenses!D$3:D$999,SMALL(IF((Expenses!E$3:E$999="INR")*(Expenses!A$3:A$999=DATE(2026,1,12)),ROW(Expenses!A$3:A$999)-2),3)),0)+IFERROR(INDEX(Income!C$3:C$502,SMALL(IF((Income!D$3:D$502="INR")*(Income!A$3:A$502=DATE(2026,1,12)),ROW(Income!A$3:A$502)-2),3)),0))</f>
        <v/>
      </c>
      <c r="D16" s="126">
        <f t="array" ref="D16">IF(IFERROR(INDEX(Expenses!B$3:B$999,SMALL(IF((Expenses!E$3:E$999="INR")*(Expenses!A$3:A$999=DATE(2026,1,12)),ROW(Expenses!A$3:A$999)-2),3)),"")&lt;&gt;"",IFERROR(INDEX(Expenses!B$3:B$999,SMALL(IF((Expenses!E$3:E$999="INR")*(Expenses!A$3:A$999=DATE(2026,1,12)),ROW(Expenses!A$3:A$999)-2),3)),""),IF(IFERROR(INDEX(Income!B$3:B$502,SMALL(IF((Income!D$3:D$502="INR")*(Income!A$3:A$502=DATE(2026,1,12)),ROW(Income!A$3:A$502)-2),3)),"")&lt;&gt;"",IFERROR(INDEX(Income!B$3:B$502,SMALL(IF((Income!D$3:D$502="INR")*(Income!A$3:A$502=DATE(2026,1,12)),ROW(Income!A$3:A$502)-2),3)),""),""))</f>
        <v/>
      </c>
      <c r="E16" s="153">
        <f t="array" ref="E16">IF(IFERROR(-INDEX(Expenses!D$3:D$999,SMALL(IF((Expenses!E$3:E$999="INR")*(Expenses!A$3:A$999=DATE(2026,1,13)),ROW(Expenses!A$3:A$999)-2),3)),0)+IFERROR(INDEX(Income!C$3:C$502,SMALL(IF((Income!D$3:D$502="INR")*(Income!A$3:A$502=DATE(2026,1,13)),ROW(Income!A$3:A$502)-2),3)),0)=0,"",IFERROR(-INDEX(Expenses!D$3:D$999,SMALL(IF((Expenses!E$3:E$999="INR")*(Expenses!A$3:A$999=DATE(2026,1,13)),ROW(Expenses!A$3:A$999)-2),3)),0)+IFERROR(INDEX(Income!C$3:C$502,SMALL(IF((Income!D$3:D$502="INR")*(Income!A$3:A$502=DATE(2026,1,13)),ROW(Income!A$3:A$502)-2),3)),0))</f>
        <v/>
      </c>
      <c r="F16" s="126">
        <f t="array" ref="F16">IF(IFERROR(INDEX(Expenses!B$3:B$999,SMALL(IF((Expenses!E$3:E$999="INR")*(Expenses!A$3:A$999=DATE(2026,1,13)),ROW(Expenses!A$3:A$999)-2),3)),"")&lt;&gt;"",IFERROR(INDEX(Expenses!B$3:B$999,SMALL(IF((Expenses!E$3:E$999="INR")*(Expenses!A$3:A$999=DATE(2026,1,13)),ROW(Expenses!A$3:A$999)-2),3)),""),IF(IFERROR(INDEX(Income!B$3:B$502,SMALL(IF((Income!D$3:D$502="INR")*(Income!A$3:A$502=DATE(2026,1,13)),ROW(Income!A$3:A$502)-2),3)),"")&lt;&gt;"",IFERROR(INDEX(Income!B$3:B$502,SMALL(IF((Income!D$3:D$502="INR")*(Income!A$3:A$502=DATE(2026,1,13)),ROW(Income!A$3:A$502)-2),3)),""),""))</f>
        <v/>
      </c>
      <c r="G16" s="153">
        <f t="array" ref="G16">IF(IFERROR(-INDEX(Expenses!D$3:D$999,SMALL(IF((Expenses!E$3:E$999="INR")*(Expenses!A$3:A$999=DATE(2026,1,14)),ROW(Expenses!A$3:A$999)-2),3)),0)+IFERROR(INDEX(Income!C$3:C$502,SMALL(IF((Income!D$3:D$502="INR")*(Income!A$3:A$502=DATE(2026,1,14)),ROW(Income!A$3:A$502)-2),3)),0)=0,"",IFERROR(-INDEX(Expenses!D$3:D$999,SMALL(IF((Expenses!E$3:E$999="INR")*(Expenses!A$3:A$999=DATE(2026,1,14)),ROW(Expenses!A$3:A$999)-2),3)),0)+IFERROR(INDEX(Income!C$3:C$502,SMALL(IF((Income!D$3:D$502="INR")*(Income!A$3:A$502=DATE(2026,1,14)),ROW(Income!A$3:A$502)-2),3)),0))</f>
        <v/>
      </c>
      <c r="H16" s="126">
        <f t="array" ref="H16">IF(IFERROR(INDEX(Expenses!B$3:B$999,SMALL(IF((Expenses!E$3:E$999="INR")*(Expenses!A$3:A$999=DATE(2026,1,14)),ROW(Expenses!A$3:A$999)-2),3)),"")&lt;&gt;"",IFERROR(INDEX(Expenses!B$3:B$999,SMALL(IF((Expenses!E$3:E$999="INR")*(Expenses!A$3:A$999=DATE(2026,1,14)),ROW(Expenses!A$3:A$999)-2),3)),""),IF(IFERROR(INDEX(Income!B$3:B$502,SMALL(IF((Income!D$3:D$502="INR")*(Income!A$3:A$502=DATE(2026,1,14)),ROW(Income!A$3:A$502)-2),3)),"")&lt;&gt;"",IFERROR(INDEX(Income!B$3:B$502,SMALL(IF((Income!D$3:D$502="INR")*(Income!A$3:A$502=DATE(2026,1,14)),ROW(Income!A$3:A$502)-2),3)),""),""))</f>
        <v/>
      </c>
      <c r="I16" s="153">
        <f t="array" ref="I16">IF(IFERROR(-INDEX(Expenses!D$3:D$999,SMALL(IF((Expenses!E$3:E$999="INR")*(Expenses!A$3:A$999=DATE(2026,1,15)),ROW(Expenses!A$3:A$999)-2),3)),0)+IFERROR(INDEX(Income!C$3:C$502,SMALL(IF((Income!D$3:D$502="INR")*(Income!A$3:A$502=DATE(2026,1,15)),ROW(Income!A$3:A$502)-2),3)),0)=0,"",IFERROR(-INDEX(Expenses!D$3:D$999,SMALL(IF((Expenses!E$3:E$999="INR")*(Expenses!A$3:A$999=DATE(2026,1,15)),ROW(Expenses!A$3:A$999)-2),3)),0)+IFERROR(INDEX(Income!C$3:C$502,SMALL(IF((Income!D$3:D$502="INR")*(Income!A$3:A$502=DATE(2026,1,15)),ROW(Income!A$3:A$502)-2),3)),0))</f>
        <v/>
      </c>
      <c r="J16" s="126">
        <f t="array" ref="J16">IF(IFERROR(INDEX(Expenses!B$3:B$999,SMALL(IF((Expenses!E$3:E$999="INR")*(Expenses!A$3:A$999=DATE(2026,1,15)),ROW(Expenses!A$3:A$999)-2),3)),"")&lt;&gt;"",IFERROR(INDEX(Expenses!B$3:B$999,SMALL(IF((Expenses!E$3:E$999="INR")*(Expenses!A$3:A$999=DATE(2026,1,15)),ROW(Expenses!A$3:A$999)-2),3)),""),IF(IFERROR(INDEX(Income!B$3:B$502,SMALL(IF((Income!D$3:D$502="INR")*(Income!A$3:A$502=DATE(2026,1,15)),ROW(Income!A$3:A$502)-2),3)),"")&lt;&gt;"",IFERROR(INDEX(Income!B$3:B$502,SMALL(IF((Income!D$3:D$502="INR")*(Income!A$3:A$502=DATE(2026,1,15)),ROW(Income!A$3:A$502)-2),3)),""),""))</f>
        <v/>
      </c>
      <c r="K16" s="153">
        <f t="array" ref="K16">IF(IFERROR(-INDEX(Expenses!D$3:D$999,SMALL(IF((Expenses!E$3:E$999="INR")*(Expenses!A$3:A$999=DATE(2026,1,16)),ROW(Expenses!A$3:A$999)-2),3)),0)+IFERROR(INDEX(Income!C$3:C$502,SMALL(IF((Income!D$3:D$502="INR")*(Income!A$3:A$502=DATE(2026,1,16)),ROW(Income!A$3:A$502)-2),3)),0)=0,"",IFERROR(-INDEX(Expenses!D$3:D$999,SMALL(IF((Expenses!E$3:E$999="INR")*(Expenses!A$3:A$999=DATE(2026,1,16)),ROW(Expenses!A$3:A$999)-2),3)),0)+IFERROR(INDEX(Income!C$3:C$502,SMALL(IF((Income!D$3:D$502="INR")*(Income!A$3:A$502=DATE(2026,1,16)),ROW(Income!A$3:A$502)-2),3)),0))</f>
        <v/>
      </c>
      <c r="L16" s="126">
        <f t="array" ref="L16">IF(IFERROR(INDEX(Expenses!B$3:B$999,SMALL(IF((Expenses!E$3:E$999="INR")*(Expenses!A$3:A$999=DATE(2026,1,16)),ROW(Expenses!A$3:A$999)-2),3)),"")&lt;&gt;"",IFERROR(INDEX(Expenses!B$3:B$999,SMALL(IF((Expenses!E$3:E$999="INR")*(Expenses!A$3:A$999=DATE(2026,1,16)),ROW(Expenses!A$3:A$999)-2),3)),""),IF(IFERROR(INDEX(Income!B$3:B$502,SMALL(IF((Income!D$3:D$502="INR")*(Income!A$3:A$502=DATE(2026,1,16)),ROW(Income!A$3:A$502)-2),3)),"")&lt;&gt;"",IFERROR(INDEX(Income!B$3:B$502,SMALL(IF((Income!D$3:D$502="INR")*(Income!A$3:A$502=DATE(2026,1,16)),ROW(Income!A$3:A$502)-2),3)),""),""))</f>
        <v/>
      </c>
      <c r="M16" s="153">
        <f t="array" ref="M16">IF(IFERROR(-INDEX(Expenses!D$3:D$999,SMALL(IF((Expenses!E$3:E$999="INR")*(Expenses!A$3:A$999=DATE(2026,1,17)),ROW(Expenses!A$3:A$999)-2),3)),0)+IFERROR(INDEX(Income!C$3:C$502,SMALL(IF((Income!D$3:D$502="INR")*(Income!A$3:A$502=DATE(2026,1,17)),ROW(Income!A$3:A$502)-2),3)),0)=0,"",IFERROR(-INDEX(Expenses!D$3:D$999,SMALL(IF((Expenses!E$3:E$999="INR")*(Expenses!A$3:A$999=DATE(2026,1,17)),ROW(Expenses!A$3:A$999)-2),3)),0)+IFERROR(INDEX(Income!C$3:C$502,SMALL(IF((Income!D$3:D$502="INR")*(Income!A$3:A$502=DATE(2026,1,17)),ROW(Income!A$3:A$502)-2),3)),0))</f>
        <v/>
      </c>
      <c r="N16" s="126">
        <f t="array" ref="N16">IF(IFERROR(INDEX(Expenses!B$3:B$999,SMALL(IF((Expenses!E$3:E$999="INR")*(Expenses!A$3:A$999=DATE(2026,1,17)),ROW(Expenses!A$3:A$999)-2),3)),"")&lt;&gt;"",IFERROR(INDEX(Expenses!B$3:B$999,SMALL(IF((Expenses!E$3:E$999="INR")*(Expenses!A$3:A$999=DATE(2026,1,17)),ROW(Expenses!A$3:A$999)-2),3)),""),IF(IFERROR(INDEX(Income!B$3:B$502,SMALL(IF((Income!D$3:D$502="INR")*(Income!A$3:A$502=DATE(2026,1,17)),ROW(Income!A$3:A$502)-2),3)),"")&lt;&gt;"",IFERROR(INDEX(Income!B$3:B$502,SMALL(IF((Income!D$3:D$502="INR")*(Income!A$3:A$502=DATE(2026,1,17)),ROW(Income!A$3:A$502)-2),3)),""),""))</f>
        <v/>
      </c>
      <c r="O16" s="153">
        <f t="array" ref="O16">IF(IFERROR(-INDEX(Expenses!D$3:D$999,SMALL(IF((Expenses!E$3:E$999="INR")*(Expenses!A$3:A$999=DATE(2026,1,18)),ROW(Expenses!A$3:A$999)-2),3)),0)+IFERROR(INDEX(Income!C$3:C$502,SMALL(IF((Income!D$3:D$502="INR")*(Income!A$3:A$502=DATE(2026,1,18)),ROW(Income!A$3:A$502)-2),3)),0)=0,"",IFERROR(-INDEX(Expenses!D$3:D$999,SMALL(IF((Expenses!E$3:E$999="INR")*(Expenses!A$3:A$999=DATE(2026,1,18)),ROW(Expenses!A$3:A$999)-2),3)),0)+IFERROR(INDEX(Income!C$3:C$502,SMALL(IF((Income!D$3:D$502="INR")*(Income!A$3:A$502=DATE(2026,1,18)),ROW(Income!A$3:A$502)-2),3)),0))</f>
        <v/>
      </c>
      <c r="P16" s="126">
        <f t="array" ref="P16">IF(IFERROR(INDEX(Expenses!B$3:B$999,SMALL(IF((Expenses!E$3:E$999="INR")*(Expenses!A$3:A$999=DATE(2026,1,18)),ROW(Expenses!A$3:A$999)-2),3)),"")&lt;&gt;"",IFERROR(INDEX(Expenses!B$3:B$999,SMALL(IF((Expenses!E$3:E$999="INR")*(Expenses!A$3:A$999=DATE(2026,1,18)),ROW(Expenses!A$3:A$999)-2),3)),""),IF(IFERROR(INDEX(Income!B$3:B$502,SMALL(IF((Income!D$3:D$502="INR")*(Income!A$3:A$502=DATE(2026,1,18)),ROW(Income!A$3:A$502)-2),3)),"")&lt;&gt;"",IFERROR(INDEX(Income!B$3:B$502,SMALL(IF((Income!D$3:D$502="INR")*(Income!A$3:A$502=DATE(2026,1,18)),ROW(Income!A$3:A$502)-2),3)),""),""))</f>
        <v/>
      </c>
      <c r="Q16" s="9" t="n"/>
      <c r="R16" s="9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9" t="n"/>
      <c r="B17" s="9" t="n"/>
      <c r="C17" s="153">
        <f t="array" ref="C17">IF(IFERROR(-INDEX(Expenses!D$3:D$999,SMALL(IF((Expenses!E$3:E$999="INR")*(Expenses!A$3:A$999=DATE(2026,1,12)),ROW(Expenses!A$3:A$999)-2),4)),0)+IFERROR(INDEX(Income!C$3:C$502,SMALL(IF((Income!D$3:D$502="INR")*(Income!A$3:A$502=DATE(2026,1,12)),ROW(Income!A$3:A$502)-2),4)),0)=0,"",IFERROR(-INDEX(Expenses!D$3:D$999,SMALL(IF((Expenses!E$3:E$999="INR")*(Expenses!A$3:A$999=DATE(2026,1,12)),ROW(Expenses!A$3:A$999)-2),4)),0)+IFERROR(INDEX(Income!C$3:C$502,SMALL(IF((Income!D$3:D$502="INR")*(Income!A$3:A$502=DATE(2026,1,12)),ROW(Income!A$3:A$502)-2),4)),0))</f>
        <v/>
      </c>
      <c r="D17" s="126">
        <f t="array" ref="D17">IF(IFERROR(INDEX(Expenses!B$3:B$999,SMALL(IF((Expenses!E$3:E$999="INR")*(Expenses!A$3:A$999=DATE(2026,1,12)),ROW(Expenses!A$3:A$999)-2),4)),"")&lt;&gt;"",IFERROR(INDEX(Expenses!B$3:B$999,SMALL(IF((Expenses!E$3:E$999="INR")*(Expenses!A$3:A$999=DATE(2026,1,12)),ROW(Expenses!A$3:A$999)-2),4)),""),IF(IFERROR(INDEX(Income!B$3:B$502,SMALL(IF((Income!D$3:D$502="INR")*(Income!A$3:A$502=DATE(2026,1,12)),ROW(Income!A$3:A$502)-2),4)),"")&lt;&gt;"",IFERROR(INDEX(Income!B$3:B$502,SMALL(IF((Income!D$3:D$502="INR")*(Income!A$3:A$502=DATE(2026,1,12)),ROW(Income!A$3:A$502)-2),4)),""),""))</f>
        <v/>
      </c>
      <c r="E17" s="153">
        <f t="array" ref="E17">IF(IFERROR(-INDEX(Expenses!D$3:D$999,SMALL(IF((Expenses!E$3:E$999="INR")*(Expenses!A$3:A$999=DATE(2026,1,13)),ROW(Expenses!A$3:A$999)-2),4)),0)+IFERROR(INDEX(Income!C$3:C$502,SMALL(IF((Income!D$3:D$502="INR")*(Income!A$3:A$502=DATE(2026,1,13)),ROW(Income!A$3:A$502)-2),4)),0)=0,"",IFERROR(-INDEX(Expenses!D$3:D$999,SMALL(IF((Expenses!E$3:E$999="INR")*(Expenses!A$3:A$999=DATE(2026,1,13)),ROW(Expenses!A$3:A$999)-2),4)),0)+IFERROR(INDEX(Income!C$3:C$502,SMALL(IF((Income!D$3:D$502="INR")*(Income!A$3:A$502=DATE(2026,1,13)),ROW(Income!A$3:A$502)-2),4)),0))</f>
        <v/>
      </c>
      <c r="F17" s="126">
        <f t="array" ref="F17">IF(IFERROR(INDEX(Expenses!B$3:B$999,SMALL(IF((Expenses!E$3:E$999="INR")*(Expenses!A$3:A$999=DATE(2026,1,13)),ROW(Expenses!A$3:A$999)-2),4)),"")&lt;&gt;"",IFERROR(INDEX(Expenses!B$3:B$999,SMALL(IF((Expenses!E$3:E$999="INR")*(Expenses!A$3:A$999=DATE(2026,1,13)),ROW(Expenses!A$3:A$999)-2),4)),""),IF(IFERROR(INDEX(Income!B$3:B$502,SMALL(IF((Income!D$3:D$502="INR")*(Income!A$3:A$502=DATE(2026,1,13)),ROW(Income!A$3:A$502)-2),4)),"")&lt;&gt;"",IFERROR(INDEX(Income!B$3:B$502,SMALL(IF((Income!D$3:D$502="INR")*(Income!A$3:A$502=DATE(2026,1,13)),ROW(Income!A$3:A$502)-2),4)),""),""))</f>
        <v/>
      </c>
      <c r="G17" s="153">
        <f t="array" ref="G17">IF(IFERROR(-INDEX(Expenses!D$3:D$999,SMALL(IF((Expenses!E$3:E$999="INR")*(Expenses!A$3:A$999=DATE(2026,1,14)),ROW(Expenses!A$3:A$999)-2),4)),0)+IFERROR(INDEX(Income!C$3:C$502,SMALL(IF((Income!D$3:D$502="INR")*(Income!A$3:A$502=DATE(2026,1,14)),ROW(Income!A$3:A$502)-2),4)),0)=0,"",IFERROR(-INDEX(Expenses!D$3:D$999,SMALL(IF((Expenses!E$3:E$999="INR")*(Expenses!A$3:A$999=DATE(2026,1,14)),ROW(Expenses!A$3:A$999)-2),4)),0)+IFERROR(INDEX(Income!C$3:C$502,SMALL(IF((Income!D$3:D$502="INR")*(Income!A$3:A$502=DATE(2026,1,14)),ROW(Income!A$3:A$502)-2),4)),0))</f>
        <v/>
      </c>
      <c r="H17" s="126">
        <f t="array" ref="H17">IF(IFERROR(INDEX(Expenses!B$3:B$999,SMALL(IF((Expenses!E$3:E$999="INR")*(Expenses!A$3:A$999=DATE(2026,1,14)),ROW(Expenses!A$3:A$999)-2),4)),"")&lt;&gt;"",IFERROR(INDEX(Expenses!B$3:B$999,SMALL(IF((Expenses!E$3:E$999="INR")*(Expenses!A$3:A$999=DATE(2026,1,14)),ROW(Expenses!A$3:A$999)-2),4)),""),IF(IFERROR(INDEX(Income!B$3:B$502,SMALL(IF((Income!D$3:D$502="INR")*(Income!A$3:A$502=DATE(2026,1,14)),ROW(Income!A$3:A$502)-2),4)),"")&lt;&gt;"",IFERROR(INDEX(Income!B$3:B$502,SMALL(IF((Income!D$3:D$502="INR")*(Income!A$3:A$502=DATE(2026,1,14)),ROW(Income!A$3:A$502)-2),4)),""),""))</f>
        <v/>
      </c>
      <c r="I17" s="153">
        <f t="array" ref="I17">IF(IFERROR(-INDEX(Expenses!D$3:D$999,SMALL(IF((Expenses!E$3:E$999="INR")*(Expenses!A$3:A$999=DATE(2026,1,15)),ROW(Expenses!A$3:A$999)-2),4)),0)+IFERROR(INDEX(Income!C$3:C$502,SMALL(IF((Income!D$3:D$502="INR")*(Income!A$3:A$502=DATE(2026,1,15)),ROW(Income!A$3:A$502)-2),4)),0)=0,"",IFERROR(-INDEX(Expenses!D$3:D$999,SMALL(IF((Expenses!E$3:E$999="INR")*(Expenses!A$3:A$999=DATE(2026,1,15)),ROW(Expenses!A$3:A$999)-2),4)),0)+IFERROR(INDEX(Income!C$3:C$502,SMALL(IF((Income!D$3:D$502="INR")*(Income!A$3:A$502=DATE(2026,1,15)),ROW(Income!A$3:A$502)-2),4)),0))</f>
        <v/>
      </c>
      <c r="J17" s="126">
        <f t="array" ref="J17">IF(IFERROR(INDEX(Expenses!B$3:B$999,SMALL(IF((Expenses!E$3:E$999="INR")*(Expenses!A$3:A$999=DATE(2026,1,15)),ROW(Expenses!A$3:A$999)-2),4)),"")&lt;&gt;"",IFERROR(INDEX(Expenses!B$3:B$999,SMALL(IF((Expenses!E$3:E$999="INR")*(Expenses!A$3:A$999=DATE(2026,1,15)),ROW(Expenses!A$3:A$999)-2),4)),""),IF(IFERROR(INDEX(Income!B$3:B$502,SMALL(IF((Income!D$3:D$502="INR")*(Income!A$3:A$502=DATE(2026,1,15)),ROW(Income!A$3:A$502)-2),4)),"")&lt;&gt;"",IFERROR(INDEX(Income!B$3:B$502,SMALL(IF((Income!D$3:D$502="INR")*(Income!A$3:A$502=DATE(2026,1,15)),ROW(Income!A$3:A$502)-2),4)),""),""))</f>
        <v/>
      </c>
      <c r="K17" s="153">
        <f t="array" ref="K17">IF(IFERROR(-INDEX(Expenses!D$3:D$999,SMALL(IF((Expenses!E$3:E$999="INR")*(Expenses!A$3:A$999=DATE(2026,1,16)),ROW(Expenses!A$3:A$999)-2),4)),0)+IFERROR(INDEX(Income!C$3:C$502,SMALL(IF((Income!D$3:D$502="INR")*(Income!A$3:A$502=DATE(2026,1,16)),ROW(Income!A$3:A$502)-2),4)),0)=0,"",IFERROR(-INDEX(Expenses!D$3:D$999,SMALL(IF((Expenses!E$3:E$999="INR")*(Expenses!A$3:A$999=DATE(2026,1,16)),ROW(Expenses!A$3:A$999)-2),4)),0)+IFERROR(INDEX(Income!C$3:C$502,SMALL(IF((Income!D$3:D$502="INR")*(Income!A$3:A$502=DATE(2026,1,16)),ROW(Income!A$3:A$502)-2),4)),0))</f>
        <v/>
      </c>
      <c r="L17" s="126">
        <f t="array" ref="L17">IF(IFERROR(INDEX(Expenses!B$3:B$999,SMALL(IF((Expenses!E$3:E$999="INR")*(Expenses!A$3:A$999=DATE(2026,1,16)),ROW(Expenses!A$3:A$999)-2),4)),"")&lt;&gt;"",IFERROR(INDEX(Expenses!B$3:B$999,SMALL(IF((Expenses!E$3:E$999="INR")*(Expenses!A$3:A$999=DATE(2026,1,16)),ROW(Expenses!A$3:A$999)-2),4)),""),IF(IFERROR(INDEX(Income!B$3:B$502,SMALL(IF((Income!D$3:D$502="INR")*(Income!A$3:A$502=DATE(2026,1,16)),ROW(Income!A$3:A$502)-2),4)),"")&lt;&gt;"",IFERROR(INDEX(Income!B$3:B$502,SMALL(IF((Income!D$3:D$502="INR")*(Income!A$3:A$502=DATE(2026,1,16)),ROW(Income!A$3:A$502)-2),4)),""),""))</f>
        <v/>
      </c>
      <c r="M17" s="153">
        <f t="array" ref="M17">IF(IFERROR(-INDEX(Expenses!D$3:D$999,SMALL(IF((Expenses!E$3:E$999="INR")*(Expenses!A$3:A$999=DATE(2026,1,17)),ROW(Expenses!A$3:A$999)-2),4)),0)+IFERROR(INDEX(Income!C$3:C$502,SMALL(IF((Income!D$3:D$502="INR")*(Income!A$3:A$502=DATE(2026,1,17)),ROW(Income!A$3:A$502)-2),4)),0)=0,"",IFERROR(-INDEX(Expenses!D$3:D$999,SMALL(IF((Expenses!E$3:E$999="INR")*(Expenses!A$3:A$999=DATE(2026,1,17)),ROW(Expenses!A$3:A$999)-2),4)),0)+IFERROR(INDEX(Income!C$3:C$502,SMALL(IF((Income!D$3:D$502="INR")*(Income!A$3:A$502=DATE(2026,1,17)),ROW(Income!A$3:A$502)-2),4)),0))</f>
        <v/>
      </c>
      <c r="N17" s="126">
        <f t="array" ref="N17">IF(IFERROR(INDEX(Expenses!B$3:B$999,SMALL(IF((Expenses!E$3:E$999="INR")*(Expenses!A$3:A$999=DATE(2026,1,17)),ROW(Expenses!A$3:A$999)-2),4)),"")&lt;&gt;"",IFERROR(INDEX(Expenses!B$3:B$999,SMALL(IF((Expenses!E$3:E$999="INR")*(Expenses!A$3:A$999=DATE(2026,1,17)),ROW(Expenses!A$3:A$999)-2),4)),""),IF(IFERROR(INDEX(Income!B$3:B$502,SMALL(IF((Income!D$3:D$502="INR")*(Income!A$3:A$502=DATE(2026,1,17)),ROW(Income!A$3:A$502)-2),4)),"")&lt;&gt;"",IFERROR(INDEX(Income!B$3:B$502,SMALL(IF((Income!D$3:D$502="INR")*(Income!A$3:A$502=DATE(2026,1,17)),ROW(Income!A$3:A$502)-2),4)),""),""))</f>
        <v/>
      </c>
      <c r="O17" s="153">
        <f t="array" ref="O17">IF(IFERROR(-INDEX(Expenses!D$3:D$999,SMALL(IF((Expenses!E$3:E$999="INR")*(Expenses!A$3:A$999=DATE(2026,1,18)),ROW(Expenses!A$3:A$999)-2),4)),0)+IFERROR(INDEX(Income!C$3:C$502,SMALL(IF((Income!D$3:D$502="INR")*(Income!A$3:A$502=DATE(2026,1,18)),ROW(Income!A$3:A$502)-2),4)),0)=0,"",IFERROR(-INDEX(Expenses!D$3:D$999,SMALL(IF((Expenses!E$3:E$999="INR")*(Expenses!A$3:A$999=DATE(2026,1,18)),ROW(Expenses!A$3:A$999)-2),4)),0)+IFERROR(INDEX(Income!C$3:C$502,SMALL(IF((Income!D$3:D$502="INR")*(Income!A$3:A$502=DATE(2026,1,18)),ROW(Income!A$3:A$502)-2),4)),0))</f>
        <v/>
      </c>
      <c r="P17" s="126">
        <f t="array" ref="P17">IF(IFERROR(INDEX(Expenses!B$3:B$999,SMALL(IF((Expenses!E$3:E$999="INR")*(Expenses!A$3:A$999=DATE(2026,1,18)),ROW(Expenses!A$3:A$999)-2),4)),"")&lt;&gt;"",IFERROR(INDEX(Expenses!B$3:B$999,SMALL(IF((Expenses!E$3:E$999="INR")*(Expenses!A$3:A$999=DATE(2026,1,18)),ROW(Expenses!A$3:A$999)-2),4)),""),IF(IFERROR(INDEX(Income!B$3:B$502,SMALL(IF((Income!D$3:D$502="INR")*(Income!A$3:A$502=DATE(2026,1,18)),ROW(Income!A$3:A$502)-2),4)),"")&lt;&gt;"",IFERROR(INDEX(Income!B$3:B$502,SMALL(IF((Income!D$3:D$502="INR")*(Income!A$3:A$502=DATE(2026,1,18)),ROW(Income!A$3:A$502)-2),4)),""),""))</f>
        <v/>
      </c>
      <c r="Q17" s="9" t="n"/>
      <c r="R17" s="9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9" t="n"/>
      <c r="B18" s="9" t="n"/>
      <c r="C18" s="153">
        <f t="array" ref="C18">IF(IFERROR(-INDEX(Expenses!D$3:D$999,SMALL(IF((Expenses!E$3:E$999="INR")*(Expenses!A$3:A$999=DATE(2026,1,12)),ROW(Expenses!A$3:A$999)-2),5)),0)+IFERROR(INDEX(Income!C$3:C$502,SMALL(IF((Income!D$3:D$502="INR")*(Income!A$3:A$502=DATE(2026,1,12)),ROW(Income!A$3:A$502)-2),5)),0)=0,"",IFERROR(-INDEX(Expenses!D$3:D$999,SMALL(IF((Expenses!E$3:E$999="INR")*(Expenses!A$3:A$999=DATE(2026,1,12)),ROW(Expenses!A$3:A$999)-2),5)),0)+IFERROR(INDEX(Income!C$3:C$502,SMALL(IF((Income!D$3:D$502="INR")*(Income!A$3:A$502=DATE(2026,1,12)),ROW(Income!A$3:A$502)-2),5)),0))</f>
        <v/>
      </c>
      <c r="D18" s="126">
        <f t="array" ref="D18">IF(IFERROR(INDEX(Expenses!B$3:B$999,SMALL(IF((Expenses!E$3:E$999="INR")*(Expenses!A$3:A$999=DATE(2026,1,12)),ROW(Expenses!A$3:A$999)-2),5)),"")&lt;&gt;"",IFERROR(INDEX(Expenses!B$3:B$999,SMALL(IF((Expenses!E$3:E$999="INR")*(Expenses!A$3:A$999=DATE(2026,1,12)),ROW(Expenses!A$3:A$999)-2),5)),""),IF(IFERROR(INDEX(Income!B$3:B$502,SMALL(IF((Income!D$3:D$502="INR")*(Income!A$3:A$502=DATE(2026,1,12)),ROW(Income!A$3:A$502)-2),5)),"")&lt;&gt;"",IFERROR(INDEX(Income!B$3:B$502,SMALL(IF((Income!D$3:D$502="INR")*(Income!A$3:A$502=DATE(2026,1,12)),ROW(Income!A$3:A$502)-2),5)),""),""))</f>
        <v/>
      </c>
      <c r="E18" s="153">
        <f t="array" ref="E18">IF(IFERROR(-INDEX(Expenses!D$3:D$999,SMALL(IF((Expenses!E$3:E$999="INR")*(Expenses!A$3:A$999=DATE(2026,1,13)),ROW(Expenses!A$3:A$999)-2),5)),0)+IFERROR(INDEX(Income!C$3:C$502,SMALL(IF((Income!D$3:D$502="INR")*(Income!A$3:A$502=DATE(2026,1,13)),ROW(Income!A$3:A$502)-2),5)),0)=0,"",IFERROR(-INDEX(Expenses!D$3:D$999,SMALL(IF((Expenses!E$3:E$999="INR")*(Expenses!A$3:A$999=DATE(2026,1,13)),ROW(Expenses!A$3:A$999)-2),5)),0)+IFERROR(INDEX(Income!C$3:C$502,SMALL(IF((Income!D$3:D$502="INR")*(Income!A$3:A$502=DATE(2026,1,13)),ROW(Income!A$3:A$502)-2),5)),0))</f>
        <v/>
      </c>
      <c r="F18" s="126">
        <f t="array" ref="F18">IF(IFERROR(INDEX(Expenses!B$3:B$999,SMALL(IF((Expenses!E$3:E$999="INR")*(Expenses!A$3:A$999=DATE(2026,1,13)),ROW(Expenses!A$3:A$999)-2),5)),"")&lt;&gt;"",IFERROR(INDEX(Expenses!B$3:B$999,SMALL(IF((Expenses!E$3:E$999="INR")*(Expenses!A$3:A$999=DATE(2026,1,13)),ROW(Expenses!A$3:A$999)-2),5)),""),IF(IFERROR(INDEX(Income!B$3:B$502,SMALL(IF((Income!D$3:D$502="INR")*(Income!A$3:A$502=DATE(2026,1,13)),ROW(Income!A$3:A$502)-2),5)),"")&lt;&gt;"",IFERROR(INDEX(Income!B$3:B$502,SMALL(IF((Income!D$3:D$502="INR")*(Income!A$3:A$502=DATE(2026,1,13)),ROW(Income!A$3:A$502)-2),5)),""),""))</f>
        <v/>
      </c>
      <c r="G18" s="153">
        <f t="array" ref="G18">IF(IFERROR(-INDEX(Expenses!D$3:D$999,SMALL(IF((Expenses!E$3:E$999="INR")*(Expenses!A$3:A$999=DATE(2026,1,14)),ROW(Expenses!A$3:A$999)-2),5)),0)+IFERROR(INDEX(Income!C$3:C$502,SMALL(IF((Income!D$3:D$502="INR")*(Income!A$3:A$502=DATE(2026,1,14)),ROW(Income!A$3:A$502)-2),5)),0)=0,"",IFERROR(-INDEX(Expenses!D$3:D$999,SMALL(IF((Expenses!E$3:E$999="INR")*(Expenses!A$3:A$999=DATE(2026,1,14)),ROW(Expenses!A$3:A$999)-2),5)),0)+IFERROR(INDEX(Income!C$3:C$502,SMALL(IF((Income!D$3:D$502="INR")*(Income!A$3:A$502=DATE(2026,1,14)),ROW(Income!A$3:A$502)-2),5)),0))</f>
        <v/>
      </c>
      <c r="H18" s="126">
        <f t="array" ref="H18">IF(IFERROR(INDEX(Expenses!B$3:B$999,SMALL(IF((Expenses!E$3:E$999="INR")*(Expenses!A$3:A$999=DATE(2026,1,14)),ROW(Expenses!A$3:A$999)-2),5)),"")&lt;&gt;"",IFERROR(INDEX(Expenses!B$3:B$999,SMALL(IF((Expenses!E$3:E$999="INR")*(Expenses!A$3:A$999=DATE(2026,1,14)),ROW(Expenses!A$3:A$999)-2),5)),""),IF(IFERROR(INDEX(Income!B$3:B$502,SMALL(IF((Income!D$3:D$502="INR")*(Income!A$3:A$502=DATE(2026,1,14)),ROW(Income!A$3:A$502)-2),5)),"")&lt;&gt;"",IFERROR(INDEX(Income!B$3:B$502,SMALL(IF((Income!D$3:D$502="INR")*(Income!A$3:A$502=DATE(2026,1,14)),ROW(Income!A$3:A$502)-2),5)),""),""))</f>
        <v/>
      </c>
      <c r="I18" s="153">
        <f t="array" ref="I18">IF(IFERROR(-INDEX(Expenses!D$3:D$999,SMALL(IF((Expenses!E$3:E$999="INR")*(Expenses!A$3:A$999=DATE(2026,1,15)),ROW(Expenses!A$3:A$999)-2),5)),0)+IFERROR(INDEX(Income!C$3:C$502,SMALL(IF((Income!D$3:D$502="INR")*(Income!A$3:A$502=DATE(2026,1,15)),ROW(Income!A$3:A$502)-2),5)),0)=0,"",IFERROR(-INDEX(Expenses!D$3:D$999,SMALL(IF((Expenses!E$3:E$999="INR")*(Expenses!A$3:A$999=DATE(2026,1,15)),ROW(Expenses!A$3:A$999)-2),5)),0)+IFERROR(INDEX(Income!C$3:C$502,SMALL(IF((Income!D$3:D$502="INR")*(Income!A$3:A$502=DATE(2026,1,15)),ROW(Income!A$3:A$502)-2),5)),0))</f>
        <v/>
      </c>
      <c r="J18" s="126">
        <f t="array" ref="J18">IF(IFERROR(INDEX(Expenses!B$3:B$999,SMALL(IF((Expenses!E$3:E$999="INR")*(Expenses!A$3:A$999=DATE(2026,1,15)),ROW(Expenses!A$3:A$999)-2),5)),"")&lt;&gt;"",IFERROR(INDEX(Expenses!B$3:B$999,SMALL(IF((Expenses!E$3:E$999="INR")*(Expenses!A$3:A$999=DATE(2026,1,15)),ROW(Expenses!A$3:A$999)-2),5)),""),IF(IFERROR(INDEX(Income!B$3:B$502,SMALL(IF((Income!D$3:D$502="INR")*(Income!A$3:A$502=DATE(2026,1,15)),ROW(Income!A$3:A$502)-2),5)),"")&lt;&gt;"",IFERROR(INDEX(Income!B$3:B$502,SMALL(IF((Income!D$3:D$502="INR")*(Income!A$3:A$502=DATE(2026,1,15)),ROW(Income!A$3:A$502)-2),5)),""),""))</f>
        <v/>
      </c>
      <c r="K18" s="153">
        <f t="array" ref="K18">IF(IFERROR(-INDEX(Expenses!D$3:D$999,SMALL(IF((Expenses!E$3:E$999="INR")*(Expenses!A$3:A$999=DATE(2026,1,16)),ROW(Expenses!A$3:A$999)-2),5)),0)+IFERROR(INDEX(Income!C$3:C$502,SMALL(IF((Income!D$3:D$502="INR")*(Income!A$3:A$502=DATE(2026,1,16)),ROW(Income!A$3:A$502)-2),5)),0)=0,"",IFERROR(-INDEX(Expenses!D$3:D$999,SMALL(IF((Expenses!E$3:E$999="INR")*(Expenses!A$3:A$999=DATE(2026,1,16)),ROW(Expenses!A$3:A$999)-2),5)),0)+IFERROR(INDEX(Income!C$3:C$502,SMALL(IF((Income!D$3:D$502="INR")*(Income!A$3:A$502=DATE(2026,1,16)),ROW(Income!A$3:A$502)-2),5)),0))</f>
        <v/>
      </c>
      <c r="L18" s="126">
        <f t="array" ref="L18">IF(IFERROR(INDEX(Expenses!B$3:B$999,SMALL(IF((Expenses!E$3:E$999="INR")*(Expenses!A$3:A$999=DATE(2026,1,16)),ROW(Expenses!A$3:A$999)-2),5)),"")&lt;&gt;"",IFERROR(INDEX(Expenses!B$3:B$999,SMALL(IF((Expenses!E$3:E$999="INR")*(Expenses!A$3:A$999=DATE(2026,1,16)),ROW(Expenses!A$3:A$999)-2),5)),""),IF(IFERROR(INDEX(Income!B$3:B$502,SMALL(IF((Income!D$3:D$502="INR")*(Income!A$3:A$502=DATE(2026,1,16)),ROW(Income!A$3:A$502)-2),5)),"")&lt;&gt;"",IFERROR(INDEX(Income!B$3:B$502,SMALL(IF((Income!D$3:D$502="INR")*(Income!A$3:A$502=DATE(2026,1,16)),ROW(Income!A$3:A$502)-2),5)),""),""))</f>
        <v/>
      </c>
      <c r="M18" s="153">
        <f t="array" ref="M18">IF(IFERROR(-INDEX(Expenses!D$3:D$999,SMALL(IF((Expenses!E$3:E$999="INR")*(Expenses!A$3:A$999=DATE(2026,1,17)),ROW(Expenses!A$3:A$999)-2),5)),0)+IFERROR(INDEX(Income!C$3:C$502,SMALL(IF((Income!D$3:D$502="INR")*(Income!A$3:A$502=DATE(2026,1,17)),ROW(Income!A$3:A$502)-2),5)),0)=0,"",IFERROR(-INDEX(Expenses!D$3:D$999,SMALL(IF((Expenses!E$3:E$999="INR")*(Expenses!A$3:A$999=DATE(2026,1,17)),ROW(Expenses!A$3:A$999)-2),5)),0)+IFERROR(INDEX(Income!C$3:C$502,SMALL(IF((Income!D$3:D$502="INR")*(Income!A$3:A$502=DATE(2026,1,17)),ROW(Income!A$3:A$502)-2),5)),0))</f>
        <v/>
      </c>
      <c r="N18" s="126">
        <f t="array" ref="N18">IF(IFERROR(INDEX(Expenses!B$3:B$999,SMALL(IF((Expenses!E$3:E$999="INR")*(Expenses!A$3:A$999=DATE(2026,1,17)),ROW(Expenses!A$3:A$999)-2),5)),"")&lt;&gt;"",IFERROR(INDEX(Expenses!B$3:B$999,SMALL(IF((Expenses!E$3:E$999="INR")*(Expenses!A$3:A$999=DATE(2026,1,17)),ROW(Expenses!A$3:A$999)-2),5)),""),IF(IFERROR(INDEX(Income!B$3:B$502,SMALL(IF((Income!D$3:D$502="INR")*(Income!A$3:A$502=DATE(2026,1,17)),ROW(Income!A$3:A$502)-2),5)),"")&lt;&gt;"",IFERROR(INDEX(Income!B$3:B$502,SMALL(IF((Income!D$3:D$502="INR")*(Income!A$3:A$502=DATE(2026,1,17)),ROW(Income!A$3:A$502)-2),5)),""),""))</f>
        <v/>
      </c>
      <c r="O18" s="153">
        <f t="array" ref="O18">IF(IFERROR(-INDEX(Expenses!D$3:D$999,SMALL(IF((Expenses!E$3:E$999="INR")*(Expenses!A$3:A$999=DATE(2026,1,18)),ROW(Expenses!A$3:A$999)-2),5)),0)+IFERROR(INDEX(Income!C$3:C$502,SMALL(IF((Income!D$3:D$502="INR")*(Income!A$3:A$502=DATE(2026,1,18)),ROW(Income!A$3:A$502)-2),5)),0)=0,"",IFERROR(-INDEX(Expenses!D$3:D$999,SMALL(IF((Expenses!E$3:E$999="INR")*(Expenses!A$3:A$999=DATE(2026,1,18)),ROW(Expenses!A$3:A$999)-2),5)),0)+IFERROR(INDEX(Income!C$3:C$502,SMALL(IF((Income!D$3:D$502="INR")*(Income!A$3:A$502=DATE(2026,1,18)),ROW(Income!A$3:A$502)-2),5)),0))</f>
        <v/>
      </c>
      <c r="P18" s="126">
        <f t="array" ref="P18">IF(IFERROR(INDEX(Expenses!B$3:B$999,SMALL(IF((Expenses!E$3:E$999="INR")*(Expenses!A$3:A$999=DATE(2026,1,18)),ROW(Expenses!A$3:A$999)-2),5)),"")&lt;&gt;"",IFERROR(INDEX(Expenses!B$3:B$999,SMALL(IF((Expenses!E$3:E$999="INR")*(Expenses!A$3:A$999=DATE(2026,1,18)),ROW(Expenses!A$3:A$999)-2),5)),""),IF(IFERROR(INDEX(Income!B$3:B$502,SMALL(IF((Income!D$3:D$502="INR")*(Income!A$3:A$502=DATE(2026,1,18)),ROW(Income!A$3:A$502)-2),5)),"")&lt;&gt;"",IFERROR(INDEX(Income!B$3:B$502,SMALL(IF((Income!D$3:D$502="INR")*(Income!A$3:A$502=DATE(2026,1,18)),ROW(Income!A$3:A$502)-2),5)),""),""))</f>
        <v/>
      </c>
      <c r="Q18" s="9" t="n"/>
      <c r="R18" s="9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151" t="n">
        <v>46041</v>
      </c>
      <c r="B19" s="103" t="n">
        <v>4</v>
      </c>
      <c r="C19" s="153">
        <f t="array" ref="C19">IF(IFERROR(-INDEX(Expenses!D$3:D$999,SMALL(IF((Expenses!E$3:E$999="INR")*(Expenses!A$3:A$999=DATE(2026,1,19)),ROW(Expenses!A$3:A$999)-2),1)),0)+IFERROR(INDEX(Income!C$3:C$502,SMALL(IF((Income!D$3:D$502="INR")*(Income!A$3:A$502=DATE(2026,1,19)),ROW(Income!A$3:A$502)-2),1)),0)=0,"",IFERROR(-INDEX(Expenses!D$3:D$999,SMALL(IF((Expenses!E$3:E$999="INR")*(Expenses!A$3:A$999=DATE(2026,1,19)),ROW(Expenses!A$3:A$999)-2),1)),0)+IFERROR(INDEX(Income!C$3:C$502,SMALL(IF((Income!D$3:D$502="INR")*(Income!A$3:A$502=DATE(2026,1,19)),ROW(Income!A$3:A$502)-2),1)),0))</f>
        <v/>
      </c>
      <c r="D19" s="126">
        <f t="array" ref="D19">IF(IFERROR(INDEX(Expenses!B$3:B$999,SMALL(IF((Expenses!E$3:E$999="INR")*(Expenses!A$3:A$999=DATE(2026,1,19)),ROW(Expenses!A$3:A$999)-2),1)),"")&lt;&gt;"",IFERROR(INDEX(Expenses!B$3:B$999,SMALL(IF((Expenses!E$3:E$999="INR")*(Expenses!A$3:A$999=DATE(2026,1,19)),ROW(Expenses!A$3:A$999)-2),1)),""),IF(IFERROR(INDEX(Income!B$3:B$502,SMALL(IF((Income!D$3:D$502="INR")*(Income!A$3:A$502=DATE(2026,1,19)),ROW(Income!A$3:A$502)-2),1)),"")&lt;&gt;"",IFERROR(INDEX(Income!B$3:B$502,SMALL(IF((Income!D$3:D$502="INR")*(Income!A$3:A$502=DATE(2026,1,19)),ROW(Income!A$3:A$502)-2),1)),""),""))</f>
        <v/>
      </c>
      <c r="E19" s="153">
        <f t="array" ref="E19">IF(IFERROR(-INDEX(Expenses!D$3:D$999,SMALL(IF((Expenses!E$3:E$999="INR")*(Expenses!A$3:A$999=DATE(2026,1,20)),ROW(Expenses!A$3:A$999)-2),1)),0)+IFERROR(INDEX(Income!C$3:C$502,SMALL(IF((Income!D$3:D$502="INR")*(Income!A$3:A$502=DATE(2026,1,20)),ROW(Income!A$3:A$502)-2),1)),0)=0,"",IFERROR(-INDEX(Expenses!D$3:D$999,SMALL(IF((Expenses!E$3:E$999="INR")*(Expenses!A$3:A$999=DATE(2026,1,20)),ROW(Expenses!A$3:A$999)-2),1)),0)+IFERROR(INDEX(Income!C$3:C$502,SMALL(IF((Income!D$3:D$502="INR")*(Income!A$3:A$502=DATE(2026,1,20)),ROW(Income!A$3:A$502)-2),1)),0))</f>
        <v/>
      </c>
      <c r="F19" s="126">
        <f t="array" ref="F19">IF(IFERROR(INDEX(Expenses!B$3:B$999,SMALL(IF((Expenses!E$3:E$999="INR")*(Expenses!A$3:A$999=DATE(2026,1,20)),ROW(Expenses!A$3:A$999)-2),1)),"")&lt;&gt;"",IFERROR(INDEX(Expenses!B$3:B$999,SMALL(IF((Expenses!E$3:E$999="INR")*(Expenses!A$3:A$999=DATE(2026,1,20)),ROW(Expenses!A$3:A$999)-2),1)),""),IF(IFERROR(INDEX(Income!B$3:B$502,SMALL(IF((Income!D$3:D$502="INR")*(Income!A$3:A$502=DATE(2026,1,20)),ROW(Income!A$3:A$502)-2),1)),"")&lt;&gt;"",IFERROR(INDEX(Income!B$3:B$502,SMALL(IF((Income!D$3:D$502="INR")*(Income!A$3:A$502=DATE(2026,1,20)),ROW(Income!A$3:A$502)-2),1)),""),""))</f>
        <v/>
      </c>
      <c r="G19" s="153">
        <f t="array" ref="G19">IF(IFERROR(-INDEX(Expenses!D$3:D$999,SMALL(IF((Expenses!E$3:E$999="INR")*(Expenses!A$3:A$999=DATE(2026,1,21)),ROW(Expenses!A$3:A$999)-2),1)),0)+IFERROR(INDEX(Income!C$3:C$502,SMALL(IF((Income!D$3:D$502="INR")*(Income!A$3:A$502=DATE(2026,1,21)),ROW(Income!A$3:A$502)-2),1)),0)=0,"",IFERROR(-INDEX(Expenses!D$3:D$999,SMALL(IF((Expenses!E$3:E$999="INR")*(Expenses!A$3:A$999=DATE(2026,1,21)),ROW(Expenses!A$3:A$999)-2),1)),0)+IFERROR(INDEX(Income!C$3:C$502,SMALL(IF((Income!D$3:D$502="INR")*(Income!A$3:A$502=DATE(2026,1,21)),ROW(Income!A$3:A$502)-2),1)),0))</f>
        <v/>
      </c>
      <c r="H19" s="126">
        <f t="array" ref="H19">IF(IFERROR(INDEX(Expenses!B$3:B$999,SMALL(IF((Expenses!E$3:E$999="INR")*(Expenses!A$3:A$999=DATE(2026,1,21)),ROW(Expenses!A$3:A$999)-2),1)),"")&lt;&gt;"",IFERROR(INDEX(Expenses!B$3:B$999,SMALL(IF((Expenses!E$3:E$999="INR")*(Expenses!A$3:A$999=DATE(2026,1,21)),ROW(Expenses!A$3:A$999)-2),1)),""),IF(IFERROR(INDEX(Income!B$3:B$502,SMALL(IF((Income!D$3:D$502="INR")*(Income!A$3:A$502=DATE(2026,1,21)),ROW(Income!A$3:A$502)-2),1)),"")&lt;&gt;"",IFERROR(INDEX(Income!B$3:B$502,SMALL(IF((Income!D$3:D$502="INR")*(Income!A$3:A$502=DATE(2026,1,21)),ROW(Income!A$3:A$502)-2),1)),""),""))</f>
        <v/>
      </c>
      <c r="I19" s="153">
        <f t="array" ref="I19">IF(IFERROR(-INDEX(Expenses!D$3:D$999,SMALL(IF((Expenses!E$3:E$999="INR")*(Expenses!A$3:A$999=DATE(2026,1,22)),ROW(Expenses!A$3:A$999)-2),1)),0)+IFERROR(INDEX(Income!C$3:C$502,SMALL(IF((Income!D$3:D$502="INR")*(Income!A$3:A$502=DATE(2026,1,22)),ROW(Income!A$3:A$502)-2),1)),0)=0,"",IFERROR(-INDEX(Expenses!D$3:D$999,SMALL(IF((Expenses!E$3:E$999="INR")*(Expenses!A$3:A$999=DATE(2026,1,22)),ROW(Expenses!A$3:A$999)-2),1)),0)+IFERROR(INDEX(Income!C$3:C$502,SMALL(IF((Income!D$3:D$502="INR")*(Income!A$3:A$502=DATE(2026,1,22)),ROW(Income!A$3:A$502)-2),1)),0))</f>
        <v/>
      </c>
      <c r="J19" s="126">
        <f t="array" ref="J19">IF(IFERROR(INDEX(Expenses!B$3:B$999,SMALL(IF((Expenses!E$3:E$999="INR")*(Expenses!A$3:A$999=DATE(2026,1,22)),ROW(Expenses!A$3:A$999)-2),1)),"")&lt;&gt;"",IFERROR(INDEX(Expenses!B$3:B$999,SMALL(IF((Expenses!E$3:E$999="INR")*(Expenses!A$3:A$999=DATE(2026,1,22)),ROW(Expenses!A$3:A$999)-2),1)),""),IF(IFERROR(INDEX(Income!B$3:B$502,SMALL(IF((Income!D$3:D$502="INR")*(Income!A$3:A$502=DATE(2026,1,22)),ROW(Income!A$3:A$502)-2),1)),"")&lt;&gt;"",IFERROR(INDEX(Income!B$3:B$502,SMALL(IF((Income!D$3:D$502="INR")*(Income!A$3:A$502=DATE(2026,1,22)),ROW(Income!A$3:A$502)-2),1)),""),""))</f>
        <v/>
      </c>
      <c r="K19" s="153">
        <f t="array" ref="K19">IF(IFERROR(-INDEX(Expenses!D$3:D$999,SMALL(IF((Expenses!E$3:E$999="INR")*(Expenses!A$3:A$999=DATE(2026,1,23)),ROW(Expenses!A$3:A$999)-2),1)),0)+IFERROR(INDEX(Income!C$3:C$502,SMALL(IF((Income!D$3:D$502="INR")*(Income!A$3:A$502=DATE(2026,1,23)),ROW(Income!A$3:A$502)-2),1)),0)=0,"",IFERROR(-INDEX(Expenses!D$3:D$999,SMALL(IF((Expenses!E$3:E$999="INR")*(Expenses!A$3:A$999=DATE(2026,1,23)),ROW(Expenses!A$3:A$999)-2),1)),0)+IFERROR(INDEX(Income!C$3:C$502,SMALL(IF((Income!D$3:D$502="INR")*(Income!A$3:A$502=DATE(2026,1,23)),ROW(Income!A$3:A$502)-2),1)),0))</f>
        <v/>
      </c>
      <c r="L19" s="126">
        <f t="array" ref="L19">IF(IFERROR(INDEX(Expenses!B$3:B$999,SMALL(IF((Expenses!E$3:E$999="INR")*(Expenses!A$3:A$999=DATE(2026,1,23)),ROW(Expenses!A$3:A$999)-2),1)),"")&lt;&gt;"",IFERROR(INDEX(Expenses!B$3:B$999,SMALL(IF((Expenses!E$3:E$999="INR")*(Expenses!A$3:A$999=DATE(2026,1,23)),ROW(Expenses!A$3:A$999)-2),1)),""),IF(IFERROR(INDEX(Income!B$3:B$502,SMALL(IF((Income!D$3:D$502="INR")*(Income!A$3:A$502=DATE(2026,1,23)),ROW(Income!A$3:A$502)-2),1)),"")&lt;&gt;"",IFERROR(INDEX(Income!B$3:B$502,SMALL(IF((Income!D$3:D$502="INR")*(Income!A$3:A$502=DATE(2026,1,23)),ROW(Income!A$3:A$502)-2),1)),""),""))</f>
        <v/>
      </c>
      <c r="M19" s="153">
        <f t="array" ref="M19">IF(IFERROR(-INDEX(Expenses!D$3:D$999,SMALL(IF((Expenses!E$3:E$999="INR")*(Expenses!A$3:A$999=DATE(2026,1,24)),ROW(Expenses!A$3:A$999)-2),1)),0)+IFERROR(INDEX(Income!C$3:C$502,SMALL(IF((Income!D$3:D$502="INR")*(Income!A$3:A$502=DATE(2026,1,24)),ROW(Income!A$3:A$502)-2),1)),0)=0,"",IFERROR(-INDEX(Expenses!D$3:D$999,SMALL(IF((Expenses!E$3:E$999="INR")*(Expenses!A$3:A$999=DATE(2026,1,24)),ROW(Expenses!A$3:A$999)-2),1)),0)+IFERROR(INDEX(Income!C$3:C$502,SMALL(IF((Income!D$3:D$502="INR")*(Income!A$3:A$502=DATE(2026,1,24)),ROW(Income!A$3:A$502)-2),1)),0))</f>
        <v/>
      </c>
      <c r="N19" s="126">
        <f t="array" ref="N19">IF(IFERROR(INDEX(Expenses!B$3:B$999,SMALL(IF((Expenses!E$3:E$999="INR")*(Expenses!A$3:A$999=DATE(2026,1,24)),ROW(Expenses!A$3:A$999)-2),1)),"")&lt;&gt;"",IFERROR(INDEX(Expenses!B$3:B$999,SMALL(IF((Expenses!E$3:E$999="INR")*(Expenses!A$3:A$999=DATE(2026,1,24)),ROW(Expenses!A$3:A$999)-2),1)),""),IF(IFERROR(INDEX(Income!B$3:B$502,SMALL(IF((Income!D$3:D$502="INR")*(Income!A$3:A$502=DATE(2026,1,24)),ROW(Income!A$3:A$502)-2),1)),"")&lt;&gt;"",IFERROR(INDEX(Income!B$3:B$502,SMALL(IF((Income!D$3:D$502="INR")*(Income!A$3:A$502=DATE(2026,1,24)),ROW(Income!A$3:A$502)-2),1)),""),""))</f>
        <v/>
      </c>
      <c r="O19" s="153">
        <f t="array" ref="O19">IF(IFERROR(-INDEX(Expenses!D$3:D$999,SMALL(IF((Expenses!E$3:E$999="INR")*(Expenses!A$3:A$999=DATE(2026,1,25)),ROW(Expenses!A$3:A$999)-2),1)),0)+IFERROR(INDEX(Income!C$3:C$502,SMALL(IF((Income!D$3:D$502="INR")*(Income!A$3:A$502=DATE(2026,1,25)),ROW(Income!A$3:A$502)-2),1)),0)=0,"",IFERROR(-INDEX(Expenses!D$3:D$999,SMALL(IF((Expenses!E$3:E$999="INR")*(Expenses!A$3:A$999=DATE(2026,1,25)),ROW(Expenses!A$3:A$999)-2),1)),0)+IFERROR(INDEX(Income!C$3:C$502,SMALL(IF((Income!D$3:D$502="INR")*(Income!A$3:A$502=DATE(2026,1,25)),ROW(Income!A$3:A$502)-2),1)),0))</f>
        <v/>
      </c>
      <c r="P19" s="126">
        <f t="array" ref="P19">IF(IFERROR(INDEX(Expenses!B$3:B$999,SMALL(IF((Expenses!E$3:E$999="INR")*(Expenses!A$3:A$999=DATE(2026,1,25)),ROW(Expenses!A$3:A$999)-2),1)),"")&lt;&gt;"",IFERROR(INDEX(Expenses!B$3:B$999,SMALL(IF((Expenses!E$3:E$999="INR")*(Expenses!A$3:A$999=DATE(2026,1,25)),ROW(Expenses!A$3:A$999)-2),1)),""),IF(IFERROR(INDEX(Income!B$3:B$502,SMALL(IF((Income!D$3:D$502="INR")*(Income!A$3:A$502=DATE(2026,1,25)),ROW(Income!A$3:A$502)-2),1)),"")&lt;&gt;"",IFERROR(INDEX(Income!B$3:B$502,SMALL(IF((Income!D$3:D$502="INR")*(Income!A$3:A$502=DATE(2026,1,25)),ROW(Income!A$3:A$502)-2),1)),""),""))</f>
        <v/>
      </c>
      <c r="Q19" s="103" t="n">
        <v>4</v>
      </c>
      <c r="R19" s="142">
        <f>SUM(C19:C23)+SUM(E19:E23)+SUM(G19:G23)+SUM(I19:I23)+SUM(K19:K23)+SUM(M19:M23)+SUM(O19:O23)</f>
        <v/>
      </c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9" t="n"/>
      <c r="B20" s="9" t="n"/>
      <c r="C20" s="153">
        <f t="array" ref="C20">IF(IFERROR(-INDEX(Expenses!D$3:D$999,SMALL(IF((Expenses!E$3:E$999="INR")*(Expenses!A$3:A$999=DATE(2026,1,19)),ROW(Expenses!A$3:A$999)-2),2)),0)+IFERROR(INDEX(Income!C$3:C$502,SMALL(IF((Income!D$3:D$502="INR")*(Income!A$3:A$502=DATE(2026,1,19)),ROW(Income!A$3:A$502)-2),2)),0)=0,"",IFERROR(-INDEX(Expenses!D$3:D$999,SMALL(IF((Expenses!E$3:E$999="INR")*(Expenses!A$3:A$999=DATE(2026,1,19)),ROW(Expenses!A$3:A$999)-2),2)),0)+IFERROR(INDEX(Income!C$3:C$502,SMALL(IF((Income!D$3:D$502="INR")*(Income!A$3:A$502=DATE(2026,1,19)),ROW(Income!A$3:A$502)-2),2)),0))</f>
        <v/>
      </c>
      <c r="D20" s="126">
        <f t="array" ref="D20">IF(IFERROR(INDEX(Expenses!B$3:B$999,SMALL(IF((Expenses!E$3:E$999="INR")*(Expenses!A$3:A$999=DATE(2026,1,19)),ROW(Expenses!A$3:A$999)-2),2)),"")&lt;&gt;"",IFERROR(INDEX(Expenses!B$3:B$999,SMALL(IF((Expenses!E$3:E$999="INR")*(Expenses!A$3:A$999=DATE(2026,1,19)),ROW(Expenses!A$3:A$999)-2),2)),""),IF(IFERROR(INDEX(Income!B$3:B$502,SMALL(IF((Income!D$3:D$502="INR")*(Income!A$3:A$502=DATE(2026,1,19)),ROW(Income!A$3:A$502)-2),2)),"")&lt;&gt;"",IFERROR(INDEX(Income!B$3:B$502,SMALL(IF((Income!D$3:D$502="INR")*(Income!A$3:A$502=DATE(2026,1,19)),ROW(Income!A$3:A$502)-2),2)),""),""))</f>
        <v/>
      </c>
      <c r="E20" s="153">
        <f t="array" ref="E20">IF(IFERROR(-INDEX(Expenses!D$3:D$999,SMALL(IF((Expenses!E$3:E$999="INR")*(Expenses!A$3:A$999=DATE(2026,1,20)),ROW(Expenses!A$3:A$999)-2),2)),0)+IFERROR(INDEX(Income!C$3:C$502,SMALL(IF((Income!D$3:D$502="INR")*(Income!A$3:A$502=DATE(2026,1,20)),ROW(Income!A$3:A$502)-2),2)),0)=0,"",IFERROR(-INDEX(Expenses!D$3:D$999,SMALL(IF((Expenses!E$3:E$999="INR")*(Expenses!A$3:A$999=DATE(2026,1,20)),ROW(Expenses!A$3:A$999)-2),2)),0)+IFERROR(INDEX(Income!C$3:C$502,SMALL(IF((Income!D$3:D$502="INR")*(Income!A$3:A$502=DATE(2026,1,20)),ROW(Income!A$3:A$502)-2),2)),0))</f>
        <v/>
      </c>
      <c r="F20" s="126">
        <f t="array" ref="F20">IF(IFERROR(INDEX(Expenses!B$3:B$999,SMALL(IF((Expenses!E$3:E$999="INR")*(Expenses!A$3:A$999=DATE(2026,1,20)),ROW(Expenses!A$3:A$999)-2),2)),"")&lt;&gt;"",IFERROR(INDEX(Expenses!B$3:B$999,SMALL(IF((Expenses!E$3:E$999="INR")*(Expenses!A$3:A$999=DATE(2026,1,20)),ROW(Expenses!A$3:A$999)-2),2)),""),IF(IFERROR(INDEX(Income!B$3:B$502,SMALL(IF((Income!D$3:D$502="INR")*(Income!A$3:A$502=DATE(2026,1,20)),ROW(Income!A$3:A$502)-2),2)),"")&lt;&gt;"",IFERROR(INDEX(Income!B$3:B$502,SMALL(IF((Income!D$3:D$502="INR")*(Income!A$3:A$502=DATE(2026,1,20)),ROW(Income!A$3:A$502)-2),2)),""),""))</f>
        <v/>
      </c>
      <c r="G20" s="153">
        <f t="array" ref="G20">IF(IFERROR(-INDEX(Expenses!D$3:D$999,SMALL(IF((Expenses!E$3:E$999="INR")*(Expenses!A$3:A$999=DATE(2026,1,21)),ROW(Expenses!A$3:A$999)-2),2)),0)+IFERROR(INDEX(Income!C$3:C$502,SMALL(IF((Income!D$3:D$502="INR")*(Income!A$3:A$502=DATE(2026,1,21)),ROW(Income!A$3:A$502)-2),2)),0)=0,"",IFERROR(-INDEX(Expenses!D$3:D$999,SMALL(IF((Expenses!E$3:E$999="INR")*(Expenses!A$3:A$999=DATE(2026,1,21)),ROW(Expenses!A$3:A$999)-2),2)),0)+IFERROR(INDEX(Income!C$3:C$502,SMALL(IF((Income!D$3:D$502="INR")*(Income!A$3:A$502=DATE(2026,1,21)),ROW(Income!A$3:A$502)-2),2)),0))</f>
        <v/>
      </c>
      <c r="H20" s="126">
        <f t="array" ref="H20">IF(IFERROR(INDEX(Expenses!B$3:B$999,SMALL(IF((Expenses!E$3:E$999="INR")*(Expenses!A$3:A$999=DATE(2026,1,21)),ROW(Expenses!A$3:A$999)-2),2)),"")&lt;&gt;"",IFERROR(INDEX(Expenses!B$3:B$999,SMALL(IF((Expenses!E$3:E$999="INR")*(Expenses!A$3:A$999=DATE(2026,1,21)),ROW(Expenses!A$3:A$999)-2),2)),""),IF(IFERROR(INDEX(Income!B$3:B$502,SMALL(IF((Income!D$3:D$502="INR")*(Income!A$3:A$502=DATE(2026,1,21)),ROW(Income!A$3:A$502)-2),2)),"")&lt;&gt;"",IFERROR(INDEX(Income!B$3:B$502,SMALL(IF((Income!D$3:D$502="INR")*(Income!A$3:A$502=DATE(2026,1,21)),ROW(Income!A$3:A$502)-2),2)),""),""))</f>
        <v/>
      </c>
      <c r="I20" s="153">
        <f t="array" ref="I20">IF(IFERROR(-INDEX(Expenses!D$3:D$999,SMALL(IF((Expenses!E$3:E$999="INR")*(Expenses!A$3:A$999=DATE(2026,1,22)),ROW(Expenses!A$3:A$999)-2),2)),0)+IFERROR(INDEX(Income!C$3:C$502,SMALL(IF((Income!D$3:D$502="INR")*(Income!A$3:A$502=DATE(2026,1,22)),ROW(Income!A$3:A$502)-2),2)),0)=0,"",IFERROR(-INDEX(Expenses!D$3:D$999,SMALL(IF((Expenses!E$3:E$999="INR")*(Expenses!A$3:A$999=DATE(2026,1,22)),ROW(Expenses!A$3:A$999)-2),2)),0)+IFERROR(INDEX(Income!C$3:C$502,SMALL(IF((Income!D$3:D$502="INR")*(Income!A$3:A$502=DATE(2026,1,22)),ROW(Income!A$3:A$502)-2),2)),0))</f>
        <v/>
      </c>
      <c r="J20" s="126">
        <f t="array" ref="J20">IF(IFERROR(INDEX(Expenses!B$3:B$999,SMALL(IF((Expenses!E$3:E$999="INR")*(Expenses!A$3:A$999=DATE(2026,1,22)),ROW(Expenses!A$3:A$999)-2),2)),"")&lt;&gt;"",IFERROR(INDEX(Expenses!B$3:B$999,SMALL(IF((Expenses!E$3:E$999="INR")*(Expenses!A$3:A$999=DATE(2026,1,22)),ROW(Expenses!A$3:A$999)-2),2)),""),IF(IFERROR(INDEX(Income!B$3:B$502,SMALL(IF((Income!D$3:D$502="INR")*(Income!A$3:A$502=DATE(2026,1,22)),ROW(Income!A$3:A$502)-2),2)),"")&lt;&gt;"",IFERROR(INDEX(Income!B$3:B$502,SMALL(IF((Income!D$3:D$502="INR")*(Income!A$3:A$502=DATE(2026,1,22)),ROW(Income!A$3:A$502)-2),2)),""),""))</f>
        <v/>
      </c>
      <c r="K20" s="153">
        <f t="array" ref="K20">IF(IFERROR(-INDEX(Expenses!D$3:D$999,SMALL(IF((Expenses!E$3:E$999="INR")*(Expenses!A$3:A$999=DATE(2026,1,23)),ROW(Expenses!A$3:A$999)-2),2)),0)+IFERROR(INDEX(Income!C$3:C$502,SMALL(IF((Income!D$3:D$502="INR")*(Income!A$3:A$502=DATE(2026,1,23)),ROW(Income!A$3:A$502)-2),2)),0)=0,"",IFERROR(-INDEX(Expenses!D$3:D$999,SMALL(IF((Expenses!E$3:E$999="INR")*(Expenses!A$3:A$999=DATE(2026,1,23)),ROW(Expenses!A$3:A$999)-2),2)),0)+IFERROR(INDEX(Income!C$3:C$502,SMALL(IF((Income!D$3:D$502="INR")*(Income!A$3:A$502=DATE(2026,1,23)),ROW(Income!A$3:A$502)-2),2)),0))</f>
        <v/>
      </c>
      <c r="L20" s="126">
        <f t="array" ref="L20">IF(IFERROR(INDEX(Expenses!B$3:B$999,SMALL(IF((Expenses!E$3:E$999="INR")*(Expenses!A$3:A$999=DATE(2026,1,23)),ROW(Expenses!A$3:A$999)-2),2)),"")&lt;&gt;"",IFERROR(INDEX(Expenses!B$3:B$999,SMALL(IF((Expenses!E$3:E$999="INR")*(Expenses!A$3:A$999=DATE(2026,1,23)),ROW(Expenses!A$3:A$999)-2),2)),""),IF(IFERROR(INDEX(Income!B$3:B$502,SMALL(IF((Income!D$3:D$502="INR")*(Income!A$3:A$502=DATE(2026,1,23)),ROW(Income!A$3:A$502)-2),2)),"")&lt;&gt;"",IFERROR(INDEX(Income!B$3:B$502,SMALL(IF((Income!D$3:D$502="INR")*(Income!A$3:A$502=DATE(2026,1,23)),ROW(Income!A$3:A$502)-2),2)),""),""))</f>
        <v/>
      </c>
      <c r="M20" s="153">
        <f t="array" ref="M20">IF(IFERROR(-INDEX(Expenses!D$3:D$999,SMALL(IF((Expenses!E$3:E$999="INR")*(Expenses!A$3:A$999=DATE(2026,1,24)),ROW(Expenses!A$3:A$999)-2),2)),0)+IFERROR(INDEX(Income!C$3:C$502,SMALL(IF((Income!D$3:D$502="INR")*(Income!A$3:A$502=DATE(2026,1,24)),ROW(Income!A$3:A$502)-2),2)),0)=0,"",IFERROR(-INDEX(Expenses!D$3:D$999,SMALL(IF((Expenses!E$3:E$999="INR")*(Expenses!A$3:A$999=DATE(2026,1,24)),ROW(Expenses!A$3:A$999)-2),2)),0)+IFERROR(INDEX(Income!C$3:C$502,SMALL(IF((Income!D$3:D$502="INR")*(Income!A$3:A$502=DATE(2026,1,24)),ROW(Income!A$3:A$502)-2),2)),0))</f>
        <v/>
      </c>
      <c r="N20" s="126">
        <f t="array" ref="N20">IF(IFERROR(INDEX(Expenses!B$3:B$999,SMALL(IF((Expenses!E$3:E$999="INR")*(Expenses!A$3:A$999=DATE(2026,1,24)),ROW(Expenses!A$3:A$999)-2),2)),"")&lt;&gt;"",IFERROR(INDEX(Expenses!B$3:B$999,SMALL(IF((Expenses!E$3:E$999="INR")*(Expenses!A$3:A$999=DATE(2026,1,24)),ROW(Expenses!A$3:A$999)-2),2)),""),IF(IFERROR(INDEX(Income!B$3:B$502,SMALL(IF((Income!D$3:D$502="INR")*(Income!A$3:A$502=DATE(2026,1,24)),ROW(Income!A$3:A$502)-2),2)),"")&lt;&gt;"",IFERROR(INDEX(Income!B$3:B$502,SMALL(IF((Income!D$3:D$502="INR")*(Income!A$3:A$502=DATE(2026,1,24)),ROW(Income!A$3:A$502)-2),2)),""),""))</f>
        <v/>
      </c>
      <c r="O20" s="153">
        <f t="array" ref="O20">IF(IFERROR(-INDEX(Expenses!D$3:D$999,SMALL(IF((Expenses!E$3:E$999="INR")*(Expenses!A$3:A$999=DATE(2026,1,25)),ROW(Expenses!A$3:A$999)-2),2)),0)+IFERROR(INDEX(Income!C$3:C$502,SMALL(IF((Income!D$3:D$502="INR")*(Income!A$3:A$502=DATE(2026,1,25)),ROW(Income!A$3:A$502)-2),2)),0)=0,"",IFERROR(-INDEX(Expenses!D$3:D$999,SMALL(IF((Expenses!E$3:E$999="INR")*(Expenses!A$3:A$999=DATE(2026,1,25)),ROW(Expenses!A$3:A$999)-2),2)),0)+IFERROR(INDEX(Income!C$3:C$502,SMALL(IF((Income!D$3:D$502="INR")*(Income!A$3:A$502=DATE(2026,1,25)),ROW(Income!A$3:A$502)-2),2)),0))</f>
        <v/>
      </c>
      <c r="P20" s="126">
        <f t="array" ref="P20">IF(IFERROR(INDEX(Expenses!B$3:B$999,SMALL(IF((Expenses!E$3:E$999="INR")*(Expenses!A$3:A$999=DATE(2026,1,25)),ROW(Expenses!A$3:A$999)-2),2)),"")&lt;&gt;"",IFERROR(INDEX(Expenses!B$3:B$999,SMALL(IF((Expenses!E$3:E$999="INR")*(Expenses!A$3:A$999=DATE(2026,1,25)),ROW(Expenses!A$3:A$999)-2),2)),""),IF(IFERROR(INDEX(Income!B$3:B$502,SMALL(IF((Income!D$3:D$502="INR")*(Income!A$3:A$502=DATE(2026,1,25)),ROW(Income!A$3:A$502)-2),2)),"")&lt;&gt;"",IFERROR(INDEX(Income!B$3:B$502,SMALL(IF((Income!D$3:D$502="INR")*(Income!A$3:A$502=DATE(2026,1,25)),ROW(Income!A$3:A$502)-2),2)),""),""))</f>
        <v/>
      </c>
      <c r="Q20" s="9" t="n"/>
      <c r="R20" s="9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68">
      <c r="A21" s="9" t="n"/>
      <c r="B21" s="9" t="n"/>
      <c r="C21" s="153">
        <f t="array" ref="C21">IF(IFERROR(-INDEX(Expenses!D$3:D$999,SMALL(IF((Expenses!E$3:E$999="INR")*(Expenses!A$3:A$999=DATE(2026,1,19)),ROW(Expenses!A$3:A$999)-2),3)),0)+IFERROR(INDEX(Income!C$3:C$502,SMALL(IF((Income!D$3:D$502="INR")*(Income!A$3:A$502=DATE(2026,1,19)),ROW(Income!A$3:A$502)-2),3)),0)=0,"",IFERROR(-INDEX(Expenses!D$3:D$999,SMALL(IF((Expenses!E$3:E$999="INR")*(Expenses!A$3:A$999=DATE(2026,1,19)),ROW(Expenses!A$3:A$999)-2),3)),0)+IFERROR(INDEX(Income!C$3:C$502,SMALL(IF((Income!D$3:D$502="INR")*(Income!A$3:A$502=DATE(2026,1,19)),ROW(Income!A$3:A$502)-2),3)),0))</f>
        <v/>
      </c>
      <c r="D21" s="126">
        <f t="array" ref="D21">IF(IFERROR(INDEX(Expenses!B$3:B$999,SMALL(IF((Expenses!E$3:E$999="INR")*(Expenses!A$3:A$999=DATE(2026,1,19)),ROW(Expenses!A$3:A$999)-2),3)),"")&lt;&gt;"",IFERROR(INDEX(Expenses!B$3:B$999,SMALL(IF((Expenses!E$3:E$999="INR")*(Expenses!A$3:A$999=DATE(2026,1,19)),ROW(Expenses!A$3:A$999)-2),3)),""),IF(IFERROR(INDEX(Income!B$3:B$502,SMALL(IF((Income!D$3:D$502="INR")*(Income!A$3:A$502=DATE(2026,1,19)),ROW(Income!A$3:A$502)-2),3)),"")&lt;&gt;"",IFERROR(INDEX(Income!B$3:B$502,SMALL(IF((Income!D$3:D$502="INR")*(Income!A$3:A$502=DATE(2026,1,19)),ROW(Income!A$3:A$502)-2),3)),""),""))</f>
        <v/>
      </c>
      <c r="E21" s="153">
        <f t="array" ref="E21">IF(IFERROR(-INDEX(Expenses!D$3:D$999,SMALL(IF((Expenses!E$3:E$999="INR")*(Expenses!A$3:A$999=DATE(2026,1,20)),ROW(Expenses!A$3:A$999)-2),3)),0)+IFERROR(INDEX(Income!C$3:C$502,SMALL(IF((Income!D$3:D$502="INR")*(Income!A$3:A$502=DATE(2026,1,20)),ROW(Income!A$3:A$502)-2),3)),0)=0,"",IFERROR(-INDEX(Expenses!D$3:D$999,SMALL(IF((Expenses!E$3:E$999="INR")*(Expenses!A$3:A$999=DATE(2026,1,20)),ROW(Expenses!A$3:A$999)-2),3)),0)+IFERROR(INDEX(Income!C$3:C$502,SMALL(IF((Income!D$3:D$502="INR")*(Income!A$3:A$502=DATE(2026,1,20)),ROW(Income!A$3:A$502)-2),3)),0))</f>
        <v/>
      </c>
      <c r="F21" s="126">
        <f t="array" ref="F21">IF(IFERROR(INDEX(Expenses!B$3:B$999,SMALL(IF((Expenses!E$3:E$999="INR")*(Expenses!A$3:A$999=DATE(2026,1,20)),ROW(Expenses!A$3:A$999)-2),3)),"")&lt;&gt;"",IFERROR(INDEX(Expenses!B$3:B$999,SMALL(IF((Expenses!E$3:E$999="INR")*(Expenses!A$3:A$999=DATE(2026,1,20)),ROW(Expenses!A$3:A$999)-2),3)),""),IF(IFERROR(INDEX(Income!B$3:B$502,SMALL(IF((Income!D$3:D$502="INR")*(Income!A$3:A$502=DATE(2026,1,20)),ROW(Income!A$3:A$502)-2),3)),"")&lt;&gt;"",IFERROR(INDEX(Income!B$3:B$502,SMALL(IF((Income!D$3:D$502="INR")*(Income!A$3:A$502=DATE(2026,1,20)),ROW(Income!A$3:A$502)-2),3)),""),""))</f>
        <v/>
      </c>
      <c r="G21" s="153">
        <f t="array" ref="G21">IF(IFERROR(-INDEX(Expenses!D$3:D$999,SMALL(IF((Expenses!E$3:E$999="INR")*(Expenses!A$3:A$999=DATE(2026,1,21)),ROW(Expenses!A$3:A$999)-2),3)),0)+IFERROR(INDEX(Income!C$3:C$502,SMALL(IF((Income!D$3:D$502="INR")*(Income!A$3:A$502=DATE(2026,1,21)),ROW(Income!A$3:A$502)-2),3)),0)=0,"",IFERROR(-INDEX(Expenses!D$3:D$999,SMALL(IF((Expenses!E$3:E$999="INR")*(Expenses!A$3:A$999=DATE(2026,1,21)),ROW(Expenses!A$3:A$999)-2),3)),0)+IFERROR(INDEX(Income!C$3:C$502,SMALL(IF((Income!D$3:D$502="INR")*(Income!A$3:A$502=DATE(2026,1,21)),ROW(Income!A$3:A$502)-2),3)),0))</f>
        <v/>
      </c>
      <c r="H21" s="126">
        <f t="array" ref="H21">IF(IFERROR(INDEX(Expenses!B$3:B$999,SMALL(IF((Expenses!E$3:E$999="INR")*(Expenses!A$3:A$999=DATE(2026,1,21)),ROW(Expenses!A$3:A$999)-2),3)),"")&lt;&gt;"",IFERROR(INDEX(Expenses!B$3:B$999,SMALL(IF((Expenses!E$3:E$999="INR")*(Expenses!A$3:A$999=DATE(2026,1,21)),ROW(Expenses!A$3:A$999)-2),3)),""),IF(IFERROR(INDEX(Income!B$3:B$502,SMALL(IF((Income!D$3:D$502="INR")*(Income!A$3:A$502=DATE(2026,1,21)),ROW(Income!A$3:A$502)-2),3)),"")&lt;&gt;"",IFERROR(INDEX(Income!B$3:B$502,SMALL(IF((Income!D$3:D$502="INR")*(Income!A$3:A$502=DATE(2026,1,21)),ROW(Income!A$3:A$502)-2),3)),""),""))</f>
        <v/>
      </c>
      <c r="I21" s="153">
        <f t="array" ref="I21">IF(IFERROR(-INDEX(Expenses!D$3:D$999,SMALL(IF((Expenses!E$3:E$999="INR")*(Expenses!A$3:A$999=DATE(2026,1,22)),ROW(Expenses!A$3:A$999)-2),3)),0)+IFERROR(INDEX(Income!C$3:C$502,SMALL(IF((Income!D$3:D$502="INR")*(Income!A$3:A$502=DATE(2026,1,22)),ROW(Income!A$3:A$502)-2),3)),0)=0,"",IFERROR(-INDEX(Expenses!D$3:D$999,SMALL(IF((Expenses!E$3:E$999="INR")*(Expenses!A$3:A$999=DATE(2026,1,22)),ROW(Expenses!A$3:A$999)-2),3)),0)+IFERROR(INDEX(Income!C$3:C$502,SMALL(IF((Income!D$3:D$502="INR")*(Income!A$3:A$502=DATE(2026,1,22)),ROW(Income!A$3:A$502)-2),3)),0))</f>
        <v/>
      </c>
      <c r="J21" s="126">
        <f t="array" ref="J21">IF(IFERROR(INDEX(Expenses!B$3:B$999,SMALL(IF((Expenses!E$3:E$999="INR")*(Expenses!A$3:A$999=DATE(2026,1,22)),ROW(Expenses!A$3:A$999)-2),3)),"")&lt;&gt;"",IFERROR(INDEX(Expenses!B$3:B$999,SMALL(IF((Expenses!E$3:E$999="INR")*(Expenses!A$3:A$999=DATE(2026,1,22)),ROW(Expenses!A$3:A$999)-2),3)),""),IF(IFERROR(INDEX(Income!B$3:B$502,SMALL(IF((Income!D$3:D$502="INR")*(Income!A$3:A$502=DATE(2026,1,22)),ROW(Income!A$3:A$502)-2),3)),"")&lt;&gt;"",IFERROR(INDEX(Income!B$3:B$502,SMALL(IF((Income!D$3:D$502="INR")*(Income!A$3:A$502=DATE(2026,1,22)),ROW(Income!A$3:A$502)-2),3)),""),""))</f>
        <v/>
      </c>
      <c r="K21" s="153">
        <f t="array" ref="K21">IF(IFERROR(-INDEX(Expenses!D$3:D$999,SMALL(IF((Expenses!E$3:E$999="INR")*(Expenses!A$3:A$999=DATE(2026,1,23)),ROW(Expenses!A$3:A$999)-2),3)),0)+IFERROR(INDEX(Income!C$3:C$502,SMALL(IF((Income!D$3:D$502="INR")*(Income!A$3:A$502=DATE(2026,1,23)),ROW(Income!A$3:A$502)-2),3)),0)=0,"",IFERROR(-INDEX(Expenses!D$3:D$999,SMALL(IF((Expenses!E$3:E$999="INR")*(Expenses!A$3:A$999=DATE(2026,1,23)),ROW(Expenses!A$3:A$999)-2),3)),0)+IFERROR(INDEX(Income!C$3:C$502,SMALL(IF((Income!D$3:D$502="INR")*(Income!A$3:A$502=DATE(2026,1,23)),ROW(Income!A$3:A$502)-2),3)),0))</f>
        <v/>
      </c>
      <c r="L21" s="126">
        <f t="array" ref="L21">IF(IFERROR(INDEX(Expenses!B$3:B$999,SMALL(IF((Expenses!E$3:E$999="INR")*(Expenses!A$3:A$999=DATE(2026,1,23)),ROW(Expenses!A$3:A$999)-2),3)),"")&lt;&gt;"",IFERROR(INDEX(Expenses!B$3:B$999,SMALL(IF((Expenses!E$3:E$999="INR")*(Expenses!A$3:A$999=DATE(2026,1,23)),ROW(Expenses!A$3:A$999)-2),3)),""),IF(IFERROR(INDEX(Income!B$3:B$502,SMALL(IF((Income!D$3:D$502="INR")*(Income!A$3:A$502=DATE(2026,1,23)),ROW(Income!A$3:A$502)-2),3)),"")&lt;&gt;"",IFERROR(INDEX(Income!B$3:B$502,SMALL(IF((Income!D$3:D$502="INR")*(Income!A$3:A$502=DATE(2026,1,23)),ROW(Income!A$3:A$502)-2),3)),""),""))</f>
        <v/>
      </c>
      <c r="M21" s="153">
        <f t="array" ref="M21">IF(IFERROR(-INDEX(Expenses!D$3:D$999,SMALL(IF((Expenses!E$3:E$999="INR")*(Expenses!A$3:A$999=DATE(2026,1,24)),ROW(Expenses!A$3:A$999)-2),3)),0)+IFERROR(INDEX(Income!C$3:C$502,SMALL(IF((Income!D$3:D$502="INR")*(Income!A$3:A$502=DATE(2026,1,24)),ROW(Income!A$3:A$502)-2),3)),0)=0,"",IFERROR(-INDEX(Expenses!D$3:D$999,SMALL(IF((Expenses!E$3:E$999="INR")*(Expenses!A$3:A$999=DATE(2026,1,24)),ROW(Expenses!A$3:A$999)-2),3)),0)+IFERROR(INDEX(Income!C$3:C$502,SMALL(IF((Income!D$3:D$502="INR")*(Income!A$3:A$502=DATE(2026,1,24)),ROW(Income!A$3:A$502)-2),3)),0))</f>
        <v/>
      </c>
      <c r="N21" s="126">
        <f t="array" ref="N21">IF(IFERROR(INDEX(Expenses!B$3:B$999,SMALL(IF((Expenses!E$3:E$999="INR")*(Expenses!A$3:A$999=DATE(2026,1,24)),ROW(Expenses!A$3:A$999)-2),3)),"")&lt;&gt;"",IFERROR(INDEX(Expenses!B$3:B$999,SMALL(IF((Expenses!E$3:E$999="INR")*(Expenses!A$3:A$999=DATE(2026,1,24)),ROW(Expenses!A$3:A$999)-2),3)),""),IF(IFERROR(INDEX(Income!B$3:B$502,SMALL(IF((Income!D$3:D$502="INR")*(Income!A$3:A$502=DATE(2026,1,24)),ROW(Income!A$3:A$502)-2),3)),"")&lt;&gt;"",IFERROR(INDEX(Income!B$3:B$502,SMALL(IF((Income!D$3:D$502="INR")*(Income!A$3:A$502=DATE(2026,1,24)),ROW(Income!A$3:A$502)-2),3)),""),""))</f>
        <v/>
      </c>
      <c r="O21" s="153">
        <f t="array" ref="O21">IF(IFERROR(-INDEX(Expenses!D$3:D$999,SMALL(IF((Expenses!E$3:E$999="INR")*(Expenses!A$3:A$999=DATE(2026,1,25)),ROW(Expenses!A$3:A$999)-2),3)),0)+IFERROR(INDEX(Income!C$3:C$502,SMALL(IF((Income!D$3:D$502="INR")*(Income!A$3:A$502=DATE(2026,1,25)),ROW(Income!A$3:A$502)-2),3)),0)=0,"",IFERROR(-INDEX(Expenses!D$3:D$999,SMALL(IF((Expenses!E$3:E$999="INR")*(Expenses!A$3:A$999=DATE(2026,1,25)),ROW(Expenses!A$3:A$999)-2),3)),0)+IFERROR(INDEX(Income!C$3:C$502,SMALL(IF((Income!D$3:D$502="INR")*(Income!A$3:A$502=DATE(2026,1,25)),ROW(Income!A$3:A$502)-2),3)),0))</f>
        <v/>
      </c>
      <c r="P21" s="126">
        <f t="array" ref="P21">IF(IFERROR(INDEX(Expenses!B$3:B$999,SMALL(IF((Expenses!E$3:E$999="INR")*(Expenses!A$3:A$999=DATE(2026,1,25)),ROW(Expenses!A$3:A$999)-2),3)),"")&lt;&gt;"",IFERROR(INDEX(Expenses!B$3:B$999,SMALL(IF((Expenses!E$3:E$999="INR")*(Expenses!A$3:A$999=DATE(2026,1,25)),ROW(Expenses!A$3:A$999)-2),3)),""),IF(IFERROR(INDEX(Income!B$3:B$502,SMALL(IF((Income!D$3:D$502="INR")*(Income!A$3:A$502=DATE(2026,1,25)),ROW(Income!A$3:A$502)-2),3)),"")&lt;&gt;"",IFERROR(INDEX(Income!B$3:B$502,SMALL(IF((Income!D$3:D$502="INR")*(Income!A$3:A$502=DATE(2026,1,25)),ROW(Income!A$3:A$502)-2),3)),""),""))</f>
        <v/>
      </c>
      <c r="Q21" s="9" t="n"/>
      <c r="R21" s="9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68">
      <c r="A22" s="9" t="n"/>
      <c r="B22" s="9" t="n"/>
      <c r="C22" s="153">
        <f t="array" ref="C22">IF(IFERROR(-INDEX(Expenses!D$3:D$999,SMALL(IF((Expenses!E$3:E$999="INR")*(Expenses!A$3:A$999=DATE(2026,1,19)),ROW(Expenses!A$3:A$999)-2),4)),0)+IFERROR(INDEX(Income!C$3:C$502,SMALL(IF((Income!D$3:D$502="INR")*(Income!A$3:A$502=DATE(2026,1,19)),ROW(Income!A$3:A$502)-2),4)),0)=0,"",IFERROR(-INDEX(Expenses!D$3:D$999,SMALL(IF((Expenses!E$3:E$999="INR")*(Expenses!A$3:A$999=DATE(2026,1,19)),ROW(Expenses!A$3:A$999)-2),4)),0)+IFERROR(INDEX(Income!C$3:C$502,SMALL(IF((Income!D$3:D$502="INR")*(Income!A$3:A$502=DATE(2026,1,19)),ROW(Income!A$3:A$502)-2),4)),0))</f>
        <v/>
      </c>
      <c r="D22" s="126">
        <f t="array" ref="D22">IF(IFERROR(INDEX(Expenses!B$3:B$999,SMALL(IF((Expenses!E$3:E$999="INR")*(Expenses!A$3:A$999=DATE(2026,1,19)),ROW(Expenses!A$3:A$999)-2),4)),"")&lt;&gt;"",IFERROR(INDEX(Expenses!B$3:B$999,SMALL(IF((Expenses!E$3:E$999="INR")*(Expenses!A$3:A$999=DATE(2026,1,19)),ROW(Expenses!A$3:A$999)-2),4)),""),IF(IFERROR(INDEX(Income!B$3:B$502,SMALL(IF((Income!D$3:D$502="INR")*(Income!A$3:A$502=DATE(2026,1,19)),ROW(Income!A$3:A$502)-2),4)),"")&lt;&gt;"",IFERROR(INDEX(Income!B$3:B$502,SMALL(IF((Income!D$3:D$502="INR")*(Income!A$3:A$502=DATE(2026,1,19)),ROW(Income!A$3:A$502)-2),4)),""),""))</f>
        <v/>
      </c>
      <c r="E22" s="153">
        <f t="array" ref="E22">IF(IFERROR(-INDEX(Expenses!D$3:D$999,SMALL(IF((Expenses!E$3:E$999="INR")*(Expenses!A$3:A$999=DATE(2026,1,20)),ROW(Expenses!A$3:A$999)-2),4)),0)+IFERROR(INDEX(Income!C$3:C$502,SMALL(IF((Income!D$3:D$502="INR")*(Income!A$3:A$502=DATE(2026,1,20)),ROW(Income!A$3:A$502)-2),4)),0)=0,"",IFERROR(-INDEX(Expenses!D$3:D$999,SMALL(IF((Expenses!E$3:E$999="INR")*(Expenses!A$3:A$999=DATE(2026,1,20)),ROW(Expenses!A$3:A$999)-2),4)),0)+IFERROR(INDEX(Income!C$3:C$502,SMALL(IF((Income!D$3:D$502="INR")*(Income!A$3:A$502=DATE(2026,1,20)),ROW(Income!A$3:A$502)-2),4)),0))</f>
        <v/>
      </c>
      <c r="F22" s="126">
        <f t="array" ref="F22">IF(IFERROR(INDEX(Expenses!B$3:B$999,SMALL(IF((Expenses!E$3:E$999="INR")*(Expenses!A$3:A$999=DATE(2026,1,20)),ROW(Expenses!A$3:A$999)-2),4)),"")&lt;&gt;"",IFERROR(INDEX(Expenses!B$3:B$999,SMALL(IF((Expenses!E$3:E$999="INR")*(Expenses!A$3:A$999=DATE(2026,1,20)),ROW(Expenses!A$3:A$999)-2),4)),""),IF(IFERROR(INDEX(Income!B$3:B$502,SMALL(IF((Income!D$3:D$502="INR")*(Income!A$3:A$502=DATE(2026,1,20)),ROW(Income!A$3:A$502)-2),4)),"")&lt;&gt;"",IFERROR(INDEX(Income!B$3:B$502,SMALL(IF((Income!D$3:D$502="INR")*(Income!A$3:A$502=DATE(2026,1,20)),ROW(Income!A$3:A$502)-2),4)),""),""))</f>
        <v/>
      </c>
      <c r="G22" s="153">
        <f t="array" ref="G22">IF(IFERROR(-INDEX(Expenses!D$3:D$999,SMALL(IF((Expenses!E$3:E$999="INR")*(Expenses!A$3:A$999=DATE(2026,1,21)),ROW(Expenses!A$3:A$999)-2),4)),0)+IFERROR(INDEX(Income!C$3:C$502,SMALL(IF((Income!D$3:D$502="INR")*(Income!A$3:A$502=DATE(2026,1,21)),ROW(Income!A$3:A$502)-2),4)),0)=0,"",IFERROR(-INDEX(Expenses!D$3:D$999,SMALL(IF((Expenses!E$3:E$999="INR")*(Expenses!A$3:A$999=DATE(2026,1,21)),ROW(Expenses!A$3:A$999)-2),4)),0)+IFERROR(INDEX(Income!C$3:C$502,SMALL(IF((Income!D$3:D$502="INR")*(Income!A$3:A$502=DATE(2026,1,21)),ROW(Income!A$3:A$502)-2),4)),0))</f>
        <v/>
      </c>
      <c r="H22" s="126">
        <f t="array" ref="H22">IF(IFERROR(INDEX(Expenses!B$3:B$999,SMALL(IF((Expenses!E$3:E$999="INR")*(Expenses!A$3:A$999=DATE(2026,1,21)),ROW(Expenses!A$3:A$999)-2),4)),"")&lt;&gt;"",IFERROR(INDEX(Expenses!B$3:B$999,SMALL(IF((Expenses!E$3:E$999="INR")*(Expenses!A$3:A$999=DATE(2026,1,21)),ROW(Expenses!A$3:A$999)-2),4)),""),IF(IFERROR(INDEX(Income!B$3:B$502,SMALL(IF((Income!D$3:D$502="INR")*(Income!A$3:A$502=DATE(2026,1,21)),ROW(Income!A$3:A$502)-2),4)),"")&lt;&gt;"",IFERROR(INDEX(Income!B$3:B$502,SMALL(IF((Income!D$3:D$502="INR")*(Income!A$3:A$502=DATE(2026,1,21)),ROW(Income!A$3:A$502)-2),4)),""),""))</f>
        <v/>
      </c>
      <c r="I22" s="153">
        <f t="array" ref="I22">IF(IFERROR(-INDEX(Expenses!D$3:D$999,SMALL(IF((Expenses!E$3:E$999="INR")*(Expenses!A$3:A$999=DATE(2026,1,22)),ROW(Expenses!A$3:A$999)-2),4)),0)+IFERROR(INDEX(Income!C$3:C$502,SMALL(IF((Income!D$3:D$502="INR")*(Income!A$3:A$502=DATE(2026,1,22)),ROW(Income!A$3:A$502)-2),4)),0)=0,"",IFERROR(-INDEX(Expenses!D$3:D$999,SMALL(IF((Expenses!E$3:E$999="INR")*(Expenses!A$3:A$999=DATE(2026,1,22)),ROW(Expenses!A$3:A$999)-2),4)),0)+IFERROR(INDEX(Income!C$3:C$502,SMALL(IF((Income!D$3:D$502="INR")*(Income!A$3:A$502=DATE(2026,1,22)),ROW(Income!A$3:A$502)-2),4)),0))</f>
        <v/>
      </c>
      <c r="J22" s="126">
        <f t="array" ref="J22">IF(IFERROR(INDEX(Expenses!B$3:B$999,SMALL(IF((Expenses!E$3:E$999="INR")*(Expenses!A$3:A$999=DATE(2026,1,22)),ROW(Expenses!A$3:A$999)-2),4)),"")&lt;&gt;"",IFERROR(INDEX(Expenses!B$3:B$999,SMALL(IF((Expenses!E$3:E$999="INR")*(Expenses!A$3:A$999=DATE(2026,1,22)),ROW(Expenses!A$3:A$999)-2),4)),""),IF(IFERROR(INDEX(Income!B$3:B$502,SMALL(IF((Income!D$3:D$502="INR")*(Income!A$3:A$502=DATE(2026,1,22)),ROW(Income!A$3:A$502)-2),4)),"")&lt;&gt;"",IFERROR(INDEX(Income!B$3:B$502,SMALL(IF((Income!D$3:D$502="INR")*(Income!A$3:A$502=DATE(2026,1,22)),ROW(Income!A$3:A$502)-2),4)),""),""))</f>
        <v/>
      </c>
      <c r="K22" s="153">
        <f t="array" ref="K22">IF(IFERROR(-INDEX(Expenses!D$3:D$999,SMALL(IF((Expenses!E$3:E$999="INR")*(Expenses!A$3:A$999=DATE(2026,1,23)),ROW(Expenses!A$3:A$999)-2),4)),0)+IFERROR(INDEX(Income!C$3:C$502,SMALL(IF((Income!D$3:D$502="INR")*(Income!A$3:A$502=DATE(2026,1,23)),ROW(Income!A$3:A$502)-2),4)),0)=0,"",IFERROR(-INDEX(Expenses!D$3:D$999,SMALL(IF((Expenses!E$3:E$999="INR")*(Expenses!A$3:A$999=DATE(2026,1,23)),ROW(Expenses!A$3:A$999)-2),4)),0)+IFERROR(INDEX(Income!C$3:C$502,SMALL(IF((Income!D$3:D$502="INR")*(Income!A$3:A$502=DATE(2026,1,23)),ROW(Income!A$3:A$502)-2),4)),0))</f>
        <v/>
      </c>
      <c r="L22" s="126">
        <f t="array" ref="L22">IF(IFERROR(INDEX(Expenses!B$3:B$999,SMALL(IF((Expenses!E$3:E$999="INR")*(Expenses!A$3:A$999=DATE(2026,1,23)),ROW(Expenses!A$3:A$999)-2),4)),"")&lt;&gt;"",IFERROR(INDEX(Expenses!B$3:B$999,SMALL(IF((Expenses!E$3:E$999="INR")*(Expenses!A$3:A$999=DATE(2026,1,23)),ROW(Expenses!A$3:A$999)-2),4)),""),IF(IFERROR(INDEX(Income!B$3:B$502,SMALL(IF((Income!D$3:D$502="INR")*(Income!A$3:A$502=DATE(2026,1,23)),ROW(Income!A$3:A$502)-2),4)),"")&lt;&gt;"",IFERROR(INDEX(Income!B$3:B$502,SMALL(IF((Income!D$3:D$502="INR")*(Income!A$3:A$502=DATE(2026,1,23)),ROW(Income!A$3:A$502)-2),4)),""),""))</f>
        <v/>
      </c>
      <c r="M22" s="153">
        <f t="array" ref="M22">IF(IFERROR(-INDEX(Expenses!D$3:D$999,SMALL(IF((Expenses!E$3:E$999="INR")*(Expenses!A$3:A$999=DATE(2026,1,24)),ROW(Expenses!A$3:A$999)-2),4)),0)+IFERROR(INDEX(Income!C$3:C$502,SMALL(IF((Income!D$3:D$502="INR")*(Income!A$3:A$502=DATE(2026,1,24)),ROW(Income!A$3:A$502)-2),4)),0)=0,"",IFERROR(-INDEX(Expenses!D$3:D$999,SMALL(IF((Expenses!E$3:E$999="INR")*(Expenses!A$3:A$999=DATE(2026,1,24)),ROW(Expenses!A$3:A$999)-2),4)),0)+IFERROR(INDEX(Income!C$3:C$502,SMALL(IF((Income!D$3:D$502="INR")*(Income!A$3:A$502=DATE(2026,1,24)),ROW(Income!A$3:A$502)-2),4)),0))</f>
        <v/>
      </c>
      <c r="N22" s="126">
        <f t="array" ref="N22">IF(IFERROR(INDEX(Expenses!B$3:B$999,SMALL(IF((Expenses!E$3:E$999="INR")*(Expenses!A$3:A$999=DATE(2026,1,24)),ROW(Expenses!A$3:A$999)-2),4)),"")&lt;&gt;"",IFERROR(INDEX(Expenses!B$3:B$999,SMALL(IF((Expenses!E$3:E$999="INR")*(Expenses!A$3:A$999=DATE(2026,1,24)),ROW(Expenses!A$3:A$999)-2),4)),""),IF(IFERROR(INDEX(Income!B$3:B$502,SMALL(IF((Income!D$3:D$502="INR")*(Income!A$3:A$502=DATE(2026,1,24)),ROW(Income!A$3:A$502)-2),4)),"")&lt;&gt;"",IFERROR(INDEX(Income!B$3:B$502,SMALL(IF((Income!D$3:D$502="INR")*(Income!A$3:A$502=DATE(2026,1,24)),ROW(Income!A$3:A$502)-2),4)),""),""))</f>
        <v/>
      </c>
      <c r="O22" s="153">
        <f t="array" ref="O22">IF(IFERROR(-INDEX(Expenses!D$3:D$999,SMALL(IF((Expenses!E$3:E$999="INR")*(Expenses!A$3:A$999=DATE(2026,1,25)),ROW(Expenses!A$3:A$999)-2),4)),0)+IFERROR(INDEX(Income!C$3:C$502,SMALL(IF((Income!D$3:D$502="INR")*(Income!A$3:A$502=DATE(2026,1,25)),ROW(Income!A$3:A$502)-2),4)),0)=0,"",IFERROR(-INDEX(Expenses!D$3:D$999,SMALL(IF((Expenses!E$3:E$999="INR")*(Expenses!A$3:A$999=DATE(2026,1,25)),ROW(Expenses!A$3:A$999)-2),4)),0)+IFERROR(INDEX(Income!C$3:C$502,SMALL(IF((Income!D$3:D$502="INR")*(Income!A$3:A$502=DATE(2026,1,25)),ROW(Income!A$3:A$502)-2),4)),0))</f>
        <v/>
      </c>
      <c r="P22" s="126">
        <f t="array" ref="P22">IF(IFERROR(INDEX(Expenses!B$3:B$999,SMALL(IF((Expenses!E$3:E$999="INR")*(Expenses!A$3:A$999=DATE(2026,1,25)),ROW(Expenses!A$3:A$999)-2),4)),"")&lt;&gt;"",IFERROR(INDEX(Expenses!B$3:B$999,SMALL(IF((Expenses!E$3:E$999="INR")*(Expenses!A$3:A$999=DATE(2026,1,25)),ROW(Expenses!A$3:A$999)-2),4)),""),IF(IFERROR(INDEX(Income!B$3:B$502,SMALL(IF((Income!D$3:D$502="INR")*(Income!A$3:A$502=DATE(2026,1,25)),ROW(Income!A$3:A$502)-2),4)),"")&lt;&gt;"",IFERROR(INDEX(Income!B$3:B$502,SMALL(IF((Income!D$3:D$502="INR")*(Income!A$3:A$502=DATE(2026,1,25)),ROW(Income!A$3:A$502)-2),4)),""),""))</f>
        <v/>
      </c>
      <c r="Q22" s="9" t="n"/>
      <c r="R22" s="9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68">
      <c r="A23" s="9" t="n"/>
      <c r="B23" s="9" t="n"/>
      <c r="C23" s="153">
        <f t="array" ref="C23">IF(IFERROR(-INDEX(Expenses!D$3:D$999,SMALL(IF((Expenses!E$3:E$999="INR")*(Expenses!A$3:A$999=DATE(2026,1,19)),ROW(Expenses!A$3:A$999)-2),5)),0)+IFERROR(INDEX(Income!C$3:C$502,SMALL(IF((Income!D$3:D$502="INR")*(Income!A$3:A$502=DATE(2026,1,19)),ROW(Income!A$3:A$502)-2),5)),0)=0,"",IFERROR(-INDEX(Expenses!D$3:D$999,SMALL(IF((Expenses!E$3:E$999="INR")*(Expenses!A$3:A$999=DATE(2026,1,19)),ROW(Expenses!A$3:A$999)-2),5)),0)+IFERROR(INDEX(Income!C$3:C$502,SMALL(IF((Income!D$3:D$502="INR")*(Income!A$3:A$502=DATE(2026,1,19)),ROW(Income!A$3:A$502)-2),5)),0))</f>
        <v/>
      </c>
      <c r="D23" s="126">
        <f t="array" ref="D23">IF(IFERROR(INDEX(Expenses!B$3:B$999,SMALL(IF((Expenses!E$3:E$999="INR")*(Expenses!A$3:A$999=DATE(2026,1,19)),ROW(Expenses!A$3:A$999)-2),5)),"")&lt;&gt;"",IFERROR(INDEX(Expenses!B$3:B$999,SMALL(IF((Expenses!E$3:E$999="INR")*(Expenses!A$3:A$999=DATE(2026,1,19)),ROW(Expenses!A$3:A$999)-2),5)),""),IF(IFERROR(INDEX(Income!B$3:B$502,SMALL(IF((Income!D$3:D$502="INR")*(Income!A$3:A$502=DATE(2026,1,19)),ROW(Income!A$3:A$502)-2),5)),"")&lt;&gt;"",IFERROR(INDEX(Income!B$3:B$502,SMALL(IF((Income!D$3:D$502="INR")*(Income!A$3:A$502=DATE(2026,1,19)),ROW(Income!A$3:A$502)-2),5)),""),""))</f>
        <v/>
      </c>
      <c r="E23" s="153">
        <f t="array" ref="E23">IF(IFERROR(-INDEX(Expenses!D$3:D$999,SMALL(IF((Expenses!E$3:E$999="INR")*(Expenses!A$3:A$999=DATE(2026,1,20)),ROW(Expenses!A$3:A$999)-2),5)),0)+IFERROR(INDEX(Income!C$3:C$502,SMALL(IF((Income!D$3:D$502="INR")*(Income!A$3:A$502=DATE(2026,1,20)),ROW(Income!A$3:A$502)-2),5)),0)=0,"",IFERROR(-INDEX(Expenses!D$3:D$999,SMALL(IF((Expenses!E$3:E$999="INR")*(Expenses!A$3:A$999=DATE(2026,1,20)),ROW(Expenses!A$3:A$999)-2),5)),0)+IFERROR(INDEX(Income!C$3:C$502,SMALL(IF((Income!D$3:D$502="INR")*(Income!A$3:A$502=DATE(2026,1,20)),ROW(Income!A$3:A$502)-2),5)),0))</f>
        <v/>
      </c>
      <c r="F23" s="126">
        <f t="array" ref="F23">IF(IFERROR(INDEX(Expenses!B$3:B$999,SMALL(IF((Expenses!E$3:E$999="INR")*(Expenses!A$3:A$999=DATE(2026,1,20)),ROW(Expenses!A$3:A$999)-2),5)),"")&lt;&gt;"",IFERROR(INDEX(Expenses!B$3:B$999,SMALL(IF((Expenses!E$3:E$999="INR")*(Expenses!A$3:A$999=DATE(2026,1,20)),ROW(Expenses!A$3:A$999)-2),5)),""),IF(IFERROR(INDEX(Income!B$3:B$502,SMALL(IF((Income!D$3:D$502="INR")*(Income!A$3:A$502=DATE(2026,1,20)),ROW(Income!A$3:A$502)-2),5)),"")&lt;&gt;"",IFERROR(INDEX(Income!B$3:B$502,SMALL(IF((Income!D$3:D$502="INR")*(Income!A$3:A$502=DATE(2026,1,20)),ROW(Income!A$3:A$502)-2),5)),""),""))</f>
        <v/>
      </c>
      <c r="G23" s="153">
        <f t="array" ref="G23">IF(IFERROR(-INDEX(Expenses!D$3:D$999,SMALL(IF((Expenses!E$3:E$999="INR")*(Expenses!A$3:A$999=DATE(2026,1,21)),ROW(Expenses!A$3:A$999)-2),5)),0)+IFERROR(INDEX(Income!C$3:C$502,SMALL(IF((Income!D$3:D$502="INR")*(Income!A$3:A$502=DATE(2026,1,21)),ROW(Income!A$3:A$502)-2),5)),0)=0,"",IFERROR(-INDEX(Expenses!D$3:D$999,SMALL(IF((Expenses!E$3:E$999="INR")*(Expenses!A$3:A$999=DATE(2026,1,21)),ROW(Expenses!A$3:A$999)-2),5)),0)+IFERROR(INDEX(Income!C$3:C$502,SMALL(IF((Income!D$3:D$502="INR")*(Income!A$3:A$502=DATE(2026,1,21)),ROW(Income!A$3:A$502)-2),5)),0))</f>
        <v/>
      </c>
      <c r="H23" s="126">
        <f t="array" ref="H23">IF(IFERROR(INDEX(Expenses!B$3:B$999,SMALL(IF((Expenses!E$3:E$999="INR")*(Expenses!A$3:A$999=DATE(2026,1,21)),ROW(Expenses!A$3:A$999)-2),5)),"")&lt;&gt;"",IFERROR(INDEX(Expenses!B$3:B$999,SMALL(IF((Expenses!E$3:E$999="INR")*(Expenses!A$3:A$999=DATE(2026,1,21)),ROW(Expenses!A$3:A$999)-2),5)),""),IF(IFERROR(INDEX(Income!B$3:B$502,SMALL(IF((Income!D$3:D$502="INR")*(Income!A$3:A$502=DATE(2026,1,21)),ROW(Income!A$3:A$502)-2),5)),"")&lt;&gt;"",IFERROR(INDEX(Income!B$3:B$502,SMALL(IF((Income!D$3:D$502="INR")*(Income!A$3:A$502=DATE(2026,1,21)),ROW(Income!A$3:A$502)-2),5)),""),""))</f>
        <v/>
      </c>
      <c r="I23" s="153">
        <f t="array" ref="I23">IF(IFERROR(-INDEX(Expenses!D$3:D$999,SMALL(IF((Expenses!E$3:E$999="INR")*(Expenses!A$3:A$999=DATE(2026,1,22)),ROW(Expenses!A$3:A$999)-2),5)),0)+IFERROR(INDEX(Income!C$3:C$502,SMALL(IF((Income!D$3:D$502="INR")*(Income!A$3:A$502=DATE(2026,1,22)),ROW(Income!A$3:A$502)-2),5)),0)=0,"",IFERROR(-INDEX(Expenses!D$3:D$999,SMALL(IF((Expenses!E$3:E$999="INR")*(Expenses!A$3:A$999=DATE(2026,1,22)),ROW(Expenses!A$3:A$999)-2),5)),0)+IFERROR(INDEX(Income!C$3:C$502,SMALL(IF((Income!D$3:D$502="INR")*(Income!A$3:A$502=DATE(2026,1,22)),ROW(Income!A$3:A$502)-2),5)),0))</f>
        <v/>
      </c>
      <c r="J23" s="126">
        <f t="array" ref="J23">IF(IFERROR(INDEX(Expenses!B$3:B$999,SMALL(IF((Expenses!E$3:E$999="INR")*(Expenses!A$3:A$999=DATE(2026,1,22)),ROW(Expenses!A$3:A$999)-2),5)),"")&lt;&gt;"",IFERROR(INDEX(Expenses!B$3:B$999,SMALL(IF((Expenses!E$3:E$999="INR")*(Expenses!A$3:A$999=DATE(2026,1,22)),ROW(Expenses!A$3:A$999)-2),5)),""),IF(IFERROR(INDEX(Income!B$3:B$502,SMALL(IF((Income!D$3:D$502="INR")*(Income!A$3:A$502=DATE(2026,1,22)),ROW(Income!A$3:A$502)-2),5)),"")&lt;&gt;"",IFERROR(INDEX(Income!B$3:B$502,SMALL(IF((Income!D$3:D$502="INR")*(Income!A$3:A$502=DATE(2026,1,22)),ROW(Income!A$3:A$502)-2),5)),""),""))</f>
        <v/>
      </c>
      <c r="K23" s="153">
        <f t="array" ref="K23">IF(IFERROR(-INDEX(Expenses!D$3:D$999,SMALL(IF((Expenses!E$3:E$999="INR")*(Expenses!A$3:A$999=DATE(2026,1,23)),ROW(Expenses!A$3:A$999)-2),5)),0)+IFERROR(INDEX(Income!C$3:C$502,SMALL(IF((Income!D$3:D$502="INR")*(Income!A$3:A$502=DATE(2026,1,23)),ROW(Income!A$3:A$502)-2),5)),0)=0,"",IFERROR(-INDEX(Expenses!D$3:D$999,SMALL(IF((Expenses!E$3:E$999="INR")*(Expenses!A$3:A$999=DATE(2026,1,23)),ROW(Expenses!A$3:A$999)-2),5)),0)+IFERROR(INDEX(Income!C$3:C$502,SMALL(IF((Income!D$3:D$502="INR")*(Income!A$3:A$502=DATE(2026,1,23)),ROW(Income!A$3:A$502)-2),5)),0))</f>
        <v/>
      </c>
      <c r="L23" s="126">
        <f t="array" ref="L23">IF(IFERROR(INDEX(Expenses!B$3:B$999,SMALL(IF((Expenses!E$3:E$999="INR")*(Expenses!A$3:A$999=DATE(2026,1,23)),ROW(Expenses!A$3:A$999)-2),5)),"")&lt;&gt;"",IFERROR(INDEX(Expenses!B$3:B$999,SMALL(IF((Expenses!E$3:E$999="INR")*(Expenses!A$3:A$999=DATE(2026,1,23)),ROW(Expenses!A$3:A$999)-2),5)),""),IF(IFERROR(INDEX(Income!B$3:B$502,SMALL(IF((Income!D$3:D$502="INR")*(Income!A$3:A$502=DATE(2026,1,23)),ROW(Income!A$3:A$502)-2),5)),"")&lt;&gt;"",IFERROR(INDEX(Income!B$3:B$502,SMALL(IF((Income!D$3:D$502="INR")*(Income!A$3:A$502=DATE(2026,1,23)),ROW(Income!A$3:A$502)-2),5)),""),""))</f>
        <v/>
      </c>
      <c r="M23" s="153">
        <f t="array" ref="M23">IF(IFERROR(-INDEX(Expenses!D$3:D$999,SMALL(IF((Expenses!E$3:E$999="INR")*(Expenses!A$3:A$999=DATE(2026,1,24)),ROW(Expenses!A$3:A$999)-2),5)),0)+IFERROR(INDEX(Income!C$3:C$502,SMALL(IF((Income!D$3:D$502="INR")*(Income!A$3:A$502=DATE(2026,1,24)),ROW(Income!A$3:A$502)-2),5)),0)=0,"",IFERROR(-INDEX(Expenses!D$3:D$999,SMALL(IF((Expenses!E$3:E$999="INR")*(Expenses!A$3:A$999=DATE(2026,1,24)),ROW(Expenses!A$3:A$999)-2),5)),0)+IFERROR(INDEX(Income!C$3:C$502,SMALL(IF((Income!D$3:D$502="INR")*(Income!A$3:A$502=DATE(2026,1,24)),ROW(Income!A$3:A$502)-2),5)),0))</f>
        <v/>
      </c>
      <c r="N23" s="126">
        <f t="array" ref="N23">IF(IFERROR(INDEX(Expenses!B$3:B$999,SMALL(IF((Expenses!E$3:E$999="INR")*(Expenses!A$3:A$999=DATE(2026,1,24)),ROW(Expenses!A$3:A$999)-2),5)),"")&lt;&gt;"",IFERROR(INDEX(Expenses!B$3:B$999,SMALL(IF((Expenses!E$3:E$999="INR")*(Expenses!A$3:A$999=DATE(2026,1,24)),ROW(Expenses!A$3:A$999)-2),5)),""),IF(IFERROR(INDEX(Income!B$3:B$502,SMALL(IF((Income!D$3:D$502="INR")*(Income!A$3:A$502=DATE(2026,1,24)),ROW(Income!A$3:A$502)-2),5)),"")&lt;&gt;"",IFERROR(INDEX(Income!B$3:B$502,SMALL(IF((Income!D$3:D$502="INR")*(Income!A$3:A$502=DATE(2026,1,24)),ROW(Income!A$3:A$502)-2),5)),""),""))</f>
        <v/>
      </c>
      <c r="O23" s="153">
        <f t="array" ref="O23">IF(IFERROR(-INDEX(Expenses!D$3:D$999,SMALL(IF((Expenses!E$3:E$999="INR")*(Expenses!A$3:A$999=DATE(2026,1,25)),ROW(Expenses!A$3:A$999)-2),5)),0)+IFERROR(INDEX(Income!C$3:C$502,SMALL(IF((Income!D$3:D$502="INR")*(Income!A$3:A$502=DATE(2026,1,25)),ROW(Income!A$3:A$502)-2),5)),0)=0,"",IFERROR(-INDEX(Expenses!D$3:D$999,SMALL(IF((Expenses!E$3:E$999="INR")*(Expenses!A$3:A$999=DATE(2026,1,25)),ROW(Expenses!A$3:A$999)-2),5)),0)+IFERROR(INDEX(Income!C$3:C$502,SMALL(IF((Income!D$3:D$502="INR")*(Income!A$3:A$502=DATE(2026,1,25)),ROW(Income!A$3:A$502)-2),5)),0))</f>
        <v/>
      </c>
      <c r="P23" s="126">
        <f t="array" ref="P23">IF(IFERROR(INDEX(Expenses!B$3:B$999,SMALL(IF((Expenses!E$3:E$999="INR")*(Expenses!A$3:A$999=DATE(2026,1,25)),ROW(Expenses!A$3:A$999)-2),5)),"")&lt;&gt;"",IFERROR(INDEX(Expenses!B$3:B$999,SMALL(IF((Expenses!E$3:E$999="INR")*(Expenses!A$3:A$999=DATE(2026,1,25)),ROW(Expenses!A$3:A$999)-2),5)),""),IF(IFERROR(INDEX(Income!B$3:B$502,SMALL(IF((Income!D$3:D$502="INR")*(Income!A$3:A$502=DATE(2026,1,25)),ROW(Income!A$3:A$502)-2),5)),"")&lt;&gt;"",IFERROR(INDEX(Income!B$3:B$502,SMALL(IF((Income!D$3:D$502="INR")*(Income!A$3:A$502=DATE(2026,1,25)),ROW(Income!A$3:A$502)-2),5)),""),""))</f>
        <v/>
      </c>
      <c r="Q23" s="9" t="n"/>
      <c r="R23" s="9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68">
      <c r="A24" s="151" t="n">
        <v>46048</v>
      </c>
      <c r="B24" s="103" t="n">
        <v>5</v>
      </c>
      <c r="C24" s="153">
        <f t="array" ref="C24">IF(IFERROR(-INDEX(Expenses!D$3:D$999,SMALL(IF((Expenses!E$3:E$999="INR")*(Expenses!A$3:A$999=DATE(2026,1,26)),ROW(Expenses!A$3:A$999)-2),1)),0)+IFERROR(INDEX(Income!C$3:C$502,SMALL(IF((Income!D$3:D$502="INR")*(Income!A$3:A$502=DATE(2026,1,26)),ROW(Income!A$3:A$502)-2),1)),0)=0,"",IFERROR(-INDEX(Expenses!D$3:D$999,SMALL(IF((Expenses!E$3:E$999="INR")*(Expenses!A$3:A$999=DATE(2026,1,26)),ROW(Expenses!A$3:A$999)-2),1)),0)+IFERROR(INDEX(Income!C$3:C$502,SMALL(IF((Income!D$3:D$502="INR")*(Income!A$3:A$502=DATE(2026,1,26)),ROW(Income!A$3:A$502)-2),1)),0))</f>
        <v/>
      </c>
      <c r="D24" s="126">
        <f t="array" ref="D24">IF(IFERROR(INDEX(Expenses!B$3:B$999,SMALL(IF((Expenses!E$3:E$999="INR")*(Expenses!A$3:A$999=DATE(2026,1,26)),ROW(Expenses!A$3:A$999)-2),1)),"")&lt;&gt;"",IFERROR(INDEX(Expenses!B$3:B$999,SMALL(IF((Expenses!E$3:E$999="INR")*(Expenses!A$3:A$999=DATE(2026,1,26)),ROW(Expenses!A$3:A$999)-2),1)),""),IF(IFERROR(INDEX(Income!B$3:B$502,SMALL(IF((Income!D$3:D$502="INR")*(Income!A$3:A$502=DATE(2026,1,26)),ROW(Income!A$3:A$502)-2),1)),"")&lt;&gt;"",IFERROR(INDEX(Income!B$3:B$502,SMALL(IF((Income!D$3:D$502="INR")*(Income!A$3:A$502=DATE(2026,1,26)),ROW(Income!A$3:A$502)-2),1)),""),""))</f>
        <v/>
      </c>
      <c r="E24" s="153">
        <f t="array" ref="E24">IF(IFERROR(-INDEX(Expenses!D$3:D$999,SMALL(IF((Expenses!E$3:E$999="INR")*(Expenses!A$3:A$999=DATE(2026,1,27)),ROW(Expenses!A$3:A$999)-2),1)),0)+IFERROR(INDEX(Income!C$3:C$502,SMALL(IF((Income!D$3:D$502="INR")*(Income!A$3:A$502=DATE(2026,1,27)),ROW(Income!A$3:A$502)-2),1)),0)=0,"",IFERROR(-INDEX(Expenses!D$3:D$999,SMALL(IF((Expenses!E$3:E$999="INR")*(Expenses!A$3:A$999=DATE(2026,1,27)),ROW(Expenses!A$3:A$999)-2),1)),0)+IFERROR(INDEX(Income!C$3:C$502,SMALL(IF((Income!D$3:D$502="INR")*(Income!A$3:A$502=DATE(2026,1,27)),ROW(Income!A$3:A$502)-2),1)),0))</f>
        <v/>
      </c>
      <c r="F24" s="126">
        <f t="array" ref="F24">IF(IFERROR(INDEX(Expenses!B$3:B$999,SMALL(IF((Expenses!E$3:E$999="INR")*(Expenses!A$3:A$999=DATE(2026,1,27)),ROW(Expenses!A$3:A$999)-2),1)),"")&lt;&gt;"",IFERROR(INDEX(Expenses!B$3:B$999,SMALL(IF((Expenses!E$3:E$999="INR")*(Expenses!A$3:A$999=DATE(2026,1,27)),ROW(Expenses!A$3:A$999)-2),1)),""),IF(IFERROR(INDEX(Income!B$3:B$502,SMALL(IF((Income!D$3:D$502="INR")*(Income!A$3:A$502=DATE(2026,1,27)),ROW(Income!A$3:A$502)-2),1)),"")&lt;&gt;"",IFERROR(INDEX(Income!B$3:B$502,SMALL(IF((Income!D$3:D$502="INR")*(Income!A$3:A$502=DATE(2026,1,27)),ROW(Income!A$3:A$502)-2),1)),""),""))</f>
        <v/>
      </c>
      <c r="G24" s="153">
        <f t="array" ref="G24">IF(IFERROR(-INDEX(Expenses!D$3:D$999,SMALL(IF((Expenses!E$3:E$999="INR")*(Expenses!A$3:A$999=DATE(2026,1,28)),ROW(Expenses!A$3:A$999)-2),1)),0)+IFERROR(INDEX(Income!C$3:C$502,SMALL(IF((Income!D$3:D$502="INR")*(Income!A$3:A$502=DATE(2026,1,28)),ROW(Income!A$3:A$502)-2),1)),0)=0,"",IFERROR(-INDEX(Expenses!D$3:D$999,SMALL(IF((Expenses!E$3:E$999="INR")*(Expenses!A$3:A$999=DATE(2026,1,28)),ROW(Expenses!A$3:A$999)-2),1)),0)+IFERROR(INDEX(Income!C$3:C$502,SMALL(IF((Income!D$3:D$502="INR")*(Income!A$3:A$502=DATE(2026,1,28)),ROW(Income!A$3:A$502)-2),1)),0))</f>
        <v/>
      </c>
      <c r="H24" s="126">
        <f t="array" ref="H24">IF(IFERROR(INDEX(Expenses!B$3:B$999,SMALL(IF((Expenses!E$3:E$999="INR")*(Expenses!A$3:A$999=DATE(2026,1,28)),ROW(Expenses!A$3:A$999)-2),1)),"")&lt;&gt;"",IFERROR(INDEX(Expenses!B$3:B$999,SMALL(IF((Expenses!E$3:E$999="INR")*(Expenses!A$3:A$999=DATE(2026,1,28)),ROW(Expenses!A$3:A$999)-2),1)),""),IF(IFERROR(INDEX(Income!B$3:B$502,SMALL(IF((Income!D$3:D$502="INR")*(Income!A$3:A$502=DATE(2026,1,28)),ROW(Income!A$3:A$502)-2),1)),"")&lt;&gt;"",IFERROR(INDEX(Income!B$3:B$502,SMALL(IF((Income!D$3:D$502="INR")*(Income!A$3:A$502=DATE(2026,1,28)),ROW(Income!A$3:A$502)-2),1)),""),""))</f>
        <v/>
      </c>
      <c r="I24" s="153">
        <f t="array" ref="I24">IF(IFERROR(-INDEX(Expenses!D$3:D$999,SMALL(IF((Expenses!E$3:E$999="INR")*(Expenses!A$3:A$999=DATE(2026,1,29)),ROW(Expenses!A$3:A$999)-2),1)),0)+IFERROR(INDEX(Income!C$3:C$502,SMALL(IF((Income!D$3:D$502="INR")*(Income!A$3:A$502=DATE(2026,1,29)),ROW(Income!A$3:A$502)-2),1)),0)=0,"",IFERROR(-INDEX(Expenses!D$3:D$999,SMALL(IF((Expenses!E$3:E$999="INR")*(Expenses!A$3:A$999=DATE(2026,1,29)),ROW(Expenses!A$3:A$999)-2),1)),0)+IFERROR(INDEX(Income!C$3:C$502,SMALL(IF((Income!D$3:D$502="INR")*(Income!A$3:A$502=DATE(2026,1,29)),ROW(Income!A$3:A$502)-2),1)),0))</f>
        <v/>
      </c>
      <c r="J24" s="126">
        <f t="array" ref="J24">IF(IFERROR(INDEX(Expenses!B$3:B$999,SMALL(IF((Expenses!E$3:E$999="INR")*(Expenses!A$3:A$999=DATE(2026,1,29)),ROW(Expenses!A$3:A$999)-2),1)),"")&lt;&gt;"",IFERROR(INDEX(Expenses!B$3:B$999,SMALL(IF((Expenses!E$3:E$999="INR")*(Expenses!A$3:A$999=DATE(2026,1,29)),ROW(Expenses!A$3:A$999)-2),1)),""),IF(IFERROR(INDEX(Income!B$3:B$502,SMALL(IF((Income!D$3:D$502="INR")*(Income!A$3:A$502=DATE(2026,1,29)),ROW(Income!A$3:A$502)-2),1)),"")&lt;&gt;"",IFERROR(INDEX(Income!B$3:B$502,SMALL(IF((Income!D$3:D$502="INR")*(Income!A$3:A$502=DATE(2026,1,29)),ROW(Income!A$3:A$502)-2),1)),""),""))</f>
        <v/>
      </c>
      <c r="K24" s="153">
        <f t="array" ref="K24">IF(IFERROR(-INDEX(Expenses!D$3:D$999,SMALL(IF((Expenses!E$3:E$999="INR")*(Expenses!A$3:A$999=DATE(2026,1,30)),ROW(Expenses!A$3:A$999)-2),1)),0)+IFERROR(INDEX(Income!C$3:C$502,SMALL(IF((Income!D$3:D$502="INR")*(Income!A$3:A$502=DATE(2026,1,30)),ROW(Income!A$3:A$502)-2),1)),0)=0,"",IFERROR(-INDEX(Expenses!D$3:D$999,SMALL(IF((Expenses!E$3:E$999="INR")*(Expenses!A$3:A$999=DATE(2026,1,30)),ROW(Expenses!A$3:A$999)-2),1)),0)+IFERROR(INDEX(Income!C$3:C$502,SMALL(IF((Income!D$3:D$502="INR")*(Income!A$3:A$502=DATE(2026,1,30)),ROW(Income!A$3:A$502)-2),1)),0))</f>
        <v/>
      </c>
      <c r="L24" s="126">
        <f t="array" ref="L24">IF(IFERROR(INDEX(Expenses!B$3:B$999,SMALL(IF((Expenses!E$3:E$999="INR")*(Expenses!A$3:A$999=DATE(2026,1,30)),ROW(Expenses!A$3:A$999)-2),1)),"")&lt;&gt;"",IFERROR(INDEX(Expenses!B$3:B$999,SMALL(IF((Expenses!E$3:E$999="INR")*(Expenses!A$3:A$999=DATE(2026,1,30)),ROW(Expenses!A$3:A$999)-2),1)),""),IF(IFERROR(INDEX(Income!B$3:B$502,SMALL(IF((Income!D$3:D$502="INR")*(Income!A$3:A$502=DATE(2026,1,30)),ROW(Income!A$3:A$502)-2),1)),"")&lt;&gt;"",IFERROR(INDEX(Income!B$3:B$502,SMALL(IF((Income!D$3:D$502="INR")*(Income!A$3:A$502=DATE(2026,1,30)),ROW(Income!A$3:A$502)-2),1)),""),""))</f>
        <v/>
      </c>
      <c r="M24" s="153">
        <f t="array" ref="M24">IF(IFERROR(-INDEX(Expenses!D$3:D$999,SMALL(IF((Expenses!E$3:E$999="INR")*(Expenses!A$3:A$999=DATE(2026,1,31)),ROW(Expenses!A$3:A$999)-2),1)),0)+IFERROR(INDEX(Income!C$3:C$502,SMALL(IF((Income!D$3:D$502="INR")*(Income!A$3:A$502=DATE(2026,1,31)),ROW(Income!A$3:A$502)-2),1)),0)=0,"",IFERROR(-INDEX(Expenses!D$3:D$999,SMALL(IF((Expenses!E$3:E$999="INR")*(Expenses!A$3:A$999=DATE(2026,1,31)),ROW(Expenses!A$3:A$999)-2),1)),0)+IFERROR(INDEX(Income!C$3:C$502,SMALL(IF((Income!D$3:D$502="INR")*(Income!A$3:A$502=DATE(2026,1,31)),ROW(Income!A$3:A$502)-2),1)),0))</f>
        <v/>
      </c>
      <c r="N24" s="126">
        <f t="array" ref="N24">IF(IFERROR(INDEX(Expenses!B$3:B$999,SMALL(IF((Expenses!E$3:E$999="INR")*(Expenses!A$3:A$999=DATE(2026,1,31)),ROW(Expenses!A$3:A$999)-2),1)),"")&lt;&gt;"",IFERROR(INDEX(Expenses!B$3:B$999,SMALL(IF((Expenses!E$3:E$999="INR")*(Expenses!A$3:A$999=DATE(2026,1,31)),ROW(Expenses!A$3:A$999)-2),1)),""),IF(IFERROR(INDEX(Income!B$3:B$502,SMALL(IF((Income!D$3:D$502="INR")*(Income!A$3:A$502=DATE(2026,1,31)),ROW(Income!A$3:A$502)-2),1)),"")&lt;&gt;"",IFERROR(INDEX(Income!B$3:B$502,SMALL(IF((Income!D$3:D$502="INR")*(Income!A$3:A$502=DATE(2026,1,31)),ROW(Income!A$3:A$502)-2),1)),""),""))</f>
        <v/>
      </c>
      <c r="O24" s="153">
        <f t="array" ref="O24">IF(IFERROR(-INDEX(Expenses!D$3:D$999,SMALL(IF((Expenses!E$3:E$999="INR")*(Expenses!A$3:A$999=DATE(2026,2,1)),ROW(Expenses!A$3:A$999)-2),1)),0)+IFERROR(INDEX(Income!C$3:C$502,SMALL(IF((Income!D$3:D$502="INR")*(Income!A$3:A$502=DATE(2026,2,1)),ROW(Income!A$3:A$502)-2),1)),0)=0,"",IFERROR(-INDEX(Expenses!D$3:D$999,SMALL(IF((Expenses!E$3:E$999="INR")*(Expenses!A$3:A$999=DATE(2026,2,1)),ROW(Expenses!A$3:A$999)-2),1)),0)+IFERROR(INDEX(Income!C$3:C$502,SMALL(IF((Income!D$3:D$502="INR")*(Income!A$3:A$502=DATE(2026,2,1)),ROW(Income!A$3:A$502)-2),1)),0))</f>
        <v/>
      </c>
      <c r="P24" s="126">
        <f t="array" ref="P24">IF(IFERROR(INDEX(Expenses!B$3:B$999,SMALL(IF((Expenses!E$3:E$999="INR")*(Expenses!A$3:A$999=DATE(2026,2,1)),ROW(Expenses!A$3:A$999)-2),1)),"")&lt;&gt;"",IFERROR(INDEX(Expenses!B$3:B$999,SMALL(IF((Expenses!E$3:E$999="INR")*(Expenses!A$3:A$999=DATE(2026,2,1)),ROW(Expenses!A$3:A$999)-2),1)),""),IF(IFERROR(INDEX(Income!B$3:B$502,SMALL(IF((Income!D$3:D$502="INR")*(Income!A$3:A$502=DATE(2026,2,1)),ROW(Income!A$3:A$502)-2),1)),"")&lt;&gt;"",IFERROR(INDEX(Income!B$3:B$502,SMALL(IF((Income!D$3:D$502="INR")*(Income!A$3:A$502=DATE(2026,2,1)),ROW(Income!A$3:A$502)-2),1)),""),""))</f>
        <v/>
      </c>
      <c r="Q24" s="103" t="n">
        <v>5</v>
      </c>
      <c r="R24" s="142">
        <f>SUM(C24:C28)+SUM(E24:E28)+SUM(G24:G28)+SUM(I24:I28)+SUM(K24:K28)+SUM(M24:M28)+SUM(O24:O28)</f>
        <v/>
      </c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68">
      <c r="A25" s="9" t="n"/>
      <c r="B25" s="9" t="n"/>
      <c r="C25" s="153">
        <f t="array" ref="C25">IF(IFERROR(-INDEX(Expenses!D$3:D$999,SMALL(IF((Expenses!E$3:E$999="INR")*(Expenses!A$3:A$999=DATE(2026,1,26)),ROW(Expenses!A$3:A$999)-2),2)),0)+IFERROR(INDEX(Income!C$3:C$502,SMALL(IF((Income!D$3:D$502="INR")*(Income!A$3:A$502=DATE(2026,1,26)),ROW(Income!A$3:A$502)-2),2)),0)=0,"",IFERROR(-INDEX(Expenses!D$3:D$999,SMALL(IF((Expenses!E$3:E$999="INR")*(Expenses!A$3:A$999=DATE(2026,1,26)),ROW(Expenses!A$3:A$999)-2),2)),0)+IFERROR(INDEX(Income!C$3:C$502,SMALL(IF((Income!D$3:D$502="INR")*(Income!A$3:A$502=DATE(2026,1,26)),ROW(Income!A$3:A$502)-2),2)),0))</f>
        <v/>
      </c>
      <c r="D25" s="126">
        <f t="array" ref="D25">IF(IFERROR(INDEX(Expenses!B$3:B$999,SMALL(IF((Expenses!E$3:E$999="INR")*(Expenses!A$3:A$999=DATE(2026,1,26)),ROW(Expenses!A$3:A$999)-2),2)),"")&lt;&gt;"",IFERROR(INDEX(Expenses!B$3:B$999,SMALL(IF((Expenses!E$3:E$999="INR")*(Expenses!A$3:A$999=DATE(2026,1,26)),ROW(Expenses!A$3:A$999)-2),2)),""),IF(IFERROR(INDEX(Income!B$3:B$502,SMALL(IF((Income!D$3:D$502="INR")*(Income!A$3:A$502=DATE(2026,1,26)),ROW(Income!A$3:A$502)-2),2)),"")&lt;&gt;"",IFERROR(INDEX(Income!B$3:B$502,SMALL(IF((Income!D$3:D$502="INR")*(Income!A$3:A$502=DATE(2026,1,26)),ROW(Income!A$3:A$502)-2),2)),""),""))</f>
        <v/>
      </c>
      <c r="E25" s="153">
        <f t="array" ref="E25">IF(IFERROR(-INDEX(Expenses!D$3:D$999,SMALL(IF((Expenses!E$3:E$999="INR")*(Expenses!A$3:A$999=DATE(2026,1,27)),ROW(Expenses!A$3:A$999)-2),2)),0)+IFERROR(INDEX(Income!C$3:C$502,SMALL(IF((Income!D$3:D$502="INR")*(Income!A$3:A$502=DATE(2026,1,27)),ROW(Income!A$3:A$502)-2),2)),0)=0,"",IFERROR(-INDEX(Expenses!D$3:D$999,SMALL(IF((Expenses!E$3:E$999="INR")*(Expenses!A$3:A$999=DATE(2026,1,27)),ROW(Expenses!A$3:A$999)-2),2)),0)+IFERROR(INDEX(Income!C$3:C$502,SMALL(IF((Income!D$3:D$502="INR")*(Income!A$3:A$502=DATE(2026,1,27)),ROW(Income!A$3:A$502)-2),2)),0))</f>
        <v/>
      </c>
      <c r="F25" s="126">
        <f t="array" ref="F25">IF(IFERROR(INDEX(Expenses!B$3:B$999,SMALL(IF((Expenses!E$3:E$999="INR")*(Expenses!A$3:A$999=DATE(2026,1,27)),ROW(Expenses!A$3:A$999)-2),2)),"")&lt;&gt;"",IFERROR(INDEX(Expenses!B$3:B$999,SMALL(IF((Expenses!E$3:E$999="INR")*(Expenses!A$3:A$999=DATE(2026,1,27)),ROW(Expenses!A$3:A$999)-2),2)),""),IF(IFERROR(INDEX(Income!B$3:B$502,SMALL(IF((Income!D$3:D$502="INR")*(Income!A$3:A$502=DATE(2026,1,27)),ROW(Income!A$3:A$502)-2),2)),"")&lt;&gt;"",IFERROR(INDEX(Income!B$3:B$502,SMALL(IF((Income!D$3:D$502="INR")*(Income!A$3:A$502=DATE(2026,1,27)),ROW(Income!A$3:A$502)-2),2)),""),""))</f>
        <v/>
      </c>
      <c r="G25" s="153">
        <f t="array" ref="G25">IF(IFERROR(-INDEX(Expenses!D$3:D$999,SMALL(IF((Expenses!E$3:E$999="INR")*(Expenses!A$3:A$999=DATE(2026,1,28)),ROW(Expenses!A$3:A$999)-2),2)),0)+IFERROR(INDEX(Income!C$3:C$502,SMALL(IF((Income!D$3:D$502="INR")*(Income!A$3:A$502=DATE(2026,1,28)),ROW(Income!A$3:A$502)-2),2)),0)=0,"",IFERROR(-INDEX(Expenses!D$3:D$999,SMALL(IF((Expenses!E$3:E$999="INR")*(Expenses!A$3:A$999=DATE(2026,1,28)),ROW(Expenses!A$3:A$999)-2),2)),0)+IFERROR(INDEX(Income!C$3:C$502,SMALL(IF((Income!D$3:D$502="INR")*(Income!A$3:A$502=DATE(2026,1,28)),ROW(Income!A$3:A$502)-2),2)),0))</f>
        <v/>
      </c>
      <c r="H25" s="126">
        <f t="array" ref="H25">IF(IFERROR(INDEX(Expenses!B$3:B$999,SMALL(IF((Expenses!E$3:E$999="INR")*(Expenses!A$3:A$999=DATE(2026,1,28)),ROW(Expenses!A$3:A$999)-2),2)),"")&lt;&gt;"",IFERROR(INDEX(Expenses!B$3:B$999,SMALL(IF((Expenses!E$3:E$999="INR")*(Expenses!A$3:A$999=DATE(2026,1,28)),ROW(Expenses!A$3:A$999)-2),2)),""),IF(IFERROR(INDEX(Income!B$3:B$502,SMALL(IF((Income!D$3:D$502="INR")*(Income!A$3:A$502=DATE(2026,1,28)),ROW(Income!A$3:A$502)-2),2)),"")&lt;&gt;"",IFERROR(INDEX(Income!B$3:B$502,SMALL(IF((Income!D$3:D$502="INR")*(Income!A$3:A$502=DATE(2026,1,28)),ROW(Income!A$3:A$502)-2),2)),""),""))</f>
        <v/>
      </c>
      <c r="I25" s="153">
        <f t="array" ref="I25">IF(IFERROR(-INDEX(Expenses!D$3:D$999,SMALL(IF((Expenses!E$3:E$999="INR")*(Expenses!A$3:A$999=DATE(2026,1,29)),ROW(Expenses!A$3:A$999)-2),2)),0)+IFERROR(INDEX(Income!C$3:C$502,SMALL(IF((Income!D$3:D$502="INR")*(Income!A$3:A$502=DATE(2026,1,29)),ROW(Income!A$3:A$502)-2),2)),0)=0,"",IFERROR(-INDEX(Expenses!D$3:D$999,SMALL(IF((Expenses!E$3:E$999="INR")*(Expenses!A$3:A$999=DATE(2026,1,29)),ROW(Expenses!A$3:A$999)-2),2)),0)+IFERROR(INDEX(Income!C$3:C$502,SMALL(IF((Income!D$3:D$502="INR")*(Income!A$3:A$502=DATE(2026,1,29)),ROW(Income!A$3:A$502)-2),2)),0))</f>
        <v/>
      </c>
      <c r="J25" s="126">
        <f t="array" ref="J25">IF(IFERROR(INDEX(Expenses!B$3:B$999,SMALL(IF((Expenses!E$3:E$999="INR")*(Expenses!A$3:A$999=DATE(2026,1,29)),ROW(Expenses!A$3:A$999)-2),2)),"")&lt;&gt;"",IFERROR(INDEX(Expenses!B$3:B$999,SMALL(IF((Expenses!E$3:E$999="INR")*(Expenses!A$3:A$999=DATE(2026,1,29)),ROW(Expenses!A$3:A$999)-2),2)),""),IF(IFERROR(INDEX(Income!B$3:B$502,SMALL(IF((Income!D$3:D$502="INR")*(Income!A$3:A$502=DATE(2026,1,29)),ROW(Income!A$3:A$502)-2),2)),"")&lt;&gt;"",IFERROR(INDEX(Income!B$3:B$502,SMALL(IF((Income!D$3:D$502="INR")*(Income!A$3:A$502=DATE(2026,1,29)),ROW(Income!A$3:A$502)-2),2)),""),""))</f>
        <v/>
      </c>
      <c r="K25" s="153">
        <f t="array" ref="K25">IF(IFERROR(-INDEX(Expenses!D$3:D$999,SMALL(IF((Expenses!E$3:E$999="INR")*(Expenses!A$3:A$999=DATE(2026,1,30)),ROW(Expenses!A$3:A$999)-2),2)),0)+IFERROR(INDEX(Income!C$3:C$502,SMALL(IF((Income!D$3:D$502="INR")*(Income!A$3:A$502=DATE(2026,1,30)),ROW(Income!A$3:A$502)-2),2)),0)=0,"",IFERROR(-INDEX(Expenses!D$3:D$999,SMALL(IF((Expenses!E$3:E$999="INR")*(Expenses!A$3:A$999=DATE(2026,1,30)),ROW(Expenses!A$3:A$999)-2),2)),0)+IFERROR(INDEX(Income!C$3:C$502,SMALL(IF((Income!D$3:D$502="INR")*(Income!A$3:A$502=DATE(2026,1,30)),ROW(Income!A$3:A$502)-2),2)),0))</f>
        <v/>
      </c>
      <c r="L25" s="126">
        <f t="array" ref="L25">IF(IFERROR(INDEX(Expenses!B$3:B$999,SMALL(IF((Expenses!E$3:E$999="INR")*(Expenses!A$3:A$999=DATE(2026,1,30)),ROW(Expenses!A$3:A$999)-2),2)),"")&lt;&gt;"",IFERROR(INDEX(Expenses!B$3:B$999,SMALL(IF((Expenses!E$3:E$999="INR")*(Expenses!A$3:A$999=DATE(2026,1,30)),ROW(Expenses!A$3:A$999)-2),2)),""),IF(IFERROR(INDEX(Income!B$3:B$502,SMALL(IF((Income!D$3:D$502="INR")*(Income!A$3:A$502=DATE(2026,1,30)),ROW(Income!A$3:A$502)-2),2)),"")&lt;&gt;"",IFERROR(INDEX(Income!B$3:B$502,SMALL(IF((Income!D$3:D$502="INR")*(Income!A$3:A$502=DATE(2026,1,30)),ROW(Income!A$3:A$502)-2),2)),""),""))</f>
        <v/>
      </c>
      <c r="M25" s="153">
        <f t="array" ref="M25">IF(IFERROR(-INDEX(Expenses!D$3:D$999,SMALL(IF((Expenses!E$3:E$999="INR")*(Expenses!A$3:A$999=DATE(2026,1,31)),ROW(Expenses!A$3:A$999)-2),2)),0)+IFERROR(INDEX(Income!C$3:C$502,SMALL(IF((Income!D$3:D$502="INR")*(Income!A$3:A$502=DATE(2026,1,31)),ROW(Income!A$3:A$502)-2),2)),0)=0,"",IFERROR(-INDEX(Expenses!D$3:D$999,SMALL(IF((Expenses!E$3:E$999="INR")*(Expenses!A$3:A$999=DATE(2026,1,31)),ROW(Expenses!A$3:A$999)-2),2)),0)+IFERROR(INDEX(Income!C$3:C$502,SMALL(IF((Income!D$3:D$502="INR")*(Income!A$3:A$502=DATE(2026,1,31)),ROW(Income!A$3:A$502)-2),2)),0))</f>
        <v/>
      </c>
      <c r="N25" s="126">
        <f t="array" ref="N25">IF(IFERROR(INDEX(Expenses!B$3:B$999,SMALL(IF((Expenses!E$3:E$999="INR")*(Expenses!A$3:A$999=DATE(2026,1,31)),ROW(Expenses!A$3:A$999)-2),2)),"")&lt;&gt;"",IFERROR(INDEX(Expenses!B$3:B$999,SMALL(IF((Expenses!E$3:E$999="INR")*(Expenses!A$3:A$999=DATE(2026,1,31)),ROW(Expenses!A$3:A$999)-2),2)),""),IF(IFERROR(INDEX(Income!B$3:B$502,SMALL(IF((Income!D$3:D$502="INR")*(Income!A$3:A$502=DATE(2026,1,31)),ROW(Income!A$3:A$502)-2),2)),"")&lt;&gt;"",IFERROR(INDEX(Income!B$3:B$502,SMALL(IF((Income!D$3:D$502="INR")*(Income!A$3:A$502=DATE(2026,1,31)),ROW(Income!A$3:A$502)-2),2)),""),""))</f>
        <v/>
      </c>
      <c r="O25" s="153">
        <f t="array" ref="O25">IF(IFERROR(-INDEX(Expenses!D$3:D$999,SMALL(IF((Expenses!E$3:E$999="INR")*(Expenses!A$3:A$999=DATE(2026,2,1)),ROW(Expenses!A$3:A$999)-2),2)),0)+IFERROR(INDEX(Income!C$3:C$502,SMALL(IF((Income!D$3:D$502="INR")*(Income!A$3:A$502=DATE(2026,2,1)),ROW(Income!A$3:A$502)-2),2)),0)=0,"",IFERROR(-INDEX(Expenses!D$3:D$999,SMALL(IF((Expenses!E$3:E$999="INR")*(Expenses!A$3:A$999=DATE(2026,2,1)),ROW(Expenses!A$3:A$999)-2),2)),0)+IFERROR(INDEX(Income!C$3:C$502,SMALL(IF((Income!D$3:D$502="INR")*(Income!A$3:A$502=DATE(2026,2,1)),ROW(Income!A$3:A$502)-2),2)),0))</f>
        <v/>
      </c>
      <c r="P25" s="126">
        <f t="array" ref="P25">IF(IFERROR(INDEX(Expenses!B$3:B$999,SMALL(IF((Expenses!E$3:E$999="INR")*(Expenses!A$3:A$999=DATE(2026,2,1)),ROW(Expenses!A$3:A$999)-2),2)),"")&lt;&gt;"",IFERROR(INDEX(Expenses!B$3:B$999,SMALL(IF((Expenses!E$3:E$999="INR")*(Expenses!A$3:A$999=DATE(2026,2,1)),ROW(Expenses!A$3:A$999)-2),2)),""),IF(IFERROR(INDEX(Income!B$3:B$502,SMALL(IF((Income!D$3:D$502="INR")*(Income!A$3:A$502=DATE(2026,2,1)),ROW(Income!A$3:A$502)-2),2)),"")&lt;&gt;"",IFERROR(INDEX(Income!B$3:B$502,SMALL(IF((Income!D$3:D$502="INR")*(Income!A$3:A$502=DATE(2026,2,1)),ROW(Income!A$3:A$502)-2),2)),""),""))</f>
        <v/>
      </c>
      <c r="Q25" s="9" t="n"/>
      <c r="R25" s="9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68">
      <c r="A26" s="9" t="n"/>
      <c r="B26" s="9" t="n"/>
      <c r="C26" s="153">
        <f t="array" ref="C26">IF(IFERROR(-INDEX(Expenses!D$3:D$999,SMALL(IF((Expenses!E$3:E$999="INR")*(Expenses!A$3:A$999=DATE(2026,1,26)),ROW(Expenses!A$3:A$999)-2),3)),0)+IFERROR(INDEX(Income!C$3:C$502,SMALL(IF((Income!D$3:D$502="INR")*(Income!A$3:A$502=DATE(2026,1,26)),ROW(Income!A$3:A$502)-2),3)),0)=0,"",IFERROR(-INDEX(Expenses!D$3:D$999,SMALL(IF((Expenses!E$3:E$999="INR")*(Expenses!A$3:A$999=DATE(2026,1,26)),ROW(Expenses!A$3:A$999)-2),3)),0)+IFERROR(INDEX(Income!C$3:C$502,SMALL(IF((Income!D$3:D$502="INR")*(Income!A$3:A$502=DATE(2026,1,26)),ROW(Income!A$3:A$502)-2),3)),0))</f>
        <v/>
      </c>
      <c r="D26" s="126">
        <f t="array" ref="D26">IF(IFERROR(INDEX(Expenses!B$3:B$999,SMALL(IF((Expenses!E$3:E$999="INR")*(Expenses!A$3:A$999=DATE(2026,1,26)),ROW(Expenses!A$3:A$999)-2),3)),"")&lt;&gt;"",IFERROR(INDEX(Expenses!B$3:B$999,SMALL(IF((Expenses!E$3:E$999="INR")*(Expenses!A$3:A$999=DATE(2026,1,26)),ROW(Expenses!A$3:A$999)-2),3)),""),IF(IFERROR(INDEX(Income!B$3:B$502,SMALL(IF((Income!D$3:D$502="INR")*(Income!A$3:A$502=DATE(2026,1,26)),ROW(Income!A$3:A$502)-2),3)),"")&lt;&gt;"",IFERROR(INDEX(Income!B$3:B$502,SMALL(IF((Income!D$3:D$502="INR")*(Income!A$3:A$502=DATE(2026,1,26)),ROW(Income!A$3:A$502)-2),3)),""),""))</f>
        <v/>
      </c>
      <c r="E26" s="153">
        <f t="array" ref="E26">IF(IFERROR(-INDEX(Expenses!D$3:D$999,SMALL(IF((Expenses!E$3:E$999="INR")*(Expenses!A$3:A$999=DATE(2026,1,27)),ROW(Expenses!A$3:A$999)-2),3)),0)+IFERROR(INDEX(Income!C$3:C$502,SMALL(IF((Income!D$3:D$502="INR")*(Income!A$3:A$502=DATE(2026,1,27)),ROW(Income!A$3:A$502)-2),3)),0)=0,"",IFERROR(-INDEX(Expenses!D$3:D$999,SMALL(IF((Expenses!E$3:E$999="INR")*(Expenses!A$3:A$999=DATE(2026,1,27)),ROW(Expenses!A$3:A$999)-2),3)),0)+IFERROR(INDEX(Income!C$3:C$502,SMALL(IF((Income!D$3:D$502="INR")*(Income!A$3:A$502=DATE(2026,1,27)),ROW(Income!A$3:A$502)-2),3)),0))</f>
        <v/>
      </c>
      <c r="F26" s="126">
        <f t="array" ref="F26">IF(IFERROR(INDEX(Expenses!B$3:B$999,SMALL(IF((Expenses!E$3:E$999="INR")*(Expenses!A$3:A$999=DATE(2026,1,27)),ROW(Expenses!A$3:A$999)-2),3)),"")&lt;&gt;"",IFERROR(INDEX(Expenses!B$3:B$999,SMALL(IF((Expenses!E$3:E$999="INR")*(Expenses!A$3:A$999=DATE(2026,1,27)),ROW(Expenses!A$3:A$999)-2),3)),""),IF(IFERROR(INDEX(Income!B$3:B$502,SMALL(IF((Income!D$3:D$502="INR")*(Income!A$3:A$502=DATE(2026,1,27)),ROW(Income!A$3:A$502)-2),3)),"")&lt;&gt;"",IFERROR(INDEX(Income!B$3:B$502,SMALL(IF((Income!D$3:D$502="INR")*(Income!A$3:A$502=DATE(2026,1,27)),ROW(Income!A$3:A$502)-2),3)),""),""))</f>
        <v/>
      </c>
      <c r="G26" s="153">
        <f t="array" ref="G26">IF(IFERROR(-INDEX(Expenses!D$3:D$999,SMALL(IF((Expenses!E$3:E$999="INR")*(Expenses!A$3:A$999=DATE(2026,1,28)),ROW(Expenses!A$3:A$999)-2),3)),0)+IFERROR(INDEX(Income!C$3:C$502,SMALL(IF((Income!D$3:D$502="INR")*(Income!A$3:A$502=DATE(2026,1,28)),ROW(Income!A$3:A$502)-2),3)),0)=0,"",IFERROR(-INDEX(Expenses!D$3:D$999,SMALL(IF((Expenses!E$3:E$999="INR")*(Expenses!A$3:A$999=DATE(2026,1,28)),ROW(Expenses!A$3:A$999)-2),3)),0)+IFERROR(INDEX(Income!C$3:C$502,SMALL(IF((Income!D$3:D$502="INR")*(Income!A$3:A$502=DATE(2026,1,28)),ROW(Income!A$3:A$502)-2),3)),0))</f>
        <v/>
      </c>
      <c r="H26" s="126">
        <f t="array" ref="H26">IF(IFERROR(INDEX(Expenses!B$3:B$999,SMALL(IF((Expenses!E$3:E$999="INR")*(Expenses!A$3:A$999=DATE(2026,1,28)),ROW(Expenses!A$3:A$999)-2),3)),"")&lt;&gt;"",IFERROR(INDEX(Expenses!B$3:B$999,SMALL(IF((Expenses!E$3:E$999="INR")*(Expenses!A$3:A$999=DATE(2026,1,28)),ROW(Expenses!A$3:A$999)-2),3)),""),IF(IFERROR(INDEX(Income!B$3:B$502,SMALL(IF((Income!D$3:D$502="INR")*(Income!A$3:A$502=DATE(2026,1,28)),ROW(Income!A$3:A$502)-2),3)),"")&lt;&gt;"",IFERROR(INDEX(Income!B$3:B$502,SMALL(IF((Income!D$3:D$502="INR")*(Income!A$3:A$502=DATE(2026,1,28)),ROW(Income!A$3:A$502)-2),3)),""),""))</f>
        <v/>
      </c>
      <c r="I26" s="153">
        <f t="array" ref="I26">IF(IFERROR(-INDEX(Expenses!D$3:D$999,SMALL(IF((Expenses!E$3:E$999="INR")*(Expenses!A$3:A$999=DATE(2026,1,29)),ROW(Expenses!A$3:A$999)-2),3)),0)+IFERROR(INDEX(Income!C$3:C$502,SMALL(IF((Income!D$3:D$502="INR")*(Income!A$3:A$502=DATE(2026,1,29)),ROW(Income!A$3:A$502)-2),3)),0)=0,"",IFERROR(-INDEX(Expenses!D$3:D$999,SMALL(IF((Expenses!E$3:E$999="INR")*(Expenses!A$3:A$999=DATE(2026,1,29)),ROW(Expenses!A$3:A$999)-2),3)),0)+IFERROR(INDEX(Income!C$3:C$502,SMALL(IF((Income!D$3:D$502="INR")*(Income!A$3:A$502=DATE(2026,1,29)),ROW(Income!A$3:A$502)-2),3)),0))</f>
        <v/>
      </c>
      <c r="J26" s="126">
        <f t="array" ref="J26">IF(IFERROR(INDEX(Expenses!B$3:B$999,SMALL(IF((Expenses!E$3:E$999="INR")*(Expenses!A$3:A$999=DATE(2026,1,29)),ROW(Expenses!A$3:A$999)-2),3)),"")&lt;&gt;"",IFERROR(INDEX(Expenses!B$3:B$999,SMALL(IF((Expenses!E$3:E$999="INR")*(Expenses!A$3:A$999=DATE(2026,1,29)),ROW(Expenses!A$3:A$999)-2),3)),""),IF(IFERROR(INDEX(Income!B$3:B$502,SMALL(IF((Income!D$3:D$502="INR")*(Income!A$3:A$502=DATE(2026,1,29)),ROW(Income!A$3:A$502)-2),3)),"")&lt;&gt;"",IFERROR(INDEX(Income!B$3:B$502,SMALL(IF((Income!D$3:D$502="INR")*(Income!A$3:A$502=DATE(2026,1,29)),ROW(Income!A$3:A$502)-2),3)),""),""))</f>
        <v/>
      </c>
      <c r="K26" s="153">
        <f t="array" ref="K26">IF(IFERROR(-INDEX(Expenses!D$3:D$999,SMALL(IF((Expenses!E$3:E$999="INR")*(Expenses!A$3:A$999=DATE(2026,1,30)),ROW(Expenses!A$3:A$999)-2),3)),0)+IFERROR(INDEX(Income!C$3:C$502,SMALL(IF((Income!D$3:D$502="INR")*(Income!A$3:A$502=DATE(2026,1,30)),ROW(Income!A$3:A$502)-2),3)),0)=0,"",IFERROR(-INDEX(Expenses!D$3:D$999,SMALL(IF((Expenses!E$3:E$999="INR")*(Expenses!A$3:A$999=DATE(2026,1,30)),ROW(Expenses!A$3:A$999)-2),3)),0)+IFERROR(INDEX(Income!C$3:C$502,SMALL(IF((Income!D$3:D$502="INR")*(Income!A$3:A$502=DATE(2026,1,30)),ROW(Income!A$3:A$502)-2),3)),0))</f>
        <v/>
      </c>
      <c r="L26" s="126">
        <f t="array" ref="L26">IF(IFERROR(INDEX(Expenses!B$3:B$999,SMALL(IF((Expenses!E$3:E$999="INR")*(Expenses!A$3:A$999=DATE(2026,1,30)),ROW(Expenses!A$3:A$999)-2),3)),"")&lt;&gt;"",IFERROR(INDEX(Expenses!B$3:B$999,SMALL(IF((Expenses!E$3:E$999="INR")*(Expenses!A$3:A$999=DATE(2026,1,30)),ROW(Expenses!A$3:A$999)-2),3)),""),IF(IFERROR(INDEX(Income!B$3:B$502,SMALL(IF((Income!D$3:D$502="INR")*(Income!A$3:A$502=DATE(2026,1,30)),ROW(Income!A$3:A$502)-2),3)),"")&lt;&gt;"",IFERROR(INDEX(Income!B$3:B$502,SMALL(IF((Income!D$3:D$502="INR")*(Income!A$3:A$502=DATE(2026,1,30)),ROW(Income!A$3:A$502)-2),3)),""),""))</f>
        <v/>
      </c>
      <c r="M26" s="153">
        <f t="array" ref="M26">IF(IFERROR(-INDEX(Expenses!D$3:D$999,SMALL(IF((Expenses!E$3:E$999="INR")*(Expenses!A$3:A$999=DATE(2026,1,31)),ROW(Expenses!A$3:A$999)-2),3)),0)+IFERROR(INDEX(Income!C$3:C$502,SMALL(IF((Income!D$3:D$502="INR")*(Income!A$3:A$502=DATE(2026,1,31)),ROW(Income!A$3:A$502)-2),3)),0)=0,"",IFERROR(-INDEX(Expenses!D$3:D$999,SMALL(IF((Expenses!E$3:E$999="INR")*(Expenses!A$3:A$999=DATE(2026,1,31)),ROW(Expenses!A$3:A$999)-2),3)),0)+IFERROR(INDEX(Income!C$3:C$502,SMALL(IF((Income!D$3:D$502="INR")*(Income!A$3:A$502=DATE(2026,1,31)),ROW(Income!A$3:A$502)-2),3)),0))</f>
        <v/>
      </c>
      <c r="N26" s="126">
        <f t="array" ref="N26">IF(IFERROR(INDEX(Expenses!B$3:B$999,SMALL(IF((Expenses!E$3:E$999="INR")*(Expenses!A$3:A$999=DATE(2026,1,31)),ROW(Expenses!A$3:A$999)-2),3)),"")&lt;&gt;"",IFERROR(INDEX(Expenses!B$3:B$999,SMALL(IF((Expenses!E$3:E$999="INR")*(Expenses!A$3:A$999=DATE(2026,1,31)),ROW(Expenses!A$3:A$999)-2),3)),""),IF(IFERROR(INDEX(Income!B$3:B$502,SMALL(IF((Income!D$3:D$502="INR")*(Income!A$3:A$502=DATE(2026,1,31)),ROW(Income!A$3:A$502)-2),3)),"")&lt;&gt;"",IFERROR(INDEX(Income!B$3:B$502,SMALL(IF((Income!D$3:D$502="INR")*(Income!A$3:A$502=DATE(2026,1,31)),ROW(Income!A$3:A$502)-2),3)),""),""))</f>
        <v/>
      </c>
      <c r="O26" s="153">
        <f t="array" ref="O26">IF(IFERROR(-INDEX(Expenses!D$3:D$999,SMALL(IF((Expenses!E$3:E$999="INR")*(Expenses!A$3:A$999=DATE(2026,2,1)),ROW(Expenses!A$3:A$999)-2),3)),0)+IFERROR(INDEX(Income!C$3:C$502,SMALL(IF((Income!D$3:D$502="INR")*(Income!A$3:A$502=DATE(2026,2,1)),ROW(Income!A$3:A$502)-2),3)),0)=0,"",IFERROR(-INDEX(Expenses!D$3:D$999,SMALL(IF((Expenses!E$3:E$999="INR")*(Expenses!A$3:A$999=DATE(2026,2,1)),ROW(Expenses!A$3:A$999)-2),3)),0)+IFERROR(INDEX(Income!C$3:C$502,SMALL(IF((Income!D$3:D$502="INR")*(Income!A$3:A$502=DATE(2026,2,1)),ROW(Income!A$3:A$502)-2),3)),0))</f>
        <v/>
      </c>
      <c r="P26" s="126">
        <f t="array" ref="P26">IF(IFERROR(INDEX(Expenses!B$3:B$999,SMALL(IF((Expenses!E$3:E$999="INR")*(Expenses!A$3:A$999=DATE(2026,2,1)),ROW(Expenses!A$3:A$999)-2),3)),"")&lt;&gt;"",IFERROR(INDEX(Expenses!B$3:B$999,SMALL(IF((Expenses!E$3:E$999="INR")*(Expenses!A$3:A$999=DATE(2026,2,1)),ROW(Expenses!A$3:A$999)-2),3)),""),IF(IFERROR(INDEX(Income!B$3:B$502,SMALL(IF((Income!D$3:D$502="INR")*(Income!A$3:A$502=DATE(2026,2,1)),ROW(Income!A$3:A$502)-2),3)),"")&lt;&gt;"",IFERROR(INDEX(Income!B$3:B$502,SMALL(IF((Income!D$3:D$502="INR")*(Income!A$3:A$502=DATE(2026,2,1)),ROW(Income!A$3:A$502)-2),3)),""),""))</f>
        <v/>
      </c>
      <c r="Q26" s="9" t="n"/>
      <c r="R26" s="9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68">
      <c r="A27" s="9" t="n"/>
      <c r="B27" s="9" t="n"/>
      <c r="C27" s="153">
        <f t="array" ref="C27">IF(IFERROR(-INDEX(Expenses!D$3:D$999,SMALL(IF((Expenses!E$3:E$999="INR")*(Expenses!A$3:A$999=DATE(2026,1,26)),ROW(Expenses!A$3:A$999)-2),4)),0)+IFERROR(INDEX(Income!C$3:C$502,SMALL(IF((Income!D$3:D$502="INR")*(Income!A$3:A$502=DATE(2026,1,26)),ROW(Income!A$3:A$502)-2),4)),0)=0,"",IFERROR(-INDEX(Expenses!D$3:D$999,SMALL(IF((Expenses!E$3:E$999="INR")*(Expenses!A$3:A$999=DATE(2026,1,26)),ROW(Expenses!A$3:A$999)-2),4)),0)+IFERROR(INDEX(Income!C$3:C$502,SMALL(IF((Income!D$3:D$502="INR")*(Income!A$3:A$502=DATE(2026,1,26)),ROW(Income!A$3:A$502)-2),4)),0))</f>
        <v/>
      </c>
      <c r="D27" s="126">
        <f t="array" ref="D27">IF(IFERROR(INDEX(Expenses!B$3:B$999,SMALL(IF((Expenses!E$3:E$999="INR")*(Expenses!A$3:A$999=DATE(2026,1,26)),ROW(Expenses!A$3:A$999)-2),4)),"")&lt;&gt;"",IFERROR(INDEX(Expenses!B$3:B$999,SMALL(IF((Expenses!E$3:E$999="INR")*(Expenses!A$3:A$999=DATE(2026,1,26)),ROW(Expenses!A$3:A$999)-2),4)),""),IF(IFERROR(INDEX(Income!B$3:B$502,SMALL(IF((Income!D$3:D$502="INR")*(Income!A$3:A$502=DATE(2026,1,26)),ROW(Income!A$3:A$502)-2),4)),"")&lt;&gt;"",IFERROR(INDEX(Income!B$3:B$502,SMALL(IF((Income!D$3:D$502="INR")*(Income!A$3:A$502=DATE(2026,1,26)),ROW(Income!A$3:A$502)-2),4)),""),""))</f>
        <v/>
      </c>
      <c r="E27" s="153">
        <f t="array" ref="E27">IF(IFERROR(-INDEX(Expenses!D$3:D$999,SMALL(IF((Expenses!E$3:E$999="INR")*(Expenses!A$3:A$999=DATE(2026,1,27)),ROW(Expenses!A$3:A$999)-2),4)),0)+IFERROR(INDEX(Income!C$3:C$502,SMALL(IF((Income!D$3:D$502="INR")*(Income!A$3:A$502=DATE(2026,1,27)),ROW(Income!A$3:A$502)-2),4)),0)=0,"",IFERROR(-INDEX(Expenses!D$3:D$999,SMALL(IF((Expenses!E$3:E$999="INR")*(Expenses!A$3:A$999=DATE(2026,1,27)),ROW(Expenses!A$3:A$999)-2),4)),0)+IFERROR(INDEX(Income!C$3:C$502,SMALL(IF((Income!D$3:D$502="INR")*(Income!A$3:A$502=DATE(2026,1,27)),ROW(Income!A$3:A$502)-2),4)),0))</f>
        <v/>
      </c>
      <c r="F27" s="126">
        <f t="array" ref="F27">IF(IFERROR(INDEX(Expenses!B$3:B$999,SMALL(IF((Expenses!E$3:E$999="INR")*(Expenses!A$3:A$999=DATE(2026,1,27)),ROW(Expenses!A$3:A$999)-2),4)),"")&lt;&gt;"",IFERROR(INDEX(Expenses!B$3:B$999,SMALL(IF((Expenses!E$3:E$999="INR")*(Expenses!A$3:A$999=DATE(2026,1,27)),ROW(Expenses!A$3:A$999)-2),4)),""),IF(IFERROR(INDEX(Income!B$3:B$502,SMALL(IF((Income!D$3:D$502="INR")*(Income!A$3:A$502=DATE(2026,1,27)),ROW(Income!A$3:A$502)-2),4)),"")&lt;&gt;"",IFERROR(INDEX(Income!B$3:B$502,SMALL(IF((Income!D$3:D$502="INR")*(Income!A$3:A$502=DATE(2026,1,27)),ROW(Income!A$3:A$502)-2),4)),""),""))</f>
        <v/>
      </c>
      <c r="G27" s="153">
        <f t="array" ref="G27">IF(IFERROR(-INDEX(Expenses!D$3:D$999,SMALL(IF((Expenses!E$3:E$999="INR")*(Expenses!A$3:A$999=DATE(2026,1,28)),ROW(Expenses!A$3:A$999)-2),4)),0)+IFERROR(INDEX(Income!C$3:C$502,SMALL(IF((Income!D$3:D$502="INR")*(Income!A$3:A$502=DATE(2026,1,28)),ROW(Income!A$3:A$502)-2),4)),0)=0,"",IFERROR(-INDEX(Expenses!D$3:D$999,SMALL(IF((Expenses!E$3:E$999="INR")*(Expenses!A$3:A$999=DATE(2026,1,28)),ROW(Expenses!A$3:A$999)-2),4)),0)+IFERROR(INDEX(Income!C$3:C$502,SMALL(IF((Income!D$3:D$502="INR")*(Income!A$3:A$502=DATE(2026,1,28)),ROW(Income!A$3:A$502)-2),4)),0))</f>
        <v/>
      </c>
      <c r="H27" s="126">
        <f t="array" ref="H27">IF(IFERROR(INDEX(Expenses!B$3:B$999,SMALL(IF((Expenses!E$3:E$999="INR")*(Expenses!A$3:A$999=DATE(2026,1,28)),ROW(Expenses!A$3:A$999)-2),4)),"")&lt;&gt;"",IFERROR(INDEX(Expenses!B$3:B$999,SMALL(IF((Expenses!E$3:E$999="INR")*(Expenses!A$3:A$999=DATE(2026,1,28)),ROW(Expenses!A$3:A$999)-2),4)),""),IF(IFERROR(INDEX(Income!B$3:B$502,SMALL(IF((Income!D$3:D$502="INR")*(Income!A$3:A$502=DATE(2026,1,28)),ROW(Income!A$3:A$502)-2),4)),"")&lt;&gt;"",IFERROR(INDEX(Income!B$3:B$502,SMALL(IF((Income!D$3:D$502="INR")*(Income!A$3:A$502=DATE(2026,1,28)),ROW(Income!A$3:A$502)-2),4)),""),""))</f>
        <v/>
      </c>
      <c r="I27" s="153">
        <f t="array" ref="I27">IF(IFERROR(-INDEX(Expenses!D$3:D$999,SMALL(IF((Expenses!E$3:E$999="INR")*(Expenses!A$3:A$999=DATE(2026,1,29)),ROW(Expenses!A$3:A$999)-2),4)),0)+IFERROR(INDEX(Income!C$3:C$502,SMALL(IF((Income!D$3:D$502="INR")*(Income!A$3:A$502=DATE(2026,1,29)),ROW(Income!A$3:A$502)-2),4)),0)=0,"",IFERROR(-INDEX(Expenses!D$3:D$999,SMALL(IF((Expenses!E$3:E$999="INR")*(Expenses!A$3:A$999=DATE(2026,1,29)),ROW(Expenses!A$3:A$999)-2),4)),0)+IFERROR(INDEX(Income!C$3:C$502,SMALL(IF((Income!D$3:D$502="INR")*(Income!A$3:A$502=DATE(2026,1,29)),ROW(Income!A$3:A$502)-2),4)),0))</f>
        <v/>
      </c>
      <c r="J27" s="126">
        <f t="array" ref="J27">IF(IFERROR(INDEX(Expenses!B$3:B$999,SMALL(IF((Expenses!E$3:E$999="INR")*(Expenses!A$3:A$999=DATE(2026,1,29)),ROW(Expenses!A$3:A$999)-2),4)),"")&lt;&gt;"",IFERROR(INDEX(Expenses!B$3:B$999,SMALL(IF((Expenses!E$3:E$999="INR")*(Expenses!A$3:A$999=DATE(2026,1,29)),ROW(Expenses!A$3:A$999)-2),4)),""),IF(IFERROR(INDEX(Income!B$3:B$502,SMALL(IF((Income!D$3:D$502="INR")*(Income!A$3:A$502=DATE(2026,1,29)),ROW(Income!A$3:A$502)-2),4)),"")&lt;&gt;"",IFERROR(INDEX(Income!B$3:B$502,SMALL(IF((Income!D$3:D$502="INR")*(Income!A$3:A$502=DATE(2026,1,29)),ROW(Income!A$3:A$502)-2),4)),""),""))</f>
        <v/>
      </c>
      <c r="K27" s="153">
        <f t="array" ref="K27">IF(IFERROR(-INDEX(Expenses!D$3:D$999,SMALL(IF((Expenses!E$3:E$999="INR")*(Expenses!A$3:A$999=DATE(2026,1,30)),ROW(Expenses!A$3:A$999)-2),4)),0)+IFERROR(INDEX(Income!C$3:C$502,SMALL(IF((Income!D$3:D$502="INR")*(Income!A$3:A$502=DATE(2026,1,30)),ROW(Income!A$3:A$502)-2),4)),0)=0,"",IFERROR(-INDEX(Expenses!D$3:D$999,SMALL(IF((Expenses!E$3:E$999="INR")*(Expenses!A$3:A$999=DATE(2026,1,30)),ROW(Expenses!A$3:A$999)-2),4)),0)+IFERROR(INDEX(Income!C$3:C$502,SMALL(IF((Income!D$3:D$502="INR")*(Income!A$3:A$502=DATE(2026,1,30)),ROW(Income!A$3:A$502)-2),4)),0))</f>
        <v/>
      </c>
      <c r="L27" s="126">
        <f t="array" ref="L27">IF(IFERROR(INDEX(Expenses!B$3:B$999,SMALL(IF((Expenses!E$3:E$999="INR")*(Expenses!A$3:A$999=DATE(2026,1,30)),ROW(Expenses!A$3:A$999)-2),4)),"")&lt;&gt;"",IFERROR(INDEX(Expenses!B$3:B$999,SMALL(IF((Expenses!E$3:E$999="INR")*(Expenses!A$3:A$999=DATE(2026,1,30)),ROW(Expenses!A$3:A$999)-2),4)),""),IF(IFERROR(INDEX(Income!B$3:B$502,SMALL(IF((Income!D$3:D$502="INR")*(Income!A$3:A$502=DATE(2026,1,30)),ROW(Income!A$3:A$502)-2),4)),"")&lt;&gt;"",IFERROR(INDEX(Income!B$3:B$502,SMALL(IF((Income!D$3:D$502="INR")*(Income!A$3:A$502=DATE(2026,1,30)),ROW(Income!A$3:A$502)-2),4)),""),""))</f>
        <v/>
      </c>
      <c r="M27" s="153">
        <f t="array" ref="M27">IF(IFERROR(-INDEX(Expenses!D$3:D$999,SMALL(IF((Expenses!E$3:E$999="INR")*(Expenses!A$3:A$999=DATE(2026,1,31)),ROW(Expenses!A$3:A$999)-2),4)),0)+IFERROR(INDEX(Income!C$3:C$502,SMALL(IF((Income!D$3:D$502="INR")*(Income!A$3:A$502=DATE(2026,1,31)),ROW(Income!A$3:A$502)-2),4)),0)=0,"",IFERROR(-INDEX(Expenses!D$3:D$999,SMALL(IF((Expenses!E$3:E$999="INR")*(Expenses!A$3:A$999=DATE(2026,1,31)),ROW(Expenses!A$3:A$999)-2),4)),0)+IFERROR(INDEX(Income!C$3:C$502,SMALL(IF((Income!D$3:D$502="INR")*(Income!A$3:A$502=DATE(2026,1,31)),ROW(Income!A$3:A$502)-2),4)),0))</f>
        <v/>
      </c>
      <c r="N27" s="126">
        <f t="array" ref="N27">IF(IFERROR(INDEX(Expenses!B$3:B$999,SMALL(IF((Expenses!E$3:E$999="INR")*(Expenses!A$3:A$999=DATE(2026,1,31)),ROW(Expenses!A$3:A$999)-2),4)),"")&lt;&gt;"",IFERROR(INDEX(Expenses!B$3:B$999,SMALL(IF((Expenses!E$3:E$999="INR")*(Expenses!A$3:A$999=DATE(2026,1,31)),ROW(Expenses!A$3:A$999)-2),4)),""),IF(IFERROR(INDEX(Income!B$3:B$502,SMALL(IF((Income!D$3:D$502="INR")*(Income!A$3:A$502=DATE(2026,1,31)),ROW(Income!A$3:A$502)-2),4)),"")&lt;&gt;"",IFERROR(INDEX(Income!B$3:B$502,SMALL(IF((Income!D$3:D$502="INR")*(Income!A$3:A$502=DATE(2026,1,31)),ROW(Income!A$3:A$502)-2),4)),""),""))</f>
        <v/>
      </c>
      <c r="O27" s="153">
        <f t="array" ref="O27">IF(IFERROR(-INDEX(Expenses!D$3:D$999,SMALL(IF((Expenses!E$3:E$999="INR")*(Expenses!A$3:A$999=DATE(2026,2,1)),ROW(Expenses!A$3:A$999)-2),4)),0)+IFERROR(INDEX(Income!C$3:C$502,SMALL(IF((Income!D$3:D$502="INR")*(Income!A$3:A$502=DATE(2026,2,1)),ROW(Income!A$3:A$502)-2),4)),0)=0,"",IFERROR(-INDEX(Expenses!D$3:D$999,SMALL(IF((Expenses!E$3:E$999="INR")*(Expenses!A$3:A$999=DATE(2026,2,1)),ROW(Expenses!A$3:A$999)-2),4)),0)+IFERROR(INDEX(Income!C$3:C$502,SMALL(IF((Income!D$3:D$502="INR")*(Income!A$3:A$502=DATE(2026,2,1)),ROW(Income!A$3:A$502)-2),4)),0))</f>
        <v/>
      </c>
      <c r="P27" s="126">
        <f t="array" ref="P27">IF(IFERROR(INDEX(Expenses!B$3:B$999,SMALL(IF((Expenses!E$3:E$999="INR")*(Expenses!A$3:A$999=DATE(2026,2,1)),ROW(Expenses!A$3:A$999)-2),4)),"")&lt;&gt;"",IFERROR(INDEX(Expenses!B$3:B$999,SMALL(IF((Expenses!E$3:E$999="INR")*(Expenses!A$3:A$999=DATE(2026,2,1)),ROW(Expenses!A$3:A$999)-2),4)),""),IF(IFERROR(INDEX(Income!B$3:B$502,SMALL(IF((Income!D$3:D$502="INR")*(Income!A$3:A$502=DATE(2026,2,1)),ROW(Income!A$3:A$502)-2),4)),"")&lt;&gt;"",IFERROR(INDEX(Income!B$3:B$502,SMALL(IF((Income!D$3:D$502="INR")*(Income!A$3:A$502=DATE(2026,2,1)),ROW(Income!A$3:A$502)-2),4)),""),""))</f>
        <v/>
      </c>
      <c r="Q27" s="9" t="n"/>
      <c r="R27" s="9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68">
      <c r="A28" s="9" t="n"/>
      <c r="B28" s="9" t="n"/>
      <c r="C28" s="153">
        <f t="array" ref="C28">IF(IFERROR(-INDEX(Expenses!D$3:D$999,SMALL(IF((Expenses!E$3:E$999="INR")*(Expenses!A$3:A$999=DATE(2026,1,26)),ROW(Expenses!A$3:A$999)-2),5)),0)+IFERROR(INDEX(Income!C$3:C$502,SMALL(IF((Income!D$3:D$502="INR")*(Income!A$3:A$502=DATE(2026,1,26)),ROW(Income!A$3:A$502)-2),5)),0)=0,"",IFERROR(-INDEX(Expenses!D$3:D$999,SMALL(IF((Expenses!E$3:E$999="INR")*(Expenses!A$3:A$999=DATE(2026,1,26)),ROW(Expenses!A$3:A$999)-2),5)),0)+IFERROR(INDEX(Income!C$3:C$502,SMALL(IF((Income!D$3:D$502="INR")*(Income!A$3:A$502=DATE(2026,1,26)),ROW(Income!A$3:A$502)-2),5)),0))</f>
        <v/>
      </c>
      <c r="D28" s="126">
        <f t="array" ref="D28">IF(IFERROR(INDEX(Expenses!B$3:B$999,SMALL(IF((Expenses!E$3:E$999="INR")*(Expenses!A$3:A$999=DATE(2026,1,26)),ROW(Expenses!A$3:A$999)-2),5)),"")&lt;&gt;"",IFERROR(INDEX(Expenses!B$3:B$999,SMALL(IF((Expenses!E$3:E$999="INR")*(Expenses!A$3:A$999=DATE(2026,1,26)),ROW(Expenses!A$3:A$999)-2),5)),""),IF(IFERROR(INDEX(Income!B$3:B$502,SMALL(IF((Income!D$3:D$502="INR")*(Income!A$3:A$502=DATE(2026,1,26)),ROW(Income!A$3:A$502)-2),5)),"")&lt;&gt;"",IFERROR(INDEX(Income!B$3:B$502,SMALL(IF((Income!D$3:D$502="INR")*(Income!A$3:A$502=DATE(2026,1,26)),ROW(Income!A$3:A$502)-2),5)),""),""))</f>
        <v/>
      </c>
      <c r="E28" s="153">
        <f t="array" ref="E28">IF(IFERROR(-INDEX(Expenses!D$3:D$999,SMALL(IF((Expenses!E$3:E$999="INR")*(Expenses!A$3:A$999=DATE(2026,1,27)),ROW(Expenses!A$3:A$999)-2),5)),0)+IFERROR(INDEX(Income!C$3:C$502,SMALL(IF((Income!D$3:D$502="INR")*(Income!A$3:A$502=DATE(2026,1,27)),ROW(Income!A$3:A$502)-2),5)),0)=0,"",IFERROR(-INDEX(Expenses!D$3:D$999,SMALL(IF((Expenses!E$3:E$999="INR")*(Expenses!A$3:A$999=DATE(2026,1,27)),ROW(Expenses!A$3:A$999)-2),5)),0)+IFERROR(INDEX(Income!C$3:C$502,SMALL(IF((Income!D$3:D$502="INR")*(Income!A$3:A$502=DATE(2026,1,27)),ROW(Income!A$3:A$502)-2),5)),0))</f>
        <v/>
      </c>
      <c r="F28" s="126">
        <f t="array" ref="F28">IF(IFERROR(INDEX(Expenses!B$3:B$999,SMALL(IF((Expenses!E$3:E$999="INR")*(Expenses!A$3:A$999=DATE(2026,1,27)),ROW(Expenses!A$3:A$999)-2),5)),"")&lt;&gt;"",IFERROR(INDEX(Expenses!B$3:B$999,SMALL(IF((Expenses!E$3:E$999="INR")*(Expenses!A$3:A$999=DATE(2026,1,27)),ROW(Expenses!A$3:A$999)-2),5)),""),IF(IFERROR(INDEX(Income!B$3:B$502,SMALL(IF((Income!D$3:D$502="INR")*(Income!A$3:A$502=DATE(2026,1,27)),ROW(Income!A$3:A$502)-2),5)),"")&lt;&gt;"",IFERROR(INDEX(Income!B$3:B$502,SMALL(IF((Income!D$3:D$502="INR")*(Income!A$3:A$502=DATE(2026,1,27)),ROW(Income!A$3:A$502)-2),5)),""),""))</f>
        <v/>
      </c>
      <c r="G28" s="153">
        <f t="array" ref="G28">IF(IFERROR(-INDEX(Expenses!D$3:D$999,SMALL(IF((Expenses!E$3:E$999="INR")*(Expenses!A$3:A$999=DATE(2026,1,28)),ROW(Expenses!A$3:A$999)-2),5)),0)+IFERROR(INDEX(Income!C$3:C$502,SMALL(IF((Income!D$3:D$502="INR")*(Income!A$3:A$502=DATE(2026,1,28)),ROW(Income!A$3:A$502)-2),5)),0)=0,"",IFERROR(-INDEX(Expenses!D$3:D$999,SMALL(IF((Expenses!E$3:E$999="INR")*(Expenses!A$3:A$999=DATE(2026,1,28)),ROW(Expenses!A$3:A$999)-2),5)),0)+IFERROR(INDEX(Income!C$3:C$502,SMALL(IF((Income!D$3:D$502="INR")*(Income!A$3:A$502=DATE(2026,1,28)),ROW(Income!A$3:A$502)-2),5)),0))</f>
        <v/>
      </c>
      <c r="H28" s="126">
        <f t="array" ref="H28">IF(IFERROR(INDEX(Expenses!B$3:B$999,SMALL(IF((Expenses!E$3:E$999="INR")*(Expenses!A$3:A$999=DATE(2026,1,28)),ROW(Expenses!A$3:A$999)-2),5)),"")&lt;&gt;"",IFERROR(INDEX(Expenses!B$3:B$999,SMALL(IF((Expenses!E$3:E$999="INR")*(Expenses!A$3:A$999=DATE(2026,1,28)),ROW(Expenses!A$3:A$999)-2),5)),""),IF(IFERROR(INDEX(Income!B$3:B$502,SMALL(IF((Income!D$3:D$502="INR")*(Income!A$3:A$502=DATE(2026,1,28)),ROW(Income!A$3:A$502)-2),5)),"")&lt;&gt;"",IFERROR(INDEX(Income!B$3:B$502,SMALL(IF((Income!D$3:D$502="INR")*(Income!A$3:A$502=DATE(2026,1,28)),ROW(Income!A$3:A$502)-2),5)),""),""))</f>
        <v/>
      </c>
      <c r="I28" s="153">
        <f t="array" ref="I28">IF(IFERROR(-INDEX(Expenses!D$3:D$999,SMALL(IF((Expenses!E$3:E$999="INR")*(Expenses!A$3:A$999=DATE(2026,1,29)),ROW(Expenses!A$3:A$999)-2),5)),0)+IFERROR(INDEX(Income!C$3:C$502,SMALL(IF((Income!D$3:D$502="INR")*(Income!A$3:A$502=DATE(2026,1,29)),ROW(Income!A$3:A$502)-2),5)),0)=0,"",IFERROR(-INDEX(Expenses!D$3:D$999,SMALL(IF((Expenses!E$3:E$999="INR")*(Expenses!A$3:A$999=DATE(2026,1,29)),ROW(Expenses!A$3:A$999)-2),5)),0)+IFERROR(INDEX(Income!C$3:C$502,SMALL(IF((Income!D$3:D$502="INR")*(Income!A$3:A$502=DATE(2026,1,29)),ROW(Income!A$3:A$502)-2),5)),0))</f>
        <v/>
      </c>
      <c r="J28" s="126">
        <f t="array" ref="J28">IF(IFERROR(INDEX(Expenses!B$3:B$999,SMALL(IF((Expenses!E$3:E$999="INR")*(Expenses!A$3:A$999=DATE(2026,1,29)),ROW(Expenses!A$3:A$999)-2),5)),"")&lt;&gt;"",IFERROR(INDEX(Expenses!B$3:B$999,SMALL(IF((Expenses!E$3:E$999="INR")*(Expenses!A$3:A$999=DATE(2026,1,29)),ROW(Expenses!A$3:A$999)-2),5)),""),IF(IFERROR(INDEX(Income!B$3:B$502,SMALL(IF((Income!D$3:D$502="INR")*(Income!A$3:A$502=DATE(2026,1,29)),ROW(Income!A$3:A$502)-2),5)),"")&lt;&gt;"",IFERROR(INDEX(Income!B$3:B$502,SMALL(IF((Income!D$3:D$502="INR")*(Income!A$3:A$502=DATE(2026,1,29)),ROW(Income!A$3:A$502)-2),5)),""),""))</f>
        <v/>
      </c>
      <c r="K28" s="153">
        <f t="array" ref="K28">IF(IFERROR(-INDEX(Expenses!D$3:D$999,SMALL(IF((Expenses!E$3:E$999="INR")*(Expenses!A$3:A$999=DATE(2026,1,30)),ROW(Expenses!A$3:A$999)-2),5)),0)+IFERROR(INDEX(Income!C$3:C$502,SMALL(IF((Income!D$3:D$502="INR")*(Income!A$3:A$502=DATE(2026,1,30)),ROW(Income!A$3:A$502)-2),5)),0)=0,"",IFERROR(-INDEX(Expenses!D$3:D$999,SMALL(IF((Expenses!E$3:E$999="INR")*(Expenses!A$3:A$999=DATE(2026,1,30)),ROW(Expenses!A$3:A$999)-2),5)),0)+IFERROR(INDEX(Income!C$3:C$502,SMALL(IF((Income!D$3:D$502="INR")*(Income!A$3:A$502=DATE(2026,1,30)),ROW(Income!A$3:A$502)-2),5)),0))</f>
        <v/>
      </c>
      <c r="L28" s="126">
        <f t="array" ref="L28">IF(IFERROR(INDEX(Expenses!B$3:B$999,SMALL(IF((Expenses!E$3:E$999="INR")*(Expenses!A$3:A$999=DATE(2026,1,30)),ROW(Expenses!A$3:A$999)-2),5)),"")&lt;&gt;"",IFERROR(INDEX(Expenses!B$3:B$999,SMALL(IF((Expenses!E$3:E$999="INR")*(Expenses!A$3:A$999=DATE(2026,1,30)),ROW(Expenses!A$3:A$999)-2),5)),""),IF(IFERROR(INDEX(Income!B$3:B$502,SMALL(IF((Income!D$3:D$502="INR")*(Income!A$3:A$502=DATE(2026,1,30)),ROW(Income!A$3:A$502)-2),5)),"")&lt;&gt;"",IFERROR(INDEX(Income!B$3:B$502,SMALL(IF((Income!D$3:D$502="INR")*(Income!A$3:A$502=DATE(2026,1,30)),ROW(Income!A$3:A$502)-2),5)),""),""))</f>
        <v/>
      </c>
      <c r="M28" s="153">
        <f t="array" ref="M28">IF(IFERROR(-INDEX(Expenses!D$3:D$999,SMALL(IF((Expenses!E$3:E$999="INR")*(Expenses!A$3:A$999=DATE(2026,1,31)),ROW(Expenses!A$3:A$999)-2),5)),0)+IFERROR(INDEX(Income!C$3:C$502,SMALL(IF((Income!D$3:D$502="INR")*(Income!A$3:A$502=DATE(2026,1,31)),ROW(Income!A$3:A$502)-2),5)),0)=0,"",IFERROR(-INDEX(Expenses!D$3:D$999,SMALL(IF((Expenses!E$3:E$999="INR")*(Expenses!A$3:A$999=DATE(2026,1,31)),ROW(Expenses!A$3:A$999)-2),5)),0)+IFERROR(INDEX(Income!C$3:C$502,SMALL(IF((Income!D$3:D$502="INR")*(Income!A$3:A$502=DATE(2026,1,31)),ROW(Income!A$3:A$502)-2),5)),0))</f>
        <v/>
      </c>
      <c r="N28" s="126">
        <f t="array" ref="N28">IF(IFERROR(INDEX(Expenses!B$3:B$999,SMALL(IF((Expenses!E$3:E$999="INR")*(Expenses!A$3:A$999=DATE(2026,1,31)),ROW(Expenses!A$3:A$999)-2),5)),"")&lt;&gt;"",IFERROR(INDEX(Expenses!B$3:B$999,SMALL(IF((Expenses!E$3:E$999="INR")*(Expenses!A$3:A$999=DATE(2026,1,31)),ROW(Expenses!A$3:A$999)-2),5)),""),IF(IFERROR(INDEX(Income!B$3:B$502,SMALL(IF((Income!D$3:D$502="INR")*(Income!A$3:A$502=DATE(2026,1,31)),ROW(Income!A$3:A$502)-2),5)),"")&lt;&gt;"",IFERROR(INDEX(Income!B$3:B$502,SMALL(IF((Income!D$3:D$502="INR")*(Income!A$3:A$502=DATE(2026,1,31)),ROW(Income!A$3:A$502)-2),5)),""),""))</f>
        <v/>
      </c>
      <c r="O28" s="153">
        <f t="array" ref="O28">IF(IFERROR(-INDEX(Expenses!D$3:D$999,SMALL(IF((Expenses!E$3:E$999="INR")*(Expenses!A$3:A$999=DATE(2026,2,1)),ROW(Expenses!A$3:A$999)-2),5)),0)+IFERROR(INDEX(Income!C$3:C$502,SMALL(IF((Income!D$3:D$502="INR")*(Income!A$3:A$502=DATE(2026,2,1)),ROW(Income!A$3:A$502)-2),5)),0)=0,"",IFERROR(-INDEX(Expenses!D$3:D$999,SMALL(IF((Expenses!E$3:E$999="INR")*(Expenses!A$3:A$999=DATE(2026,2,1)),ROW(Expenses!A$3:A$999)-2),5)),0)+IFERROR(INDEX(Income!C$3:C$502,SMALL(IF((Income!D$3:D$502="INR")*(Income!A$3:A$502=DATE(2026,2,1)),ROW(Income!A$3:A$502)-2),5)),0))</f>
        <v/>
      </c>
      <c r="P28" s="126">
        <f t="array" ref="P28">IF(IFERROR(INDEX(Expenses!B$3:B$999,SMALL(IF((Expenses!E$3:E$999="INR")*(Expenses!A$3:A$999=DATE(2026,2,1)),ROW(Expenses!A$3:A$999)-2),5)),"")&lt;&gt;"",IFERROR(INDEX(Expenses!B$3:B$999,SMALL(IF((Expenses!E$3:E$999="INR")*(Expenses!A$3:A$999=DATE(2026,2,1)),ROW(Expenses!A$3:A$999)-2),5)),""),IF(IFERROR(INDEX(Income!B$3:B$502,SMALL(IF((Income!D$3:D$502="INR")*(Income!A$3:A$502=DATE(2026,2,1)),ROW(Income!A$3:A$502)-2),5)),"")&lt;&gt;"",IFERROR(INDEX(Income!B$3:B$502,SMALL(IF((Income!D$3:D$502="INR")*(Income!A$3:A$502=DATE(2026,2,1)),ROW(Income!A$3:A$502)-2),5)),""),""))</f>
        <v/>
      </c>
      <c r="Q28" s="9" t="n"/>
      <c r="R28" s="9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68">
      <c r="A29" s="151" t="n">
        <v>46055</v>
      </c>
      <c r="B29" s="103" t="n">
        <v>6</v>
      </c>
      <c r="C29" s="153">
        <f t="array" ref="C29">IF(IFERROR(-INDEX(Expenses!D$3:D$999,SMALL(IF((Expenses!E$3:E$999="INR")*(Expenses!A$3:A$999=DATE(2026,2,2)),ROW(Expenses!A$3:A$999)-2),1)),0)+IFERROR(INDEX(Income!C$3:C$502,SMALL(IF((Income!D$3:D$502="INR")*(Income!A$3:A$502=DATE(2026,2,2)),ROW(Income!A$3:A$502)-2),1)),0)=0,"",IFERROR(-INDEX(Expenses!D$3:D$999,SMALL(IF((Expenses!E$3:E$999="INR")*(Expenses!A$3:A$999=DATE(2026,2,2)),ROW(Expenses!A$3:A$999)-2),1)),0)+IFERROR(INDEX(Income!C$3:C$502,SMALL(IF((Income!D$3:D$502="INR")*(Income!A$3:A$502=DATE(2026,2,2)),ROW(Income!A$3:A$502)-2),1)),0))</f>
        <v/>
      </c>
      <c r="D29" s="126">
        <f t="array" ref="D29">IF(IFERROR(INDEX(Expenses!B$3:B$999,SMALL(IF((Expenses!E$3:E$999="INR")*(Expenses!A$3:A$999=DATE(2026,2,2)),ROW(Expenses!A$3:A$999)-2),1)),"")&lt;&gt;"",IFERROR(INDEX(Expenses!B$3:B$999,SMALL(IF((Expenses!E$3:E$999="INR")*(Expenses!A$3:A$999=DATE(2026,2,2)),ROW(Expenses!A$3:A$999)-2),1)),""),IF(IFERROR(INDEX(Income!B$3:B$502,SMALL(IF((Income!D$3:D$502="INR")*(Income!A$3:A$502=DATE(2026,2,2)),ROW(Income!A$3:A$502)-2),1)),"")&lt;&gt;"",IFERROR(INDEX(Income!B$3:B$502,SMALL(IF((Income!D$3:D$502="INR")*(Income!A$3:A$502=DATE(2026,2,2)),ROW(Income!A$3:A$502)-2),1)),""),""))</f>
        <v/>
      </c>
      <c r="E29" s="153">
        <f t="array" ref="E29">IF(IFERROR(-INDEX(Expenses!D$3:D$999,SMALL(IF((Expenses!E$3:E$999="INR")*(Expenses!A$3:A$999=DATE(2026,2,3)),ROW(Expenses!A$3:A$999)-2),1)),0)+IFERROR(INDEX(Income!C$3:C$502,SMALL(IF((Income!D$3:D$502="INR")*(Income!A$3:A$502=DATE(2026,2,3)),ROW(Income!A$3:A$502)-2),1)),0)=0,"",IFERROR(-INDEX(Expenses!D$3:D$999,SMALL(IF((Expenses!E$3:E$999="INR")*(Expenses!A$3:A$999=DATE(2026,2,3)),ROW(Expenses!A$3:A$999)-2),1)),0)+IFERROR(INDEX(Income!C$3:C$502,SMALL(IF((Income!D$3:D$502="INR")*(Income!A$3:A$502=DATE(2026,2,3)),ROW(Income!A$3:A$502)-2),1)),0))</f>
        <v/>
      </c>
      <c r="F29" s="126">
        <f t="array" ref="F29">IF(IFERROR(INDEX(Expenses!B$3:B$999,SMALL(IF((Expenses!E$3:E$999="INR")*(Expenses!A$3:A$999=DATE(2026,2,3)),ROW(Expenses!A$3:A$999)-2),1)),"")&lt;&gt;"",IFERROR(INDEX(Expenses!B$3:B$999,SMALL(IF((Expenses!E$3:E$999="INR")*(Expenses!A$3:A$999=DATE(2026,2,3)),ROW(Expenses!A$3:A$999)-2),1)),""),IF(IFERROR(INDEX(Income!B$3:B$502,SMALL(IF((Income!D$3:D$502="INR")*(Income!A$3:A$502=DATE(2026,2,3)),ROW(Income!A$3:A$502)-2),1)),"")&lt;&gt;"",IFERROR(INDEX(Income!B$3:B$502,SMALL(IF((Income!D$3:D$502="INR")*(Income!A$3:A$502=DATE(2026,2,3)),ROW(Income!A$3:A$502)-2),1)),""),""))</f>
        <v/>
      </c>
      <c r="G29" s="153">
        <f t="array" ref="G29">IF(IFERROR(-INDEX(Expenses!D$3:D$999,SMALL(IF((Expenses!E$3:E$999="INR")*(Expenses!A$3:A$999=DATE(2026,2,4)),ROW(Expenses!A$3:A$999)-2),1)),0)+IFERROR(INDEX(Income!C$3:C$502,SMALL(IF((Income!D$3:D$502="INR")*(Income!A$3:A$502=DATE(2026,2,4)),ROW(Income!A$3:A$502)-2),1)),0)=0,"",IFERROR(-INDEX(Expenses!D$3:D$999,SMALL(IF((Expenses!E$3:E$999="INR")*(Expenses!A$3:A$999=DATE(2026,2,4)),ROW(Expenses!A$3:A$999)-2),1)),0)+IFERROR(INDEX(Income!C$3:C$502,SMALL(IF((Income!D$3:D$502="INR")*(Income!A$3:A$502=DATE(2026,2,4)),ROW(Income!A$3:A$502)-2),1)),0))</f>
        <v/>
      </c>
      <c r="H29" s="126">
        <f t="array" ref="H29">IF(IFERROR(INDEX(Expenses!B$3:B$999,SMALL(IF((Expenses!E$3:E$999="INR")*(Expenses!A$3:A$999=DATE(2026,2,4)),ROW(Expenses!A$3:A$999)-2),1)),"")&lt;&gt;"",IFERROR(INDEX(Expenses!B$3:B$999,SMALL(IF((Expenses!E$3:E$999="INR")*(Expenses!A$3:A$999=DATE(2026,2,4)),ROW(Expenses!A$3:A$999)-2),1)),""),IF(IFERROR(INDEX(Income!B$3:B$502,SMALL(IF((Income!D$3:D$502="INR")*(Income!A$3:A$502=DATE(2026,2,4)),ROW(Income!A$3:A$502)-2),1)),"")&lt;&gt;"",IFERROR(INDEX(Income!B$3:B$502,SMALL(IF((Income!D$3:D$502="INR")*(Income!A$3:A$502=DATE(2026,2,4)),ROW(Income!A$3:A$502)-2),1)),""),""))</f>
        <v/>
      </c>
      <c r="I29" s="153">
        <f t="array" ref="I29">IF(IFERROR(-INDEX(Expenses!D$3:D$999,SMALL(IF((Expenses!E$3:E$999="INR")*(Expenses!A$3:A$999=DATE(2026,2,5)),ROW(Expenses!A$3:A$999)-2),1)),0)+IFERROR(INDEX(Income!C$3:C$502,SMALL(IF((Income!D$3:D$502="INR")*(Income!A$3:A$502=DATE(2026,2,5)),ROW(Income!A$3:A$502)-2),1)),0)=0,"",IFERROR(-INDEX(Expenses!D$3:D$999,SMALL(IF((Expenses!E$3:E$999="INR")*(Expenses!A$3:A$999=DATE(2026,2,5)),ROW(Expenses!A$3:A$999)-2),1)),0)+IFERROR(INDEX(Income!C$3:C$502,SMALL(IF((Income!D$3:D$502="INR")*(Income!A$3:A$502=DATE(2026,2,5)),ROW(Income!A$3:A$502)-2),1)),0))</f>
        <v/>
      </c>
      <c r="J29" s="126">
        <f t="array" ref="J29">IF(IFERROR(INDEX(Expenses!B$3:B$999,SMALL(IF((Expenses!E$3:E$999="INR")*(Expenses!A$3:A$999=DATE(2026,2,5)),ROW(Expenses!A$3:A$999)-2),1)),"")&lt;&gt;"",IFERROR(INDEX(Expenses!B$3:B$999,SMALL(IF((Expenses!E$3:E$999="INR")*(Expenses!A$3:A$999=DATE(2026,2,5)),ROW(Expenses!A$3:A$999)-2),1)),""),IF(IFERROR(INDEX(Income!B$3:B$502,SMALL(IF((Income!D$3:D$502="INR")*(Income!A$3:A$502=DATE(2026,2,5)),ROW(Income!A$3:A$502)-2),1)),"")&lt;&gt;"",IFERROR(INDEX(Income!B$3:B$502,SMALL(IF((Income!D$3:D$502="INR")*(Income!A$3:A$502=DATE(2026,2,5)),ROW(Income!A$3:A$502)-2),1)),""),""))</f>
        <v/>
      </c>
      <c r="K29" s="153">
        <f t="array" ref="K29">IF(IFERROR(-INDEX(Expenses!D$3:D$999,SMALL(IF((Expenses!E$3:E$999="INR")*(Expenses!A$3:A$999=DATE(2026,2,6)),ROW(Expenses!A$3:A$999)-2),1)),0)+IFERROR(INDEX(Income!C$3:C$502,SMALL(IF((Income!D$3:D$502="INR")*(Income!A$3:A$502=DATE(2026,2,6)),ROW(Income!A$3:A$502)-2),1)),0)=0,"",IFERROR(-INDEX(Expenses!D$3:D$999,SMALL(IF((Expenses!E$3:E$999="INR")*(Expenses!A$3:A$999=DATE(2026,2,6)),ROW(Expenses!A$3:A$999)-2),1)),0)+IFERROR(INDEX(Income!C$3:C$502,SMALL(IF((Income!D$3:D$502="INR")*(Income!A$3:A$502=DATE(2026,2,6)),ROW(Income!A$3:A$502)-2),1)),0))</f>
        <v/>
      </c>
      <c r="L29" s="126">
        <f t="array" ref="L29">IF(IFERROR(INDEX(Expenses!B$3:B$999,SMALL(IF((Expenses!E$3:E$999="INR")*(Expenses!A$3:A$999=DATE(2026,2,6)),ROW(Expenses!A$3:A$999)-2),1)),"")&lt;&gt;"",IFERROR(INDEX(Expenses!B$3:B$999,SMALL(IF((Expenses!E$3:E$999="INR")*(Expenses!A$3:A$999=DATE(2026,2,6)),ROW(Expenses!A$3:A$999)-2),1)),""),IF(IFERROR(INDEX(Income!B$3:B$502,SMALL(IF((Income!D$3:D$502="INR")*(Income!A$3:A$502=DATE(2026,2,6)),ROW(Income!A$3:A$502)-2),1)),"")&lt;&gt;"",IFERROR(INDEX(Income!B$3:B$502,SMALL(IF((Income!D$3:D$502="INR")*(Income!A$3:A$502=DATE(2026,2,6)),ROW(Income!A$3:A$502)-2),1)),""),""))</f>
        <v/>
      </c>
      <c r="M29" s="153">
        <f t="array" ref="M29">IF(IFERROR(-INDEX(Expenses!D$3:D$999,SMALL(IF((Expenses!E$3:E$999="INR")*(Expenses!A$3:A$999=DATE(2026,2,7)),ROW(Expenses!A$3:A$999)-2),1)),0)+IFERROR(INDEX(Income!C$3:C$502,SMALL(IF((Income!D$3:D$502="INR")*(Income!A$3:A$502=DATE(2026,2,7)),ROW(Income!A$3:A$502)-2),1)),0)=0,"",IFERROR(-INDEX(Expenses!D$3:D$999,SMALL(IF((Expenses!E$3:E$999="INR")*(Expenses!A$3:A$999=DATE(2026,2,7)),ROW(Expenses!A$3:A$999)-2),1)),0)+IFERROR(INDEX(Income!C$3:C$502,SMALL(IF((Income!D$3:D$502="INR")*(Income!A$3:A$502=DATE(2026,2,7)),ROW(Income!A$3:A$502)-2),1)),0))</f>
        <v/>
      </c>
      <c r="N29" s="126">
        <f t="array" ref="N29">IF(IFERROR(INDEX(Expenses!B$3:B$999,SMALL(IF((Expenses!E$3:E$999="INR")*(Expenses!A$3:A$999=DATE(2026,2,7)),ROW(Expenses!A$3:A$999)-2),1)),"")&lt;&gt;"",IFERROR(INDEX(Expenses!B$3:B$999,SMALL(IF((Expenses!E$3:E$999="INR")*(Expenses!A$3:A$999=DATE(2026,2,7)),ROW(Expenses!A$3:A$999)-2),1)),""),IF(IFERROR(INDEX(Income!B$3:B$502,SMALL(IF((Income!D$3:D$502="INR")*(Income!A$3:A$502=DATE(2026,2,7)),ROW(Income!A$3:A$502)-2),1)),"")&lt;&gt;"",IFERROR(INDEX(Income!B$3:B$502,SMALL(IF((Income!D$3:D$502="INR")*(Income!A$3:A$502=DATE(2026,2,7)),ROW(Income!A$3:A$502)-2),1)),""),""))</f>
        <v/>
      </c>
      <c r="O29" s="153">
        <f t="array" ref="O29">IF(IFERROR(-INDEX(Expenses!D$3:D$999,SMALL(IF((Expenses!E$3:E$999="INR")*(Expenses!A$3:A$999=DATE(2026,2,8)),ROW(Expenses!A$3:A$999)-2),1)),0)+IFERROR(INDEX(Income!C$3:C$502,SMALL(IF((Income!D$3:D$502="INR")*(Income!A$3:A$502=DATE(2026,2,8)),ROW(Income!A$3:A$502)-2),1)),0)=0,"",IFERROR(-INDEX(Expenses!D$3:D$999,SMALL(IF((Expenses!E$3:E$999="INR")*(Expenses!A$3:A$999=DATE(2026,2,8)),ROW(Expenses!A$3:A$999)-2),1)),0)+IFERROR(INDEX(Income!C$3:C$502,SMALL(IF((Income!D$3:D$502="INR")*(Income!A$3:A$502=DATE(2026,2,8)),ROW(Income!A$3:A$502)-2),1)),0))</f>
        <v/>
      </c>
      <c r="P29" s="126">
        <f t="array" ref="P29">IF(IFERROR(INDEX(Expenses!B$3:B$999,SMALL(IF((Expenses!E$3:E$999="INR")*(Expenses!A$3:A$999=DATE(2026,2,8)),ROW(Expenses!A$3:A$999)-2),1)),"")&lt;&gt;"",IFERROR(INDEX(Expenses!B$3:B$999,SMALL(IF((Expenses!E$3:E$999="INR")*(Expenses!A$3:A$999=DATE(2026,2,8)),ROW(Expenses!A$3:A$999)-2),1)),""),IF(IFERROR(INDEX(Income!B$3:B$502,SMALL(IF((Income!D$3:D$502="INR")*(Income!A$3:A$502=DATE(2026,2,8)),ROW(Income!A$3:A$502)-2),1)),"")&lt;&gt;"",IFERROR(INDEX(Income!B$3:B$502,SMALL(IF((Income!D$3:D$502="INR")*(Income!A$3:A$502=DATE(2026,2,8)),ROW(Income!A$3:A$502)-2),1)),""),""))</f>
        <v/>
      </c>
      <c r="Q29" s="103" t="n">
        <v>6</v>
      </c>
      <c r="R29" s="142">
        <f>SUM(C29:C33)+SUM(E29:E33)+SUM(G29:G33)+SUM(I29:I33)+SUM(K29:K33)+SUM(M29:M33)+SUM(O29:O33)</f>
        <v/>
      </c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68">
      <c r="A30" s="9" t="n"/>
      <c r="B30" s="9" t="n"/>
      <c r="C30" s="153">
        <f t="array" ref="C30">IF(IFERROR(-INDEX(Expenses!D$3:D$999,SMALL(IF((Expenses!E$3:E$999="INR")*(Expenses!A$3:A$999=DATE(2026,2,2)),ROW(Expenses!A$3:A$999)-2),2)),0)+IFERROR(INDEX(Income!C$3:C$502,SMALL(IF((Income!D$3:D$502="INR")*(Income!A$3:A$502=DATE(2026,2,2)),ROW(Income!A$3:A$502)-2),2)),0)=0,"",IFERROR(-INDEX(Expenses!D$3:D$999,SMALL(IF((Expenses!E$3:E$999="INR")*(Expenses!A$3:A$999=DATE(2026,2,2)),ROW(Expenses!A$3:A$999)-2),2)),0)+IFERROR(INDEX(Income!C$3:C$502,SMALL(IF((Income!D$3:D$502="INR")*(Income!A$3:A$502=DATE(2026,2,2)),ROW(Income!A$3:A$502)-2),2)),0))</f>
        <v/>
      </c>
      <c r="D30" s="126">
        <f t="array" ref="D30">IF(IFERROR(INDEX(Expenses!B$3:B$999,SMALL(IF((Expenses!E$3:E$999="INR")*(Expenses!A$3:A$999=DATE(2026,2,2)),ROW(Expenses!A$3:A$999)-2),2)),"")&lt;&gt;"",IFERROR(INDEX(Expenses!B$3:B$999,SMALL(IF((Expenses!E$3:E$999="INR")*(Expenses!A$3:A$999=DATE(2026,2,2)),ROW(Expenses!A$3:A$999)-2),2)),""),IF(IFERROR(INDEX(Income!B$3:B$502,SMALL(IF((Income!D$3:D$502="INR")*(Income!A$3:A$502=DATE(2026,2,2)),ROW(Income!A$3:A$502)-2),2)),"")&lt;&gt;"",IFERROR(INDEX(Income!B$3:B$502,SMALL(IF((Income!D$3:D$502="INR")*(Income!A$3:A$502=DATE(2026,2,2)),ROW(Income!A$3:A$502)-2),2)),""),""))</f>
        <v/>
      </c>
      <c r="E30" s="153">
        <f t="array" ref="E30">IF(IFERROR(-INDEX(Expenses!D$3:D$999,SMALL(IF((Expenses!E$3:E$999="INR")*(Expenses!A$3:A$999=DATE(2026,2,3)),ROW(Expenses!A$3:A$999)-2),2)),0)+IFERROR(INDEX(Income!C$3:C$502,SMALL(IF((Income!D$3:D$502="INR")*(Income!A$3:A$502=DATE(2026,2,3)),ROW(Income!A$3:A$502)-2),2)),0)=0,"",IFERROR(-INDEX(Expenses!D$3:D$999,SMALL(IF((Expenses!E$3:E$999="INR")*(Expenses!A$3:A$999=DATE(2026,2,3)),ROW(Expenses!A$3:A$999)-2),2)),0)+IFERROR(INDEX(Income!C$3:C$502,SMALL(IF((Income!D$3:D$502="INR")*(Income!A$3:A$502=DATE(2026,2,3)),ROW(Income!A$3:A$502)-2),2)),0))</f>
        <v/>
      </c>
      <c r="F30" s="126">
        <f t="array" ref="F30">IF(IFERROR(INDEX(Expenses!B$3:B$999,SMALL(IF((Expenses!E$3:E$999="INR")*(Expenses!A$3:A$999=DATE(2026,2,3)),ROW(Expenses!A$3:A$999)-2),2)),"")&lt;&gt;"",IFERROR(INDEX(Expenses!B$3:B$999,SMALL(IF((Expenses!E$3:E$999="INR")*(Expenses!A$3:A$999=DATE(2026,2,3)),ROW(Expenses!A$3:A$999)-2),2)),""),IF(IFERROR(INDEX(Income!B$3:B$502,SMALL(IF((Income!D$3:D$502="INR")*(Income!A$3:A$502=DATE(2026,2,3)),ROW(Income!A$3:A$502)-2),2)),"")&lt;&gt;"",IFERROR(INDEX(Income!B$3:B$502,SMALL(IF((Income!D$3:D$502="INR")*(Income!A$3:A$502=DATE(2026,2,3)),ROW(Income!A$3:A$502)-2),2)),""),""))</f>
        <v/>
      </c>
      <c r="G30" s="153">
        <f t="array" ref="G30">IF(IFERROR(-INDEX(Expenses!D$3:D$999,SMALL(IF((Expenses!E$3:E$999="INR")*(Expenses!A$3:A$999=DATE(2026,2,4)),ROW(Expenses!A$3:A$999)-2),2)),0)+IFERROR(INDEX(Income!C$3:C$502,SMALL(IF((Income!D$3:D$502="INR")*(Income!A$3:A$502=DATE(2026,2,4)),ROW(Income!A$3:A$502)-2),2)),0)=0,"",IFERROR(-INDEX(Expenses!D$3:D$999,SMALL(IF((Expenses!E$3:E$999="INR")*(Expenses!A$3:A$999=DATE(2026,2,4)),ROW(Expenses!A$3:A$999)-2),2)),0)+IFERROR(INDEX(Income!C$3:C$502,SMALL(IF((Income!D$3:D$502="INR")*(Income!A$3:A$502=DATE(2026,2,4)),ROW(Income!A$3:A$502)-2),2)),0))</f>
        <v/>
      </c>
      <c r="H30" s="126">
        <f t="array" ref="H30">IF(IFERROR(INDEX(Expenses!B$3:B$999,SMALL(IF((Expenses!E$3:E$999="INR")*(Expenses!A$3:A$999=DATE(2026,2,4)),ROW(Expenses!A$3:A$999)-2),2)),"")&lt;&gt;"",IFERROR(INDEX(Expenses!B$3:B$999,SMALL(IF((Expenses!E$3:E$999="INR")*(Expenses!A$3:A$999=DATE(2026,2,4)),ROW(Expenses!A$3:A$999)-2),2)),""),IF(IFERROR(INDEX(Income!B$3:B$502,SMALL(IF((Income!D$3:D$502="INR")*(Income!A$3:A$502=DATE(2026,2,4)),ROW(Income!A$3:A$502)-2),2)),"")&lt;&gt;"",IFERROR(INDEX(Income!B$3:B$502,SMALL(IF((Income!D$3:D$502="INR")*(Income!A$3:A$502=DATE(2026,2,4)),ROW(Income!A$3:A$502)-2),2)),""),""))</f>
        <v/>
      </c>
      <c r="I30" s="153">
        <f t="array" ref="I30">IF(IFERROR(-INDEX(Expenses!D$3:D$999,SMALL(IF((Expenses!E$3:E$999="INR")*(Expenses!A$3:A$999=DATE(2026,2,5)),ROW(Expenses!A$3:A$999)-2),2)),0)+IFERROR(INDEX(Income!C$3:C$502,SMALL(IF((Income!D$3:D$502="INR")*(Income!A$3:A$502=DATE(2026,2,5)),ROW(Income!A$3:A$502)-2),2)),0)=0,"",IFERROR(-INDEX(Expenses!D$3:D$999,SMALL(IF((Expenses!E$3:E$999="INR")*(Expenses!A$3:A$999=DATE(2026,2,5)),ROW(Expenses!A$3:A$999)-2),2)),0)+IFERROR(INDEX(Income!C$3:C$502,SMALL(IF((Income!D$3:D$502="INR")*(Income!A$3:A$502=DATE(2026,2,5)),ROW(Income!A$3:A$502)-2),2)),0))</f>
        <v/>
      </c>
      <c r="J30" s="126">
        <f t="array" ref="J30">IF(IFERROR(INDEX(Expenses!B$3:B$999,SMALL(IF((Expenses!E$3:E$999="INR")*(Expenses!A$3:A$999=DATE(2026,2,5)),ROW(Expenses!A$3:A$999)-2),2)),"")&lt;&gt;"",IFERROR(INDEX(Expenses!B$3:B$999,SMALL(IF((Expenses!E$3:E$999="INR")*(Expenses!A$3:A$999=DATE(2026,2,5)),ROW(Expenses!A$3:A$999)-2),2)),""),IF(IFERROR(INDEX(Income!B$3:B$502,SMALL(IF((Income!D$3:D$502="INR")*(Income!A$3:A$502=DATE(2026,2,5)),ROW(Income!A$3:A$502)-2),2)),"")&lt;&gt;"",IFERROR(INDEX(Income!B$3:B$502,SMALL(IF((Income!D$3:D$502="INR")*(Income!A$3:A$502=DATE(2026,2,5)),ROW(Income!A$3:A$502)-2),2)),""),""))</f>
        <v/>
      </c>
      <c r="K30" s="153">
        <f t="array" ref="K30">IF(IFERROR(-INDEX(Expenses!D$3:D$999,SMALL(IF((Expenses!E$3:E$999="INR")*(Expenses!A$3:A$999=DATE(2026,2,6)),ROW(Expenses!A$3:A$999)-2),2)),0)+IFERROR(INDEX(Income!C$3:C$502,SMALL(IF((Income!D$3:D$502="INR")*(Income!A$3:A$502=DATE(2026,2,6)),ROW(Income!A$3:A$502)-2),2)),0)=0,"",IFERROR(-INDEX(Expenses!D$3:D$999,SMALL(IF((Expenses!E$3:E$999="INR")*(Expenses!A$3:A$999=DATE(2026,2,6)),ROW(Expenses!A$3:A$999)-2),2)),0)+IFERROR(INDEX(Income!C$3:C$502,SMALL(IF((Income!D$3:D$502="INR")*(Income!A$3:A$502=DATE(2026,2,6)),ROW(Income!A$3:A$502)-2),2)),0))</f>
        <v/>
      </c>
      <c r="L30" s="126">
        <f t="array" ref="L30">IF(IFERROR(INDEX(Expenses!B$3:B$999,SMALL(IF((Expenses!E$3:E$999="INR")*(Expenses!A$3:A$999=DATE(2026,2,6)),ROW(Expenses!A$3:A$999)-2),2)),"")&lt;&gt;"",IFERROR(INDEX(Expenses!B$3:B$999,SMALL(IF((Expenses!E$3:E$999="INR")*(Expenses!A$3:A$999=DATE(2026,2,6)),ROW(Expenses!A$3:A$999)-2),2)),""),IF(IFERROR(INDEX(Income!B$3:B$502,SMALL(IF((Income!D$3:D$502="INR")*(Income!A$3:A$502=DATE(2026,2,6)),ROW(Income!A$3:A$502)-2),2)),"")&lt;&gt;"",IFERROR(INDEX(Income!B$3:B$502,SMALL(IF((Income!D$3:D$502="INR")*(Income!A$3:A$502=DATE(2026,2,6)),ROW(Income!A$3:A$502)-2),2)),""),""))</f>
        <v/>
      </c>
      <c r="M30" s="153">
        <f t="array" ref="M30">IF(IFERROR(-INDEX(Expenses!D$3:D$999,SMALL(IF((Expenses!E$3:E$999="INR")*(Expenses!A$3:A$999=DATE(2026,2,7)),ROW(Expenses!A$3:A$999)-2),2)),0)+IFERROR(INDEX(Income!C$3:C$502,SMALL(IF((Income!D$3:D$502="INR")*(Income!A$3:A$502=DATE(2026,2,7)),ROW(Income!A$3:A$502)-2),2)),0)=0,"",IFERROR(-INDEX(Expenses!D$3:D$999,SMALL(IF((Expenses!E$3:E$999="INR")*(Expenses!A$3:A$999=DATE(2026,2,7)),ROW(Expenses!A$3:A$999)-2),2)),0)+IFERROR(INDEX(Income!C$3:C$502,SMALL(IF((Income!D$3:D$502="INR")*(Income!A$3:A$502=DATE(2026,2,7)),ROW(Income!A$3:A$502)-2),2)),0))</f>
        <v/>
      </c>
      <c r="N30" s="126">
        <f t="array" ref="N30">IF(IFERROR(INDEX(Expenses!B$3:B$999,SMALL(IF((Expenses!E$3:E$999="INR")*(Expenses!A$3:A$999=DATE(2026,2,7)),ROW(Expenses!A$3:A$999)-2),2)),"")&lt;&gt;"",IFERROR(INDEX(Expenses!B$3:B$999,SMALL(IF((Expenses!E$3:E$999="INR")*(Expenses!A$3:A$999=DATE(2026,2,7)),ROW(Expenses!A$3:A$999)-2),2)),""),IF(IFERROR(INDEX(Income!B$3:B$502,SMALL(IF((Income!D$3:D$502="INR")*(Income!A$3:A$502=DATE(2026,2,7)),ROW(Income!A$3:A$502)-2),2)),"")&lt;&gt;"",IFERROR(INDEX(Income!B$3:B$502,SMALL(IF((Income!D$3:D$502="INR")*(Income!A$3:A$502=DATE(2026,2,7)),ROW(Income!A$3:A$502)-2),2)),""),""))</f>
        <v/>
      </c>
      <c r="O30" s="153">
        <f t="array" ref="O30">IF(IFERROR(-INDEX(Expenses!D$3:D$999,SMALL(IF((Expenses!E$3:E$999="INR")*(Expenses!A$3:A$999=DATE(2026,2,8)),ROW(Expenses!A$3:A$999)-2),2)),0)+IFERROR(INDEX(Income!C$3:C$502,SMALL(IF((Income!D$3:D$502="INR")*(Income!A$3:A$502=DATE(2026,2,8)),ROW(Income!A$3:A$502)-2),2)),0)=0,"",IFERROR(-INDEX(Expenses!D$3:D$999,SMALL(IF((Expenses!E$3:E$999="INR")*(Expenses!A$3:A$999=DATE(2026,2,8)),ROW(Expenses!A$3:A$999)-2),2)),0)+IFERROR(INDEX(Income!C$3:C$502,SMALL(IF((Income!D$3:D$502="INR")*(Income!A$3:A$502=DATE(2026,2,8)),ROW(Income!A$3:A$502)-2),2)),0))</f>
        <v/>
      </c>
      <c r="P30" s="126">
        <f t="array" ref="P30">IF(IFERROR(INDEX(Expenses!B$3:B$999,SMALL(IF((Expenses!E$3:E$999="INR")*(Expenses!A$3:A$999=DATE(2026,2,8)),ROW(Expenses!A$3:A$999)-2),2)),"")&lt;&gt;"",IFERROR(INDEX(Expenses!B$3:B$999,SMALL(IF((Expenses!E$3:E$999="INR")*(Expenses!A$3:A$999=DATE(2026,2,8)),ROW(Expenses!A$3:A$999)-2),2)),""),IF(IFERROR(INDEX(Income!B$3:B$502,SMALL(IF((Income!D$3:D$502="INR")*(Income!A$3:A$502=DATE(2026,2,8)),ROW(Income!A$3:A$502)-2),2)),"")&lt;&gt;"",IFERROR(INDEX(Income!B$3:B$502,SMALL(IF((Income!D$3:D$502="INR")*(Income!A$3:A$502=DATE(2026,2,8)),ROW(Income!A$3:A$502)-2),2)),""),""))</f>
        <v/>
      </c>
      <c r="Q30" s="9" t="n"/>
      <c r="R30" s="9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68">
      <c r="A31" s="9" t="n"/>
      <c r="B31" s="9" t="n"/>
      <c r="C31" s="153">
        <f t="array" ref="C31">IF(IFERROR(-INDEX(Expenses!D$3:D$999,SMALL(IF((Expenses!E$3:E$999="INR")*(Expenses!A$3:A$999=DATE(2026,2,2)),ROW(Expenses!A$3:A$999)-2),3)),0)+IFERROR(INDEX(Income!C$3:C$502,SMALL(IF((Income!D$3:D$502="INR")*(Income!A$3:A$502=DATE(2026,2,2)),ROW(Income!A$3:A$502)-2),3)),0)=0,"",IFERROR(-INDEX(Expenses!D$3:D$999,SMALL(IF((Expenses!E$3:E$999="INR")*(Expenses!A$3:A$999=DATE(2026,2,2)),ROW(Expenses!A$3:A$999)-2),3)),0)+IFERROR(INDEX(Income!C$3:C$502,SMALL(IF((Income!D$3:D$502="INR")*(Income!A$3:A$502=DATE(2026,2,2)),ROW(Income!A$3:A$502)-2),3)),0))</f>
        <v/>
      </c>
      <c r="D31" s="126">
        <f t="array" ref="D31">IF(IFERROR(INDEX(Expenses!B$3:B$999,SMALL(IF((Expenses!E$3:E$999="INR")*(Expenses!A$3:A$999=DATE(2026,2,2)),ROW(Expenses!A$3:A$999)-2),3)),"")&lt;&gt;"",IFERROR(INDEX(Expenses!B$3:B$999,SMALL(IF((Expenses!E$3:E$999="INR")*(Expenses!A$3:A$999=DATE(2026,2,2)),ROW(Expenses!A$3:A$999)-2),3)),""),IF(IFERROR(INDEX(Income!B$3:B$502,SMALL(IF((Income!D$3:D$502="INR")*(Income!A$3:A$502=DATE(2026,2,2)),ROW(Income!A$3:A$502)-2),3)),"")&lt;&gt;"",IFERROR(INDEX(Income!B$3:B$502,SMALL(IF((Income!D$3:D$502="INR")*(Income!A$3:A$502=DATE(2026,2,2)),ROW(Income!A$3:A$502)-2),3)),""),""))</f>
        <v/>
      </c>
      <c r="E31" s="153">
        <f t="array" ref="E31">IF(IFERROR(-INDEX(Expenses!D$3:D$999,SMALL(IF((Expenses!E$3:E$999="INR")*(Expenses!A$3:A$999=DATE(2026,2,3)),ROW(Expenses!A$3:A$999)-2),3)),0)+IFERROR(INDEX(Income!C$3:C$502,SMALL(IF((Income!D$3:D$502="INR")*(Income!A$3:A$502=DATE(2026,2,3)),ROW(Income!A$3:A$502)-2),3)),0)=0,"",IFERROR(-INDEX(Expenses!D$3:D$999,SMALL(IF((Expenses!E$3:E$999="INR")*(Expenses!A$3:A$999=DATE(2026,2,3)),ROW(Expenses!A$3:A$999)-2),3)),0)+IFERROR(INDEX(Income!C$3:C$502,SMALL(IF((Income!D$3:D$502="INR")*(Income!A$3:A$502=DATE(2026,2,3)),ROW(Income!A$3:A$502)-2),3)),0))</f>
        <v/>
      </c>
      <c r="F31" s="126">
        <f t="array" ref="F31">IF(IFERROR(INDEX(Expenses!B$3:B$999,SMALL(IF((Expenses!E$3:E$999="INR")*(Expenses!A$3:A$999=DATE(2026,2,3)),ROW(Expenses!A$3:A$999)-2),3)),"")&lt;&gt;"",IFERROR(INDEX(Expenses!B$3:B$999,SMALL(IF((Expenses!E$3:E$999="INR")*(Expenses!A$3:A$999=DATE(2026,2,3)),ROW(Expenses!A$3:A$999)-2),3)),""),IF(IFERROR(INDEX(Income!B$3:B$502,SMALL(IF((Income!D$3:D$502="INR")*(Income!A$3:A$502=DATE(2026,2,3)),ROW(Income!A$3:A$502)-2),3)),"")&lt;&gt;"",IFERROR(INDEX(Income!B$3:B$502,SMALL(IF((Income!D$3:D$502="INR")*(Income!A$3:A$502=DATE(2026,2,3)),ROW(Income!A$3:A$502)-2),3)),""),""))</f>
        <v/>
      </c>
      <c r="G31" s="153">
        <f t="array" ref="G31">IF(IFERROR(-INDEX(Expenses!D$3:D$999,SMALL(IF((Expenses!E$3:E$999="INR")*(Expenses!A$3:A$999=DATE(2026,2,4)),ROW(Expenses!A$3:A$999)-2),3)),0)+IFERROR(INDEX(Income!C$3:C$502,SMALL(IF((Income!D$3:D$502="INR")*(Income!A$3:A$502=DATE(2026,2,4)),ROW(Income!A$3:A$502)-2),3)),0)=0,"",IFERROR(-INDEX(Expenses!D$3:D$999,SMALL(IF((Expenses!E$3:E$999="INR")*(Expenses!A$3:A$999=DATE(2026,2,4)),ROW(Expenses!A$3:A$999)-2),3)),0)+IFERROR(INDEX(Income!C$3:C$502,SMALL(IF((Income!D$3:D$502="INR")*(Income!A$3:A$502=DATE(2026,2,4)),ROW(Income!A$3:A$502)-2),3)),0))</f>
        <v/>
      </c>
      <c r="H31" s="126">
        <f t="array" ref="H31">IF(IFERROR(INDEX(Expenses!B$3:B$999,SMALL(IF((Expenses!E$3:E$999="INR")*(Expenses!A$3:A$999=DATE(2026,2,4)),ROW(Expenses!A$3:A$999)-2),3)),"")&lt;&gt;"",IFERROR(INDEX(Expenses!B$3:B$999,SMALL(IF((Expenses!E$3:E$999="INR")*(Expenses!A$3:A$999=DATE(2026,2,4)),ROW(Expenses!A$3:A$999)-2),3)),""),IF(IFERROR(INDEX(Income!B$3:B$502,SMALL(IF((Income!D$3:D$502="INR")*(Income!A$3:A$502=DATE(2026,2,4)),ROW(Income!A$3:A$502)-2),3)),"")&lt;&gt;"",IFERROR(INDEX(Income!B$3:B$502,SMALL(IF((Income!D$3:D$502="INR")*(Income!A$3:A$502=DATE(2026,2,4)),ROW(Income!A$3:A$502)-2),3)),""),""))</f>
        <v/>
      </c>
      <c r="I31" s="153">
        <f t="array" ref="I31">IF(IFERROR(-INDEX(Expenses!D$3:D$999,SMALL(IF((Expenses!E$3:E$999="INR")*(Expenses!A$3:A$999=DATE(2026,2,5)),ROW(Expenses!A$3:A$999)-2),3)),0)+IFERROR(INDEX(Income!C$3:C$502,SMALL(IF((Income!D$3:D$502="INR")*(Income!A$3:A$502=DATE(2026,2,5)),ROW(Income!A$3:A$502)-2),3)),0)=0,"",IFERROR(-INDEX(Expenses!D$3:D$999,SMALL(IF((Expenses!E$3:E$999="INR")*(Expenses!A$3:A$999=DATE(2026,2,5)),ROW(Expenses!A$3:A$999)-2),3)),0)+IFERROR(INDEX(Income!C$3:C$502,SMALL(IF((Income!D$3:D$502="INR")*(Income!A$3:A$502=DATE(2026,2,5)),ROW(Income!A$3:A$502)-2),3)),0))</f>
        <v/>
      </c>
      <c r="J31" s="126">
        <f t="array" ref="J31">IF(IFERROR(INDEX(Expenses!B$3:B$999,SMALL(IF((Expenses!E$3:E$999="INR")*(Expenses!A$3:A$999=DATE(2026,2,5)),ROW(Expenses!A$3:A$999)-2),3)),"")&lt;&gt;"",IFERROR(INDEX(Expenses!B$3:B$999,SMALL(IF((Expenses!E$3:E$999="INR")*(Expenses!A$3:A$999=DATE(2026,2,5)),ROW(Expenses!A$3:A$999)-2),3)),""),IF(IFERROR(INDEX(Income!B$3:B$502,SMALL(IF((Income!D$3:D$502="INR")*(Income!A$3:A$502=DATE(2026,2,5)),ROW(Income!A$3:A$502)-2),3)),"")&lt;&gt;"",IFERROR(INDEX(Income!B$3:B$502,SMALL(IF((Income!D$3:D$502="INR")*(Income!A$3:A$502=DATE(2026,2,5)),ROW(Income!A$3:A$502)-2),3)),""),""))</f>
        <v/>
      </c>
      <c r="K31" s="153">
        <f t="array" ref="K31">IF(IFERROR(-INDEX(Expenses!D$3:D$999,SMALL(IF((Expenses!E$3:E$999="INR")*(Expenses!A$3:A$999=DATE(2026,2,6)),ROW(Expenses!A$3:A$999)-2),3)),0)+IFERROR(INDEX(Income!C$3:C$502,SMALL(IF((Income!D$3:D$502="INR")*(Income!A$3:A$502=DATE(2026,2,6)),ROW(Income!A$3:A$502)-2),3)),0)=0,"",IFERROR(-INDEX(Expenses!D$3:D$999,SMALL(IF((Expenses!E$3:E$999="INR")*(Expenses!A$3:A$999=DATE(2026,2,6)),ROW(Expenses!A$3:A$999)-2),3)),0)+IFERROR(INDEX(Income!C$3:C$502,SMALL(IF((Income!D$3:D$502="INR")*(Income!A$3:A$502=DATE(2026,2,6)),ROW(Income!A$3:A$502)-2),3)),0))</f>
        <v/>
      </c>
      <c r="L31" s="126">
        <f t="array" ref="L31">IF(IFERROR(INDEX(Expenses!B$3:B$999,SMALL(IF((Expenses!E$3:E$999="INR")*(Expenses!A$3:A$999=DATE(2026,2,6)),ROW(Expenses!A$3:A$999)-2),3)),"")&lt;&gt;"",IFERROR(INDEX(Expenses!B$3:B$999,SMALL(IF((Expenses!E$3:E$999="INR")*(Expenses!A$3:A$999=DATE(2026,2,6)),ROW(Expenses!A$3:A$999)-2),3)),""),IF(IFERROR(INDEX(Income!B$3:B$502,SMALL(IF((Income!D$3:D$502="INR")*(Income!A$3:A$502=DATE(2026,2,6)),ROW(Income!A$3:A$502)-2),3)),"")&lt;&gt;"",IFERROR(INDEX(Income!B$3:B$502,SMALL(IF((Income!D$3:D$502="INR")*(Income!A$3:A$502=DATE(2026,2,6)),ROW(Income!A$3:A$502)-2),3)),""),""))</f>
        <v/>
      </c>
      <c r="M31" s="153">
        <f t="array" ref="M31">IF(IFERROR(-INDEX(Expenses!D$3:D$999,SMALL(IF((Expenses!E$3:E$999="INR")*(Expenses!A$3:A$999=DATE(2026,2,7)),ROW(Expenses!A$3:A$999)-2),3)),0)+IFERROR(INDEX(Income!C$3:C$502,SMALL(IF((Income!D$3:D$502="INR")*(Income!A$3:A$502=DATE(2026,2,7)),ROW(Income!A$3:A$502)-2),3)),0)=0,"",IFERROR(-INDEX(Expenses!D$3:D$999,SMALL(IF((Expenses!E$3:E$999="INR")*(Expenses!A$3:A$999=DATE(2026,2,7)),ROW(Expenses!A$3:A$999)-2),3)),0)+IFERROR(INDEX(Income!C$3:C$502,SMALL(IF((Income!D$3:D$502="INR")*(Income!A$3:A$502=DATE(2026,2,7)),ROW(Income!A$3:A$502)-2),3)),0))</f>
        <v/>
      </c>
      <c r="N31" s="126">
        <f t="array" ref="N31">IF(IFERROR(INDEX(Expenses!B$3:B$999,SMALL(IF((Expenses!E$3:E$999="INR")*(Expenses!A$3:A$999=DATE(2026,2,7)),ROW(Expenses!A$3:A$999)-2),3)),"")&lt;&gt;"",IFERROR(INDEX(Expenses!B$3:B$999,SMALL(IF((Expenses!E$3:E$999="INR")*(Expenses!A$3:A$999=DATE(2026,2,7)),ROW(Expenses!A$3:A$999)-2),3)),""),IF(IFERROR(INDEX(Income!B$3:B$502,SMALL(IF((Income!D$3:D$502="INR")*(Income!A$3:A$502=DATE(2026,2,7)),ROW(Income!A$3:A$502)-2),3)),"")&lt;&gt;"",IFERROR(INDEX(Income!B$3:B$502,SMALL(IF((Income!D$3:D$502="INR")*(Income!A$3:A$502=DATE(2026,2,7)),ROW(Income!A$3:A$502)-2),3)),""),""))</f>
        <v/>
      </c>
      <c r="O31" s="153">
        <f t="array" ref="O31">IF(IFERROR(-INDEX(Expenses!D$3:D$999,SMALL(IF((Expenses!E$3:E$999="INR")*(Expenses!A$3:A$999=DATE(2026,2,8)),ROW(Expenses!A$3:A$999)-2),3)),0)+IFERROR(INDEX(Income!C$3:C$502,SMALL(IF((Income!D$3:D$502="INR")*(Income!A$3:A$502=DATE(2026,2,8)),ROW(Income!A$3:A$502)-2),3)),0)=0,"",IFERROR(-INDEX(Expenses!D$3:D$999,SMALL(IF((Expenses!E$3:E$999="INR")*(Expenses!A$3:A$999=DATE(2026,2,8)),ROW(Expenses!A$3:A$999)-2),3)),0)+IFERROR(INDEX(Income!C$3:C$502,SMALL(IF((Income!D$3:D$502="INR")*(Income!A$3:A$502=DATE(2026,2,8)),ROW(Income!A$3:A$502)-2),3)),0))</f>
        <v/>
      </c>
      <c r="P31" s="126">
        <f t="array" ref="P31">IF(IFERROR(INDEX(Expenses!B$3:B$999,SMALL(IF((Expenses!E$3:E$999="INR")*(Expenses!A$3:A$999=DATE(2026,2,8)),ROW(Expenses!A$3:A$999)-2),3)),"")&lt;&gt;"",IFERROR(INDEX(Expenses!B$3:B$999,SMALL(IF((Expenses!E$3:E$999="INR")*(Expenses!A$3:A$999=DATE(2026,2,8)),ROW(Expenses!A$3:A$999)-2),3)),""),IF(IFERROR(INDEX(Income!B$3:B$502,SMALL(IF((Income!D$3:D$502="INR")*(Income!A$3:A$502=DATE(2026,2,8)),ROW(Income!A$3:A$502)-2),3)),"")&lt;&gt;"",IFERROR(INDEX(Income!B$3:B$502,SMALL(IF((Income!D$3:D$502="INR")*(Income!A$3:A$502=DATE(2026,2,8)),ROW(Income!A$3:A$502)-2),3)),""),""))</f>
        <v/>
      </c>
      <c r="Q31" s="9" t="n"/>
      <c r="R31" s="9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68">
      <c r="A32" s="9" t="n"/>
      <c r="B32" s="9" t="n"/>
      <c r="C32" s="153">
        <f t="array" ref="C32">IF(IFERROR(-INDEX(Expenses!D$3:D$999,SMALL(IF((Expenses!E$3:E$999="INR")*(Expenses!A$3:A$999=DATE(2026,2,2)),ROW(Expenses!A$3:A$999)-2),4)),0)+IFERROR(INDEX(Income!C$3:C$502,SMALL(IF((Income!D$3:D$502="INR")*(Income!A$3:A$502=DATE(2026,2,2)),ROW(Income!A$3:A$502)-2),4)),0)=0,"",IFERROR(-INDEX(Expenses!D$3:D$999,SMALL(IF((Expenses!E$3:E$999="INR")*(Expenses!A$3:A$999=DATE(2026,2,2)),ROW(Expenses!A$3:A$999)-2),4)),0)+IFERROR(INDEX(Income!C$3:C$502,SMALL(IF((Income!D$3:D$502="INR")*(Income!A$3:A$502=DATE(2026,2,2)),ROW(Income!A$3:A$502)-2),4)),0))</f>
        <v/>
      </c>
      <c r="D32" s="126">
        <f t="array" ref="D32">IF(IFERROR(INDEX(Expenses!B$3:B$999,SMALL(IF((Expenses!E$3:E$999="INR")*(Expenses!A$3:A$999=DATE(2026,2,2)),ROW(Expenses!A$3:A$999)-2),4)),"")&lt;&gt;"",IFERROR(INDEX(Expenses!B$3:B$999,SMALL(IF((Expenses!E$3:E$999="INR")*(Expenses!A$3:A$999=DATE(2026,2,2)),ROW(Expenses!A$3:A$999)-2),4)),""),IF(IFERROR(INDEX(Income!B$3:B$502,SMALL(IF((Income!D$3:D$502="INR")*(Income!A$3:A$502=DATE(2026,2,2)),ROW(Income!A$3:A$502)-2),4)),"")&lt;&gt;"",IFERROR(INDEX(Income!B$3:B$502,SMALL(IF((Income!D$3:D$502="INR")*(Income!A$3:A$502=DATE(2026,2,2)),ROW(Income!A$3:A$502)-2),4)),""),""))</f>
        <v/>
      </c>
      <c r="E32" s="153">
        <f t="array" ref="E32">IF(IFERROR(-INDEX(Expenses!D$3:D$999,SMALL(IF((Expenses!E$3:E$999="INR")*(Expenses!A$3:A$999=DATE(2026,2,3)),ROW(Expenses!A$3:A$999)-2),4)),0)+IFERROR(INDEX(Income!C$3:C$502,SMALL(IF((Income!D$3:D$502="INR")*(Income!A$3:A$502=DATE(2026,2,3)),ROW(Income!A$3:A$502)-2),4)),0)=0,"",IFERROR(-INDEX(Expenses!D$3:D$999,SMALL(IF((Expenses!E$3:E$999="INR")*(Expenses!A$3:A$999=DATE(2026,2,3)),ROW(Expenses!A$3:A$999)-2),4)),0)+IFERROR(INDEX(Income!C$3:C$502,SMALL(IF((Income!D$3:D$502="INR")*(Income!A$3:A$502=DATE(2026,2,3)),ROW(Income!A$3:A$502)-2),4)),0))</f>
        <v/>
      </c>
      <c r="F32" s="126">
        <f t="array" ref="F32">IF(IFERROR(INDEX(Expenses!B$3:B$999,SMALL(IF((Expenses!E$3:E$999="INR")*(Expenses!A$3:A$999=DATE(2026,2,3)),ROW(Expenses!A$3:A$999)-2),4)),"")&lt;&gt;"",IFERROR(INDEX(Expenses!B$3:B$999,SMALL(IF((Expenses!E$3:E$999="INR")*(Expenses!A$3:A$999=DATE(2026,2,3)),ROW(Expenses!A$3:A$999)-2),4)),""),IF(IFERROR(INDEX(Income!B$3:B$502,SMALL(IF((Income!D$3:D$502="INR")*(Income!A$3:A$502=DATE(2026,2,3)),ROW(Income!A$3:A$502)-2),4)),"")&lt;&gt;"",IFERROR(INDEX(Income!B$3:B$502,SMALL(IF((Income!D$3:D$502="INR")*(Income!A$3:A$502=DATE(2026,2,3)),ROW(Income!A$3:A$502)-2),4)),""),""))</f>
        <v/>
      </c>
      <c r="G32" s="153">
        <f t="array" ref="G32">IF(IFERROR(-INDEX(Expenses!D$3:D$999,SMALL(IF((Expenses!E$3:E$999="INR")*(Expenses!A$3:A$999=DATE(2026,2,4)),ROW(Expenses!A$3:A$999)-2),4)),0)+IFERROR(INDEX(Income!C$3:C$502,SMALL(IF((Income!D$3:D$502="INR")*(Income!A$3:A$502=DATE(2026,2,4)),ROW(Income!A$3:A$502)-2),4)),0)=0,"",IFERROR(-INDEX(Expenses!D$3:D$999,SMALL(IF((Expenses!E$3:E$999="INR")*(Expenses!A$3:A$999=DATE(2026,2,4)),ROW(Expenses!A$3:A$999)-2),4)),0)+IFERROR(INDEX(Income!C$3:C$502,SMALL(IF((Income!D$3:D$502="INR")*(Income!A$3:A$502=DATE(2026,2,4)),ROW(Income!A$3:A$502)-2),4)),0))</f>
        <v/>
      </c>
      <c r="H32" s="126">
        <f t="array" ref="H32">IF(IFERROR(INDEX(Expenses!B$3:B$999,SMALL(IF((Expenses!E$3:E$999="INR")*(Expenses!A$3:A$999=DATE(2026,2,4)),ROW(Expenses!A$3:A$999)-2),4)),"")&lt;&gt;"",IFERROR(INDEX(Expenses!B$3:B$999,SMALL(IF((Expenses!E$3:E$999="INR")*(Expenses!A$3:A$999=DATE(2026,2,4)),ROW(Expenses!A$3:A$999)-2),4)),""),IF(IFERROR(INDEX(Income!B$3:B$502,SMALL(IF((Income!D$3:D$502="INR")*(Income!A$3:A$502=DATE(2026,2,4)),ROW(Income!A$3:A$502)-2),4)),"")&lt;&gt;"",IFERROR(INDEX(Income!B$3:B$502,SMALL(IF((Income!D$3:D$502="INR")*(Income!A$3:A$502=DATE(2026,2,4)),ROW(Income!A$3:A$502)-2),4)),""),""))</f>
        <v/>
      </c>
      <c r="I32" s="153">
        <f t="array" ref="I32">IF(IFERROR(-INDEX(Expenses!D$3:D$999,SMALL(IF((Expenses!E$3:E$999="INR")*(Expenses!A$3:A$999=DATE(2026,2,5)),ROW(Expenses!A$3:A$999)-2),4)),0)+IFERROR(INDEX(Income!C$3:C$502,SMALL(IF((Income!D$3:D$502="INR")*(Income!A$3:A$502=DATE(2026,2,5)),ROW(Income!A$3:A$502)-2),4)),0)=0,"",IFERROR(-INDEX(Expenses!D$3:D$999,SMALL(IF((Expenses!E$3:E$999="INR")*(Expenses!A$3:A$999=DATE(2026,2,5)),ROW(Expenses!A$3:A$999)-2),4)),0)+IFERROR(INDEX(Income!C$3:C$502,SMALL(IF((Income!D$3:D$502="INR")*(Income!A$3:A$502=DATE(2026,2,5)),ROW(Income!A$3:A$502)-2),4)),0))</f>
        <v/>
      </c>
      <c r="J32" s="126">
        <f t="array" ref="J32">IF(IFERROR(INDEX(Expenses!B$3:B$999,SMALL(IF((Expenses!E$3:E$999="INR")*(Expenses!A$3:A$999=DATE(2026,2,5)),ROW(Expenses!A$3:A$999)-2),4)),"")&lt;&gt;"",IFERROR(INDEX(Expenses!B$3:B$999,SMALL(IF((Expenses!E$3:E$999="INR")*(Expenses!A$3:A$999=DATE(2026,2,5)),ROW(Expenses!A$3:A$999)-2),4)),""),IF(IFERROR(INDEX(Income!B$3:B$502,SMALL(IF((Income!D$3:D$502="INR")*(Income!A$3:A$502=DATE(2026,2,5)),ROW(Income!A$3:A$502)-2),4)),"")&lt;&gt;"",IFERROR(INDEX(Income!B$3:B$502,SMALL(IF((Income!D$3:D$502="INR")*(Income!A$3:A$502=DATE(2026,2,5)),ROW(Income!A$3:A$502)-2),4)),""),""))</f>
        <v/>
      </c>
      <c r="K32" s="153">
        <f t="array" ref="K32">IF(IFERROR(-INDEX(Expenses!D$3:D$999,SMALL(IF((Expenses!E$3:E$999="INR")*(Expenses!A$3:A$999=DATE(2026,2,6)),ROW(Expenses!A$3:A$999)-2),4)),0)+IFERROR(INDEX(Income!C$3:C$502,SMALL(IF((Income!D$3:D$502="INR")*(Income!A$3:A$502=DATE(2026,2,6)),ROW(Income!A$3:A$502)-2),4)),0)=0,"",IFERROR(-INDEX(Expenses!D$3:D$999,SMALL(IF((Expenses!E$3:E$999="INR")*(Expenses!A$3:A$999=DATE(2026,2,6)),ROW(Expenses!A$3:A$999)-2),4)),0)+IFERROR(INDEX(Income!C$3:C$502,SMALL(IF((Income!D$3:D$502="INR")*(Income!A$3:A$502=DATE(2026,2,6)),ROW(Income!A$3:A$502)-2),4)),0))</f>
        <v/>
      </c>
      <c r="L32" s="126">
        <f t="array" ref="L32">IF(IFERROR(INDEX(Expenses!B$3:B$999,SMALL(IF((Expenses!E$3:E$999="INR")*(Expenses!A$3:A$999=DATE(2026,2,6)),ROW(Expenses!A$3:A$999)-2),4)),"")&lt;&gt;"",IFERROR(INDEX(Expenses!B$3:B$999,SMALL(IF((Expenses!E$3:E$999="INR")*(Expenses!A$3:A$999=DATE(2026,2,6)),ROW(Expenses!A$3:A$999)-2),4)),""),IF(IFERROR(INDEX(Income!B$3:B$502,SMALL(IF((Income!D$3:D$502="INR")*(Income!A$3:A$502=DATE(2026,2,6)),ROW(Income!A$3:A$502)-2),4)),"")&lt;&gt;"",IFERROR(INDEX(Income!B$3:B$502,SMALL(IF((Income!D$3:D$502="INR")*(Income!A$3:A$502=DATE(2026,2,6)),ROW(Income!A$3:A$502)-2),4)),""),""))</f>
        <v/>
      </c>
      <c r="M32" s="153">
        <f t="array" ref="M32">IF(IFERROR(-INDEX(Expenses!D$3:D$999,SMALL(IF((Expenses!E$3:E$999="INR")*(Expenses!A$3:A$999=DATE(2026,2,7)),ROW(Expenses!A$3:A$999)-2),4)),0)+IFERROR(INDEX(Income!C$3:C$502,SMALL(IF((Income!D$3:D$502="INR")*(Income!A$3:A$502=DATE(2026,2,7)),ROW(Income!A$3:A$502)-2),4)),0)=0,"",IFERROR(-INDEX(Expenses!D$3:D$999,SMALL(IF((Expenses!E$3:E$999="INR")*(Expenses!A$3:A$999=DATE(2026,2,7)),ROW(Expenses!A$3:A$999)-2),4)),0)+IFERROR(INDEX(Income!C$3:C$502,SMALL(IF((Income!D$3:D$502="INR")*(Income!A$3:A$502=DATE(2026,2,7)),ROW(Income!A$3:A$502)-2),4)),0))</f>
        <v/>
      </c>
      <c r="N32" s="126">
        <f t="array" ref="N32">IF(IFERROR(INDEX(Expenses!B$3:B$999,SMALL(IF((Expenses!E$3:E$999="INR")*(Expenses!A$3:A$999=DATE(2026,2,7)),ROW(Expenses!A$3:A$999)-2),4)),"")&lt;&gt;"",IFERROR(INDEX(Expenses!B$3:B$999,SMALL(IF((Expenses!E$3:E$999="INR")*(Expenses!A$3:A$999=DATE(2026,2,7)),ROW(Expenses!A$3:A$999)-2),4)),""),IF(IFERROR(INDEX(Income!B$3:B$502,SMALL(IF((Income!D$3:D$502="INR")*(Income!A$3:A$502=DATE(2026,2,7)),ROW(Income!A$3:A$502)-2),4)),"")&lt;&gt;"",IFERROR(INDEX(Income!B$3:B$502,SMALL(IF((Income!D$3:D$502="INR")*(Income!A$3:A$502=DATE(2026,2,7)),ROW(Income!A$3:A$502)-2),4)),""),""))</f>
        <v/>
      </c>
      <c r="O32" s="153">
        <f t="array" ref="O32">IF(IFERROR(-INDEX(Expenses!D$3:D$999,SMALL(IF((Expenses!E$3:E$999="INR")*(Expenses!A$3:A$999=DATE(2026,2,8)),ROW(Expenses!A$3:A$999)-2),4)),0)+IFERROR(INDEX(Income!C$3:C$502,SMALL(IF((Income!D$3:D$502="INR")*(Income!A$3:A$502=DATE(2026,2,8)),ROW(Income!A$3:A$502)-2),4)),0)=0,"",IFERROR(-INDEX(Expenses!D$3:D$999,SMALL(IF((Expenses!E$3:E$999="INR")*(Expenses!A$3:A$999=DATE(2026,2,8)),ROW(Expenses!A$3:A$999)-2),4)),0)+IFERROR(INDEX(Income!C$3:C$502,SMALL(IF((Income!D$3:D$502="INR")*(Income!A$3:A$502=DATE(2026,2,8)),ROW(Income!A$3:A$502)-2),4)),0))</f>
        <v/>
      </c>
      <c r="P32" s="126">
        <f t="array" ref="P32">IF(IFERROR(INDEX(Expenses!B$3:B$999,SMALL(IF((Expenses!E$3:E$999="INR")*(Expenses!A$3:A$999=DATE(2026,2,8)),ROW(Expenses!A$3:A$999)-2),4)),"")&lt;&gt;"",IFERROR(INDEX(Expenses!B$3:B$999,SMALL(IF((Expenses!E$3:E$999="INR")*(Expenses!A$3:A$999=DATE(2026,2,8)),ROW(Expenses!A$3:A$999)-2),4)),""),IF(IFERROR(INDEX(Income!B$3:B$502,SMALL(IF((Income!D$3:D$502="INR")*(Income!A$3:A$502=DATE(2026,2,8)),ROW(Income!A$3:A$502)-2),4)),"")&lt;&gt;"",IFERROR(INDEX(Income!B$3:B$502,SMALL(IF((Income!D$3:D$502="INR")*(Income!A$3:A$502=DATE(2026,2,8)),ROW(Income!A$3:A$502)-2),4)),""),""))</f>
        <v/>
      </c>
      <c r="Q32" s="9" t="n"/>
      <c r="R32" s="9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68">
      <c r="A33" s="9" t="n"/>
      <c r="B33" s="9" t="n"/>
      <c r="C33" s="153">
        <f t="array" ref="C33">IF(IFERROR(-INDEX(Expenses!D$3:D$999,SMALL(IF((Expenses!E$3:E$999="INR")*(Expenses!A$3:A$999=DATE(2026,2,2)),ROW(Expenses!A$3:A$999)-2),5)),0)+IFERROR(INDEX(Income!C$3:C$502,SMALL(IF((Income!D$3:D$502="INR")*(Income!A$3:A$502=DATE(2026,2,2)),ROW(Income!A$3:A$502)-2),5)),0)=0,"",IFERROR(-INDEX(Expenses!D$3:D$999,SMALL(IF((Expenses!E$3:E$999="INR")*(Expenses!A$3:A$999=DATE(2026,2,2)),ROW(Expenses!A$3:A$999)-2),5)),0)+IFERROR(INDEX(Income!C$3:C$502,SMALL(IF((Income!D$3:D$502="INR")*(Income!A$3:A$502=DATE(2026,2,2)),ROW(Income!A$3:A$502)-2),5)),0))</f>
        <v/>
      </c>
      <c r="D33" s="126">
        <f t="array" ref="D33">IF(IFERROR(INDEX(Expenses!B$3:B$999,SMALL(IF((Expenses!E$3:E$999="INR")*(Expenses!A$3:A$999=DATE(2026,2,2)),ROW(Expenses!A$3:A$999)-2),5)),"")&lt;&gt;"",IFERROR(INDEX(Expenses!B$3:B$999,SMALL(IF((Expenses!E$3:E$999="INR")*(Expenses!A$3:A$999=DATE(2026,2,2)),ROW(Expenses!A$3:A$999)-2),5)),""),IF(IFERROR(INDEX(Income!B$3:B$502,SMALL(IF((Income!D$3:D$502="INR")*(Income!A$3:A$502=DATE(2026,2,2)),ROW(Income!A$3:A$502)-2),5)),"")&lt;&gt;"",IFERROR(INDEX(Income!B$3:B$502,SMALL(IF((Income!D$3:D$502="INR")*(Income!A$3:A$502=DATE(2026,2,2)),ROW(Income!A$3:A$502)-2),5)),""),""))</f>
        <v/>
      </c>
      <c r="E33" s="153">
        <f t="array" ref="E33">IF(IFERROR(-INDEX(Expenses!D$3:D$999,SMALL(IF((Expenses!E$3:E$999="INR")*(Expenses!A$3:A$999=DATE(2026,2,3)),ROW(Expenses!A$3:A$999)-2),5)),0)+IFERROR(INDEX(Income!C$3:C$502,SMALL(IF((Income!D$3:D$502="INR")*(Income!A$3:A$502=DATE(2026,2,3)),ROW(Income!A$3:A$502)-2),5)),0)=0,"",IFERROR(-INDEX(Expenses!D$3:D$999,SMALL(IF((Expenses!E$3:E$999="INR")*(Expenses!A$3:A$999=DATE(2026,2,3)),ROW(Expenses!A$3:A$999)-2),5)),0)+IFERROR(INDEX(Income!C$3:C$502,SMALL(IF((Income!D$3:D$502="INR")*(Income!A$3:A$502=DATE(2026,2,3)),ROW(Income!A$3:A$502)-2),5)),0))</f>
        <v/>
      </c>
      <c r="F33" s="126">
        <f t="array" ref="F33">IF(IFERROR(INDEX(Expenses!B$3:B$999,SMALL(IF((Expenses!E$3:E$999="INR")*(Expenses!A$3:A$999=DATE(2026,2,3)),ROW(Expenses!A$3:A$999)-2),5)),"")&lt;&gt;"",IFERROR(INDEX(Expenses!B$3:B$999,SMALL(IF((Expenses!E$3:E$999="INR")*(Expenses!A$3:A$999=DATE(2026,2,3)),ROW(Expenses!A$3:A$999)-2),5)),""),IF(IFERROR(INDEX(Income!B$3:B$502,SMALL(IF((Income!D$3:D$502="INR")*(Income!A$3:A$502=DATE(2026,2,3)),ROW(Income!A$3:A$502)-2),5)),"")&lt;&gt;"",IFERROR(INDEX(Income!B$3:B$502,SMALL(IF((Income!D$3:D$502="INR")*(Income!A$3:A$502=DATE(2026,2,3)),ROW(Income!A$3:A$502)-2),5)),""),""))</f>
        <v/>
      </c>
      <c r="G33" s="153">
        <f t="array" ref="G33">IF(IFERROR(-INDEX(Expenses!D$3:D$999,SMALL(IF((Expenses!E$3:E$999="INR")*(Expenses!A$3:A$999=DATE(2026,2,4)),ROW(Expenses!A$3:A$999)-2),5)),0)+IFERROR(INDEX(Income!C$3:C$502,SMALL(IF((Income!D$3:D$502="INR")*(Income!A$3:A$502=DATE(2026,2,4)),ROW(Income!A$3:A$502)-2),5)),0)=0,"",IFERROR(-INDEX(Expenses!D$3:D$999,SMALL(IF((Expenses!E$3:E$999="INR")*(Expenses!A$3:A$999=DATE(2026,2,4)),ROW(Expenses!A$3:A$999)-2),5)),0)+IFERROR(INDEX(Income!C$3:C$502,SMALL(IF((Income!D$3:D$502="INR")*(Income!A$3:A$502=DATE(2026,2,4)),ROW(Income!A$3:A$502)-2),5)),0))</f>
        <v/>
      </c>
      <c r="H33" s="126">
        <f t="array" ref="H33">IF(IFERROR(INDEX(Expenses!B$3:B$999,SMALL(IF((Expenses!E$3:E$999="INR")*(Expenses!A$3:A$999=DATE(2026,2,4)),ROW(Expenses!A$3:A$999)-2),5)),"")&lt;&gt;"",IFERROR(INDEX(Expenses!B$3:B$999,SMALL(IF((Expenses!E$3:E$999="INR")*(Expenses!A$3:A$999=DATE(2026,2,4)),ROW(Expenses!A$3:A$999)-2),5)),""),IF(IFERROR(INDEX(Income!B$3:B$502,SMALL(IF((Income!D$3:D$502="INR")*(Income!A$3:A$502=DATE(2026,2,4)),ROW(Income!A$3:A$502)-2),5)),"")&lt;&gt;"",IFERROR(INDEX(Income!B$3:B$502,SMALL(IF((Income!D$3:D$502="INR")*(Income!A$3:A$502=DATE(2026,2,4)),ROW(Income!A$3:A$502)-2),5)),""),""))</f>
        <v/>
      </c>
      <c r="I33" s="153">
        <f t="array" ref="I33">IF(IFERROR(-INDEX(Expenses!D$3:D$999,SMALL(IF((Expenses!E$3:E$999="INR")*(Expenses!A$3:A$999=DATE(2026,2,5)),ROW(Expenses!A$3:A$999)-2),5)),0)+IFERROR(INDEX(Income!C$3:C$502,SMALL(IF((Income!D$3:D$502="INR")*(Income!A$3:A$502=DATE(2026,2,5)),ROW(Income!A$3:A$502)-2),5)),0)=0,"",IFERROR(-INDEX(Expenses!D$3:D$999,SMALL(IF((Expenses!E$3:E$999="INR")*(Expenses!A$3:A$999=DATE(2026,2,5)),ROW(Expenses!A$3:A$999)-2),5)),0)+IFERROR(INDEX(Income!C$3:C$502,SMALL(IF((Income!D$3:D$502="INR")*(Income!A$3:A$502=DATE(2026,2,5)),ROW(Income!A$3:A$502)-2),5)),0))</f>
        <v/>
      </c>
      <c r="J33" s="126">
        <f t="array" ref="J33">IF(IFERROR(INDEX(Expenses!B$3:B$999,SMALL(IF((Expenses!E$3:E$999="INR")*(Expenses!A$3:A$999=DATE(2026,2,5)),ROW(Expenses!A$3:A$999)-2),5)),"")&lt;&gt;"",IFERROR(INDEX(Expenses!B$3:B$999,SMALL(IF((Expenses!E$3:E$999="INR")*(Expenses!A$3:A$999=DATE(2026,2,5)),ROW(Expenses!A$3:A$999)-2),5)),""),IF(IFERROR(INDEX(Income!B$3:B$502,SMALL(IF((Income!D$3:D$502="INR")*(Income!A$3:A$502=DATE(2026,2,5)),ROW(Income!A$3:A$502)-2),5)),"")&lt;&gt;"",IFERROR(INDEX(Income!B$3:B$502,SMALL(IF((Income!D$3:D$502="INR")*(Income!A$3:A$502=DATE(2026,2,5)),ROW(Income!A$3:A$502)-2),5)),""),""))</f>
        <v/>
      </c>
      <c r="K33" s="153">
        <f t="array" ref="K33">IF(IFERROR(-INDEX(Expenses!D$3:D$999,SMALL(IF((Expenses!E$3:E$999="INR")*(Expenses!A$3:A$999=DATE(2026,2,6)),ROW(Expenses!A$3:A$999)-2),5)),0)+IFERROR(INDEX(Income!C$3:C$502,SMALL(IF((Income!D$3:D$502="INR")*(Income!A$3:A$502=DATE(2026,2,6)),ROW(Income!A$3:A$502)-2),5)),0)=0,"",IFERROR(-INDEX(Expenses!D$3:D$999,SMALL(IF((Expenses!E$3:E$999="INR")*(Expenses!A$3:A$999=DATE(2026,2,6)),ROW(Expenses!A$3:A$999)-2),5)),0)+IFERROR(INDEX(Income!C$3:C$502,SMALL(IF((Income!D$3:D$502="INR")*(Income!A$3:A$502=DATE(2026,2,6)),ROW(Income!A$3:A$502)-2),5)),0))</f>
        <v/>
      </c>
      <c r="L33" s="126">
        <f t="array" ref="L33">IF(IFERROR(INDEX(Expenses!B$3:B$999,SMALL(IF((Expenses!E$3:E$999="INR")*(Expenses!A$3:A$999=DATE(2026,2,6)),ROW(Expenses!A$3:A$999)-2),5)),"")&lt;&gt;"",IFERROR(INDEX(Expenses!B$3:B$999,SMALL(IF((Expenses!E$3:E$999="INR")*(Expenses!A$3:A$999=DATE(2026,2,6)),ROW(Expenses!A$3:A$999)-2),5)),""),IF(IFERROR(INDEX(Income!B$3:B$502,SMALL(IF((Income!D$3:D$502="INR")*(Income!A$3:A$502=DATE(2026,2,6)),ROW(Income!A$3:A$502)-2),5)),"")&lt;&gt;"",IFERROR(INDEX(Income!B$3:B$502,SMALL(IF((Income!D$3:D$502="INR")*(Income!A$3:A$502=DATE(2026,2,6)),ROW(Income!A$3:A$502)-2),5)),""),""))</f>
        <v/>
      </c>
      <c r="M33" s="153">
        <f t="array" ref="M33">IF(IFERROR(-INDEX(Expenses!D$3:D$999,SMALL(IF((Expenses!E$3:E$999="INR")*(Expenses!A$3:A$999=DATE(2026,2,7)),ROW(Expenses!A$3:A$999)-2),5)),0)+IFERROR(INDEX(Income!C$3:C$502,SMALL(IF((Income!D$3:D$502="INR")*(Income!A$3:A$502=DATE(2026,2,7)),ROW(Income!A$3:A$502)-2),5)),0)=0,"",IFERROR(-INDEX(Expenses!D$3:D$999,SMALL(IF((Expenses!E$3:E$999="INR")*(Expenses!A$3:A$999=DATE(2026,2,7)),ROW(Expenses!A$3:A$999)-2),5)),0)+IFERROR(INDEX(Income!C$3:C$502,SMALL(IF((Income!D$3:D$502="INR")*(Income!A$3:A$502=DATE(2026,2,7)),ROW(Income!A$3:A$502)-2),5)),0))</f>
        <v/>
      </c>
      <c r="N33" s="126">
        <f t="array" ref="N33">IF(IFERROR(INDEX(Expenses!B$3:B$999,SMALL(IF((Expenses!E$3:E$999="INR")*(Expenses!A$3:A$999=DATE(2026,2,7)),ROW(Expenses!A$3:A$999)-2),5)),"")&lt;&gt;"",IFERROR(INDEX(Expenses!B$3:B$999,SMALL(IF((Expenses!E$3:E$999="INR")*(Expenses!A$3:A$999=DATE(2026,2,7)),ROW(Expenses!A$3:A$999)-2),5)),""),IF(IFERROR(INDEX(Income!B$3:B$502,SMALL(IF((Income!D$3:D$502="INR")*(Income!A$3:A$502=DATE(2026,2,7)),ROW(Income!A$3:A$502)-2),5)),"")&lt;&gt;"",IFERROR(INDEX(Income!B$3:B$502,SMALL(IF((Income!D$3:D$502="INR")*(Income!A$3:A$502=DATE(2026,2,7)),ROW(Income!A$3:A$502)-2),5)),""),""))</f>
        <v/>
      </c>
      <c r="O33" s="153">
        <f t="array" ref="O33">IF(IFERROR(-INDEX(Expenses!D$3:D$999,SMALL(IF((Expenses!E$3:E$999="INR")*(Expenses!A$3:A$999=DATE(2026,2,8)),ROW(Expenses!A$3:A$999)-2),5)),0)+IFERROR(INDEX(Income!C$3:C$502,SMALL(IF((Income!D$3:D$502="INR")*(Income!A$3:A$502=DATE(2026,2,8)),ROW(Income!A$3:A$502)-2),5)),0)=0,"",IFERROR(-INDEX(Expenses!D$3:D$999,SMALL(IF((Expenses!E$3:E$999="INR")*(Expenses!A$3:A$999=DATE(2026,2,8)),ROW(Expenses!A$3:A$999)-2),5)),0)+IFERROR(INDEX(Income!C$3:C$502,SMALL(IF((Income!D$3:D$502="INR")*(Income!A$3:A$502=DATE(2026,2,8)),ROW(Income!A$3:A$502)-2),5)),0))</f>
        <v/>
      </c>
      <c r="P33" s="126">
        <f t="array" ref="P33">IF(IFERROR(INDEX(Expenses!B$3:B$999,SMALL(IF((Expenses!E$3:E$999="INR")*(Expenses!A$3:A$999=DATE(2026,2,8)),ROW(Expenses!A$3:A$999)-2),5)),"")&lt;&gt;"",IFERROR(INDEX(Expenses!B$3:B$999,SMALL(IF((Expenses!E$3:E$999="INR")*(Expenses!A$3:A$999=DATE(2026,2,8)),ROW(Expenses!A$3:A$999)-2),5)),""),IF(IFERROR(INDEX(Income!B$3:B$502,SMALL(IF((Income!D$3:D$502="INR")*(Income!A$3:A$502=DATE(2026,2,8)),ROW(Income!A$3:A$502)-2),5)),"")&lt;&gt;"",IFERROR(INDEX(Income!B$3:B$502,SMALL(IF((Income!D$3:D$502="INR")*(Income!A$3:A$502=DATE(2026,2,8)),ROW(Income!A$3:A$502)-2),5)),""),""))</f>
        <v/>
      </c>
      <c r="Q33" s="9" t="n"/>
      <c r="R33" s="9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68">
      <c r="A34" s="151" t="n">
        <v>46062</v>
      </c>
      <c r="B34" s="103" t="n">
        <v>7</v>
      </c>
      <c r="C34" s="153">
        <f t="array" ref="C34">IF(IFERROR(-INDEX(Expenses!D$3:D$999,SMALL(IF((Expenses!E$3:E$999="INR")*(Expenses!A$3:A$999=DATE(2026,2,9)),ROW(Expenses!A$3:A$999)-2),1)),0)+IFERROR(INDEX(Income!C$3:C$502,SMALL(IF((Income!D$3:D$502="INR")*(Income!A$3:A$502=DATE(2026,2,9)),ROW(Income!A$3:A$502)-2),1)),0)=0,"",IFERROR(-INDEX(Expenses!D$3:D$999,SMALL(IF((Expenses!E$3:E$999="INR")*(Expenses!A$3:A$999=DATE(2026,2,9)),ROW(Expenses!A$3:A$999)-2),1)),0)+IFERROR(INDEX(Income!C$3:C$502,SMALL(IF((Income!D$3:D$502="INR")*(Income!A$3:A$502=DATE(2026,2,9)),ROW(Income!A$3:A$502)-2),1)),0))</f>
        <v/>
      </c>
      <c r="D34" s="126">
        <f t="array" ref="D34">IF(IFERROR(INDEX(Expenses!B$3:B$999,SMALL(IF((Expenses!E$3:E$999="INR")*(Expenses!A$3:A$999=DATE(2026,2,9)),ROW(Expenses!A$3:A$999)-2),1)),"")&lt;&gt;"",IFERROR(INDEX(Expenses!B$3:B$999,SMALL(IF((Expenses!E$3:E$999="INR")*(Expenses!A$3:A$999=DATE(2026,2,9)),ROW(Expenses!A$3:A$999)-2),1)),""),IF(IFERROR(INDEX(Income!B$3:B$502,SMALL(IF((Income!D$3:D$502="INR")*(Income!A$3:A$502=DATE(2026,2,9)),ROW(Income!A$3:A$502)-2),1)),"")&lt;&gt;"",IFERROR(INDEX(Income!B$3:B$502,SMALL(IF((Income!D$3:D$502="INR")*(Income!A$3:A$502=DATE(2026,2,9)),ROW(Income!A$3:A$502)-2),1)),""),""))</f>
        <v/>
      </c>
      <c r="E34" s="153">
        <f t="array" ref="E34">IF(IFERROR(-INDEX(Expenses!D$3:D$999,SMALL(IF((Expenses!E$3:E$999="INR")*(Expenses!A$3:A$999=DATE(2026,2,10)),ROW(Expenses!A$3:A$999)-2),1)),0)+IFERROR(INDEX(Income!C$3:C$502,SMALL(IF((Income!D$3:D$502="INR")*(Income!A$3:A$502=DATE(2026,2,10)),ROW(Income!A$3:A$502)-2),1)),0)=0,"",IFERROR(-INDEX(Expenses!D$3:D$999,SMALL(IF((Expenses!E$3:E$999="INR")*(Expenses!A$3:A$999=DATE(2026,2,10)),ROW(Expenses!A$3:A$999)-2),1)),0)+IFERROR(INDEX(Income!C$3:C$502,SMALL(IF((Income!D$3:D$502="INR")*(Income!A$3:A$502=DATE(2026,2,10)),ROW(Income!A$3:A$502)-2),1)),0))</f>
        <v/>
      </c>
      <c r="F34" s="126">
        <f t="array" ref="F34">IF(IFERROR(INDEX(Expenses!B$3:B$999,SMALL(IF((Expenses!E$3:E$999="INR")*(Expenses!A$3:A$999=DATE(2026,2,10)),ROW(Expenses!A$3:A$999)-2),1)),"")&lt;&gt;"",IFERROR(INDEX(Expenses!B$3:B$999,SMALL(IF((Expenses!E$3:E$999="INR")*(Expenses!A$3:A$999=DATE(2026,2,10)),ROW(Expenses!A$3:A$999)-2),1)),""),IF(IFERROR(INDEX(Income!B$3:B$502,SMALL(IF((Income!D$3:D$502="INR")*(Income!A$3:A$502=DATE(2026,2,10)),ROW(Income!A$3:A$502)-2),1)),"")&lt;&gt;"",IFERROR(INDEX(Income!B$3:B$502,SMALL(IF((Income!D$3:D$502="INR")*(Income!A$3:A$502=DATE(2026,2,10)),ROW(Income!A$3:A$502)-2),1)),""),""))</f>
        <v/>
      </c>
      <c r="G34" s="153">
        <f t="array" ref="G34">IF(IFERROR(-INDEX(Expenses!D$3:D$999,SMALL(IF((Expenses!E$3:E$999="INR")*(Expenses!A$3:A$999=DATE(2026,2,11)),ROW(Expenses!A$3:A$999)-2),1)),0)+IFERROR(INDEX(Income!C$3:C$502,SMALL(IF((Income!D$3:D$502="INR")*(Income!A$3:A$502=DATE(2026,2,11)),ROW(Income!A$3:A$502)-2),1)),0)=0,"",IFERROR(-INDEX(Expenses!D$3:D$999,SMALL(IF((Expenses!E$3:E$999="INR")*(Expenses!A$3:A$999=DATE(2026,2,11)),ROW(Expenses!A$3:A$999)-2),1)),0)+IFERROR(INDEX(Income!C$3:C$502,SMALL(IF((Income!D$3:D$502="INR")*(Income!A$3:A$502=DATE(2026,2,11)),ROW(Income!A$3:A$502)-2),1)),0))</f>
        <v/>
      </c>
      <c r="H34" s="126">
        <f t="array" ref="H34">IF(IFERROR(INDEX(Expenses!B$3:B$999,SMALL(IF((Expenses!E$3:E$999="INR")*(Expenses!A$3:A$999=DATE(2026,2,11)),ROW(Expenses!A$3:A$999)-2),1)),"")&lt;&gt;"",IFERROR(INDEX(Expenses!B$3:B$999,SMALL(IF((Expenses!E$3:E$999="INR")*(Expenses!A$3:A$999=DATE(2026,2,11)),ROW(Expenses!A$3:A$999)-2),1)),""),IF(IFERROR(INDEX(Income!B$3:B$502,SMALL(IF((Income!D$3:D$502="INR")*(Income!A$3:A$502=DATE(2026,2,11)),ROW(Income!A$3:A$502)-2),1)),"")&lt;&gt;"",IFERROR(INDEX(Income!B$3:B$502,SMALL(IF((Income!D$3:D$502="INR")*(Income!A$3:A$502=DATE(2026,2,11)),ROW(Income!A$3:A$502)-2),1)),""),""))</f>
        <v/>
      </c>
      <c r="I34" s="153">
        <f t="array" ref="I34">IF(IFERROR(-INDEX(Expenses!D$3:D$999,SMALL(IF((Expenses!E$3:E$999="INR")*(Expenses!A$3:A$999=DATE(2026,2,12)),ROW(Expenses!A$3:A$999)-2),1)),0)+IFERROR(INDEX(Income!C$3:C$502,SMALL(IF((Income!D$3:D$502="INR")*(Income!A$3:A$502=DATE(2026,2,12)),ROW(Income!A$3:A$502)-2),1)),0)=0,"",IFERROR(-INDEX(Expenses!D$3:D$999,SMALL(IF((Expenses!E$3:E$999="INR")*(Expenses!A$3:A$999=DATE(2026,2,12)),ROW(Expenses!A$3:A$999)-2),1)),0)+IFERROR(INDEX(Income!C$3:C$502,SMALL(IF((Income!D$3:D$502="INR")*(Income!A$3:A$502=DATE(2026,2,12)),ROW(Income!A$3:A$502)-2),1)),0))</f>
        <v/>
      </c>
      <c r="J34" s="126">
        <f t="array" ref="J34">IF(IFERROR(INDEX(Expenses!B$3:B$999,SMALL(IF((Expenses!E$3:E$999="INR")*(Expenses!A$3:A$999=DATE(2026,2,12)),ROW(Expenses!A$3:A$999)-2),1)),"")&lt;&gt;"",IFERROR(INDEX(Expenses!B$3:B$999,SMALL(IF((Expenses!E$3:E$999="INR")*(Expenses!A$3:A$999=DATE(2026,2,12)),ROW(Expenses!A$3:A$999)-2),1)),""),IF(IFERROR(INDEX(Income!B$3:B$502,SMALL(IF((Income!D$3:D$502="INR")*(Income!A$3:A$502=DATE(2026,2,12)),ROW(Income!A$3:A$502)-2),1)),"")&lt;&gt;"",IFERROR(INDEX(Income!B$3:B$502,SMALL(IF((Income!D$3:D$502="INR")*(Income!A$3:A$502=DATE(2026,2,12)),ROW(Income!A$3:A$502)-2),1)),""),""))</f>
        <v/>
      </c>
      <c r="K34" s="153">
        <f t="array" ref="K34">IF(IFERROR(-INDEX(Expenses!D$3:D$999,SMALL(IF((Expenses!E$3:E$999="INR")*(Expenses!A$3:A$999=DATE(2026,2,13)),ROW(Expenses!A$3:A$999)-2),1)),0)+IFERROR(INDEX(Income!C$3:C$502,SMALL(IF((Income!D$3:D$502="INR")*(Income!A$3:A$502=DATE(2026,2,13)),ROW(Income!A$3:A$502)-2),1)),0)=0,"",IFERROR(-INDEX(Expenses!D$3:D$999,SMALL(IF((Expenses!E$3:E$999="INR")*(Expenses!A$3:A$999=DATE(2026,2,13)),ROW(Expenses!A$3:A$999)-2),1)),0)+IFERROR(INDEX(Income!C$3:C$502,SMALL(IF((Income!D$3:D$502="INR")*(Income!A$3:A$502=DATE(2026,2,13)),ROW(Income!A$3:A$502)-2),1)),0))</f>
        <v/>
      </c>
      <c r="L34" s="126">
        <f t="array" ref="L34">IF(IFERROR(INDEX(Expenses!B$3:B$999,SMALL(IF((Expenses!E$3:E$999="INR")*(Expenses!A$3:A$999=DATE(2026,2,13)),ROW(Expenses!A$3:A$999)-2),1)),"")&lt;&gt;"",IFERROR(INDEX(Expenses!B$3:B$999,SMALL(IF((Expenses!E$3:E$999="INR")*(Expenses!A$3:A$999=DATE(2026,2,13)),ROW(Expenses!A$3:A$999)-2),1)),""),IF(IFERROR(INDEX(Income!B$3:B$502,SMALL(IF((Income!D$3:D$502="INR")*(Income!A$3:A$502=DATE(2026,2,13)),ROW(Income!A$3:A$502)-2),1)),"")&lt;&gt;"",IFERROR(INDEX(Income!B$3:B$502,SMALL(IF((Income!D$3:D$502="INR")*(Income!A$3:A$502=DATE(2026,2,13)),ROW(Income!A$3:A$502)-2),1)),""),""))</f>
        <v/>
      </c>
      <c r="M34" s="153">
        <f t="array" ref="M34">IF(IFERROR(-INDEX(Expenses!D$3:D$999,SMALL(IF((Expenses!E$3:E$999="INR")*(Expenses!A$3:A$999=DATE(2026,2,14)),ROW(Expenses!A$3:A$999)-2),1)),0)+IFERROR(INDEX(Income!C$3:C$502,SMALL(IF((Income!D$3:D$502="INR")*(Income!A$3:A$502=DATE(2026,2,14)),ROW(Income!A$3:A$502)-2),1)),0)=0,"",IFERROR(-INDEX(Expenses!D$3:D$999,SMALL(IF((Expenses!E$3:E$999="INR")*(Expenses!A$3:A$999=DATE(2026,2,14)),ROW(Expenses!A$3:A$999)-2),1)),0)+IFERROR(INDEX(Income!C$3:C$502,SMALL(IF((Income!D$3:D$502="INR")*(Income!A$3:A$502=DATE(2026,2,14)),ROW(Income!A$3:A$502)-2),1)),0))</f>
        <v/>
      </c>
      <c r="N34" s="126">
        <f t="array" ref="N34">IF(IFERROR(INDEX(Expenses!B$3:B$999,SMALL(IF((Expenses!E$3:E$999="INR")*(Expenses!A$3:A$999=DATE(2026,2,14)),ROW(Expenses!A$3:A$999)-2),1)),"")&lt;&gt;"",IFERROR(INDEX(Expenses!B$3:B$999,SMALL(IF((Expenses!E$3:E$999="INR")*(Expenses!A$3:A$999=DATE(2026,2,14)),ROW(Expenses!A$3:A$999)-2),1)),""),IF(IFERROR(INDEX(Income!B$3:B$502,SMALL(IF((Income!D$3:D$502="INR")*(Income!A$3:A$502=DATE(2026,2,14)),ROW(Income!A$3:A$502)-2),1)),"")&lt;&gt;"",IFERROR(INDEX(Income!B$3:B$502,SMALL(IF((Income!D$3:D$502="INR")*(Income!A$3:A$502=DATE(2026,2,14)),ROW(Income!A$3:A$502)-2),1)),""),""))</f>
        <v/>
      </c>
      <c r="O34" s="153">
        <f t="array" ref="O34">IF(IFERROR(-INDEX(Expenses!D$3:D$999,SMALL(IF((Expenses!E$3:E$999="INR")*(Expenses!A$3:A$999=DATE(2026,2,15)),ROW(Expenses!A$3:A$999)-2),1)),0)+IFERROR(INDEX(Income!C$3:C$502,SMALL(IF((Income!D$3:D$502="INR")*(Income!A$3:A$502=DATE(2026,2,15)),ROW(Income!A$3:A$502)-2),1)),0)=0,"",IFERROR(-INDEX(Expenses!D$3:D$999,SMALL(IF((Expenses!E$3:E$999="INR")*(Expenses!A$3:A$999=DATE(2026,2,15)),ROW(Expenses!A$3:A$999)-2),1)),0)+IFERROR(INDEX(Income!C$3:C$502,SMALL(IF((Income!D$3:D$502="INR")*(Income!A$3:A$502=DATE(2026,2,15)),ROW(Income!A$3:A$502)-2),1)),0))</f>
        <v/>
      </c>
      <c r="P34" s="126">
        <f t="array" ref="P34">IF(IFERROR(INDEX(Expenses!B$3:B$999,SMALL(IF((Expenses!E$3:E$999="INR")*(Expenses!A$3:A$999=DATE(2026,2,15)),ROW(Expenses!A$3:A$999)-2),1)),"")&lt;&gt;"",IFERROR(INDEX(Expenses!B$3:B$999,SMALL(IF((Expenses!E$3:E$999="INR")*(Expenses!A$3:A$999=DATE(2026,2,15)),ROW(Expenses!A$3:A$999)-2),1)),""),IF(IFERROR(INDEX(Income!B$3:B$502,SMALL(IF((Income!D$3:D$502="INR")*(Income!A$3:A$502=DATE(2026,2,15)),ROW(Income!A$3:A$502)-2),1)),"")&lt;&gt;"",IFERROR(INDEX(Income!B$3:B$502,SMALL(IF((Income!D$3:D$502="INR")*(Income!A$3:A$502=DATE(2026,2,15)),ROW(Income!A$3:A$502)-2),1)),""),""))</f>
        <v/>
      </c>
      <c r="Q34" s="103" t="n">
        <v>7</v>
      </c>
      <c r="R34" s="142">
        <f>SUM(C34:C38)+SUM(E34:E38)+SUM(G34:G38)+SUM(I34:I38)+SUM(K34:K38)+SUM(M34:M38)+SUM(O34:O38)</f>
        <v/>
      </c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68">
      <c r="A35" s="9" t="n"/>
      <c r="B35" s="9" t="n"/>
      <c r="C35" s="153">
        <f t="array" ref="C35">IF(IFERROR(-INDEX(Expenses!D$3:D$999,SMALL(IF((Expenses!E$3:E$999="INR")*(Expenses!A$3:A$999=DATE(2026,2,9)),ROW(Expenses!A$3:A$999)-2),2)),0)+IFERROR(INDEX(Income!C$3:C$502,SMALL(IF((Income!D$3:D$502="INR")*(Income!A$3:A$502=DATE(2026,2,9)),ROW(Income!A$3:A$502)-2),2)),0)=0,"",IFERROR(-INDEX(Expenses!D$3:D$999,SMALL(IF((Expenses!E$3:E$999="INR")*(Expenses!A$3:A$999=DATE(2026,2,9)),ROW(Expenses!A$3:A$999)-2),2)),0)+IFERROR(INDEX(Income!C$3:C$502,SMALL(IF((Income!D$3:D$502="INR")*(Income!A$3:A$502=DATE(2026,2,9)),ROW(Income!A$3:A$502)-2),2)),0))</f>
        <v/>
      </c>
      <c r="D35" s="126">
        <f t="array" ref="D35">IF(IFERROR(INDEX(Expenses!B$3:B$999,SMALL(IF((Expenses!E$3:E$999="INR")*(Expenses!A$3:A$999=DATE(2026,2,9)),ROW(Expenses!A$3:A$999)-2),2)),"")&lt;&gt;"",IFERROR(INDEX(Expenses!B$3:B$999,SMALL(IF((Expenses!E$3:E$999="INR")*(Expenses!A$3:A$999=DATE(2026,2,9)),ROW(Expenses!A$3:A$999)-2),2)),""),IF(IFERROR(INDEX(Income!B$3:B$502,SMALL(IF((Income!D$3:D$502="INR")*(Income!A$3:A$502=DATE(2026,2,9)),ROW(Income!A$3:A$502)-2),2)),"")&lt;&gt;"",IFERROR(INDEX(Income!B$3:B$502,SMALL(IF((Income!D$3:D$502="INR")*(Income!A$3:A$502=DATE(2026,2,9)),ROW(Income!A$3:A$502)-2),2)),""),""))</f>
        <v/>
      </c>
      <c r="E35" s="153">
        <f t="array" ref="E35">IF(IFERROR(-INDEX(Expenses!D$3:D$999,SMALL(IF((Expenses!E$3:E$999="INR")*(Expenses!A$3:A$999=DATE(2026,2,10)),ROW(Expenses!A$3:A$999)-2),2)),0)+IFERROR(INDEX(Income!C$3:C$502,SMALL(IF((Income!D$3:D$502="INR")*(Income!A$3:A$502=DATE(2026,2,10)),ROW(Income!A$3:A$502)-2),2)),0)=0,"",IFERROR(-INDEX(Expenses!D$3:D$999,SMALL(IF((Expenses!E$3:E$999="INR")*(Expenses!A$3:A$999=DATE(2026,2,10)),ROW(Expenses!A$3:A$999)-2),2)),0)+IFERROR(INDEX(Income!C$3:C$502,SMALL(IF((Income!D$3:D$502="INR")*(Income!A$3:A$502=DATE(2026,2,10)),ROW(Income!A$3:A$502)-2),2)),0))</f>
        <v/>
      </c>
      <c r="F35" s="126">
        <f t="array" ref="F35">IF(IFERROR(INDEX(Expenses!B$3:B$999,SMALL(IF((Expenses!E$3:E$999="INR")*(Expenses!A$3:A$999=DATE(2026,2,10)),ROW(Expenses!A$3:A$999)-2),2)),"")&lt;&gt;"",IFERROR(INDEX(Expenses!B$3:B$999,SMALL(IF((Expenses!E$3:E$999="INR")*(Expenses!A$3:A$999=DATE(2026,2,10)),ROW(Expenses!A$3:A$999)-2),2)),""),IF(IFERROR(INDEX(Income!B$3:B$502,SMALL(IF((Income!D$3:D$502="INR")*(Income!A$3:A$502=DATE(2026,2,10)),ROW(Income!A$3:A$502)-2),2)),"")&lt;&gt;"",IFERROR(INDEX(Income!B$3:B$502,SMALL(IF((Income!D$3:D$502="INR")*(Income!A$3:A$502=DATE(2026,2,10)),ROW(Income!A$3:A$502)-2),2)),""),""))</f>
        <v/>
      </c>
      <c r="G35" s="153">
        <f t="array" ref="G35">IF(IFERROR(-INDEX(Expenses!D$3:D$999,SMALL(IF((Expenses!E$3:E$999="INR")*(Expenses!A$3:A$999=DATE(2026,2,11)),ROW(Expenses!A$3:A$999)-2),2)),0)+IFERROR(INDEX(Income!C$3:C$502,SMALL(IF((Income!D$3:D$502="INR")*(Income!A$3:A$502=DATE(2026,2,11)),ROW(Income!A$3:A$502)-2),2)),0)=0,"",IFERROR(-INDEX(Expenses!D$3:D$999,SMALL(IF((Expenses!E$3:E$999="INR")*(Expenses!A$3:A$999=DATE(2026,2,11)),ROW(Expenses!A$3:A$999)-2),2)),0)+IFERROR(INDEX(Income!C$3:C$502,SMALL(IF((Income!D$3:D$502="INR")*(Income!A$3:A$502=DATE(2026,2,11)),ROW(Income!A$3:A$502)-2),2)),0))</f>
        <v/>
      </c>
      <c r="H35" s="126">
        <f t="array" ref="H35">IF(IFERROR(INDEX(Expenses!B$3:B$999,SMALL(IF((Expenses!E$3:E$999="INR")*(Expenses!A$3:A$999=DATE(2026,2,11)),ROW(Expenses!A$3:A$999)-2),2)),"")&lt;&gt;"",IFERROR(INDEX(Expenses!B$3:B$999,SMALL(IF((Expenses!E$3:E$999="INR")*(Expenses!A$3:A$999=DATE(2026,2,11)),ROW(Expenses!A$3:A$999)-2),2)),""),IF(IFERROR(INDEX(Income!B$3:B$502,SMALL(IF((Income!D$3:D$502="INR")*(Income!A$3:A$502=DATE(2026,2,11)),ROW(Income!A$3:A$502)-2),2)),"")&lt;&gt;"",IFERROR(INDEX(Income!B$3:B$502,SMALL(IF((Income!D$3:D$502="INR")*(Income!A$3:A$502=DATE(2026,2,11)),ROW(Income!A$3:A$502)-2),2)),""),""))</f>
        <v/>
      </c>
      <c r="I35" s="153">
        <f t="array" ref="I35">IF(IFERROR(-INDEX(Expenses!D$3:D$999,SMALL(IF((Expenses!E$3:E$999="INR")*(Expenses!A$3:A$999=DATE(2026,2,12)),ROW(Expenses!A$3:A$999)-2),2)),0)+IFERROR(INDEX(Income!C$3:C$502,SMALL(IF((Income!D$3:D$502="INR")*(Income!A$3:A$502=DATE(2026,2,12)),ROW(Income!A$3:A$502)-2),2)),0)=0,"",IFERROR(-INDEX(Expenses!D$3:D$999,SMALL(IF((Expenses!E$3:E$999="INR")*(Expenses!A$3:A$999=DATE(2026,2,12)),ROW(Expenses!A$3:A$999)-2),2)),0)+IFERROR(INDEX(Income!C$3:C$502,SMALL(IF((Income!D$3:D$502="INR")*(Income!A$3:A$502=DATE(2026,2,12)),ROW(Income!A$3:A$502)-2),2)),0))</f>
        <v/>
      </c>
      <c r="J35" s="126">
        <f t="array" ref="J35">IF(IFERROR(INDEX(Expenses!B$3:B$999,SMALL(IF((Expenses!E$3:E$999="INR")*(Expenses!A$3:A$999=DATE(2026,2,12)),ROW(Expenses!A$3:A$999)-2),2)),"")&lt;&gt;"",IFERROR(INDEX(Expenses!B$3:B$999,SMALL(IF((Expenses!E$3:E$999="INR")*(Expenses!A$3:A$999=DATE(2026,2,12)),ROW(Expenses!A$3:A$999)-2),2)),""),IF(IFERROR(INDEX(Income!B$3:B$502,SMALL(IF((Income!D$3:D$502="INR")*(Income!A$3:A$502=DATE(2026,2,12)),ROW(Income!A$3:A$502)-2),2)),"")&lt;&gt;"",IFERROR(INDEX(Income!B$3:B$502,SMALL(IF((Income!D$3:D$502="INR")*(Income!A$3:A$502=DATE(2026,2,12)),ROW(Income!A$3:A$502)-2),2)),""),""))</f>
        <v/>
      </c>
      <c r="K35" s="153">
        <f t="array" ref="K35">IF(IFERROR(-INDEX(Expenses!D$3:D$999,SMALL(IF((Expenses!E$3:E$999="INR")*(Expenses!A$3:A$999=DATE(2026,2,13)),ROW(Expenses!A$3:A$999)-2),2)),0)+IFERROR(INDEX(Income!C$3:C$502,SMALL(IF((Income!D$3:D$502="INR")*(Income!A$3:A$502=DATE(2026,2,13)),ROW(Income!A$3:A$502)-2),2)),0)=0,"",IFERROR(-INDEX(Expenses!D$3:D$999,SMALL(IF((Expenses!E$3:E$999="INR")*(Expenses!A$3:A$999=DATE(2026,2,13)),ROW(Expenses!A$3:A$999)-2),2)),0)+IFERROR(INDEX(Income!C$3:C$502,SMALL(IF((Income!D$3:D$502="INR")*(Income!A$3:A$502=DATE(2026,2,13)),ROW(Income!A$3:A$502)-2),2)),0))</f>
        <v/>
      </c>
      <c r="L35" s="126">
        <f t="array" ref="L35">IF(IFERROR(INDEX(Expenses!B$3:B$999,SMALL(IF((Expenses!E$3:E$999="INR")*(Expenses!A$3:A$999=DATE(2026,2,13)),ROW(Expenses!A$3:A$999)-2),2)),"")&lt;&gt;"",IFERROR(INDEX(Expenses!B$3:B$999,SMALL(IF((Expenses!E$3:E$999="INR")*(Expenses!A$3:A$999=DATE(2026,2,13)),ROW(Expenses!A$3:A$999)-2),2)),""),IF(IFERROR(INDEX(Income!B$3:B$502,SMALL(IF((Income!D$3:D$502="INR")*(Income!A$3:A$502=DATE(2026,2,13)),ROW(Income!A$3:A$502)-2),2)),"")&lt;&gt;"",IFERROR(INDEX(Income!B$3:B$502,SMALL(IF((Income!D$3:D$502="INR")*(Income!A$3:A$502=DATE(2026,2,13)),ROW(Income!A$3:A$502)-2),2)),""),""))</f>
        <v/>
      </c>
      <c r="M35" s="153">
        <f t="array" ref="M35">IF(IFERROR(-INDEX(Expenses!D$3:D$999,SMALL(IF((Expenses!E$3:E$999="INR")*(Expenses!A$3:A$999=DATE(2026,2,14)),ROW(Expenses!A$3:A$999)-2),2)),0)+IFERROR(INDEX(Income!C$3:C$502,SMALL(IF((Income!D$3:D$502="INR")*(Income!A$3:A$502=DATE(2026,2,14)),ROW(Income!A$3:A$502)-2),2)),0)=0,"",IFERROR(-INDEX(Expenses!D$3:D$999,SMALL(IF((Expenses!E$3:E$999="INR")*(Expenses!A$3:A$999=DATE(2026,2,14)),ROW(Expenses!A$3:A$999)-2),2)),0)+IFERROR(INDEX(Income!C$3:C$502,SMALL(IF((Income!D$3:D$502="INR")*(Income!A$3:A$502=DATE(2026,2,14)),ROW(Income!A$3:A$502)-2),2)),0))</f>
        <v/>
      </c>
      <c r="N35" s="126">
        <f t="array" ref="N35">IF(IFERROR(INDEX(Expenses!B$3:B$999,SMALL(IF((Expenses!E$3:E$999="INR")*(Expenses!A$3:A$999=DATE(2026,2,14)),ROW(Expenses!A$3:A$999)-2),2)),"")&lt;&gt;"",IFERROR(INDEX(Expenses!B$3:B$999,SMALL(IF((Expenses!E$3:E$999="INR")*(Expenses!A$3:A$999=DATE(2026,2,14)),ROW(Expenses!A$3:A$999)-2),2)),""),IF(IFERROR(INDEX(Income!B$3:B$502,SMALL(IF((Income!D$3:D$502="INR")*(Income!A$3:A$502=DATE(2026,2,14)),ROW(Income!A$3:A$502)-2),2)),"")&lt;&gt;"",IFERROR(INDEX(Income!B$3:B$502,SMALL(IF((Income!D$3:D$502="INR")*(Income!A$3:A$502=DATE(2026,2,14)),ROW(Income!A$3:A$502)-2),2)),""),""))</f>
        <v/>
      </c>
      <c r="O35" s="153">
        <f t="array" ref="O35">IF(IFERROR(-INDEX(Expenses!D$3:D$999,SMALL(IF((Expenses!E$3:E$999="INR")*(Expenses!A$3:A$999=DATE(2026,2,15)),ROW(Expenses!A$3:A$999)-2),2)),0)+IFERROR(INDEX(Income!C$3:C$502,SMALL(IF((Income!D$3:D$502="INR")*(Income!A$3:A$502=DATE(2026,2,15)),ROW(Income!A$3:A$502)-2),2)),0)=0,"",IFERROR(-INDEX(Expenses!D$3:D$999,SMALL(IF((Expenses!E$3:E$999="INR")*(Expenses!A$3:A$999=DATE(2026,2,15)),ROW(Expenses!A$3:A$999)-2),2)),0)+IFERROR(INDEX(Income!C$3:C$502,SMALL(IF((Income!D$3:D$502="INR")*(Income!A$3:A$502=DATE(2026,2,15)),ROW(Income!A$3:A$502)-2),2)),0))</f>
        <v/>
      </c>
      <c r="P35" s="126">
        <f t="array" ref="P35">IF(IFERROR(INDEX(Expenses!B$3:B$999,SMALL(IF((Expenses!E$3:E$999="INR")*(Expenses!A$3:A$999=DATE(2026,2,15)),ROW(Expenses!A$3:A$999)-2),2)),"")&lt;&gt;"",IFERROR(INDEX(Expenses!B$3:B$999,SMALL(IF((Expenses!E$3:E$999="INR")*(Expenses!A$3:A$999=DATE(2026,2,15)),ROW(Expenses!A$3:A$999)-2),2)),""),IF(IFERROR(INDEX(Income!B$3:B$502,SMALL(IF((Income!D$3:D$502="INR")*(Income!A$3:A$502=DATE(2026,2,15)),ROW(Income!A$3:A$502)-2),2)),"")&lt;&gt;"",IFERROR(INDEX(Income!B$3:B$502,SMALL(IF((Income!D$3:D$502="INR")*(Income!A$3:A$502=DATE(2026,2,15)),ROW(Income!A$3:A$502)-2),2)),""),""))</f>
        <v/>
      </c>
      <c r="Q35" s="9" t="n"/>
      <c r="R35" s="9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68">
      <c r="A36" s="9" t="n"/>
      <c r="B36" s="9" t="n"/>
      <c r="C36" s="153">
        <f t="array" ref="C36">IF(IFERROR(-INDEX(Expenses!D$3:D$999,SMALL(IF((Expenses!E$3:E$999="INR")*(Expenses!A$3:A$999=DATE(2026,2,9)),ROW(Expenses!A$3:A$999)-2),3)),0)+IFERROR(INDEX(Income!C$3:C$502,SMALL(IF((Income!D$3:D$502="INR")*(Income!A$3:A$502=DATE(2026,2,9)),ROW(Income!A$3:A$502)-2),3)),0)=0,"",IFERROR(-INDEX(Expenses!D$3:D$999,SMALL(IF((Expenses!E$3:E$999="INR")*(Expenses!A$3:A$999=DATE(2026,2,9)),ROW(Expenses!A$3:A$999)-2),3)),0)+IFERROR(INDEX(Income!C$3:C$502,SMALL(IF((Income!D$3:D$502="INR")*(Income!A$3:A$502=DATE(2026,2,9)),ROW(Income!A$3:A$502)-2),3)),0))</f>
        <v/>
      </c>
      <c r="D36" s="126">
        <f t="array" ref="D36">IF(IFERROR(INDEX(Expenses!B$3:B$999,SMALL(IF((Expenses!E$3:E$999="INR")*(Expenses!A$3:A$999=DATE(2026,2,9)),ROW(Expenses!A$3:A$999)-2),3)),"")&lt;&gt;"",IFERROR(INDEX(Expenses!B$3:B$999,SMALL(IF((Expenses!E$3:E$999="INR")*(Expenses!A$3:A$999=DATE(2026,2,9)),ROW(Expenses!A$3:A$999)-2),3)),""),IF(IFERROR(INDEX(Income!B$3:B$502,SMALL(IF((Income!D$3:D$502="INR")*(Income!A$3:A$502=DATE(2026,2,9)),ROW(Income!A$3:A$502)-2),3)),"")&lt;&gt;"",IFERROR(INDEX(Income!B$3:B$502,SMALL(IF((Income!D$3:D$502="INR")*(Income!A$3:A$502=DATE(2026,2,9)),ROW(Income!A$3:A$502)-2),3)),""),""))</f>
        <v/>
      </c>
      <c r="E36" s="153">
        <f t="array" ref="E36">IF(IFERROR(-INDEX(Expenses!D$3:D$999,SMALL(IF((Expenses!E$3:E$999="INR")*(Expenses!A$3:A$999=DATE(2026,2,10)),ROW(Expenses!A$3:A$999)-2),3)),0)+IFERROR(INDEX(Income!C$3:C$502,SMALL(IF((Income!D$3:D$502="INR")*(Income!A$3:A$502=DATE(2026,2,10)),ROW(Income!A$3:A$502)-2),3)),0)=0,"",IFERROR(-INDEX(Expenses!D$3:D$999,SMALL(IF((Expenses!E$3:E$999="INR")*(Expenses!A$3:A$999=DATE(2026,2,10)),ROW(Expenses!A$3:A$999)-2),3)),0)+IFERROR(INDEX(Income!C$3:C$502,SMALL(IF((Income!D$3:D$502="INR")*(Income!A$3:A$502=DATE(2026,2,10)),ROW(Income!A$3:A$502)-2),3)),0))</f>
        <v/>
      </c>
      <c r="F36" s="126">
        <f t="array" ref="F36">IF(IFERROR(INDEX(Expenses!B$3:B$999,SMALL(IF((Expenses!E$3:E$999="INR")*(Expenses!A$3:A$999=DATE(2026,2,10)),ROW(Expenses!A$3:A$999)-2),3)),"")&lt;&gt;"",IFERROR(INDEX(Expenses!B$3:B$999,SMALL(IF((Expenses!E$3:E$999="INR")*(Expenses!A$3:A$999=DATE(2026,2,10)),ROW(Expenses!A$3:A$999)-2),3)),""),IF(IFERROR(INDEX(Income!B$3:B$502,SMALL(IF((Income!D$3:D$502="INR")*(Income!A$3:A$502=DATE(2026,2,10)),ROW(Income!A$3:A$502)-2),3)),"")&lt;&gt;"",IFERROR(INDEX(Income!B$3:B$502,SMALL(IF((Income!D$3:D$502="INR")*(Income!A$3:A$502=DATE(2026,2,10)),ROW(Income!A$3:A$502)-2),3)),""),""))</f>
        <v/>
      </c>
      <c r="G36" s="153">
        <f t="array" ref="G36">IF(IFERROR(-INDEX(Expenses!D$3:D$999,SMALL(IF((Expenses!E$3:E$999="INR")*(Expenses!A$3:A$999=DATE(2026,2,11)),ROW(Expenses!A$3:A$999)-2),3)),0)+IFERROR(INDEX(Income!C$3:C$502,SMALL(IF((Income!D$3:D$502="INR")*(Income!A$3:A$502=DATE(2026,2,11)),ROW(Income!A$3:A$502)-2),3)),0)=0,"",IFERROR(-INDEX(Expenses!D$3:D$999,SMALL(IF((Expenses!E$3:E$999="INR")*(Expenses!A$3:A$999=DATE(2026,2,11)),ROW(Expenses!A$3:A$999)-2),3)),0)+IFERROR(INDEX(Income!C$3:C$502,SMALL(IF((Income!D$3:D$502="INR")*(Income!A$3:A$502=DATE(2026,2,11)),ROW(Income!A$3:A$502)-2),3)),0))</f>
        <v/>
      </c>
      <c r="H36" s="126">
        <f t="array" ref="H36">IF(IFERROR(INDEX(Expenses!B$3:B$999,SMALL(IF((Expenses!E$3:E$999="INR")*(Expenses!A$3:A$999=DATE(2026,2,11)),ROW(Expenses!A$3:A$999)-2),3)),"")&lt;&gt;"",IFERROR(INDEX(Expenses!B$3:B$999,SMALL(IF((Expenses!E$3:E$999="INR")*(Expenses!A$3:A$999=DATE(2026,2,11)),ROW(Expenses!A$3:A$999)-2),3)),""),IF(IFERROR(INDEX(Income!B$3:B$502,SMALL(IF((Income!D$3:D$502="INR")*(Income!A$3:A$502=DATE(2026,2,11)),ROW(Income!A$3:A$502)-2),3)),"")&lt;&gt;"",IFERROR(INDEX(Income!B$3:B$502,SMALL(IF((Income!D$3:D$502="INR")*(Income!A$3:A$502=DATE(2026,2,11)),ROW(Income!A$3:A$502)-2),3)),""),""))</f>
        <v/>
      </c>
      <c r="I36" s="153">
        <f t="array" ref="I36">IF(IFERROR(-INDEX(Expenses!D$3:D$999,SMALL(IF((Expenses!E$3:E$999="INR")*(Expenses!A$3:A$999=DATE(2026,2,12)),ROW(Expenses!A$3:A$999)-2),3)),0)+IFERROR(INDEX(Income!C$3:C$502,SMALL(IF((Income!D$3:D$502="INR")*(Income!A$3:A$502=DATE(2026,2,12)),ROW(Income!A$3:A$502)-2),3)),0)=0,"",IFERROR(-INDEX(Expenses!D$3:D$999,SMALL(IF((Expenses!E$3:E$999="INR")*(Expenses!A$3:A$999=DATE(2026,2,12)),ROW(Expenses!A$3:A$999)-2),3)),0)+IFERROR(INDEX(Income!C$3:C$502,SMALL(IF((Income!D$3:D$502="INR")*(Income!A$3:A$502=DATE(2026,2,12)),ROW(Income!A$3:A$502)-2),3)),0))</f>
        <v/>
      </c>
      <c r="J36" s="126">
        <f t="array" ref="J36">IF(IFERROR(INDEX(Expenses!B$3:B$999,SMALL(IF((Expenses!E$3:E$999="INR")*(Expenses!A$3:A$999=DATE(2026,2,12)),ROW(Expenses!A$3:A$999)-2),3)),"")&lt;&gt;"",IFERROR(INDEX(Expenses!B$3:B$999,SMALL(IF((Expenses!E$3:E$999="INR")*(Expenses!A$3:A$999=DATE(2026,2,12)),ROW(Expenses!A$3:A$999)-2),3)),""),IF(IFERROR(INDEX(Income!B$3:B$502,SMALL(IF((Income!D$3:D$502="INR")*(Income!A$3:A$502=DATE(2026,2,12)),ROW(Income!A$3:A$502)-2),3)),"")&lt;&gt;"",IFERROR(INDEX(Income!B$3:B$502,SMALL(IF((Income!D$3:D$502="INR")*(Income!A$3:A$502=DATE(2026,2,12)),ROW(Income!A$3:A$502)-2),3)),""),""))</f>
        <v/>
      </c>
      <c r="K36" s="153">
        <f t="array" ref="K36">IF(IFERROR(-INDEX(Expenses!D$3:D$999,SMALL(IF((Expenses!E$3:E$999="INR")*(Expenses!A$3:A$999=DATE(2026,2,13)),ROW(Expenses!A$3:A$999)-2),3)),0)+IFERROR(INDEX(Income!C$3:C$502,SMALL(IF((Income!D$3:D$502="INR")*(Income!A$3:A$502=DATE(2026,2,13)),ROW(Income!A$3:A$502)-2),3)),0)=0,"",IFERROR(-INDEX(Expenses!D$3:D$999,SMALL(IF((Expenses!E$3:E$999="INR")*(Expenses!A$3:A$999=DATE(2026,2,13)),ROW(Expenses!A$3:A$999)-2),3)),0)+IFERROR(INDEX(Income!C$3:C$502,SMALL(IF((Income!D$3:D$502="INR")*(Income!A$3:A$502=DATE(2026,2,13)),ROW(Income!A$3:A$502)-2),3)),0))</f>
        <v/>
      </c>
      <c r="L36" s="126">
        <f t="array" ref="L36">IF(IFERROR(INDEX(Expenses!B$3:B$999,SMALL(IF((Expenses!E$3:E$999="INR")*(Expenses!A$3:A$999=DATE(2026,2,13)),ROW(Expenses!A$3:A$999)-2),3)),"")&lt;&gt;"",IFERROR(INDEX(Expenses!B$3:B$999,SMALL(IF((Expenses!E$3:E$999="INR")*(Expenses!A$3:A$999=DATE(2026,2,13)),ROW(Expenses!A$3:A$999)-2),3)),""),IF(IFERROR(INDEX(Income!B$3:B$502,SMALL(IF((Income!D$3:D$502="INR")*(Income!A$3:A$502=DATE(2026,2,13)),ROW(Income!A$3:A$502)-2),3)),"")&lt;&gt;"",IFERROR(INDEX(Income!B$3:B$502,SMALL(IF((Income!D$3:D$502="INR")*(Income!A$3:A$502=DATE(2026,2,13)),ROW(Income!A$3:A$502)-2),3)),""),""))</f>
        <v/>
      </c>
      <c r="M36" s="153">
        <f t="array" ref="M36">IF(IFERROR(-INDEX(Expenses!D$3:D$999,SMALL(IF((Expenses!E$3:E$999="INR")*(Expenses!A$3:A$999=DATE(2026,2,14)),ROW(Expenses!A$3:A$999)-2),3)),0)+IFERROR(INDEX(Income!C$3:C$502,SMALL(IF((Income!D$3:D$502="INR")*(Income!A$3:A$502=DATE(2026,2,14)),ROW(Income!A$3:A$502)-2),3)),0)=0,"",IFERROR(-INDEX(Expenses!D$3:D$999,SMALL(IF((Expenses!E$3:E$999="INR")*(Expenses!A$3:A$999=DATE(2026,2,14)),ROW(Expenses!A$3:A$999)-2),3)),0)+IFERROR(INDEX(Income!C$3:C$502,SMALL(IF((Income!D$3:D$502="INR")*(Income!A$3:A$502=DATE(2026,2,14)),ROW(Income!A$3:A$502)-2),3)),0))</f>
        <v/>
      </c>
      <c r="N36" s="126">
        <f t="array" ref="N36">IF(IFERROR(INDEX(Expenses!B$3:B$999,SMALL(IF((Expenses!E$3:E$999="INR")*(Expenses!A$3:A$999=DATE(2026,2,14)),ROW(Expenses!A$3:A$999)-2),3)),"")&lt;&gt;"",IFERROR(INDEX(Expenses!B$3:B$999,SMALL(IF((Expenses!E$3:E$999="INR")*(Expenses!A$3:A$999=DATE(2026,2,14)),ROW(Expenses!A$3:A$999)-2),3)),""),IF(IFERROR(INDEX(Income!B$3:B$502,SMALL(IF((Income!D$3:D$502="INR")*(Income!A$3:A$502=DATE(2026,2,14)),ROW(Income!A$3:A$502)-2),3)),"")&lt;&gt;"",IFERROR(INDEX(Income!B$3:B$502,SMALL(IF((Income!D$3:D$502="INR")*(Income!A$3:A$502=DATE(2026,2,14)),ROW(Income!A$3:A$502)-2),3)),""),""))</f>
        <v/>
      </c>
      <c r="O36" s="153">
        <f t="array" ref="O36">IF(IFERROR(-INDEX(Expenses!D$3:D$999,SMALL(IF((Expenses!E$3:E$999="INR")*(Expenses!A$3:A$999=DATE(2026,2,15)),ROW(Expenses!A$3:A$999)-2),3)),0)+IFERROR(INDEX(Income!C$3:C$502,SMALL(IF((Income!D$3:D$502="INR")*(Income!A$3:A$502=DATE(2026,2,15)),ROW(Income!A$3:A$502)-2),3)),0)=0,"",IFERROR(-INDEX(Expenses!D$3:D$999,SMALL(IF((Expenses!E$3:E$999="INR")*(Expenses!A$3:A$999=DATE(2026,2,15)),ROW(Expenses!A$3:A$999)-2),3)),0)+IFERROR(INDEX(Income!C$3:C$502,SMALL(IF((Income!D$3:D$502="INR")*(Income!A$3:A$502=DATE(2026,2,15)),ROW(Income!A$3:A$502)-2),3)),0))</f>
        <v/>
      </c>
      <c r="P36" s="126">
        <f t="array" ref="P36">IF(IFERROR(INDEX(Expenses!B$3:B$999,SMALL(IF((Expenses!E$3:E$999="INR")*(Expenses!A$3:A$999=DATE(2026,2,15)),ROW(Expenses!A$3:A$999)-2),3)),"")&lt;&gt;"",IFERROR(INDEX(Expenses!B$3:B$999,SMALL(IF((Expenses!E$3:E$999="INR")*(Expenses!A$3:A$999=DATE(2026,2,15)),ROW(Expenses!A$3:A$999)-2),3)),""),IF(IFERROR(INDEX(Income!B$3:B$502,SMALL(IF((Income!D$3:D$502="INR")*(Income!A$3:A$502=DATE(2026,2,15)),ROW(Income!A$3:A$502)-2),3)),"")&lt;&gt;"",IFERROR(INDEX(Income!B$3:B$502,SMALL(IF((Income!D$3:D$502="INR")*(Income!A$3:A$502=DATE(2026,2,15)),ROW(Income!A$3:A$502)-2),3)),""),""))</f>
        <v/>
      </c>
      <c r="Q36" s="9" t="n"/>
      <c r="R36" s="9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68">
      <c r="A37" s="9" t="n"/>
      <c r="B37" s="9" t="n"/>
      <c r="C37" s="153">
        <f t="array" ref="C37">IF(IFERROR(-INDEX(Expenses!D$3:D$999,SMALL(IF((Expenses!E$3:E$999="INR")*(Expenses!A$3:A$999=DATE(2026,2,9)),ROW(Expenses!A$3:A$999)-2),4)),0)+IFERROR(INDEX(Income!C$3:C$502,SMALL(IF((Income!D$3:D$502="INR")*(Income!A$3:A$502=DATE(2026,2,9)),ROW(Income!A$3:A$502)-2),4)),0)=0,"",IFERROR(-INDEX(Expenses!D$3:D$999,SMALL(IF((Expenses!E$3:E$999="INR")*(Expenses!A$3:A$999=DATE(2026,2,9)),ROW(Expenses!A$3:A$999)-2),4)),0)+IFERROR(INDEX(Income!C$3:C$502,SMALL(IF((Income!D$3:D$502="INR")*(Income!A$3:A$502=DATE(2026,2,9)),ROW(Income!A$3:A$502)-2),4)),0))</f>
        <v/>
      </c>
      <c r="D37" s="126">
        <f t="array" ref="D37">IF(IFERROR(INDEX(Expenses!B$3:B$999,SMALL(IF((Expenses!E$3:E$999="INR")*(Expenses!A$3:A$999=DATE(2026,2,9)),ROW(Expenses!A$3:A$999)-2),4)),"")&lt;&gt;"",IFERROR(INDEX(Expenses!B$3:B$999,SMALL(IF((Expenses!E$3:E$999="INR")*(Expenses!A$3:A$999=DATE(2026,2,9)),ROW(Expenses!A$3:A$999)-2),4)),""),IF(IFERROR(INDEX(Income!B$3:B$502,SMALL(IF((Income!D$3:D$502="INR")*(Income!A$3:A$502=DATE(2026,2,9)),ROW(Income!A$3:A$502)-2),4)),"")&lt;&gt;"",IFERROR(INDEX(Income!B$3:B$502,SMALL(IF((Income!D$3:D$502="INR")*(Income!A$3:A$502=DATE(2026,2,9)),ROW(Income!A$3:A$502)-2),4)),""),""))</f>
        <v/>
      </c>
      <c r="E37" s="153">
        <f t="array" ref="E37">IF(IFERROR(-INDEX(Expenses!D$3:D$999,SMALL(IF((Expenses!E$3:E$999="INR")*(Expenses!A$3:A$999=DATE(2026,2,10)),ROW(Expenses!A$3:A$999)-2),4)),0)+IFERROR(INDEX(Income!C$3:C$502,SMALL(IF((Income!D$3:D$502="INR")*(Income!A$3:A$502=DATE(2026,2,10)),ROW(Income!A$3:A$502)-2),4)),0)=0,"",IFERROR(-INDEX(Expenses!D$3:D$999,SMALL(IF((Expenses!E$3:E$999="INR")*(Expenses!A$3:A$999=DATE(2026,2,10)),ROW(Expenses!A$3:A$999)-2),4)),0)+IFERROR(INDEX(Income!C$3:C$502,SMALL(IF((Income!D$3:D$502="INR")*(Income!A$3:A$502=DATE(2026,2,10)),ROW(Income!A$3:A$502)-2),4)),0))</f>
        <v/>
      </c>
      <c r="F37" s="126">
        <f t="array" ref="F37">IF(IFERROR(INDEX(Expenses!B$3:B$999,SMALL(IF((Expenses!E$3:E$999="INR")*(Expenses!A$3:A$999=DATE(2026,2,10)),ROW(Expenses!A$3:A$999)-2),4)),"")&lt;&gt;"",IFERROR(INDEX(Expenses!B$3:B$999,SMALL(IF((Expenses!E$3:E$999="INR")*(Expenses!A$3:A$999=DATE(2026,2,10)),ROW(Expenses!A$3:A$999)-2),4)),""),IF(IFERROR(INDEX(Income!B$3:B$502,SMALL(IF((Income!D$3:D$502="INR")*(Income!A$3:A$502=DATE(2026,2,10)),ROW(Income!A$3:A$502)-2),4)),"")&lt;&gt;"",IFERROR(INDEX(Income!B$3:B$502,SMALL(IF((Income!D$3:D$502="INR")*(Income!A$3:A$502=DATE(2026,2,10)),ROW(Income!A$3:A$502)-2),4)),""),""))</f>
        <v/>
      </c>
      <c r="G37" s="153">
        <f t="array" ref="G37">IF(IFERROR(-INDEX(Expenses!D$3:D$999,SMALL(IF((Expenses!E$3:E$999="INR")*(Expenses!A$3:A$999=DATE(2026,2,11)),ROW(Expenses!A$3:A$999)-2),4)),0)+IFERROR(INDEX(Income!C$3:C$502,SMALL(IF((Income!D$3:D$502="INR")*(Income!A$3:A$502=DATE(2026,2,11)),ROW(Income!A$3:A$502)-2),4)),0)=0,"",IFERROR(-INDEX(Expenses!D$3:D$999,SMALL(IF((Expenses!E$3:E$999="INR")*(Expenses!A$3:A$999=DATE(2026,2,11)),ROW(Expenses!A$3:A$999)-2),4)),0)+IFERROR(INDEX(Income!C$3:C$502,SMALL(IF((Income!D$3:D$502="INR")*(Income!A$3:A$502=DATE(2026,2,11)),ROW(Income!A$3:A$502)-2),4)),0))</f>
        <v/>
      </c>
      <c r="H37" s="126">
        <f t="array" ref="H37">IF(IFERROR(INDEX(Expenses!B$3:B$999,SMALL(IF((Expenses!E$3:E$999="INR")*(Expenses!A$3:A$999=DATE(2026,2,11)),ROW(Expenses!A$3:A$999)-2),4)),"")&lt;&gt;"",IFERROR(INDEX(Expenses!B$3:B$999,SMALL(IF((Expenses!E$3:E$999="INR")*(Expenses!A$3:A$999=DATE(2026,2,11)),ROW(Expenses!A$3:A$999)-2),4)),""),IF(IFERROR(INDEX(Income!B$3:B$502,SMALL(IF((Income!D$3:D$502="INR")*(Income!A$3:A$502=DATE(2026,2,11)),ROW(Income!A$3:A$502)-2),4)),"")&lt;&gt;"",IFERROR(INDEX(Income!B$3:B$502,SMALL(IF((Income!D$3:D$502="INR")*(Income!A$3:A$502=DATE(2026,2,11)),ROW(Income!A$3:A$502)-2),4)),""),""))</f>
        <v/>
      </c>
      <c r="I37" s="153">
        <f t="array" ref="I37">IF(IFERROR(-INDEX(Expenses!D$3:D$999,SMALL(IF((Expenses!E$3:E$999="INR")*(Expenses!A$3:A$999=DATE(2026,2,12)),ROW(Expenses!A$3:A$999)-2),4)),0)+IFERROR(INDEX(Income!C$3:C$502,SMALL(IF((Income!D$3:D$502="INR")*(Income!A$3:A$502=DATE(2026,2,12)),ROW(Income!A$3:A$502)-2),4)),0)=0,"",IFERROR(-INDEX(Expenses!D$3:D$999,SMALL(IF((Expenses!E$3:E$999="INR")*(Expenses!A$3:A$999=DATE(2026,2,12)),ROW(Expenses!A$3:A$999)-2),4)),0)+IFERROR(INDEX(Income!C$3:C$502,SMALL(IF((Income!D$3:D$502="INR")*(Income!A$3:A$502=DATE(2026,2,12)),ROW(Income!A$3:A$502)-2),4)),0))</f>
        <v/>
      </c>
      <c r="J37" s="126">
        <f t="array" ref="J37">IF(IFERROR(INDEX(Expenses!B$3:B$999,SMALL(IF((Expenses!E$3:E$999="INR")*(Expenses!A$3:A$999=DATE(2026,2,12)),ROW(Expenses!A$3:A$999)-2),4)),"")&lt;&gt;"",IFERROR(INDEX(Expenses!B$3:B$999,SMALL(IF((Expenses!E$3:E$999="INR")*(Expenses!A$3:A$999=DATE(2026,2,12)),ROW(Expenses!A$3:A$999)-2),4)),""),IF(IFERROR(INDEX(Income!B$3:B$502,SMALL(IF((Income!D$3:D$502="INR")*(Income!A$3:A$502=DATE(2026,2,12)),ROW(Income!A$3:A$502)-2),4)),"")&lt;&gt;"",IFERROR(INDEX(Income!B$3:B$502,SMALL(IF((Income!D$3:D$502="INR")*(Income!A$3:A$502=DATE(2026,2,12)),ROW(Income!A$3:A$502)-2),4)),""),""))</f>
        <v/>
      </c>
      <c r="K37" s="153">
        <f t="array" ref="K37">IF(IFERROR(-INDEX(Expenses!D$3:D$999,SMALL(IF((Expenses!E$3:E$999="INR")*(Expenses!A$3:A$999=DATE(2026,2,13)),ROW(Expenses!A$3:A$999)-2),4)),0)+IFERROR(INDEX(Income!C$3:C$502,SMALL(IF((Income!D$3:D$502="INR")*(Income!A$3:A$502=DATE(2026,2,13)),ROW(Income!A$3:A$502)-2),4)),0)=0,"",IFERROR(-INDEX(Expenses!D$3:D$999,SMALL(IF((Expenses!E$3:E$999="INR")*(Expenses!A$3:A$999=DATE(2026,2,13)),ROW(Expenses!A$3:A$999)-2),4)),0)+IFERROR(INDEX(Income!C$3:C$502,SMALL(IF((Income!D$3:D$502="INR")*(Income!A$3:A$502=DATE(2026,2,13)),ROW(Income!A$3:A$502)-2),4)),0))</f>
        <v/>
      </c>
      <c r="L37" s="126">
        <f t="array" ref="L37">IF(IFERROR(INDEX(Expenses!B$3:B$999,SMALL(IF((Expenses!E$3:E$999="INR")*(Expenses!A$3:A$999=DATE(2026,2,13)),ROW(Expenses!A$3:A$999)-2),4)),"")&lt;&gt;"",IFERROR(INDEX(Expenses!B$3:B$999,SMALL(IF((Expenses!E$3:E$999="INR")*(Expenses!A$3:A$999=DATE(2026,2,13)),ROW(Expenses!A$3:A$999)-2),4)),""),IF(IFERROR(INDEX(Income!B$3:B$502,SMALL(IF((Income!D$3:D$502="INR")*(Income!A$3:A$502=DATE(2026,2,13)),ROW(Income!A$3:A$502)-2),4)),"")&lt;&gt;"",IFERROR(INDEX(Income!B$3:B$502,SMALL(IF((Income!D$3:D$502="INR")*(Income!A$3:A$502=DATE(2026,2,13)),ROW(Income!A$3:A$502)-2),4)),""),""))</f>
        <v/>
      </c>
      <c r="M37" s="153">
        <f t="array" ref="M37">IF(IFERROR(-INDEX(Expenses!D$3:D$999,SMALL(IF((Expenses!E$3:E$999="INR")*(Expenses!A$3:A$999=DATE(2026,2,14)),ROW(Expenses!A$3:A$999)-2),4)),0)+IFERROR(INDEX(Income!C$3:C$502,SMALL(IF((Income!D$3:D$502="INR")*(Income!A$3:A$502=DATE(2026,2,14)),ROW(Income!A$3:A$502)-2),4)),0)=0,"",IFERROR(-INDEX(Expenses!D$3:D$999,SMALL(IF((Expenses!E$3:E$999="INR")*(Expenses!A$3:A$999=DATE(2026,2,14)),ROW(Expenses!A$3:A$999)-2),4)),0)+IFERROR(INDEX(Income!C$3:C$502,SMALL(IF((Income!D$3:D$502="INR")*(Income!A$3:A$502=DATE(2026,2,14)),ROW(Income!A$3:A$502)-2),4)),0))</f>
        <v/>
      </c>
      <c r="N37" s="126">
        <f t="array" ref="N37">IF(IFERROR(INDEX(Expenses!B$3:B$999,SMALL(IF((Expenses!E$3:E$999="INR")*(Expenses!A$3:A$999=DATE(2026,2,14)),ROW(Expenses!A$3:A$999)-2),4)),"")&lt;&gt;"",IFERROR(INDEX(Expenses!B$3:B$999,SMALL(IF((Expenses!E$3:E$999="INR")*(Expenses!A$3:A$999=DATE(2026,2,14)),ROW(Expenses!A$3:A$999)-2),4)),""),IF(IFERROR(INDEX(Income!B$3:B$502,SMALL(IF((Income!D$3:D$502="INR")*(Income!A$3:A$502=DATE(2026,2,14)),ROW(Income!A$3:A$502)-2),4)),"")&lt;&gt;"",IFERROR(INDEX(Income!B$3:B$502,SMALL(IF((Income!D$3:D$502="INR")*(Income!A$3:A$502=DATE(2026,2,14)),ROW(Income!A$3:A$502)-2),4)),""),""))</f>
        <v/>
      </c>
      <c r="O37" s="153">
        <f t="array" ref="O37">IF(IFERROR(-INDEX(Expenses!D$3:D$999,SMALL(IF((Expenses!E$3:E$999="INR")*(Expenses!A$3:A$999=DATE(2026,2,15)),ROW(Expenses!A$3:A$999)-2),4)),0)+IFERROR(INDEX(Income!C$3:C$502,SMALL(IF((Income!D$3:D$502="INR")*(Income!A$3:A$502=DATE(2026,2,15)),ROW(Income!A$3:A$502)-2),4)),0)=0,"",IFERROR(-INDEX(Expenses!D$3:D$999,SMALL(IF((Expenses!E$3:E$999="INR")*(Expenses!A$3:A$999=DATE(2026,2,15)),ROW(Expenses!A$3:A$999)-2),4)),0)+IFERROR(INDEX(Income!C$3:C$502,SMALL(IF((Income!D$3:D$502="INR")*(Income!A$3:A$502=DATE(2026,2,15)),ROW(Income!A$3:A$502)-2),4)),0))</f>
        <v/>
      </c>
      <c r="P37" s="126">
        <f t="array" ref="P37">IF(IFERROR(INDEX(Expenses!B$3:B$999,SMALL(IF((Expenses!E$3:E$999="INR")*(Expenses!A$3:A$999=DATE(2026,2,15)),ROW(Expenses!A$3:A$999)-2),4)),"")&lt;&gt;"",IFERROR(INDEX(Expenses!B$3:B$999,SMALL(IF((Expenses!E$3:E$999="INR")*(Expenses!A$3:A$999=DATE(2026,2,15)),ROW(Expenses!A$3:A$999)-2),4)),""),IF(IFERROR(INDEX(Income!B$3:B$502,SMALL(IF((Income!D$3:D$502="INR")*(Income!A$3:A$502=DATE(2026,2,15)),ROW(Income!A$3:A$502)-2),4)),"")&lt;&gt;"",IFERROR(INDEX(Income!B$3:B$502,SMALL(IF((Income!D$3:D$502="INR")*(Income!A$3:A$502=DATE(2026,2,15)),ROW(Income!A$3:A$502)-2),4)),""),""))</f>
        <v/>
      </c>
      <c r="Q37" s="9" t="n"/>
      <c r="R37" s="9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68">
      <c r="A38" s="9" t="n"/>
      <c r="B38" s="9" t="n"/>
      <c r="C38" s="153">
        <f t="array" ref="C38">IF(IFERROR(-INDEX(Expenses!D$3:D$999,SMALL(IF((Expenses!E$3:E$999="INR")*(Expenses!A$3:A$999=DATE(2026,2,9)),ROW(Expenses!A$3:A$999)-2),5)),0)+IFERROR(INDEX(Income!C$3:C$502,SMALL(IF((Income!D$3:D$502="INR")*(Income!A$3:A$502=DATE(2026,2,9)),ROW(Income!A$3:A$502)-2),5)),0)=0,"",IFERROR(-INDEX(Expenses!D$3:D$999,SMALL(IF((Expenses!E$3:E$999="INR")*(Expenses!A$3:A$999=DATE(2026,2,9)),ROW(Expenses!A$3:A$999)-2),5)),0)+IFERROR(INDEX(Income!C$3:C$502,SMALL(IF((Income!D$3:D$502="INR")*(Income!A$3:A$502=DATE(2026,2,9)),ROW(Income!A$3:A$502)-2),5)),0))</f>
        <v/>
      </c>
      <c r="D38" s="126">
        <f t="array" ref="D38">IF(IFERROR(INDEX(Expenses!B$3:B$999,SMALL(IF((Expenses!E$3:E$999="INR")*(Expenses!A$3:A$999=DATE(2026,2,9)),ROW(Expenses!A$3:A$999)-2),5)),"")&lt;&gt;"",IFERROR(INDEX(Expenses!B$3:B$999,SMALL(IF((Expenses!E$3:E$999="INR")*(Expenses!A$3:A$999=DATE(2026,2,9)),ROW(Expenses!A$3:A$999)-2),5)),""),IF(IFERROR(INDEX(Income!B$3:B$502,SMALL(IF((Income!D$3:D$502="INR")*(Income!A$3:A$502=DATE(2026,2,9)),ROW(Income!A$3:A$502)-2),5)),"")&lt;&gt;"",IFERROR(INDEX(Income!B$3:B$502,SMALL(IF((Income!D$3:D$502="INR")*(Income!A$3:A$502=DATE(2026,2,9)),ROW(Income!A$3:A$502)-2),5)),""),""))</f>
        <v/>
      </c>
      <c r="E38" s="153">
        <f t="array" ref="E38">IF(IFERROR(-INDEX(Expenses!D$3:D$999,SMALL(IF((Expenses!E$3:E$999="INR")*(Expenses!A$3:A$999=DATE(2026,2,10)),ROW(Expenses!A$3:A$999)-2),5)),0)+IFERROR(INDEX(Income!C$3:C$502,SMALL(IF((Income!D$3:D$502="INR")*(Income!A$3:A$502=DATE(2026,2,10)),ROW(Income!A$3:A$502)-2),5)),0)=0,"",IFERROR(-INDEX(Expenses!D$3:D$999,SMALL(IF((Expenses!E$3:E$999="INR")*(Expenses!A$3:A$999=DATE(2026,2,10)),ROW(Expenses!A$3:A$999)-2),5)),0)+IFERROR(INDEX(Income!C$3:C$502,SMALL(IF((Income!D$3:D$502="INR")*(Income!A$3:A$502=DATE(2026,2,10)),ROW(Income!A$3:A$502)-2),5)),0))</f>
        <v/>
      </c>
      <c r="F38" s="126">
        <f t="array" ref="F38">IF(IFERROR(INDEX(Expenses!B$3:B$999,SMALL(IF((Expenses!E$3:E$999="INR")*(Expenses!A$3:A$999=DATE(2026,2,10)),ROW(Expenses!A$3:A$999)-2),5)),"")&lt;&gt;"",IFERROR(INDEX(Expenses!B$3:B$999,SMALL(IF((Expenses!E$3:E$999="INR")*(Expenses!A$3:A$999=DATE(2026,2,10)),ROW(Expenses!A$3:A$999)-2),5)),""),IF(IFERROR(INDEX(Income!B$3:B$502,SMALL(IF((Income!D$3:D$502="INR")*(Income!A$3:A$502=DATE(2026,2,10)),ROW(Income!A$3:A$502)-2),5)),"")&lt;&gt;"",IFERROR(INDEX(Income!B$3:B$502,SMALL(IF((Income!D$3:D$502="INR")*(Income!A$3:A$502=DATE(2026,2,10)),ROW(Income!A$3:A$502)-2),5)),""),""))</f>
        <v/>
      </c>
      <c r="G38" s="153">
        <f t="array" ref="G38">IF(IFERROR(-INDEX(Expenses!D$3:D$999,SMALL(IF((Expenses!E$3:E$999="INR")*(Expenses!A$3:A$999=DATE(2026,2,11)),ROW(Expenses!A$3:A$999)-2),5)),0)+IFERROR(INDEX(Income!C$3:C$502,SMALL(IF((Income!D$3:D$502="INR")*(Income!A$3:A$502=DATE(2026,2,11)),ROW(Income!A$3:A$502)-2),5)),0)=0,"",IFERROR(-INDEX(Expenses!D$3:D$999,SMALL(IF((Expenses!E$3:E$999="INR")*(Expenses!A$3:A$999=DATE(2026,2,11)),ROW(Expenses!A$3:A$999)-2),5)),0)+IFERROR(INDEX(Income!C$3:C$502,SMALL(IF((Income!D$3:D$502="INR")*(Income!A$3:A$502=DATE(2026,2,11)),ROW(Income!A$3:A$502)-2),5)),0))</f>
        <v/>
      </c>
      <c r="H38" s="126">
        <f t="array" ref="H38">IF(IFERROR(INDEX(Expenses!B$3:B$999,SMALL(IF((Expenses!E$3:E$999="INR")*(Expenses!A$3:A$999=DATE(2026,2,11)),ROW(Expenses!A$3:A$999)-2),5)),"")&lt;&gt;"",IFERROR(INDEX(Expenses!B$3:B$999,SMALL(IF((Expenses!E$3:E$999="INR")*(Expenses!A$3:A$999=DATE(2026,2,11)),ROW(Expenses!A$3:A$999)-2),5)),""),IF(IFERROR(INDEX(Income!B$3:B$502,SMALL(IF((Income!D$3:D$502="INR")*(Income!A$3:A$502=DATE(2026,2,11)),ROW(Income!A$3:A$502)-2),5)),"")&lt;&gt;"",IFERROR(INDEX(Income!B$3:B$502,SMALL(IF((Income!D$3:D$502="INR")*(Income!A$3:A$502=DATE(2026,2,11)),ROW(Income!A$3:A$502)-2),5)),""),""))</f>
        <v/>
      </c>
      <c r="I38" s="153">
        <f t="array" ref="I38">IF(IFERROR(-INDEX(Expenses!D$3:D$999,SMALL(IF((Expenses!E$3:E$999="INR")*(Expenses!A$3:A$999=DATE(2026,2,12)),ROW(Expenses!A$3:A$999)-2),5)),0)+IFERROR(INDEX(Income!C$3:C$502,SMALL(IF((Income!D$3:D$502="INR")*(Income!A$3:A$502=DATE(2026,2,12)),ROW(Income!A$3:A$502)-2),5)),0)=0,"",IFERROR(-INDEX(Expenses!D$3:D$999,SMALL(IF((Expenses!E$3:E$999="INR")*(Expenses!A$3:A$999=DATE(2026,2,12)),ROW(Expenses!A$3:A$999)-2),5)),0)+IFERROR(INDEX(Income!C$3:C$502,SMALL(IF((Income!D$3:D$502="INR")*(Income!A$3:A$502=DATE(2026,2,12)),ROW(Income!A$3:A$502)-2),5)),0))</f>
        <v/>
      </c>
      <c r="J38" s="126">
        <f t="array" ref="J38">IF(IFERROR(INDEX(Expenses!B$3:B$999,SMALL(IF((Expenses!E$3:E$999="INR")*(Expenses!A$3:A$999=DATE(2026,2,12)),ROW(Expenses!A$3:A$999)-2),5)),"")&lt;&gt;"",IFERROR(INDEX(Expenses!B$3:B$999,SMALL(IF((Expenses!E$3:E$999="INR")*(Expenses!A$3:A$999=DATE(2026,2,12)),ROW(Expenses!A$3:A$999)-2),5)),""),IF(IFERROR(INDEX(Income!B$3:B$502,SMALL(IF((Income!D$3:D$502="INR")*(Income!A$3:A$502=DATE(2026,2,12)),ROW(Income!A$3:A$502)-2),5)),"")&lt;&gt;"",IFERROR(INDEX(Income!B$3:B$502,SMALL(IF((Income!D$3:D$502="INR")*(Income!A$3:A$502=DATE(2026,2,12)),ROW(Income!A$3:A$502)-2),5)),""),""))</f>
        <v/>
      </c>
      <c r="K38" s="153">
        <f t="array" ref="K38">IF(IFERROR(-INDEX(Expenses!D$3:D$999,SMALL(IF((Expenses!E$3:E$999="INR")*(Expenses!A$3:A$999=DATE(2026,2,13)),ROW(Expenses!A$3:A$999)-2),5)),0)+IFERROR(INDEX(Income!C$3:C$502,SMALL(IF((Income!D$3:D$502="INR")*(Income!A$3:A$502=DATE(2026,2,13)),ROW(Income!A$3:A$502)-2),5)),0)=0,"",IFERROR(-INDEX(Expenses!D$3:D$999,SMALL(IF((Expenses!E$3:E$999="INR")*(Expenses!A$3:A$999=DATE(2026,2,13)),ROW(Expenses!A$3:A$999)-2),5)),0)+IFERROR(INDEX(Income!C$3:C$502,SMALL(IF((Income!D$3:D$502="INR")*(Income!A$3:A$502=DATE(2026,2,13)),ROW(Income!A$3:A$502)-2),5)),0))</f>
        <v/>
      </c>
      <c r="L38" s="126">
        <f t="array" ref="L38">IF(IFERROR(INDEX(Expenses!B$3:B$999,SMALL(IF((Expenses!E$3:E$999="INR")*(Expenses!A$3:A$999=DATE(2026,2,13)),ROW(Expenses!A$3:A$999)-2),5)),"")&lt;&gt;"",IFERROR(INDEX(Expenses!B$3:B$999,SMALL(IF((Expenses!E$3:E$999="INR")*(Expenses!A$3:A$999=DATE(2026,2,13)),ROW(Expenses!A$3:A$999)-2),5)),""),IF(IFERROR(INDEX(Income!B$3:B$502,SMALL(IF((Income!D$3:D$502="INR")*(Income!A$3:A$502=DATE(2026,2,13)),ROW(Income!A$3:A$502)-2),5)),"")&lt;&gt;"",IFERROR(INDEX(Income!B$3:B$502,SMALL(IF((Income!D$3:D$502="INR")*(Income!A$3:A$502=DATE(2026,2,13)),ROW(Income!A$3:A$502)-2),5)),""),""))</f>
        <v/>
      </c>
      <c r="M38" s="153">
        <f t="array" ref="M38">IF(IFERROR(-INDEX(Expenses!D$3:D$999,SMALL(IF((Expenses!E$3:E$999="INR")*(Expenses!A$3:A$999=DATE(2026,2,14)),ROW(Expenses!A$3:A$999)-2),5)),0)+IFERROR(INDEX(Income!C$3:C$502,SMALL(IF((Income!D$3:D$502="INR")*(Income!A$3:A$502=DATE(2026,2,14)),ROW(Income!A$3:A$502)-2),5)),0)=0,"",IFERROR(-INDEX(Expenses!D$3:D$999,SMALL(IF((Expenses!E$3:E$999="INR")*(Expenses!A$3:A$999=DATE(2026,2,14)),ROW(Expenses!A$3:A$999)-2),5)),0)+IFERROR(INDEX(Income!C$3:C$502,SMALL(IF((Income!D$3:D$502="INR")*(Income!A$3:A$502=DATE(2026,2,14)),ROW(Income!A$3:A$502)-2),5)),0))</f>
        <v/>
      </c>
      <c r="N38" s="126">
        <f t="array" ref="N38">IF(IFERROR(INDEX(Expenses!B$3:B$999,SMALL(IF((Expenses!E$3:E$999="INR")*(Expenses!A$3:A$999=DATE(2026,2,14)),ROW(Expenses!A$3:A$999)-2),5)),"")&lt;&gt;"",IFERROR(INDEX(Expenses!B$3:B$999,SMALL(IF((Expenses!E$3:E$999="INR")*(Expenses!A$3:A$999=DATE(2026,2,14)),ROW(Expenses!A$3:A$999)-2),5)),""),IF(IFERROR(INDEX(Income!B$3:B$502,SMALL(IF((Income!D$3:D$502="INR")*(Income!A$3:A$502=DATE(2026,2,14)),ROW(Income!A$3:A$502)-2),5)),"")&lt;&gt;"",IFERROR(INDEX(Income!B$3:B$502,SMALL(IF((Income!D$3:D$502="INR")*(Income!A$3:A$502=DATE(2026,2,14)),ROW(Income!A$3:A$502)-2),5)),""),""))</f>
        <v/>
      </c>
      <c r="O38" s="153">
        <f t="array" ref="O38">IF(IFERROR(-INDEX(Expenses!D$3:D$999,SMALL(IF((Expenses!E$3:E$999="INR")*(Expenses!A$3:A$999=DATE(2026,2,15)),ROW(Expenses!A$3:A$999)-2),5)),0)+IFERROR(INDEX(Income!C$3:C$502,SMALL(IF((Income!D$3:D$502="INR")*(Income!A$3:A$502=DATE(2026,2,15)),ROW(Income!A$3:A$502)-2),5)),0)=0,"",IFERROR(-INDEX(Expenses!D$3:D$999,SMALL(IF((Expenses!E$3:E$999="INR")*(Expenses!A$3:A$999=DATE(2026,2,15)),ROW(Expenses!A$3:A$999)-2),5)),0)+IFERROR(INDEX(Income!C$3:C$502,SMALL(IF((Income!D$3:D$502="INR")*(Income!A$3:A$502=DATE(2026,2,15)),ROW(Income!A$3:A$502)-2),5)),0))</f>
        <v/>
      </c>
      <c r="P38" s="126">
        <f t="array" ref="P38">IF(IFERROR(INDEX(Expenses!B$3:B$999,SMALL(IF((Expenses!E$3:E$999="INR")*(Expenses!A$3:A$999=DATE(2026,2,15)),ROW(Expenses!A$3:A$999)-2),5)),"")&lt;&gt;"",IFERROR(INDEX(Expenses!B$3:B$999,SMALL(IF((Expenses!E$3:E$999="INR")*(Expenses!A$3:A$999=DATE(2026,2,15)),ROW(Expenses!A$3:A$999)-2),5)),""),IF(IFERROR(INDEX(Income!B$3:B$502,SMALL(IF((Income!D$3:D$502="INR")*(Income!A$3:A$502=DATE(2026,2,15)),ROW(Income!A$3:A$502)-2),5)),"")&lt;&gt;"",IFERROR(INDEX(Income!B$3:B$502,SMALL(IF((Income!D$3:D$502="INR")*(Income!A$3:A$502=DATE(2026,2,15)),ROW(Income!A$3:A$502)-2),5)),""),""))</f>
        <v/>
      </c>
      <c r="Q38" s="9" t="n"/>
      <c r="R38" s="9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68">
      <c r="A39" s="151" t="n">
        <v>46069</v>
      </c>
      <c r="B39" s="103" t="n">
        <v>8</v>
      </c>
      <c r="C39" s="153">
        <f t="array" ref="C39">IF(IFERROR(-INDEX(Expenses!D$3:D$999,SMALL(IF((Expenses!E$3:E$999="INR")*(Expenses!A$3:A$999=DATE(2026,2,16)),ROW(Expenses!A$3:A$999)-2),1)),0)+IFERROR(INDEX(Income!C$3:C$502,SMALL(IF((Income!D$3:D$502="INR")*(Income!A$3:A$502=DATE(2026,2,16)),ROW(Income!A$3:A$502)-2),1)),0)=0,"",IFERROR(-INDEX(Expenses!D$3:D$999,SMALL(IF((Expenses!E$3:E$999="INR")*(Expenses!A$3:A$999=DATE(2026,2,16)),ROW(Expenses!A$3:A$999)-2),1)),0)+IFERROR(INDEX(Income!C$3:C$502,SMALL(IF((Income!D$3:D$502="INR")*(Income!A$3:A$502=DATE(2026,2,16)),ROW(Income!A$3:A$502)-2),1)),0))</f>
        <v/>
      </c>
      <c r="D39" s="126">
        <f t="array" ref="D39">IF(IFERROR(INDEX(Expenses!B$3:B$999,SMALL(IF((Expenses!E$3:E$999="INR")*(Expenses!A$3:A$999=DATE(2026,2,16)),ROW(Expenses!A$3:A$999)-2),1)),"")&lt;&gt;"",IFERROR(INDEX(Expenses!B$3:B$999,SMALL(IF((Expenses!E$3:E$999="INR")*(Expenses!A$3:A$999=DATE(2026,2,16)),ROW(Expenses!A$3:A$999)-2),1)),""),IF(IFERROR(INDEX(Income!B$3:B$502,SMALL(IF((Income!D$3:D$502="INR")*(Income!A$3:A$502=DATE(2026,2,16)),ROW(Income!A$3:A$502)-2),1)),"")&lt;&gt;"",IFERROR(INDEX(Income!B$3:B$502,SMALL(IF((Income!D$3:D$502="INR")*(Income!A$3:A$502=DATE(2026,2,16)),ROW(Income!A$3:A$502)-2),1)),""),""))</f>
        <v/>
      </c>
      <c r="E39" s="153">
        <f t="array" ref="E39">IF(IFERROR(-INDEX(Expenses!D$3:D$999,SMALL(IF((Expenses!E$3:E$999="INR")*(Expenses!A$3:A$999=DATE(2026,2,17)),ROW(Expenses!A$3:A$999)-2),1)),0)+IFERROR(INDEX(Income!C$3:C$502,SMALL(IF((Income!D$3:D$502="INR")*(Income!A$3:A$502=DATE(2026,2,17)),ROW(Income!A$3:A$502)-2),1)),0)=0,"",IFERROR(-INDEX(Expenses!D$3:D$999,SMALL(IF((Expenses!E$3:E$999="INR")*(Expenses!A$3:A$999=DATE(2026,2,17)),ROW(Expenses!A$3:A$999)-2),1)),0)+IFERROR(INDEX(Income!C$3:C$502,SMALL(IF((Income!D$3:D$502="INR")*(Income!A$3:A$502=DATE(2026,2,17)),ROW(Income!A$3:A$502)-2),1)),0))</f>
        <v/>
      </c>
      <c r="F39" s="126">
        <f t="array" ref="F39">IF(IFERROR(INDEX(Expenses!B$3:B$999,SMALL(IF((Expenses!E$3:E$999="INR")*(Expenses!A$3:A$999=DATE(2026,2,17)),ROW(Expenses!A$3:A$999)-2),1)),"")&lt;&gt;"",IFERROR(INDEX(Expenses!B$3:B$999,SMALL(IF((Expenses!E$3:E$999="INR")*(Expenses!A$3:A$999=DATE(2026,2,17)),ROW(Expenses!A$3:A$999)-2),1)),""),IF(IFERROR(INDEX(Income!B$3:B$502,SMALL(IF((Income!D$3:D$502="INR")*(Income!A$3:A$502=DATE(2026,2,17)),ROW(Income!A$3:A$502)-2),1)),"")&lt;&gt;"",IFERROR(INDEX(Income!B$3:B$502,SMALL(IF((Income!D$3:D$502="INR")*(Income!A$3:A$502=DATE(2026,2,17)),ROW(Income!A$3:A$502)-2),1)),""),""))</f>
        <v/>
      </c>
      <c r="G39" s="153">
        <f t="array" ref="G39">IF(IFERROR(-INDEX(Expenses!D$3:D$999,SMALL(IF((Expenses!E$3:E$999="INR")*(Expenses!A$3:A$999=DATE(2026,2,18)),ROW(Expenses!A$3:A$999)-2),1)),0)+IFERROR(INDEX(Income!C$3:C$502,SMALL(IF((Income!D$3:D$502="INR")*(Income!A$3:A$502=DATE(2026,2,18)),ROW(Income!A$3:A$502)-2),1)),0)=0,"",IFERROR(-INDEX(Expenses!D$3:D$999,SMALL(IF((Expenses!E$3:E$999="INR")*(Expenses!A$3:A$999=DATE(2026,2,18)),ROW(Expenses!A$3:A$999)-2),1)),0)+IFERROR(INDEX(Income!C$3:C$502,SMALL(IF((Income!D$3:D$502="INR")*(Income!A$3:A$502=DATE(2026,2,18)),ROW(Income!A$3:A$502)-2),1)),0))</f>
        <v/>
      </c>
      <c r="H39" s="126">
        <f t="array" ref="H39">IF(IFERROR(INDEX(Expenses!B$3:B$999,SMALL(IF((Expenses!E$3:E$999="INR")*(Expenses!A$3:A$999=DATE(2026,2,18)),ROW(Expenses!A$3:A$999)-2),1)),"")&lt;&gt;"",IFERROR(INDEX(Expenses!B$3:B$999,SMALL(IF((Expenses!E$3:E$999="INR")*(Expenses!A$3:A$999=DATE(2026,2,18)),ROW(Expenses!A$3:A$999)-2),1)),""),IF(IFERROR(INDEX(Income!B$3:B$502,SMALL(IF((Income!D$3:D$502="INR")*(Income!A$3:A$502=DATE(2026,2,18)),ROW(Income!A$3:A$502)-2),1)),"")&lt;&gt;"",IFERROR(INDEX(Income!B$3:B$502,SMALL(IF((Income!D$3:D$502="INR")*(Income!A$3:A$502=DATE(2026,2,18)),ROW(Income!A$3:A$502)-2),1)),""),""))</f>
        <v/>
      </c>
      <c r="I39" s="153">
        <f t="array" ref="I39">IF(IFERROR(-INDEX(Expenses!D$3:D$999,SMALL(IF((Expenses!E$3:E$999="INR")*(Expenses!A$3:A$999=DATE(2026,2,19)),ROW(Expenses!A$3:A$999)-2),1)),0)+IFERROR(INDEX(Income!C$3:C$502,SMALL(IF((Income!D$3:D$502="INR")*(Income!A$3:A$502=DATE(2026,2,19)),ROW(Income!A$3:A$502)-2),1)),0)=0,"",IFERROR(-INDEX(Expenses!D$3:D$999,SMALL(IF((Expenses!E$3:E$999="INR")*(Expenses!A$3:A$999=DATE(2026,2,19)),ROW(Expenses!A$3:A$999)-2),1)),0)+IFERROR(INDEX(Income!C$3:C$502,SMALL(IF((Income!D$3:D$502="INR")*(Income!A$3:A$502=DATE(2026,2,19)),ROW(Income!A$3:A$502)-2),1)),0))</f>
        <v/>
      </c>
      <c r="J39" s="126">
        <f t="array" ref="J39">IF(IFERROR(INDEX(Expenses!B$3:B$999,SMALL(IF((Expenses!E$3:E$999="INR")*(Expenses!A$3:A$999=DATE(2026,2,19)),ROW(Expenses!A$3:A$999)-2),1)),"")&lt;&gt;"",IFERROR(INDEX(Expenses!B$3:B$999,SMALL(IF((Expenses!E$3:E$999="INR")*(Expenses!A$3:A$999=DATE(2026,2,19)),ROW(Expenses!A$3:A$999)-2),1)),""),IF(IFERROR(INDEX(Income!B$3:B$502,SMALL(IF((Income!D$3:D$502="INR")*(Income!A$3:A$502=DATE(2026,2,19)),ROW(Income!A$3:A$502)-2),1)),"")&lt;&gt;"",IFERROR(INDEX(Income!B$3:B$502,SMALL(IF((Income!D$3:D$502="INR")*(Income!A$3:A$502=DATE(2026,2,19)),ROW(Income!A$3:A$502)-2),1)),""),""))</f>
        <v/>
      </c>
      <c r="K39" s="153">
        <f t="array" ref="K39">IF(IFERROR(-INDEX(Expenses!D$3:D$999,SMALL(IF((Expenses!E$3:E$999="INR")*(Expenses!A$3:A$999=DATE(2026,2,20)),ROW(Expenses!A$3:A$999)-2),1)),0)+IFERROR(INDEX(Income!C$3:C$502,SMALL(IF((Income!D$3:D$502="INR")*(Income!A$3:A$502=DATE(2026,2,20)),ROW(Income!A$3:A$502)-2),1)),0)=0,"",IFERROR(-INDEX(Expenses!D$3:D$999,SMALL(IF((Expenses!E$3:E$999="INR")*(Expenses!A$3:A$999=DATE(2026,2,20)),ROW(Expenses!A$3:A$999)-2),1)),0)+IFERROR(INDEX(Income!C$3:C$502,SMALL(IF((Income!D$3:D$502="INR")*(Income!A$3:A$502=DATE(2026,2,20)),ROW(Income!A$3:A$502)-2),1)),0))</f>
        <v/>
      </c>
      <c r="L39" s="126">
        <f t="array" ref="L39">IF(IFERROR(INDEX(Expenses!B$3:B$999,SMALL(IF((Expenses!E$3:E$999="INR")*(Expenses!A$3:A$999=DATE(2026,2,20)),ROW(Expenses!A$3:A$999)-2),1)),"")&lt;&gt;"",IFERROR(INDEX(Expenses!B$3:B$999,SMALL(IF((Expenses!E$3:E$999="INR")*(Expenses!A$3:A$999=DATE(2026,2,20)),ROW(Expenses!A$3:A$999)-2),1)),""),IF(IFERROR(INDEX(Income!B$3:B$502,SMALL(IF((Income!D$3:D$502="INR")*(Income!A$3:A$502=DATE(2026,2,20)),ROW(Income!A$3:A$502)-2),1)),"")&lt;&gt;"",IFERROR(INDEX(Income!B$3:B$502,SMALL(IF((Income!D$3:D$502="INR")*(Income!A$3:A$502=DATE(2026,2,20)),ROW(Income!A$3:A$502)-2),1)),""),""))</f>
        <v/>
      </c>
      <c r="M39" s="153">
        <f t="array" ref="M39">IF(IFERROR(-INDEX(Expenses!D$3:D$999,SMALL(IF((Expenses!E$3:E$999="INR")*(Expenses!A$3:A$999=DATE(2026,2,21)),ROW(Expenses!A$3:A$999)-2),1)),0)+IFERROR(INDEX(Income!C$3:C$502,SMALL(IF((Income!D$3:D$502="INR")*(Income!A$3:A$502=DATE(2026,2,21)),ROW(Income!A$3:A$502)-2),1)),0)=0,"",IFERROR(-INDEX(Expenses!D$3:D$999,SMALL(IF((Expenses!E$3:E$999="INR")*(Expenses!A$3:A$999=DATE(2026,2,21)),ROW(Expenses!A$3:A$999)-2),1)),0)+IFERROR(INDEX(Income!C$3:C$502,SMALL(IF((Income!D$3:D$502="INR")*(Income!A$3:A$502=DATE(2026,2,21)),ROW(Income!A$3:A$502)-2),1)),0))</f>
        <v/>
      </c>
      <c r="N39" s="126">
        <f t="array" ref="N39">IF(IFERROR(INDEX(Expenses!B$3:B$999,SMALL(IF((Expenses!E$3:E$999="INR")*(Expenses!A$3:A$999=DATE(2026,2,21)),ROW(Expenses!A$3:A$999)-2),1)),"")&lt;&gt;"",IFERROR(INDEX(Expenses!B$3:B$999,SMALL(IF((Expenses!E$3:E$999="INR")*(Expenses!A$3:A$999=DATE(2026,2,21)),ROW(Expenses!A$3:A$999)-2),1)),""),IF(IFERROR(INDEX(Income!B$3:B$502,SMALL(IF((Income!D$3:D$502="INR")*(Income!A$3:A$502=DATE(2026,2,21)),ROW(Income!A$3:A$502)-2),1)),"")&lt;&gt;"",IFERROR(INDEX(Income!B$3:B$502,SMALL(IF((Income!D$3:D$502="INR")*(Income!A$3:A$502=DATE(2026,2,21)),ROW(Income!A$3:A$502)-2),1)),""),""))</f>
        <v/>
      </c>
      <c r="O39" s="153">
        <f t="array" ref="O39">IF(IFERROR(-INDEX(Expenses!D$3:D$999,SMALL(IF((Expenses!E$3:E$999="INR")*(Expenses!A$3:A$999=DATE(2026,2,22)),ROW(Expenses!A$3:A$999)-2),1)),0)+IFERROR(INDEX(Income!C$3:C$502,SMALL(IF((Income!D$3:D$502="INR")*(Income!A$3:A$502=DATE(2026,2,22)),ROW(Income!A$3:A$502)-2),1)),0)=0,"",IFERROR(-INDEX(Expenses!D$3:D$999,SMALL(IF((Expenses!E$3:E$999="INR")*(Expenses!A$3:A$999=DATE(2026,2,22)),ROW(Expenses!A$3:A$999)-2),1)),0)+IFERROR(INDEX(Income!C$3:C$502,SMALL(IF((Income!D$3:D$502="INR")*(Income!A$3:A$502=DATE(2026,2,22)),ROW(Income!A$3:A$502)-2),1)),0))</f>
        <v/>
      </c>
      <c r="P39" s="126">
        <f t="array" ref="P39">IF(IFERROR(INDEX(Expenses!B$3:B$999,SMALL(IF((Expenses!E$3:E$999="INR")*(Expenses!A$3:A$999=DATE(2026,2,22)),ROW(Expenses!A$3:A$999)-2),1)),"")&lt;&gt;"",IFERROR(INDEX(Expenses!B$3:B$999,SMALL(IF((Expenses!E$3:E$999="INR")*(Expenses!A$3:A$999=DATE(2026,2,22)),ROW(Expenses!A$3:A$999)-2),1)),""),IF(IFERROR(INDEX(Income!B$3:B$502,SMALL(IF((Income!D$3:D$502="INR")*(Income!A$3:A$502=DATE(2026,2,22)),ROW(Income!A$3:A$502)-2),1)),"")&lt;&gt;"",IFERROR(INDEX(Income!B$3:B$502,SMALL(IF((Income!D$3:D$502="INR")*(Income!A$3:A$502=DATE(2026,2,22)),ROW(Income!A$3:A$502)-2),1)),""),""))</f>
        <v/>
      </c>
      <c r="Q39" s="103" t="n">
        <v>8</v>
      </c>
      <c r="R39" s="142">
        <f>SUM(C39:C43)+SUM(E39:E43)+SUM(G39:G43)+SUM(I39:I43)+SUM(K39:K43)+SUM(M39:M43)+SUM(O39:O43)</f>
        <v/>
      </c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68">
      <c r="A40" s="9" t="n"/>
      <c r="B40" s="9" t="n"/>
      <c r="C40" s="153">
        <f t="array" ref="C40">IF(IFERROR(-INDEX(Expenses!D$3:D$999,SMALL(IF((Expenses!E$3:E$999="INR")*(Expenses!A$3:A$999=DATE(2026,2,16)),ROW(Expenses!A$3:A$999)-2),2)),0)+IFERROR(INDEX(Income!C$3:C$502,SMALL(IF((Income!D$3:D$502="INR")*(Income!A$3:A$502=DATE(2026,2,16)),ROW(Income!A$3:A$502)-2),2)),0)=0,"",IFERROR(-INDEX(Expenses!D$3:D$999,SMALL(IF((Expenses!E$3:E$999="INR")*(Expenses!A$3:A$999=DATE(2026,2,16)),ROW(Expenses!A$3:A$999)-2),2)),0)+IFERROR(INDEX(Income!C$3:C$502,SMALL(IF((Income!D$3:D$502="INR")*(Income!A$3:A$502=DATE(2026,2,16)),ROW(Income!A$3:A$502)-2),2)),0))</f>
        <v/>
      </c>
      <c r="D40" s="126">
        <f t="array" ref="D40">IF(IFERROR(INDEX(Expenses!B$3:B$999,SMALL(IF((Expenses!E$3:E$999="INR")*(Expenses!A$3:A$999=DATE(2026,2,16)),ROW(Expenses!A$3:A$999)-2),2)),"")&lt;&gt;"",IFERROR(INDEX(Expenses!B$3:B$999,SMALL(IF((Expenses!E$3:E$999="INR")*(Expenses!A$3:A$999=DATE(2026,2,16)),ROW(Expenses!A$3:A$999)-2),2)),""),IF(IFERROR(INDEX(Income!B$3:B$502,SMALL(IF((Income!D$3:D$502="INR")*(Income!A$3:A$502=DATE(2026,2,16)),ROW(Income!A$3:A$502)-2),2)),"")&lt;&gt;"",IFERROR(INDEX(Income!B$3:B$502,SMALL(IF((Income!D$3:D$502="INR")*(Income!A$3:A$502=DATE(2026,2,16)),ROW(Income!A$3:A$502)-2),2)),""),""))</f>
        <v/>
      </c>
      <c r="E40" s="153">
        <f t="array" ref="E40">IF(IFERROR(-INDEX(Expenses!D$3:D$999,SMALL(IF((Expenses!E$3:E$999="INR")*(Expenses!A$3:A$999=DATE(2026,2,17)),ROW(Expenses!A$3:A$999)-2),2)),0)+IFERROR(INDEX(Income!C$3:C$502,SMALL(IF((Income!D$3:D$502="INR")*(Income!A$3:A$502=DATE(2026,2,17)),ROW(Income!A$3:A$502)-2),2)),0)=0,"",IFERROR(-INDEX(Expenses!D$3:D$999,SMALL(IF((Expenses!E$3:E$999="INR")*(Expenses!A$3:A$999=DATE(2026,2,17)),ROW(Expenses!A$3:A$999)-2),2)),0)+IFERROR(INDEX(Income!C$3:C$502,SMALL(IF((Income!D$3:D$502="INR")*(Income!A$3:A$502=DATE(2026,2,17)),ROW(Income!A$3:A$502)-2),2)),0))</f>
        <v/>
      </c>
      <c r="F40" s="126">
        <f t="array" ref="F40">IF(IFERROR(INDEX(Expenses!B$3:B$999,SMALL(IF((Expenses!E$3:E$999="INR")*(Expenses!A$3:A$999=DATE(2026,2,17)),ROW(Expenses!A$3:A$999)-2),2)),"")&lt;&gt;"",IFERROR(INDEX(Expenses!B$3:B$999,SMALL(IF((Expenses!E$3:E$999="INR")*(Expenses!A$3:A$999=DATE(2026,2,17)),ROW(Expenses!A$3:A$999)-2),2)),""),IF(IFERROR(INDEX(Income!B$3:B$502,SMALL(IF((Income!D$3:D$502="INR")*(Income!A$3:A$502=DATE(2026,2,17)),ROW(Income!A$3:A$502)-2),2)),"")&lt;&gt;"",IFERROR(INDEX(Income!B$3:B$502,SMALL(IF((Income!D$3:D$502="INR")*(Income!A$3:A$502=DATE(2026,2,17)),ROW(Income!A$3:A$502)-2),2)),""),""))</f>
        <v/>
      </c>
      <c r="G40" s="153">
        <f t="array" ref="G40">IF(IFERROR(-INDEX(Expenses!D$3:D$999,SMALL(IF((Expenses!E$3:E$999="INR")*(Expenses!A$3:A$999=DATE(2026,2,18)),ROW(Expenses!A$3:A$999)-2),2)),0)+IFERROR(INDEX(Income!C$3:C$502,SMALL(IF((Income!D$3:D$502="INR")*(Income!A$3:A$502=DATE(2026,2,18)),ROW(Income!A$3:A$502)-2),2)),0)=0,"",IFERROR(-INDEX(Expenses!D$3:D$999,SMALL(IF((Expenses!E$3:E$999="INR")*(Expenses!A$3:A$999=DATE(2026,2,18)),ROW(Expenses!A$3:A$999)-2),2)),0)+IFERROR(INDEX(Income!C$3:C$502,SMALL(IF((Income!D$3:D$502="INR")*(Income!A$3:A$502=DATE(2026,2,18)),ROW(Income!A$3:A$502)-2),2)),0))</f>
        <v/>
      </c>
      <c r="H40" s="126">
        <f t="array" ref="H40">IF(IFERROR(INDEX(Expenses!B$3:B$999,SMALL(IF((Expenses!E$3:E$999="INR")*(Expenses!A$3:A$999=DATE(2026,2,18)),ROW(Expenses!A$3:A$999)-2),2)),"")&lt;&gt;"",IFERROR(INDEX(Expenses!B$3:B$999,SMALL(IF((Expenses!E$3:E$999="INR")*(Expenses!A$3:A$999=DATE(2026,2,18)),ROW(Expenses!A$3:A$999)-2),2)),""),IF(IFERROR(INDEX(Income!B$3:B$502,SMALL(IF((Income!D$3:D$502="INR")*(Income!A$3:A$502=DATE(2026,2,18)),ROW(Income!A$3:A$502)-2),2)),"")&lt;&gt;"",IFERROR(INDEX(Income!B$3:B$502,SMALL(IF((Income!D$3:D$502="INR")*(Income!A$3:A$502=DATE(2026,2,18)),ROW(Income!A$3:A$502)-2),2)),""),""))</f>
        <v/>
      </c>
      <c r="I40" s="153">
        <f t="array" ref="I40">IF(IFERROR(-INDEX(Expenses!D$3:D$999,SMALL(IF((Expenses!E$3:E$999="INR")*(Expenses!A$3:A$999=DATE(2026,2,19)),ROW(Expenses!A$3:A$999)-2),2)),0)+IFERROR(INDEX(Income!C$3:C$502,SMALL(IF((Income!D$3:D$502="INR")*(Income!A$3:A$502=DATE(2026,2,19)),ROW(Income!A$3:A$502)-2),2)),0)=0,"",IFERROR(-INDEX(Expenses!D$3:D$999,SMALL(IF((Expenses!E$3:E$999="INR")*(Expenses!A$3:A$999=DATE(2026,2,19)),ROW(Expenses!A$3:A$999)-2),2)),0)+IFERROR(INDEX(Income!C$3:C$502,SMALL(IF((Income!D$3:D$502="INR")*(Income!A$3:A$502=DATE(2026,2,19)),ROW(Income!A$3:A$502)-2),2)),0))</f>
        <v/>
      </c>
      <c r="J40" s="126">
        <f t="array" ref="J40">IF(IFERROR(INDEX(Expenses!B$3:B$999,SMALL(IF((Expenses!E$3:E$999="INR")*(Expenses!A$3:A$999=DATE(2026,2,19)),ROW(Expenses!A$3:A$999)-2),2)),"")&lt;&gt;"",IFERROR(INDEX(Expenses!B$3:B$999,SMALL(IF((Expenses!E$3:E$999="INR")*(Expenses!A$3:A$999=DATE(2026,2,19)),ROW(Expenses!A$3:A$999)-2),2)),""),IF(IFERROR(INDEX(Income!B$3:B$502,SMALL(IF((Income!D$3:D$502="INR")*(Income!A$3:A$502=DATE(2026,2,19)),ROW(Income!A$3:A$502)-2),2)),"")&lt;&gt;"",IFERROR(INDEX(Income!B$3:B$502,SMALL(IF((Income!D$3:D$502="INR")*(Income!A$3:A$502=DATE(2026,2,19)),ROW(Income!A$3:A$502)-2),2)),""),""))</f>
        <v/>
      </c>
      <c r="K40" s="153">
        <f t="array" ref="K40">IF(IFERROR(-INDEX(Expenses!D$3:D$999,SMALL(IF((Expenses!E$3:E$999="INR")*(Expenses!A$3:A$999=DATE(2026,2,20)),ROW(Expenses!A$3:A$999)-2),2)),0)+IFERROR(INDEX(Income!C$3:C$502,SMALL(IF((Income!D$3:D$502="INR")*(Income!A$3:A$502=DATE(2026,2,20)),ROW(Income!A$3:A$502)-2),2)),0)=0,"",IFERROR(-INDEX(Expenses!D$3:D$999,SMALL(IF((Expenses!E$3:E$999="INR")*(Expenses!A$3:A$999=DATE(2026,2,20)),ROW(Expenses!A$3:A$999)-2),2)),0)+IFERROR(INDEX(Income!C$3:C$502,SMALL(IF((Income!D$3:D$502="INR")*(Income!A$3:A$502=DATE(2026,2,20)),ROW(Income!A$3:A$502)-2),2)),0))</f>
        <v/>
      </c>
      <c r="L40" s="126">
        <f t="array" ref="L40">IF(IFERROR(INDEX(Expenses!B$3:B$999,SMALL(IF((Expenses!E$3:E$999="INR")*(Expenses!A$3:A$999=DATE(2026,2,20)),ROW(Expenses!A$3:A$999)-2),2)),"")&lt;&gt;"",IFERROR(INDEX(Expenses!B$3:B$999,SMALL(IF((Expenses!E$3:E$999="INR")*(Expenses!A$3:A$999=DATE(2026,2,20)),ROW(Expenses!A$3:A$999)-2),2)),""),IF(IFERROR(INDEX(Income!B$3:B$502,SMALL(IF((Income!D$3:D$502="INR")*(Income!A$3:A$502=DATE(2026,2,20)),ROW(Income!A$3:A$502)-2),2)),"")&lt;&gt;"",IFERROR(INDEX(Income!B$3:B$502,SMALL(IF((Income!D$3:D$502="INR")*(Income!A$3:A$502=DATE(2026,2,20)),ROW(Income!A$3:A$502)-2),2)),""),""))</f>
        <v/>
      </c>
      <c r="M40" s="153">
        <f t="array" ref="M40">IF(IFERROR(-INDEX(Expenses!D$3:D$999,SMALL(IF((Expenses!E$3:E$999="INR")*(Expenses!A$3:A$999=DATE(2026,2,21)),ROW(Expenses!A$3:A$999)-2),2)),0)+IFERROR(INDEX(Income!C$3:C$502,SMALL(IF((Income!D$3:D$502="INR")*(Income!A$3:A$502=DATE(2026,2,21)),ROW(Income!A$3:A$502)-2),2)),0)=0,"",IFERROR(-INDEX(Expenses!D$3:D$999,SMALL(IF((Expenses!E$3:E$999="INR")*(Expenses!A$3:A$999=DATE(2026,2,21)),ROW(Expenses!A$3:A$999)-2),2)),0)+IFERROR(INDEX(Income!C$3:C$502,SMALL(IF((Income!D$3:D$502="INR")*(Income!A$3:A$502=DATE(2026,2,21)),ROW(Income!A$3:A$502)-2),2)),0))</f>
        <v/>
      </c>
      <c r="N40" s="126">
        <f t="array" ref="N40">IF(IFERROR(INDEX(Expenses!B$3:B$999,SMALL(IF((Expenses!E$3:E$999="INR")*(Expenses!A$3:A$999=DATE(2026,2,21)),ROW(Expenses!A$3:A$999)-2),2)),"")&lt;&gt;"",IFERROR(INDEX(Expenses!B$3:B$999,SMALL(IF((Expenses!E$3:E$999="INR")*(Expenses!A$3:A$999=DATE(2026,2,21)),ROW(Expenses!A$3:A$999)-2),2)),""),IF(IFERROR(INDEX(Income!B$3:B$502,SMALL(IF((Income!D$3:D$502="INR")*(Income!A$3:A$502=DATE(2026,2,21)),ROW(Income!A$3:A$502)-2),2)),"")&lt;&gt;"",IFERROR(INDEX(Income!B$3:B$502,SMALL(IF((Income!D$3:D$502="INR")*(Income!A$3:A$502=DATE(2026,2,21)),ROW(Income!A$3:A$502)-2),2)),""),""))</f>
        <v/>
      </c>
      <c r="O40" s="153">
        <f t="array" ref="O40">IF(IFERROR(-INDEX(Expenses!D$3:D$999,SMALL(IF((Expenses!E$3:E$999="INR")*(Expenses!A$3:A$999=DATE(2026,2,22)),ROW(Expenses!A$3:A$999)-2),2)),0)+IFERROR(INDEX(Income!C$3:C$502,SMALL(IF((Income!D$3:D$502="INR")*(Income!A$3:A$502=DATE(2026,2,22)),ROW(Income!A$3:A$502)-2),2)),0)=0,"",IFERROR(-INDEX(Expenses!D$3:D$999,SMALL(IF((Expenses!E$3:E$999="INR")*(Expenses!A$3:A$999=DATE(2026,2,22)),ROW(Expenses!A$3:A$999)-2),2)),0)+IFERROR(INDEX(Income!C$3:C$502,SMALL(IF((Income!D$3:D$502="INR")*(Income!A$3:A$502=DATE(2026,2,22)),ROW(Income!A$3:A$502)-2),2)),0))</f>
        <v/>
      </c>
      <c r="P40" s="126">
        <f t="array" ref="P40">IF(IFERROR(INDEX(Expenses!B$3:B$999,SMALL(IF((Expenses!E$3:E$999="INR")*(Expenses!A$3:A$999=DATE(2026,2,22)),ROW(Expenses!A$3:A$999)-2),2)),"")&lt;&gt;"",IFERROR(INDEX(Expenses!B$3:B$999,SMALL(IF((Expenses!E$3:E$999="INR")*(Expenses!A$3:A$999=DATE(2026,2,22)),ROW(Expenses!A$3:A$999)-2),2)),""),IF(IFERROR(INDEX(Income!B$3:B$502,SMALL(IF((Income!D$3:D$502="INR")*(Income!A$3:A$502=DATE(2026,2,22)),ROW(Income!A$3:A$502)-2),2)),"")&lt;&gt;"",IFERROR(INDEX(Income!B$3:B$502,SMALL(IF((Income!D$3:D$502="INR")*(Income!A$3:A$502=DATE(2026,2,22)),ROW(Income!A$3:A$502)-2),2)),""),""))</f>
        <v/>
      </c>
      <c r="Q40" s="9" t="n"/>
      <c r="R40" s="9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68">
      <c r="A41" s="9" t="n"/>
      <c r="B41" s="9" t="n"/>
      <c r="C41" s="153">
        <f t="array" ref="C41">IF(IFERROR(-INDEX(Expenses!D$3:D$999,SMALL(IF((Expenses!E$3:E$999="INR")*(Expenses!A$3:A$999=DATE(2026,2,16)),ROW(Expenses!A$3:A$999)-2),3)),0)+IFERROR(INDEX(Income!C$3:C$502,SMALL(IF((Income!D$3:D$502="INR")*(Income!A$3:A$502=DATE(2026,2,16)),ROW(Income!A$3:A$502)-2),3)),0)=0,"",IFERROR(-INDEX(Expenses!D$3:D$999,SMALL(IF((Expenses!E$3:E$999="INR")*(Expenses!A$3:A$999=DATE(2026,2,16)),ROW(Expenses!A$3:A$999)-2),3)),0)+IFERROR(INDEX(Income!C$3:C$502,SMALL(IF((Income!D$3:D$502="INR")*(Income!A$3:A$502=DATE(2026,2,16)),ROW(Income!A$3:A$502)-2),3)),0))</f>
        <v/>
      </c>
      <c r="D41" s="126">
        <f t="array" ref="D41">IF(IFERROR(INDEX(Expenses!B$3:B$999,SMALL(IF((Expenses!E$3:E$999="INR")*(Expenses!A$3:A$999=DATE(2026,2,16)),ROW(Expenses!A$3:A$999)-2),3)),"")&lt;&gt;"",IFERROR(INDEX(Expenses!B$3:B$999,SMALL(IF((Expenses!E$3:E$999="INR")*(Expenses!A$3:A$999=DATE(2026,2,16)),ROW(Expenses!A$3:A$999)-2),3)),""),IF(IFERROR(INDEX(Income!B$3:B$502,SMALL(IF((Income!D$3:D$502="INR")*(Income!A$3:A$502=DATE(2026,2,16)),ROW(Income!A$3:A$502)-2),3)),"")&lt;&gt;"",IFERROR(INDEX(Income!B$3:B$502,SMALL(IF((Income!D$3:D$502="INR")*(Income!A$3:A$502=DATE(2026,2,16)),ROW(Income!A$3:A$502)-2),3)),""),""))</f>
        <v/>
      </c>
      <c r="E41" s="153">
        <f t="array" ref="E41">IF(IFERROR(-INDEX(Expenses!D$3:D$999,SMALL(IF((Expenses!E$3:E$999="INR")*(Expenses!A$3:A$999=DATE(2026,2,17)),ROW(Expenses!A$3:A$999)-2),3)),0)+IFERROR(INDEX(Income!C$3:C$502,SMALL(IF((Income!D$3:D$502="INR")*(Income!A$3:A$502=DATE(2026,2,17)),ROW(Income!A$3:A$502)-2),3)),0)=0,"",IFERROR(-INDEX(Expenses!D$3:D$999,SMALL(IF((Expenses!E$3:E$999="INR")*(Expenses!A$3:A$999=DATE(2026,2,17)),ROW(Expenses!A$3:A$999)-2),3)),0)+IFERROR(INDEX(Income!C$3:C$502,SMALL(IF((Income!D$3:D$502="INR")*(Income!A$3:A$502=DATE(2026,2,17)),ROW(Income!A$3:A$502)-2),3)),0))</f>
        <v/>
      </c>
      <c r="F41" s="126">
        <f t="array" ref="F41">IF(IFERROR(INDEX(Expenses!B$3:B$999,SMALL(IF((Expenses!E$3:E$999="INR")*(Expenses!A$3:A$999=DATE(2026,2,17)),ROW(Expenses!A$3:A$999)-2),3)),"")&lt;&gt;"",IFERROR(INDEX(Expenses!B$3:B$999,SMALL(IF((Expenses!E$3:E$999="INR")*(Expenses!A$3:A$999=DATE(2026,2,17)),ROW(Expenses!A$3:A$999)-2),3)),""),IF(IFERROR(INDEX(Income!B$3:B$502,SMALL(IF((Income!D$3:D$502="INR")*(Income!A$3:A$502=DATE(2026,2,17)),ROW(Income!A$3:A$502)-2),3)),"")&lt;&gt;"",IFERROR(INDEX(Income!B$3:B$502,SMALL(IF((Income!D$3:D$502="INR")*(Income!A$3:A$502=DATE(2026,2,17)),ROW(Income!A$3:A$502)-2),3)),""),""))</f>
        <v/>
      </c>
      <c r="G41" s="153">
        <f t="array" ref="G41">IF(IFERROR(-INDEX(Expenses!D$3:D$999,SMALL(IF((Expenses!E$3:E$999="INR")*(Expenses!A$3:A$999=DATE(2026,2,18)),ROW(Expenses!A$3:A$999)-2),3)),0)+IFERROR(INDEX(Income!C$3:C$502,SMALL(IF((Income!D$3:D$502="INR")*(Income!A$3:A$502=DATE(2026,2,18)),ROW(Income!A$3:A$502)-2),3)),0)=0,"",IFERROR(-INDEX(Expenses!D$3:D$999,SMALL(IF((Expenses!E$3:E$999="INR")*(Expenses!A$3:A$999=DATE(2026,2,18)),ROW(Expenses!A$3:A$999)-2),3)),0)+IFERROR(INDEX(Income!C$3:C$502,SMALL(IF((Income!D$3:D$502="INR")*(Income!A$3:A$502=DATE(2026,2,18)),ROW(Income!A$3:A$502)-2),3)),0))</f>
        <v/>
      </c>
      <c r="H41" s="126">
        <f t="array" ref="H41">IF(IFERROR(INDEX(Expenses!B$3:B$999,SMALL(IF((Expenses!E$3:E$999="INR")*(Expenses!A$3:A$999=DATE(2026,2,18)),ROW(Expenses!A$3:A$999)-2),3)),"")&lt;&gt;"",IFERROR(INDEX(Expenses!B$3:B$999,SMALL(IF((Expenses!E$3:E$999="INR")*(Expenses!A$3:A$999=DATE(2026,2,18)),ROW(Expenses!A$3:A$999)-2),3)),""),IF(IFERROR(INDEX(Income!B$3:B$502,SMALL(IF((Income!D$3:D$502="INR")*(Income!A$3:A$502=DATE(2026,2,18)),ROW(Income!A$3:A$502)-2),3)),"")&lt;&gt;"",IFERROR(INDEX(Income!B$3:B$502,SMALL(IF((Income!D$3:D$502="INR")*(Income!A$3:A$502=DATE(2026,2,18)),ROW(Income!A$3:A$502)-2),3)),""),""))</f>
        <v/>
      </c>
      <c r="I41" s="153">
        <f t="array" ref="I41">IF(IFERROR(-INDEX(Expenses!D$3:D$999,SMALL(IF((Expenses!E$3:E$999="INR")*(Expenses!A$3:A$999=DATE(2026,2,19)),ROW(Expenses!A$3:A$999)-2),3)),0)+IFERROR(INDEX(Income!C$3:C$502,SMALL(IF((Income!D$3:D$502="INR")*(Income!A$3:A$502=DATE(2026,2,19)),ROW(Income!A$3:A$502)-2),3)),0)=0,"",IFERROR(-INDEX(Expenses!D$3:D$999,SMALL(IF((Expenses!E$3:E$999="INR")*(Expenses!A$3:A$999=DATE(2026,2,19)),ROW(Expenses!A$3:A$999)-2),3)),0)+IFERROR(INDEX(Income!C$3:C$502,SMALL(IF((Income!D$3:D$502="INR")*(Income!A$3:A$502=DATE(2026,2,19)),ROW(Income!A$3:A$502)-2),3)),0))</f>
        <v/>
      </c>
      <c r="J41" s="126">
        <f t="array" ref="J41">IF(IFERROR(INDEX(Expenses!B$3:B$999,SMALL(IF((Expenses!E$3:E$999="INR")*(Expenses!A$3:A$999=DATE(2026,2,19)),ROW(Expenses!A$3:A$999)-2),3)),"")&lt;&gt;"",IFERROR(INDEX(Expenses!B$3:B$999,SMALL(IF((Expenses!E$3:E$999="INR")*(Expenses!A$3:A$999=DATE(2026,2,19)),ROW(Expenses!A$3:A$999)-2),3)),""),IF(IFERROR(INDEX(Income!B$3:B$502,SMALL(IF((Income!D$3:D$502="INR")*(Income!A$3:A$502=DATE(2026,2,19)),ROW(Income!A$3:A$502)-2),3)),"")&lt;&gt;"",IFERROR(INDEX(Income!B$3:B$502,SMALL(IF((Income!D$3:D$502="INR")*(Income!A$3:A$502=DATE(2026,2,19)),ROW(Income!A$3:A$502)-2),3)),""),""))</f>
        <v/>
      </c>
      <c r="K41" s="153">
        <f t="array" ref="K41">IF(IFERROR(-INDEX(Expenses!D$3:D$999,SMALL(IF((Expenses!E$3:E$999="INR")*(Expenses!A$3:A$999=DATE(2026,2,20)),ROW(Expenses!A$3:A$999)-2),3)),0)+IFERROR(INDEX(Income!C$3:C$502,SMALL(IF((Income!D$3:D$502="INR")*(Income!A$3:A$502=DATE(2026,2,20)),ROW(Income!A$3:A$502)-2),3)),0)=0,"",IFERROR(-INDEX(Expenses!D$3:D$999,SMALL(IF((Expenses!E$3:E$999="INR")*(Expenses!A$3:A$999=DATE(2026,2,20)),ROW(Expenses!A$3:A$999)-2),3)),0)+IFERROR(INDEX(Income!C$3:C$502,SMALL(IF((Income!D$3:D$502="INR")*(Income!A$3:A$502=DATE(2026,2,20)),ROW(Income!A$3:A$502)-2),3)),0))</f>
        <v/>
      </c>
      <c r="L41" s="126">
        <f t="array" ref="L41">IF(IFERROR(INDEX(Expenses!B$3:B$999,SMALL(IF((Expenses!E$3:E$999="INR")*(Expenses!A$3:A$999=DATE(2026,2,20)),ROW(Expenses!A$3:A$999)-2),3)),"")&lt;&gt;"",IFERROR(INDEX(Expenses!B$3:B$999,SMALL(IF((Expenses!E$3:E$999="INR")*(Expenses!A$3:A$999=DATE(2026,2,20)),ROW(Expenses!A$3:A$999)-2),3)),""),IF(IFERROR(INDEX(Income!B$3:B$502,SMALL(IF((Income!D$3:D$502="INR")*(Income!A$3:A$502=DATE(2026,2,20)),ROW(Income!A$3:A$502)-2),3)),"")&lt;&gt;"",IFERROR(INDEX(Income!B$3:B$502,SMALL(IF((Income!D$3:D$502="INR")*(Income!A$3:A$502=DATE(2026,2,20)),ROW(Income!A$3:A$502)-2),3)),""),""))</f>
        <v/>
      </c>
      <c r="M41" s="153">
        <f t="array" ref="M41">IF(IFERROR(-INDEX(Expenses!D$3:D$999,SMALL(IF((Expenses!E$3:E$999="INR")*(Expenses!A$3:A$999=DATE(2026,2,21)),ROW(Expenses!A$3:A$999)-2),3)),0)+IFERROR(INDEX(Income!C$3:C$502,SMALL(IF((Income!D$3:D$502="INR")*(Income!A$3:A$502=DATE(2026,2,21)),ROW(Income!A$3:A$502)-2),3)),0)=0,"",IFERROR(-INDEX(Expenses!D$3:D$999,SMALL(IF((Expenses!E$3:E$999="INR")*(Expenses!A$3:A$999=DATE(2026,2,21)),ROW(Expenses!A$3:A$999)-2),3)),0)+IFERROR(INDEX(Income!C$3:C$502,SMALL(IF((Income!D$3:D$502="INR")*(Income!A$3:A$502=DATE(2026,2,21)),ROW(Income!A$3:A$502)-2),3)),0))</f>
        <v/>
      </c>
      <c r="N41" s="126">
        <f t="array" ref="N41">IF(IFERROR(INDEX(Expenses!B$3:B$999,SMALL(IF((Expenses!E$3:E$999="INR")*(Expenses!A$3:A$999=DATE(2026,2,21)),ROW(Expenses!A$3:A$999)-2),3)),"")&lt;&gt;"",IFERROR(INDEX(Expenses!B$3:B$999,SMALL(IF((Expenses!E$3:E$999="INR")*(Expenses!A$3:A$999=DATE(2026,2,21)),ROW(Expenses!A$3:A$999)-2),3)),""),IF(IFERROR(INDEX(Income!B$3:B$502,SMALL(IF((Income!D$3:D$502="INR")*(Income!A$3:A$502=DATE(2026,2,21)),ROW(Income!A$3:A$502)-2),3)),"")&lt;&gt;"",IFERROR(INDEX(Income!B$3:B$502,SMALL(IF((Income!D$3:D$502="INR")*(Income!A$3:A$502=DATE(2026,2,21)),ROW(Income!A$3:A$502)-2),3)),""),""))</f>
        <v/>
      </c>
      <c r="O41" s="153">
        <f t="array" ref="O41">IF(IFERROR(-INDEX(Expenses!D$3:D$999,SMALL(IF((Expenses!E$3:E$999="INR")*(Expenses!A$3:A$999=DATE(2026,2,22)),ROW(Expenses!A$3:A$999)-2),3)),0)+IFERROR(INDEX(Income!C$3:C$502,SMALL(IF((Income!D$3:D$502="INR")*(Income!A$3:A$502=DATE(2026,2,22)),ROW(Income!A$3:A$502)-2),3)),0)=0,"",IFERROR(-INDEX(Expenses!D$3:D$999,SMALL(IF((Expenses!E$3:E$999="INR")*(Expenses!A$3:A$999=DATE(2026,2,22)),ROW(Expenses!A$3:A$999)-2),3)),0)+IFERROR(INDEX(Income!C$3:C$502,SMALL(IF((Income!D$3:D$502="INR")*(Income!A$3:A$502=DATE(2026,2,22)),ROW(Income!A$3:A$502)-2),3)),0))</f>
        <v/>
      </c>
      <c r="P41" s="126">
        <f t="array" ref="P41">IF(IFERROR(INDEX(Expenses!B$3:B$999,SMALL(IF((Expenses!E$3:E$999="INR")*(Expenses!A$3:A$999=DATE(2026,2,22)),ROW(Expenses!A$3:A$999)-2),3)),"")&lt;&gt;"",IFERROR(INDEX(Expenses!B$3:B$999,SMALL(IF((Expenses!E$3:E$999="INR")*(Expenses!A$3:A$999=DATE(2026,2,22)),ROW(Expenses!A$3:A$999)-2),3)),""),IF(IFERROR(INDEX(Income!B$3:B$502,SMALL(IF((Income!D$3:D$502="INR")*(Income!A$3:A$502=DATE(2026,2,22)),ROW(Income!A$3:A$502)-2),3)),"")&lt;&gt;"",IFERROR(INDEX(Income!B$3:B$502,SMALL(IF((Income!D$3:D$502="INR")*(Income!A$3:A$502=DATE(2026,2,22)),ROW(Income!A$3:A$502)-2),3)),""),""))</f>
        <v/>
      </c>
      <c r="Q41" s="9" t="n"/>
      <c r="R41" s="9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68">
      <c r="A42" s="9" t="n"/>
      <c r="B42" s="9" t="n"/>
      <c r="C42" s="153">
        <f t="array" ref="C42">IF(IFERROR(-INDEX(Expenses!D$3:D$999,SMALL(IF((Expenses!E$3:E$999="INR")*(Expenses!A$3:A$999=DATE(2026,2,16)),ROW(Expenses!A$3:A$999)-2),4)),0)+IFERROR(INDEX(Income!C$3:C$502,SMALL(IF((Income!D$3:D$502="INR")*(Income!A$3:A$502=DATE(2026,2,16)),ROW(Income!A$3:A$502)-2),4)),0)=0,"",IFERROR(-INDEX(Expenses!D$3:D$999,SMALL(IF((Expenses!E$3:E$999="INR")*(Expenses!A$3:A$999=DATE(2026,2,16)),ROW(Expenses!A$3:A$999)-2),4)),0)+IFERROR(INDEX(Income!C$3:C$502,SMALL(IF((Income!D$3:D$502="INR")*(Income!A$3:A$502=DATE(2026,2,16)),ROW(Income!A$3:A$502)-2),4)),0))</f>
        <v/>
      </c>
      <c r="D42" s="126">
        <f t="array" ref="D42">IF(IFERROR(INDEX(Expenses!B$3:B$999,SMALL(IF((Expenses!E$3:E$999="INR")*(Expenses!A$3:A$999=DATE(2026,2,16)),ROW(Expenses!A$3:A$999)-2),4)),"")&lt;&gt;"",IFERROR(INDEX(Expenses!B$3:B$999,SMALL(IF((Expenses!E$3:E$999="INR")*(Expenses!A$3:A$999=DATE(2026,2,16)),ROW(Expenses!A$3:A$999)-2),4)),""),IF(IFERROR(INDEX(Income!B$3:B$502,SMALL(IF((Income!D$3:D$502="INR")*(Income!A$3:A$502=DATE(2026,2,16)),ROW(Income!A$3:A$502)-2),4)),"")&lt;&gt;"",IFERROR(INDEX(Income!B$3:B$502,SMALL(IF((Income!D$3:D$502="INR")*(Income!A$3:A$502=DATE(2026,2,16)),ROW(Income!A$3:A$502)-2),4)),""),""))</f>
        <v/>
      </c>
      <c r="E42" s="153">
        <f t="array" ref="E42">IF(IFERROR(-INDEX(Expenses!D$3:D$999,SMALL(IF((Expenses!E$3:E$999="INR")*(Expenses!A$3:A$999=DATE(2026,2,17)),ROW(Expenses!A$3:A$999)-2),4)),0)+IFERROR(INDEX(Income!C$3:C$502,SMALL(IF((Income!D$3:D$502="INR")*(Income!A$3:A$502=DATE(2026,2,17)),ROW(Income!A$3:A$502)-2),4)),0)=0,"",IFERROR(-INDEX(Expenses!D$3:D$999,SMALL(IF((Expenses!E$3:E$999="INR")*(Expenses!A$3:A$999=DATE(2026,2,17)),ROW(Expenses!A$3:A$999)-2),4)),0)+IFERROR(INDEX(Income!C$3:C$502,SMALL(IF((Income!D$3:D$502="INR")*(Income!A$3:A$502=DATE(2026,2,17)),ROW(Income!A$3:A$502)-2),4)),0))</f>
        <v/>
      </c>
      <c r="F42" s="126">
        <f t="array" ref="F42">IF(IFERROR(INDEX(Expenses!B$3:B$999,SMALL(IF((Expenses!E$3:E$999="INR")*(Expenses!A$3:A$999=DATE(2026,2,17)),ROW(Expenses!A$3:A$999)-2),4)),"")&lt;&gt;"",IFERROR(INDEX(Expenses!B$3:B$999,SMALL(IF((Expenses!E$3:E$999="INR")*(Expenses!A$3:A$999=DATE(2026,2,17)),ROW(Expenses!A$3:A$999)-2),4)),""),IF(IFERROR(INDEX(Income!B$3:B$502,SMALL(IF((Income!D$3:D$502="INR")*(Income!A$3:A$502=DATE(2026,2,17)),ROW(Income!A$3:A$502)-2),4)),"")&lt;&gt;"",IFERROR(INDEX(Income!B$3:B$502,SMALL(IF((Income!D$3:D$502="INR")*(Income!A$3:A$502=DATE(2026,2,17)),ROW(Income!A$3:A$502)-2),4)),""),""))</f>
        <v/>
      </c>
      <c r="G42" s="153">
        <f t="array" ref="G42">IF(IFERROR(-INDEX(Expenses!D$3:D$999,SMALL(IF((Expenses!E$3:E$999="INR")*(Expenses!A$3:A$999=DATE(2026,2,18)),ROW(Expenses!A$3:A$999)-2),4)),0)+IFERROR(INDEX(Income!C$3:C$502,SMALL(IF((Income!D$3:D$502="INR")*(Income!A$3:A$502=DATE(2026,2,18)),ROW(Income!A$3:A$502)-2),4)),0)=0,"",IFERROR(-INDEX(Expenses!D$3:D$999,SMALL(IF((Expenses!E$3:E$999="INR")*(Expenses!A$3:A$999=DATE(2026,2,18)),ROW(Expenses!A$3:A$999)-2),4)),0)+IFERROR(INDEX(Income!C$3:C$502,SMALL(IF((Income!D$3:D$502="INR")*(Income!A$3:A$502=DATE(2026,2,18)),ROW(Income!A$3:A$502)-2),4)),0))</f>
        <v/>
      </c>
      <c r="H42" s="126">
        <f t="array" ref="H42">IF(IFERROR(INDEX(Expenses!B$3:B$999,SMALL(IF((Expenses!E$3:E$999="INR")*(Expenses!A$3:A$999=DATE(2026,2,18)),ROW(Expenses!A$3:A$999)-2),4)),"")&lt;&gt;"",IFERROR(INDEX(Expenses!B$3:B$999,SMALL(IF((Expenses!E$3:E$999="INR")*(Expenses!A$3:A$999=DATE(2026,2,18)),ROW(Expenses!A$3:A$999)-2),4)),""),IF(IFERROR(INDEX(Income!B$3:B$502,SMALL(IF((Income!D$3:D$502="INR")*(Income!A$3:A$502=DATE(2026,2,18)),ROW(Income!A$3:A$502)-2),4)),"")&lt;&gt;"",IFERROR(INDEX(Income!B$3:B$502,SMALL(IF((Income!D$3:D$502="INR")*(Income!A$3:A$502=DATE(2026,2,18)),ROW(Income!A$3:A$502)-2),4)),""),""))</f>
        <v/>
      </c>
      <c r="I42" s="153">
        <f t="array" ref="I42">IF(IFERROR(-INDEX(Expenses!D$3:D$999,SMALL(IF((Expenses!E$3:E$999="INR")*(Expenses!A$3:A$999=DATE(2026,2,19)),ROW(Expenses!A$3:A$999)-2),4)),0)+IFERROR(INDEX(Income!C$3:C$502,SMALL(IF((Income!D$3:D$502="INR")*(Income!A$3:A$502=DATE(2026,2,19)),ROW(Income!A$3:A$502)-2),4)),0)=0,"",IFERROR(-INDEX(Expenses!D$3:D$999,SMALL(IF((Expenses!E$3:E$999="INR")*(Expenses!A$3:A$999=DATE(2026,2,19)),ROW(Expenses!A$3:A$999)-2),4)),0)+IFERROR(INDEX(Income!C$3:C$502,SMALL(IF((Income!D$3:D$502="INR")*(Income!A$3:A$502=DATE(2026,2,19)),ROW(Income!A$3:A$502)-2),4)),0))</f>
        <v/>
      </c>
      <c r="J42" s="126">
        <f t="array" ref="J42">IF(IFERROR(INDEX(Expenses!B$3:B$999,SMALL(IF((Expenses!E$3:E$999="INR")*(Expenses!A$3:A$999=DATE(2026,2,19)),ROW(Expenses!A$3:A$999)-2),4)),"")&lt;&gt;"",IFERROR(INDEX(Expenses!B$3:B$999,SMALL(IF((Expenses!E$3:E$999="INR")*(Expenses!A$3:A$999=DATE(2026,2,19)),ROW(Expenses!A$3:A$999)-2),4)),""),IF(IFERROR(INDEX(Income!B$3:B$502,SMALL(IF((Income!D$3:D$502="INR")*(Income!A$3:A$502=DATE(2026,2,19)),ROW(Income!A$3:A$502)-2),4)),"")&lt;&gt;"",IFERROR(INDEX(Income!B$3:B$502,SMALL(IF((Income!D$3:D$502="INR")*(Income!A$3:A$502=DATE(2026,2,19)),ROW(Income!A$3:A$502)-2),4)),""),""))</f>
        <v/>
      </c>
      <c r="K42" s="153">
        <f t="array" ref="K42">IF(IFERROR(-INDEX(Expenses!D$3:D$999,SMALL(IF((Expenses!E$3:E$999="INR")*(Expenses!A$3:A$999=DATE(2026,2,20)),ROW(Expenses!A$3:A$999)-2),4)),0)+IFERROR(INDEX(Income!C$3:C$502,SMALL(IF((Income!D$3:D$502="INR")*(Income!A$3:A$502=DATE(2026,2,20)),ROW(Income!A$3:A$502)-2),4)),0)=0,"",IFERROR(-INDEX(Expenses!D$3:D$999,SMALL(IF((Expenses!E$3:E$999="INR")*(Expenses!A$3:A$999=DATE(2026,2,20)),ROW(Expenses!A$3:A$999)-2),4)),0)+IFERROR(INDEX(Income!C$3:C$502,SMALL(IF((Income!D$3:D$502="INR")*(Income!A$3:A$502=DATE(2026,2,20)),ROW(Income!A$3:A$502)-2),4)),0))</f>
        <v/>
      </c>
      <c r="L42" s="126">
        <f t="array" ref="L42">IF(IFERROR(INDEX(Expenses!B$3:B$999,SMALL(IF((Expenses!E$3:E$999="INR")*(Expenses!A$3:A$999=DATE(2026,2,20)),ROW(Expenses!A$3:A$999)-2),4)),"")&lt;&gt;"",IFERROR(INDEX(Expenses!B$3:B$999,SMALL(IF((Expenses!E$3:E$999="INR")*(Expenses!A$3:A$999=DATE(2026,2,20)),ROW(Expenses!A$3:A$999)-2),4)),""),IF(IFERROR(INDEX(Income!B$3:B$502,SMALL(IF((Income!D$3:D$502="INR")*(Income!A$3:A$502=DATE(2026,2,20)),ROW(Income!A$3:A$502)-2),4)),"")&lt;&gt;"",IFERROR(INDEX(Income!B$3:B$502,SMALL(IF((Income!D$3:D$502="INR")*(Income!A$3:A$502=DATE(2026,2,20)),ROW(Income!A$3:A$502)-2),4)),""),""))</f>
        <v/>
      </c>
      <c r="M42" s="153">
        <f t="array" ref="M42">IF(IFERROR(-INDEX(Expenses!D$3:D$999,SMALL(IF((Expenses!E$3:E$999="INR")*(Expenses!A$3:A$999=DATE(2026,2,21)),ROW(Expenses!A$3:A$999)-2),4)),0)+IFERROR(INDEX(Income!C$3:C$502,SMALL(IF((Income!D$3:D$502="INR")*(Income!A$3:A$502=DATE(2026,2,21)),ROW(Income!A$3:A$502)-2),4)),0)=0,"",IFERROR(-INDEX(Expenses!D$3:D$999,SMALL(IF((Expenses!E$3:E$999="INR")*(Expenses!A$3:A$999=DATE(2026,2,21)),ROW(Expenses!A$3:A$999)-2),4)),0)+IFERROR(INDEX(Income!C$3:C$502,SMALL(IF((Income!D$3:D$502="INR")*(Income!A$3:A$502=DATE(2026,2,21)),ROW(Income!A$3:A$502)-2),4)),0))</f>
        <v/>
      </c>
      <c r="N42" s="126">
        <f t="array" ref="N42">IF(IFERROR(INDEX(Expenses!B$3:B$999,SMALL(IF((Expenses!E$3:E$999="INR")*(Expenses!A$3:A$999=DATE(2026,2,21)),ROW(Expenses!A$3:A$999)-2),4)),"")&lt;&gt;"",IFERROR(INDEX(Expenses!B$3:B$999,SMALL(IF((Expenses!E$3:E$999="INR")*(Expenses!A$3:A$999=DATE(2026,2,21)),ROW(Expenses!A$3:A$999)-2),4)),""),IF(IFERROR(INDEX(Income!B$3:B$502,SMALL(IF((Income!D$3:D$502="INR")*(Income!A$3:A$502=DATE(2026,2,21)),ROW(Income!A$3:A$502)-2),4)),"")&lt;&gt;"",IFERROR(INDEX(Income!B$3:B$502,SMALL(IF((Income!D$3:D$502="INR")*(Income!A$3:A$502=DATE(2026,2,21)),ROW(Income!A$3:A$502)-2),4)),""),""))</f>
        <v/>
      </c>
      <c r="O42" s="153">
        <f t="array" ref="O42">IF(IFERROR(-INDEX(Expenses!D$3:D$999,SMALL(IF((Expenses!E$3:E$999="INR")*(Expenses!A$3:A$999=DATE(2026,2,22)),ROW(Expenses!A$3:A$999)-2),4)),0)+IFERROR(INDEX(Income!C$3:C$502,SMALL(IF((Income!D$3:D$502="INR")*(Income!A$3:A$502=DATE(2026,2,22)),ROW(Income!A$3:A$502)-2),4)),0)=0,"",IFERROR(-INDEX(Expenses!D$3:D$999,SMALL(IF((Expenses!E$3:E$999="INR")*(Expenses!A$3:A$999=DATE(2026,2,22)),ROW(Expenses!A$3:A$999)-2),4)),0)+IFERROR(INDEX(Income!C$3:C$502,SMALL(IF((Income!D$3:D$502="INR")*(Income!A$3:A$502=DATE(2026,2,22)),ROW(Income!A$3:A$502)-2),4)),0))</f>
        <v/>
      </c>
      <c r="P42" s="126">
        <f t="array" ref="P42">IF(IFERROR(INDEX(Expenses!B$3:B$999,SMALL(IF((Expenses!E$3:E$999="INR")*(Expenses!A$3:A$999=DATE(2026,2,22)),ROW(Expenses!A$3:A$999)-2),4)),"")&lt;&gt;"",IFERROR(INDEX(Expenses!B$3:B$999,SMALL(IF((Expenses!E$3:E$999="INR")*(Expenses!A$3:A$999=DATE(2026,2,22)),ROW(Expenses!A$3:A$999)-2),4)),""),IF(IFERROR(INDEX(Income!B$3:B$502,SMALL(IF((Income!D$3:D$502="INR")*(Income!A$3:A$502=DATE(2026,2,22)),ROW(Income!A$3:A$502)-2),4)),"")&lt;&gt;"",IFERROR(INDEX(Income!B$3:B$502,SMALL(IF((Income!D$3:D$502="INR")*(Income!A$3:A$502=DATE(2026,2,22)),ROW(Income!A$3:A$502)-2),4)),""),""))</f>
        <v/>
      </c>
      <c r="Q42" s="9" t="n"/>
      <c r="R42" s="9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68">
      <c r="A43" s="9" t="n"/>
      <c r="B43" s="9" t="n"/>
      <c r="C43" s="153">
        <f t="array" ref="C43">IF(IFERROR(-INDEX(Expenses!D$3:D$999,SMALL(IF((Expenses!E$3:E$999="INR")*(Expenses!A$3:A$999=DATE(2026,2,16)),ROW(Expenses!A$3:A$999)-2),5)),0)+IFERROR(INDEX(Income!C$3:C$502,SMALL(IF((Income!D$3:D$502="INR")*(Income!A$3:A$502=DATE(2026,2,16)),ROW(Income!A$3:A$502)-2),5)),0)=0,"",IFERROR(-INDEX(Expenses!D$3:D$999,SMALL(IF((Expenses!E$3:E$999="INR")*(Expenses!A$3:A$999=DATE(2026,2,16)),ROW(Expenses!A$3:A$999)-2),5)),0)+IFERROR(INDEX(Income!C$3:C$502,SMALL(IF((Income!D$3:D$502="INR")*(Income!A$3:A$502=DATE(2026,2,16)),ROW(Income!A$3:A$502)-2),5)),0))</f>
        <v/>
      </c>
      <c r="D43" s="126">
        <f t="array" ref="D43">IF(IFERROR(INDEX(Expenses!B$3:B$999,SMALL(IF((Expenses!E$3:E$999="INR")*(Expenses!A$3:A$999=DATE(2026,2,16)),ROW(Expenses!A$3:A$999)-2),5)),"")&lt;&gt;"",IFERROR(INDEX(Expenses!B$3:B$999,SMALL(IF((Expenses!E$3:E$999="INR")*(Expenses!A$3:A$999=DATE(2026,2,16)),ROW(Expenses!A$3:A$999)-2),5)),""),IF(IFERROR(INDEX(Income!B$3:B$502,SMALL(IF((Income!D$3:D$502="INR")*(Income!A$3:A$502=DATE(2026,2,16)),ROW(Income!A$3:A$502)-2),5)),"")&lt;&gt;"",IFERROR(INDEX(Income!B$3:B$502,SMALL(IF((Income!D$3:D$502="INR")*(Income!A$3:A$502=DATE(2026,2,16)),ROW(Income!A$3:A$502)-2),5)),""),""))</f>
        <v/>
      </c>
      <c r="E43" s="153">
        <f t="array" ref="E43">IF(IFERROR(-INDEX(Expenses!D$3:D$999,SMALL(IF((Expenses!E$3:E$999="INR")*(Expenses!A$3:A$999=DATE(2026,2,17)),ROW(Expenses!A$3:A$999)-2),5)),0)+IFERROR(INDEX(Income!C$3:C$502,SMALL(IF((Income!D$3:D$502="INR")*(Income!A$3:A$502=DATE(2026,2,17)),ROW(Income!A$3:A$502)-2),5)),0)=0,"",IFERROR(-INDEX(Expenses!D$3:D$999,SMALL(IF((Expenses!E$3:E$999="INR")*(Expenses!A$3:A$999=DATE(2026,2,17)),ROW(Expenses!A$3:A$999)-2),5)),0)+IFERROR(INDEX(Income!C$3:C$502,SMALL(IF((Income!D$3:D$502="INR")*(Income!A$3:A$502=DATE(2026,2,17)),ROW(Income!A$3:A$502)-2),5)),0))</f>
        <v/>
      </c>
      <c r="F43" s="126">
        <f t="array" ref="F43">IF(IFERROR(INDEX(Expenses!B$3:B$999,SMALL(IF((Expenses!E$3:E$999="INR")*(Expenses!A$3:A$999=DATE(2026,2,17)),ROW(Expenses!A$3:A$999)-2),5)),"")&lt;&gt;"",IFERROR(INDEX(Expenses!B$3:B$999,SMALL(IF((Expenses!E$3:E$999="INR")*(Expenses!A$3:A$999=DATE(2026,2,17)),ROW(Expenses!A$3:A$999)-2),5)),""),IF(IFERROR(INDEX(Income!B$3:B$502,SMALL(IF((Income!D$3:D$502="INR")*(Income!A$3:A$502=DATE(2026,2,17)),ROW(Income!A$3:A$502)-2),5)),"")&lt;&gt;"",IFERROR(INDEX(Income!B$3:B$502,SMALL(IF((Income!D$3:D$502="INR")*(Income!A$3:A$502=DATE(2026,2,17)),ROW(Income!A$3:A$502)-2),5)),""),""))</f>
        <v/>
      </c>
      <c r="G43" s="153">
        <f t="array" ref="G43">IF(IFERROR(-INDEX(Expenses!D$3:D$999,SMALL(IF((Expenses!E$3:E$999="INR")*(Expenses!A$3:A$999=DATE(2026,2,18)),ROW(Expenses!A$3:A$999)-2),5)),0)+IFERROR(INDEX(Income!C$3:C$502,SMALL(IF((Income!D$3:D$502="INR")*(Income!A$3:A$502=DATE(2026,2,18)),ROW(Income!A$3:A$502)-2),5)),0)=0,"",IFERROR(-INDEX(Expenses!D$3:D$999,SMALL(IF((Expenses!E$3:E$999="INR")*(Expenses!A$3:A$999=DATE(2026,2,18)),ROW(Expenses!A$3:A$999)-2),5)),0)+IFERROR(INDEX(Income!C$3:C$502,SMALL(IF((Income!D$3:D$502="INR")*(Income!A$3:A$502=DATE(2026,2,18)),ROW(Income!A$3:A$502)-2),5)),0))</f>
        <v/>
      </c>
      <c r="H43" s="126">
        <f t="array" ref="H43">IF(IFERROR(INDEX(Expenses!B$3:B$999,SMALL(IF((Expenses!E$3:E$999="INR")*(Expenses!A$3:A$999=DATE(2026,2,18)),ROW(Expenses!A$3:A$999)-2),5)),"")&lt;&gt;"",IFERROR(INDEX(Expenses!B$3:B$999,SMALL(IF((Expenses!E$3:E$999="INR")*(Expenses!A$3:A$999=DATE(2026,2,18)),ROW(Expenses!A$3:A$999)-2),5)),""),IF(IFERROR(INDEX(Income!B$3:B$502,SMALL(IF((Income!D$3:D$502="INR")*(Income!A$3:A$502=DATE(2026,2,18)),ROW(Income!A$3:A$502)-2),5)),"")&lt;&gt;"",IFERROR(INDEX(Income!B$3:B$502,SMALL(IF((Income!D$3:D$502="INR")*(Income!A$3:A$502=DATE(2026,2,18)),ROW(Income!A$3:A$502)-2),5)),""),""))</f>
        <v/>
      </c>
      <c r="I43" s="153">
        <f t="array" ref="I43">IF(IFERROR(-INDEX(Expenses!D$3:D$999,SMALL(IF((Expenses!E$3:E$999="INR")*(Expenses!A$3:A$999=DATE(2026,2,19)),ROW(Expenses!A$3:A$999)-2),5)),0)+IFERROR(INDEX(Income!C$3:C$502,SMALL(IF((Income!D$3:D$502="INR")*(Income!A$3:A$502=DATE(2026,2,19)),ROW(Income!A$3:A$502)-2),5)),0)=0,"",IFERROR(-INDEX(Expenses!D$3:D$999,SMALL(IF((Expenses!E$3:E$999="INR")*(Expenses!A$3:A$999=DATE(2026,2,19)),ROW(Expenses!A$3:A$999)-2),5)),0)+IFERROR(INDEX(Income!C$3:C$502,SMALL(IF((Income!D$3:D$502="INR")*(Income!A$3:A$502=DATE(2026,2,19)),ROW(Income!A$3:A$502)-2),5)),0))</f>
        <v/>
      </c>
      <c r="J43" s="126">
        <f t="array" ref="J43">IF(IFERROR(INDEX(Expenses!B$3:B$999,SMALL(IF((Expenses!E$3:E$999="INR")*(Expenses!A$3:A$999=DATE(2026,2,19)),ROW(Expenses!A$3:A$999)-2),5)),"")&lt;&gt;"",IFERROR(INDEX(Expenses!B$3:B$999,SMALL(IF((Expenses!E$3:E$999="INR")*(Expenses!A$3:A$999=DATE(2026,2,19)),ROW(Expenses!A$3:A$999)-2),5)),""),IF(IFERROR(INDEX(Income!B$3:B$502,SMALL(IF((Income!D$3:D$502="INR")*(Income!A$3:A$502=DATE(2026,2,19)),ROW(Income!A$3:A$502)-2),5)),"")&lt;&gt;"",IFERROR(INDEX(Income!B$3:B$502,SMALL(IF((Income!D$3:D$502="INR")*(Income!A$3:A$502=DATE(2026,2,19)),ROW(Income!A$3:A$502)-2),5)),""),""))</f>
        <v/>
      </c>
      <c r="K43" s="153">
        <f t="array" ref="K43">IF(IFERROR(-INDEX(Expenses!D$3:D$999,SMALL(IF((Expenses!E$3:E$999="INR")*(Expenses!A$3:A$999=DATE(2026,2,20)),ROW(Expenses!A$3:A$999)-2),5)),0)+IFERROR(INDEX(Income!C$3:C$502,SMALL(IF((Income!D$3:D$502="INR")*(Income!A$3:A$502=DATE(2026,2,20)),ROW(Income!A$3:A$502)-2),5)),0)=0,"",IFERROR(-INDEX(Expenses!D$3:D$999,SMALL(IF((Expenses!E$3:E$999="INR")*(Expenses!A$3:A$999=DATE(2026,2,20)),ROW(Expenses!A$3:A$999)-2),5)),0)+IFERROR(INDEX(Income!C$3:C$502,SMALL(IF((Income!D$3:D$502="INR")*(Income!A$3:A$502=DATE(2026,2,20)),ROW(Income!A$3:A$502)-2),5)),0))</f>
        <v/>
      </c>
      <c r="L43" s="126">
        <f t="array" ref="L43">IF(IFERROR(INDEX(Expenses!B$3:B$999,SMALL(IF((Expenses!E$3:E$999="INR")*(Expenses!A$3:A$999=DATE(2026,2,20)),ROW(Expenses!A$3:A$999)-2),5)),"")&lt;&gt;"",IFERROR(INDEX(Expenses!B$3:B$999,SMALL(IF((Expenses!E$3:E$999="INR")*(Expenses!A$3:A$999=DATE(2026,2,20)),ROW(Expenses!A$3:A$999)-2),5)),""),IF(IFERROR(INDEX(Income!B$3:B$502,SMALL(IF((Income!D$3:D$502="INR")*(Income!A$3:A$502=DATE(2026,2,20)),ROW(Income!A$3:A$502)-2),5)),"")&lt;&gt;"",IFERROR(INDEX(Income!B$3:B$502,SMALL(IF((Income!D$3:D$502="INR")*(Income!A$3:A$502=DATE(2026,2,20)),ROW(Income!A$3:A$502)-2),5)),""),""))</f>
        <v/>
      </c>
      <c r="M43" s="153">
        <f t="array" ref="M43">IF(IFERROR(-INDEX(Expenses!D$3:D$999,SMALL(IF((Expenses!E$3:E$999="INR")*(Expenses!A$3:A$999=DATE(2026,2,21)),ROW(Expenses!A$3:A$999)-2),5)),0)+IFERROR(INDEX(Income!C$3:C$502,SMALL(IF((Income!D$3:D$502="INR")*(Income!A$3:A$502=DATE(2026,2,21)),ROW(Income!A$3:A$502)-2),5)),0)=0,"",IFERROR(-INDEX(Expenses!D$3:D$999,SMALL(IF((Expenses!E$3:E$999="INR")*(Expenses!A$3:A$999=DATE(2026,2,21)),ROW(Expenses!A$3:A$999)-2),5)),0)+IFERROR(INDEX(Income!C$3:C$502,SMALL(IF((Income!D$3:D$502="INR")*(Income!A$3:A$502=DATE(2026,2,21)),ROW(Income!A$3:A$502)-2),5)),0))</f>
        <v/>
      </c>
      <c r="N43" s="126">
        <f t="array" ref="N43">IF(IFERROR(INDEX(Expenses!B$3:B$999,SMALL(IF((Expenses!E$3:E$999="INR")*(Expenses!A$3:A$999=DATE(2026,2,21)),ROW(Expenses!A$3:A$999)-2),5)),"")&lt;&gt;"",IFERROR(INDEX(Expenses!B$3:B$999,SMALL(IF((Expenses!E$3:E$999="INR")*(Expenses!A$3:A$999=DATE(2026,2,21)),ROW(Expenses!A$3:A$999)-2),5)),""),IF(IFERROR(INDEX(Income!B$3:B$502,SMALL(IF((Income!D$3:D$502="INR")*(Income!A$3:A$502=DATE(2026,2,21)),ROW(Income!A$3:A$502)-2),5)),"")&lt;&gt;"",IFERROR(INDEX(Income!B$3:B$502,SMALL(IF((Income!D$3:D$502="INR")*(Income!A$3:A$502=DATE(2026,2,21)),ROW(Income!A$3:A$502)-2),5)),""),""))</f>
        <v/>
      </c>
      <c r="O43" s="153">
        <f t="array" ref="O43">IF(IFERROR(-INDEX(Expenses!D$3:D$999,SMALL(IF((Expenses!E$3:E$999="INR")*(Expenses!A$3:A$999=DATE(2026,2,22)),ROW(Expenses!A$3:A$999)-2),5)),0)+IFERROR(INDEX(Income!C$3:C$502,SMALL(IF((Income!D$3:D$502="INR")*(Income!A$3:A$502=DATE(2026,2,22)),ROW(Income!A$3:A$502)-2),5)),0)=0,"",IFERROR(-INDEX(Expenses!D$3:D$999,SMALL(IF((Expenses!E$3:E$999="INR")*(Expenses!A$3:A$999=DATE(2026,2,22)),ROW(Expenses!A$3:A$999)-2),5)),0)+IFERROR(INDEX(Income!C$3:C$502,SMALL(IF((Income!D$3:D$502="INR")*(Income!A$3:A$502=DATE(2026,2,22)),ROW(Income!A$3:A$502)-2),5)),0))</f>
        <v/>
      </c>
      <c r="P43" s="126">
        <f t="array" ref="P43">IF(IFERROR(INDEX(Expenses!B$3:B$999,SMALL(IF((Expenses!E$3:E$999="INR")*(Expenses!A$3:A$999=DATE(2026,2,22)),ROW(Expenses!A$3:A$999)-2),5)),"")&lt;&gt;"",IFERROR(INDEX(Expenses!B$3:B$999,SMALL(IF((Expenses!E$3:E$999="INR")*(Expenses!A$3:A$999=DATE(2026,2,22)),ROW(Expenses!A$3:A$999)-2),5)),""),IF(IFERROR(INDEX(Income!B$3:B$502,SMALL(IF((Income!D$3:D$502="INR")*(Income!A$3:A$502=DATE(2026,2,22)),ROW(Income!A$3:A$502)-2),5)),"")&lt;&gt;"",IFERROR(INDEX(Income!B$3:B$502,SMALL(IF((Income!D$3:D$502="INR")*(Income!A$3:A$502=DATE(2026,2,22)),ROW(Income!A$3:A$502)-2),5)),""),""))</f>
        <v/>
      </c>
      <c r="Q43" s="9" t="n"/>
      <c r="R43" s="9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68">
      <c r="A44" s="151" t="n">
        <v>46076</v>
      </c>
      <c r="B44" s="103" t="n">
        <v>9</v>
      </c>
      <c r="C44" s="153">
        <f t="array" ref="C44">IF(IFERROR(-INDEX(Expenses!D$3:D$999,SMALL(IF((Expenses!E$3:E$999="INR")*(Expenses!A$3:A$999=DATE(2026,2,23)),ROW(Expenses!A$3:A$999)-2),1)),0)+IFERROR(INDEX(Income!C$3:C$502,SMALL(IF((Income!D$3:D$502="INR")*(Income!A$3:A$502=DATE(2026,2,23)),ROW(Income!A$3:A$502)-2),1)),0)=0,"",IFERROR(-INDEX(Expenses!D$3:D$999,SMALL(IF((Expenses!E$3:E$999="INR")*(Expenses!A$3:A$999=DATE(2026,2,23)),ROW(Expenses!A$3:A$999)-2),1)),0)+IFERROR(INDEX(Income!C$3:C$502,SMALL(IF((Income!D$3:D$502="INR")*(Income!A$3:A$502=DATE(2026,2,23)),ROW(Income!A$3:A$502)-2),1)),0))</f>
        <v/>
      </c>
      <c r="D44" s="126">
        <f t="array" ref="D44">IF(IFERROR(INDEX(Expenses!B$3:B$999,SMALL(IF((Expenses!E$3:E$999="INR")*(Expenses!A$3:A$999=DATE(2026,2,23)),ROW(Expenses!A$3:A$999)-2),1)),"")&lt;&gt;"",IFERROR(INDEX(Expenses!B$3:B$999,SMALL(IF((Expenses!E$3:E$999="INR")*(Expenses!A$3:A$999=DATE(2026,2,23)),ROW(Expenses!A$3:A$999)-2),1)),""),IF(IFERROR(INDEX(Income!B$3:B$502,SMALL(IF((Income!D$3:D$502="INR")*(Income!A$3:A$502=DATE(2026,2,23)),ROW(Income!A$3:A$502)-2),1)),"")&lt;&gt;"",IFERROR(INDEX(Income!B$3:B$502,SMALL(IF((Income!D$3:D$502="INR")*(Income!A$3:A$502=DATE(2026,2,23)),ROW(Income!A$3:A$502)-2),1)),""),""))</f>
        <v/>
      </c>
      <c r="E44" s="153">
        <f t="array" ref="E44">IF(IFERROR(-INDEX(Expenses!D$3:D$999,SMALL(IF((Expenses!E$3:E$999="INR")*(Expenses!A$3:A$999=DATE(2026,2,24)),ROW(Expenses!A$3:A$999)-2),1)),0)+IFERROR(INDEX(Income!C$3:C$502,SMALL(IF((Income!D$3:D$502="INR")*(Income!A$3:A$502=DATE(2026,2,24)),ROW(Income!A$3:A$502)-2),1)),0)=0,"",IFERROR(-INDEX(Expenses!D$3:D$999,SMALL(IF((Expenses!E$3:E$999="INR")*(Expenses!A$3:A$999=DATE(2026,2,24)),ROW(Expenses!A$3:A$999)-2),1)),0)+IFERROR(INDEX(Income!C$3:C$502,SMALL(IF((Income!D$3:D$502="INR")*(Income!A$3:A$502=DATE(2026,2,24)),ROW(Income!A$3:A$502)-2),1)),0))</f>
        <v/>
      </c>
      <c r="F44" s="126">
        <f t="array" ref="F44">IF(IFERROR(INDEX(Expenses!B$3:B$999,SMALL(IF((Expenses!E$3:E$999="INR")*(Expenses!A$3:A$999=DATE(2026,2,24)),ROW(Expenses!A$3:A$999)-2),1)),"")&lt;&gt;"",IFERROR(INDEX(Expenses!B$3:B$999,SMALL(IF((Expenses!E$3:E$999="INR")*(Expenses!A$3:A$999=DATE(2026,2,24)),ROW(Expenses!A$3:A$999)-2),1)),""),IF(IFERROR(INDEX(Income!B$3:B$502,SMALL(IF((Income!D$3:D$502="INR")*(Income!A$3:A$502=DATE(2026,2,24)),ROW(Income!A$3:A$502)-2),1)),"")&lt;&gt;"",IFERROR(INDEX(Income!B$3:B$502,SMALL(IF((Income!D$3:D$502="INR")*(Income!A$3:A$502=DATE(2026,2,24)),ROW(Income!A$3:A$502)-2),1)),""),""))</f>
        <v/>
      </c>
      <c r="G44" s="153">
        <f t="array" ref="G44">IF(IFERROR(-INDEX(Expenses!D$3:D$999,SMALL(IF((Expenses!E$3:E$999="INR")*(Expenses!A$3:A$999=DATE(2026,2,25)),ROW(Expenses!A$3:A$999)-2),1)),0)+IFERROR(INDEX(Income!C$3:C$502,SMALL(IF((Income!D$3:D$502="INR")*(Income!A$3:A$502=DATE(2026,2,25)),ROW(Income!A$3:A$502)-2),1)),0)=0,"",IFERROR(-INDEX(Expenses!D$3:D$999,SMALL(IF((Expenses!E$3:E$999="INR")*(Expenses!A$3:A$999=DATE(2026,2,25)),ROW(Expenses!A$3:A$999)-2),1)),0)+IFERROR(INDEX(Income!C$3:C$502,SMALL(IF((Income!D$3:D$502="INR")*(Income!A$3:A$502=DATE(2026,2,25)),ROW(Income!A$3:A$502)-2),1)),0))</f>
        <v/>
      </c>
      <c r="H44" s="126">
        <f t="array" ref="H44">IF(IFERROR(INDEX(Expenses!B$3:B$999,SMALL(IF((Expenses!E$3:E$999="INR")*(Expenses!A$3:A$999=DATE(2026,2,25)),ROW(Expenses!A$3:A$999)-2),1)),"")&lt;&gt;"",IFERROR(INDEX(Expenses!B$3:B$999,SMALL(IF((Expenses!E$3:E$999="INR")*(Expenses!A$3:A$999=DATE(2026,2,25)),ROW(Expenses!A$3:A$999)-2),1)),""),IF(IFERROR(INDEX(Income!B$3:B$502,SMALL(IF((Income!D$3:D$502="INR")*(Income!A$3:A$502=DATE(2026,2,25)),ROW(Income!A$3:A$502)-2),1)),"")&lt;&gt;"",IFERROR(INDEX(Income!B$3:B$502,SMALL(IF((Income!D$3:D$502="INR")*(Income!A$3:A$502=DATE(2026,2,25)),ROW(Income!A$3:A$502)-2),1)),""),""))</f>
        <v/>
      </c>
      <c r="I44" s="153">
        <f t="array" ref="I44">IF(IFERROR(-INDEX(Expenses!D$3:D$999,SMALL(IF((Expenses!E$3:E$999="INR")*(Expenses!A$3:A$999=DATE(2026,2,26)),ROW(Expenses!A$3:A$999)-2),1)),0)+IFERROR(INDEX(Income!C$3:C$502,SMALL(IF((Income!D$3:D$502="INR")*(Income!A$3:A$502=DATE(2026,2,26)),ROW(Income!A$3:A$502)-2),1)),0)=0,"",IFERROR(-INDEX(Expenses!D$3:D$999,SMALL(IF((Expenses!E$3:E$999="INR")*(Expenses!A$3:A$999=DATE(2026,2,26)),ROW(Expenses!A$3:A$999)-2),1)),0)+IFERROR(INDEX(Income!C$3:C$502,SMALL(IF((Income!D$3:D$502="INR")*(Income!A$3:A$502=DATE(2026,2,26)),ROW(Income!A$3:A$502)-2),1)),0))</f>
        <v/>
      </c>
      <c r="J44" s="126">
        <f t="array" ref="J44">IF(IFERROR(INDEX(Expenses!B$3:B$999,SMALL(IF((Expenses!E$3:E$999="INR")*(Expenses!A$3:A$999=DATE(2026,2,26)),ROW(Expenses!A$3:A$999)-2),1)),"")&lt;&gt;"",IFERROR(INDEX(Expenses!B$3:B$999,SMALL(IF((Expenses!E$3:E$999="INR")*(Expenses!A$3:A$999=DATE(2026,2,26)),ROW(Expenses!A$3:A$999)-2),1)),""),IF(IFERROR(INDEX(Income!B$3:B$502,SMALL(IF((Income!D$3:D$502="INR")*(Income!A$3:A$502=DATE(2026,2,26)),ROW(Income!A$3:A$502)-2),1)),"")&lt;&gt;"",IFERROR(INDEX(Income!B$3:B$502,SMALL(IF((Income!D$3:D$502="INR")*(Income!A$3:A$502=DATE(2026,2,26)),ROW(Income!A$3:A$502)-2),1)),""),""))</f>
        <v/>
      </c>
      <c r="K44" s="153">
        <f t="array" ref="K44">IF(IFERROR(-INDEX(Expenses!D$3:D$999,SMALL(IF((Expenses!E$3:E$999="INR")*(Expenses!A$3:A$999=DATE(2026,2,27)),ROW(Expenses!A$3:A$999)-2),1)),0)+IFERROR(INDEX(Income!C$3:C$502,SMALL(IF((Income!D$3:D$502="INR")*(Income!A$3:A$502=DATE(2026,2,27)),ROW(Income!A$3:A$502)-2),1)),0)=0,"",IFERROR(-INDEX(Expenses!D$3:D$999,SMALL(IF((Expenses!E$3:E$999="INR")*(Expenses!A$3:A$999=DATE(2026,2,27)),ROW(Expenses!A$3:A$999)-2),1)),0)+IFERROR(INDEX(Income!C$3:C$502,SMALL(IF((Income!D$3:D$502="INR")*(Income!A$3:A$502=DATE(2026,2,27)),ROW(Income!A$3:A$502)-2),1)),0))</f>
        <v/>
      </c>
      <c r="L44" s="126">
        <f t="array" ref="L44">IF(IFERROR(INDEX(Expenses!B$3:B$999,SMALL(IF((Expenses!E$3:E$999="INR")*(Expenses!A$3:A$999=DATE(2026,2,27)),ROW(Expenses!A$3:A$999)-2),1)),"")&lt;&gt;"",IFERROR(INDEX(Expenses!B$3:B$999,SMALL(IF((Expenses!E$3:E$999="INR")*(Expenses!A$3:A$999=DATE(2026,2,27)),ROW(Expenses!A$3:A$999)-2),1)),""),IF(IFERROR(INDEX(Income!B$3:B$502,SMALL(IF((Income!D$3:D$502="INR")*(Income!A$3:A$502=DATE(2026,2,27)),ROW(Income!A$3:A$502)-2),1)),"")&lt;&gt;"",IFERROR(INDEX(Income!B$3:B$502,SMALL(IF((Income!D$3:D$502="INR")*(Income!A$3:A$502=DATE(2026,2,27)),ROW(Income!A$3:A$502)-2),1)),""),""))</f>
        <v/>
      </c>
      <c r="M44" s="153">
        <f t="array" ref="M44">IF(IFERROR(-INDEX(Expenses!D$3:D$999,SMALL(IF((Expenses!E$3:E$999="INR")*(Expenses!A$3:A$999=DATE(2026,2,28)),ROW(Expenses!A$3:A$999)-2),1)),0)+IFERROR(INDEX(Income!C$3:C$502,SMALL(IF((Income!D$3:D$502="INR")*(Income!A$3:A$502=DATE(2026,2,28)),ROW(Income!A$3:A$502)-2),1)),0)=0,"",IFERROR(-INDEX(Expenses!D$3:D$999,SMALL(IF((Expenses!E$3:E$999="INR")*(Expenses!A$3:A$999=DATE(2026,2,28)),ROW(Expenses!A$3:A$999)-2),1)),0)+IFERROR(INDEX(Income!C$3:C$502,SMALL(IF((Income!D$3:D$502="INR")*(Income!A$3:A$502=DATE(2026,2,28)),ROW(Income!A$3:A$502)-2),1)),0))</f>
        <v/>
      </c>
      <c r="N44" s="126">
        <f t="array" ref="N44">IF(IFERROR(INDEX(Expenses!B$3:B$999,SMALL(IF((Expenses!E$3:E$999="INR")*(Expenses!A$3:A$999=DATE(2026,2,28)),ROW(Expenses!A$3:A$999)-2),1)),"")&lt;&gt;"",IFERROR(INDEX(Expenses!B$3:B$999,SMALL(IF((Expenses!E$3:E$999="INR")*(Expenses!A$3:A$999=DATE(2026,2,28)),ROW(Expenses!A$3:A$999)-2),1)),""),IF(IFERROR(INDEX(Income!B$3:B$502,SMALL(IF((Income!D$3:D$502="INR")*(Income!A$3:A$502=DATE(2026,2,28)),ROW(Income!A$3:A$502)-2),1)),"")&lt;&gt;"",IFERROR(INDEX(Income!B$3:B$502,SMALL(IF((Income!D$3:D$502="INR")*(Income!A$3:A$502=DATE(2026,2,28)),ROW(Income!A$3:A$502)-2),1)),""),""))</f>
        <v/>
      </c>
      <c r="O44" s="153">
        <f t="array" ref="O44">IF(IFERROR(-INDEX(Expenses!D$3:D$999,SMALL(IF((Expenses!E$3:E$999="INR")*(Expenses!A$3:A$999=DATE(2026,3,1)),ROW(Expenses!A$3:A$999)-2),1)),0)+IFERROR(INDEX(Income!C$3:C$502,SMALL(IF((Income!D$3:D$502="INR")*(Income!A$3:A$502=DATE(2026,3,1)),ROW(Income!A$3:A$502)-2),1)),0)=0,"",IFERROR(-INDEX(Expenses!D$3:D$999,SMALL(IF((Expenses!E$3:E$999="INR")*(Expenses!A$3:A$999=DATE(2026,3,1)),ROW(Expenses!A$3:A$999)-2),1)),0)+IFERROR(INDEX(Income!C$3:C$502,SMALL(IF((Income!D$3:D$502="INR")*(Income!A$3:A$502=DATE(2026,3,1)),ROW(Income!A$3:A$502)-2),1)),0))</f>
        <v/>
      </c>
      <c r="P44" s="126">
        <f t="array" ref="P44">IF(IFERROR(INDEX(Expenses!B$3:B$999,SMALL(IF((Expenses!E$3:E$999="INR")*(Expenses!A$3:A$999=DATE(2026,3,1)),ROW(Expenses!A$3:A$999)-2),1)),"")&lt;&gt;"",IFERROR(INDEX(Expenses!B$3:B$999,SMALL(IF((Expenses!E$3:E$999="INR")*(Expenses!A$3:A$999=DATE(2026,3,1)),ROW(Expenses!A$3:A$999)-2),1)),""),IF(IFERROR(INDEX(Income!B$3:B$502,SMALL(IF((Income!D$3:D$502="INR")*(Income!A$3:A$502=DATE(2026,3,1)),ROW(Income!A$3:A$502)-2),1)),"")&lt;&gt;"",IFERROR(INDEX(Income!B$3:B$502,SMALL(IF((Income!D$3:D$502="INR")*(Income!A$3:A$502=DATE(2026,3,1)),ROW(Income!A$3:A$502)-2),1)),""),""))</f>
        <v/>
      </c>
      <c r="Q44" s="103" t="n">
        <v>9</v>
      </c>
      <c r="R44" s="142">
        <f>SUM(C44:C48)+SUM(E44:E48)+SUM(G44:G48)+SUM(I44:I48)+SUM(K44:K48)+SUM(M44:M48)+SUM(O44:O48)</f>
        <v/>
      </c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68">
      <c r="A45" s="9" t="n"/>
      <c r="B45" s="9" t="n"/>
      <c r="C45" s="153">
        <f t="array" ref="C45">IF(IFERROR(-INDEX(Expenses!D$3:D$999,SMALL(IF((Expenses!E$3:E$999="INR")*(Expenses!A$3:A$999=DATE(2026,2,23)),ROW(Expenses!A$3:A$999)-2),2)),0)+IFERROR(INDEX(Income!C$3:C$502,SMALL(IF((Income!D$3:D$502="INR")*(Income!A$3:A$502=DATE(2026,2,23)),ROW(Income!A$3:A$502)-2),2)),0)=0,"",IFERROR(-INDEX(Expenses!D$3:D$999,SMALL(IF((Expenses!E$3:E$999="INR")*(Expenses!A$3:A$999=DATE(2026,2,23)),ROW(Expenses!A$3:A$999)-2),2)),0)+IFERROR(INDEX(Income!C$3:C$502,SMALL(IF((Income!D$3:D$502="INR")*(Income!A$3:A$502=DATE(2026,2,23)),ROW(Income!A$3:A$502)-2),2)),0))</f>
        <v/>
      </c>
      <c r="D45" s="126">
        <f t="array" ref="D45">IF(IFERROR(INDEX(Expenses!B$3:B$999,SMALL(IF((Expenses!E$3:E$999="INR")*(Expenses!A$3:A$999=DATE(2026,2,23)),ROW(Expenses!A$3:A$999)-2),2)),"")&lt;&gt;"",IFERROR(INDEX(Expenses!B$3:B$999,SMALL(IF((Expenses!E$3:E$999="INR")*(Expenses!A$3:A$999=DATE(2026,2,23)),ROW(Expenses!A$3:A$999)-2),2)),""),IF(IFERROR(INDEX(Income!B$3:B$502,SMALL(IF((Income!D$3:D$502="INR")*(Income!A$3:A$502=DATE(2026,2,23)),ROW(Income!A$3:A$502)-2),2)),"")&lt;&gt;"",IFERROR(INDEX(Income!B$3:B$502,SMALL(IF((Income!D$3:D$502="INR")*(Income!A$3:A$502=DATE(2026,2,23)),ROW(Income!A$3:A$502)-2),2)),""),""))</f>
        <v/>
      </c>
      <c r="E45" s="153">
        <f t="array" ref="E45">IF(IFERROR(-INDEX(Expenses!D$3:D$999,SMALL(IF((Expenses!E$3:E$999="INR")*(Expenses!A$3:A$999=DATE(2026,2,24)),ROW(Expenses!A$3:A$999)-2),2)),0)+IFERROR(INDEX(Income!C$3:C$502,SMALL(IF((Income!D$3:D$502="INR")*(Income!A$3:A$502=DATE(2026,2,24)),ROW(Income!A$3:A$502)-2),2)),0)=0,"",IFERROR(-INDEX(Expenses!D$3:D$999,SMALL(IF((Expenses!E$3:E$999="INR")*(Expenses!A$3:A$999=DATE(2026,2,24)),ROW(Expenses!A$3:A$999)-2),2)),0)+IFERROR(INDEX(Income!C$3:C$502,SMALL(IF((Income!D$3:D$502="INR")*(Income!A$3:A$502=DATE(2026,2,24)),ROW(Income!A$3:A$502)-2),2)),0))</f>
        <v/>
      </c>
      <c r="F45" s="126">
        <f t="array" ref="F45">IF(IFERROR(INDEX(Expenses!B$3:B$999,SMALL(IF((Expenses!E$3:E$999="INR")*(Expenses!A$3:A$999=DATE(2026,2,24)),ROW(Expenses!A$3:A$999)-2),2)),"")&lt;&gt;"",IFERROR(INDEX(Expenses!B$3:B$999,SMALL(IF((Expenses!E$3:E$999="INR")*(Expenses!A$3:A$999=DATE(2026,2,24)),ROW(Expenses!A$3:A$999)-2),2)),""),IF(IFERROR(INDEX(Income!B$3:B$502,SMALL(IF((Income!D$3:D$502="INR")*(Income!A$3:A$502=DATE(2026,2,24)),ROW(Income!A$3:A$502)-2),2)),"")&lt;&gt;"",IFERROR(INDEX(Income!B$3:B$502,SMALL(IF((Income!D$3:D$502="INR")*(Income!A$3:A$502=DATE(2026,2,24)),ROW(Income!A$3:A$502)-2),2)),""),""))</f>
        <v/>
      </c>
      <c r="G45" s="153">
        <f t="array" ref="G45">IF(IFERROR(-INDEX(Expenses!D$3:D$999,SMALL(IF((Expenses!E$3:E$999="INR")*(Expenses!A$3:A$999=DATE(2026,2,25)),ROW(Expenses!A$3:A$999)-2),2)),0)+IFERROR(INDEX(Income!C$3:C$502,SMALL(IF((Income!D$3:D$502="INR")*(Income!A$3:A$502=DATE(2026,2,25)),ROW(Income!A$3:A$502)-2),2)),0)=0,"",IFERROR(-INDEX(Expenses!D$3:D$999,SMALL(IF((Expenses!E$3:E$999="INR")*(Expenses!A$3:A$999=DATE(2026,2,25)),ROW(Expenses!A$3:A$999)-2),2)),0)+IFERROR(INDEX(Income!C$3:C$502,SMALL(IF((Income!D$3:D$502="INR")*(Income!A$3:A$502=DATE(2026,2,25)),ROW(Income!A$3:A$502)-2),2)),0))</f>
        <v/>
      </c>
      <c r="H45" s="126">
        <f t="array" ref="H45">IF(IFERROR(INDEX(Expenses!B$3:B$999,SMALL(IF((Expenses!E$3:E$999="INR")*(Expenses!A$3:A$999=DATE(2026,2,25)),ROW(Expenses!A$3:A$999)-2),2)),"")&lt;&gt;"",IFERROR(INDEX(Expenses!B$3:B$999,SMALL(IF((Expenses!E$3:E$999="INR")*(Expenses!A$3:A$999=DATE(2026,2,25)),ROW(Expenses!A$3:A$999)-2),2)),""),IF(IFERROR(INDEX(Income!B$3:B$502,SMALL(IF((Income!D$3:D$502="INR")*(Income!A$3:A$502=DATE(2026,2,25)),ROW(Income!A$3:A$502)-2),2)),"")&lt;&gt;"",IFERROR(INDEX(Income!B$3:B$502,SMALL(IF((Income!D$3:D$502="INR")*(Income!A$3:A$502=DATE(2026,2,25)),ROW(Income!A$3:A$502)-2),2)),""),""))</f>
        <v/>
      </c>
      <c r="I45" s="153">
        <f t="array" ref="I45">IF(IFERROR(-INDEX(Expenses!D$3:D$999,SMALL(IF((Expenses!E$3:E$999="INR")*(Expenses!A$3:A$999=DATE(2026,2,26)),ROW(Expenses!A$3:A$999)-2),2)),0)+IFERROR(INDEX(Income!C$3:C$502,SMALL(IF((Income!D$3:D$502="INR")*(Income!A$3:A$502=DATE(2026,2,26)),ROW(Income!A$3:A$502)-2),2)),0)=0,"",IFERROR(-INDEX(Expenses!D$3:D$999,SMALL(IF((Expenses!E$3:E$999="INR")*(Expenses!A$3:A$999=DATE(2026,2,26)),ROW(Expenses!A$3:A$999)-2),2)),0)+IFERROR(INDEX(Income!C$3:C$502,SMALL(IF((Income!D$3:D$502="INR")*(Income!A$3:A$502=DATE(2026,2,26)),ROW(Income!A$3:A$502)-2),2)),0))</f>
        <v/>
      </c>
      <c r="J45" s="126">
        <f t="array" ref="J45">IF(IFERROR(INDEX(Expenses!B$3:B$999,SMALL(IF((Expenses!E$3:E$999="INR")*(Expenses!A$3:A$999=DATE(2026,2,26)),ROW(Expenses!A$3:A$999)-2),2)),"")&lt;&gt;"",IFERROR(INDEX(Expenses!B$3:B$999,SMALL(IF((Expenses!E$3:E$999="INR")*(Expenses!A$3:A$999=DATE(2026,2,26)),ROW(Expenses!A$3:A$999)-2),2)),""),IF(IFERROR(INDEX(Income!B$3:B$502,SMALL(IF((Income!D$3:D$502="INR")*(Income!A$3:A$502=DATE(2026,2,26)),ROW(Income!A$3:A$502)-2),2)),"")&lt;&gt;"",IFERROR(INDEX(Income!B$3:B$502,SMALL(IF((Income!D$3:D$502="INR")*(Income!A$3:A$502=DATE(2026,2,26)),ROW(Income!A$3:A$502)-2),2)),""),""))</f>
        <v/>
      </c>
      <c r="K45" s="153">
        <f t="array" ref="K45">IF(IFERROR(-INDEX(Expenses!D$3:D$999,SMALL(IF((Expenses!E$3:E$999="INR")*(Expenses!A$3:A$999=DATE(2026,2,27)),ROW(Expenses!A$3:A$999)-2),2)),0)+IFERROR(INDEX(Income!C$3:C$502,SMALL(IF((Income!D$3:D$502="INR")*(Income!A$3:A$502=DATE(2026,2,27)),ROW(Income!A$3:A$502)-2),2)),0)=0,"",IFERROR(-INDEX(Expenses!D$3:D$999,SMALL(IF((Expenses!E$3:E$999="INR")*(Expenses!A$3:A$999=DATE(2026,2,27)),ROW(Expenses!A$3:A$999)-2),2)),0)+IFERROR(INDEX(Income!C$3:C$502,SMALL(IF((Income!D$3:D$502="INR")*(Income!A$3:A$502=DATE(2026,2,27)),ROW(Income!A$3:A$502)-2),2)),0))</f>
        <v/>
      </c>
      <c r="L45" s="126">
        <f t="array" ref="L45">IF(IFERROR(INDEX(Expenses!B$3:B$999,SMALL(IF((Expenses!E$3:E$999="INR")*(Expenses!A$3:A$999=DATE(2026,2,27)),ROW(Expenses!A$3:A$999)-2),2)),"")&lt;&gt;"",IFERROR(INDEX(Expenses!B$3:B$999,SMALL(IF((Expenses!E$3:E$999="INR")*(Expenses!A$3:A$999=DATE(2026,2,27)),ROW(Expenses!A$3:A$999)-2),2)),""),IF(IFERROR(INDEX(Income!B$3:B$502,SMALL(IF((Income!D$3:D$502="INR")*(Income!A$3:A$502=DATE(2026,2,27)),ROW(Income!A$3:A$502)-2),2)),"")&lt;&gt;"",IFERROR(INDEX(Income!B$3:B$502,SMALL(IF((Income!D$3:D$502="INR")*(Income!A$3:A$502=DATE(2026,2,27)),ROW(Income!A$3:A$502)-2),2)),""),""))</f>
        <v/>
      </c>
      <c r="M45" s="153">
        <f t="array" ref="M45">IF(IFERROR(-INDEX(Expenses!D$3:D$999,SMALL(IF((Expenses!E$3:E$999="INR")*(Expenses!A$3:A$999=DATE(2026,2,28)),ROW(Expenses!A$3:A$999)-2),2)),0)+IFERROR(INDEX(Income!C$3:C$502,SMALL(IF((Income!D$3:D$502="INR")*(Income!A$3:A$502=DATE(2026,2,28)),ROW(Income!A$3:A$502)-2),2)),0)=0,"",IFERROR(-INDEX(Expenses!D$3:D$999,SMALL(IF((Expenses!E$3:E$999="INR")*(Expenses!A$3:A$999=DATE(2026,2,28)),ROW(Expenses!A$3:A$999)-2),2)),0)+IFERROR(INDEX(Income!C$3:C$502,SMALL(IF((Income!D$3:D$502="INR")*(Income!A$3:A$502=DATE(2026,2,28)),ROW(Income!A$3:A$502)-2),2)),0))</f>
        <v/>
      </c>
      <c r="N45" s="126">
        <f t="array" ref="N45">IF(IFERROR(INDEX(Expenses!B$3:B$999,SMALL(IF((Expenses!E$3:E$999="INR")*(Expenses!A$3:A$999=DATE(2026,2,28)),ROW(Expenses!A$3:A$999)-2),2)),"")&lt;&gt;"",IFERROR(INDEX(Expenses!B$3:B$999,SMALL(IF((Expenses!E$3:E$999="INR")*(Expenses!A$3:A$999=DATE(2026,2,28)),ROW(Expenses!A$3:A$999)-2),2)),""),IF(IFERROR(INDEX(Income!B$3:B$502,SMALL(IF((Income!D$3:D$502="INR")*(Income!A$3:A$502=DATE(2026,2,28)),ROW(Income!A$3:A$502)-2),2)),"")&lt;&gt;"",IFERROR(INDEX(Income!B$3:B$502,SMALL(IF((Income!D$3:D$502="INR")*(Income!A$3:A$502=DATE(2026,2,28)),ROW(Income!A$3:A$502)-2),2)),""),""))</f>
        <v/>
      </c>
      <c r="O45" s="153">
        <f t="array" ref="O45">IF(IFERROR(-INDEX(Expenses!D$3:D$999,SMALL(IF((Expenses!E$3:E$999="INR")*(Expenses!A$3:A$999=DATE(2026,3,1)),ROW(Expenses!A$3:A$999)-2),2)),0)+IFERROR(INDEX(Income!C$3:C$502,SMALL(IF((Income!D$3:D$502="INR")*(Income!A$3:A$502=DATE(2026,3,1)),ROW(Income!A$3:A$502)-2),2)),0)=0,"",IFERROR(-INDEX(Expenses!D$3:D$999,SMALL(IF((Expenses!E$3:E$999="INR")*(Expenses!A$3:A$999=DATE(2026,3,1)),ROW(Expenses!A$3:A$999)-2),2)),0)+IFERROR(INDEX(Income!C$3:C$502,SMALL(IF((Income!D$3:D$502="INR")*(Income!A$3:A$502=DATE(2026,3,1)),ROW(Income!A$3:A$502)-2),2)),0))</f>
        <v/>
      </c>
      <c r="P45" s="126">
        <f t="array" ref="P45">IF(IFERROR(INDEX(Expenses!B$3:B$999,SMALL(IF((Expenses!E$3:E$999="INR")*(Expenses!A$3:A$999=DATE(2026,3,1)),ROW(Expenses!A$3:A$999)-2),2)),"")&lt;&gt;"",IFERROR(INDEX(Expenses!B$3:B$999,SMALL(IF((Expenses!E$3:E$999="INR")*(Expenses!A$3:A$999=DATE(2026,3,1)),ROW(Expenses!A$3:A$999)-2),2)),""),IF(IFERROR(INDEX(Income!B$3:B$502,SMALL(IF((Income!D$3:D$502="INR")*(Income!A$3:A$502=DATE(2026,3,1)),ROW(Income!A$3:A$502)-2),2)),"")&lt;&gt;"",IFERROR(INDEX(Income!B$3:B$502,SMALL(IF((Income!D$3:D$502="INR")*(Income!A$3:A$502=DATE(2026,3,1)),ROW(Income!A$3:A$502)-2),2)),""),""))</f>
        <v/>
      </c>
      <c r="Q45" s="9" t="n"/>
      <c r="R45" s="9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68">
      <c r="A46" s="9" t="n"/>
      <c r="B46" s="9" t="n"/>
      <c r="C46" s="153">
        <f t="array" ref="C46">IF(IFERROR(-INDEX(Expenses!D$3:D$999,SMALL(IF((Expenses!E$3:E$999="INR")*(Expenses!A$3:A$999=DATE(2026,2,23)),ROW(Expenses!A$3:A$999)-2),3)),0)+IFERROR(INDEX(Income!C$3:C$502,SMALL(IF((Income!D$3:D$502="INR")*(Income!A$3:A$502=DATE(2026,2,23)),ROW(Income!A$3:A$502)-2),3)),0)=0,"",IFERROR(-INDEX(Expenses!D$3:D$999,SMALL(IF((Expenses!E$3:E$999="INR")*(Expenses!A$3:A$999=DATE(2026,2,23)),ROW(Expenses!A$3:A$999)-2),3)),0)+IFERROR(INDEX(Income!C$3:C$502,SMALL(IF((Income!D$3:D$502="INR")*(Income!A$3:A$502=DATE(2026,2,23)),ROW(Income!A$3:A$502)-2),3)),0))</f>
        <v/>
      </c>
      <c r="D46" s="126">
        <f t="array" ref="D46">IF(IFERROR(INDEX(Expenses!B$3:B$999,SMALL(IF((Expenses!E$3:E$999="INR")*(Expenses!A$3:A$999=DATE(2026,2,23)),ROW(Expenses!A$3:A$999)-2),3)),"")&lt;&gt;"",IFERROR(INDEX(Expenses!B$3:B$999,SMALL(IF((Expenses!E$3:E$999="INR")*(Expenses!A$3:A$999=DATE(2026,2,23)),ROW(Expenses!A$3:A$999)-2),3)),""),IF(IFERROR(INDEX(Income!B$3:B$502,SMALL(IF((Income!D$3:D$502="INR")*(Income!A$3:A$502=DATE(2026,2,23)),ROW(Income!A$3:A$502)-2),3)),"")&lt;&gt;"",IFERROR(INDEX(Income!B$3:B$502,SMALL(IF((Income!D$3:D$502="INR")*(Income!A$3:A$502=DATE(2026,2,23)),ROW(Income!A$3:A$502)-2),3)),""),""))</f>
        <v/>
      </c>
      <c r="E46" s="153">
        <f t="array" ref="E46">IF(IFERROR(-INDEX(Expenses!D$3:D$999,SMALL(IF((Expenses!E$3:E$999="INR")*(Expenses!A$3:A$999=DATE(2026,2,24)),ROW(Expenses!A$3:A$999)-2),3)),0)+IFERROR(INDEX(Income!C$3:C$502,SMALL(IF((Income!D$3:D$502="INR")*(Income!A$3:A$502=DATE(2026,2,24)),ROW(Income!A$3:A$502)-2),3)),0)=0,"",IFERROR(-INDEX(Expenses!D$3:D$999,SMALL(IF((Expenses!E$3:E$999="INR")*(Expenses!A$3:A$999=DATE(2026,2,24)),ROW(Expenses!A$3:A$999)-2),3)),0)+IFERROR(INDEX(Income!C$3:C$502,SMALL(IF((Income!D$3:D$502="INR")*(Income!A$3:A$502=DATE(2026,2,24)),ROW(Income!A$3:A$502)-2),3)),0))</f>
        <v/>
      </c>
      <c r="F46" s="126">
        <f t="array" ref="F46">IF(IFERROR(INDEX(Expenses!B$3:B$999,SMALL(IF((Expenses!E$3:E$999="INR")*(Expenses!A$3:A$999=DATE(2026,2,24)),ROW(Expenses!A$3:A$999)-2),3)),"")&lt;&gt;"",IFERROR(INDEX(Expenses!B$3:B$999,SMALL(IF((Expenses!E$3:E$999="INR")*(Expenses!A$3:A$999=DATE(2026,2,24)),ROW(Expenses!A$3:A$999)-2),3)),""),IF(IFERROR(INDEX(Income!B$3:B$502,SMALL(IF((Income!D$3:D$502="INR")*(Income!A$3:A$502=DATE(2026,2,24)),ROW(Income!A$3:A$502)-2),3)),"")&lt;&gt;"",IFERROR(INDEX(Income!B$3:B$502,SMALL(IF((Income!D$3:D$502="INR")*(Income!A$3:A$502=DATE(2026,2,24)),ROW(Income!A$3:A$502)-2),3)),""),""))</f>
        <v/>
      </c>
      <c r="G46" s="153">
        <f t="array" ref="G46">IF(IFERROR(-INDEX(Expenses!D$3:D$999,SMALL(IF((Expenses!E$3:E$999="INR")*(Expenses!A$3:A$999=DATE(2026,2,25)),ROW(Expenses!A$3:A$999)-2),3)),0)+IFERROR(INDEX(Income!C$3:C$502,SMALL(IF((Income!D$3:D$502="INR")*(Income!A$3:A$502=DATE(2026,2,25)),ROW(Income!A$3:A$502)-2),3)),0)=0,"",IFERROR(-INDEX(Expenses!D$3:D$999,SMALL(IF((Expenses!E$3:E$999="INR")*(Expenses!A$3:A$999=DATE(2026,2,25)),ROW(Expenses!A$3:A$999)-2),3)),0)+IFERROR(INDEX(Income!C$3:C$502,SMALL(IF((Income!D$3:D$502="INR")*(Income!A$3:A$502=DATE(2026,2,25)),ROW(Income!A$3:A$502)-2),3)),0))</f>
        <v/>
      </c>
      <c r="H46" s="126">
        <f t="array" ref="H46">IF(IFERROR(INDEX(Expenses!B$3:B$999,SMALL(IF((Expenses!E$3:E$999="INR")*(Expenses!A$3:A$999=DATE(2026,2,25)),ROW(Expenses!A$3:A$999)-2),3)),"")&lt;&gt;"",IFERROR(INDEX(Expenses!B$3:B$999,SMALL(IF((Expenses!E$3:E$999="INR")*(Expenses!A$3:A$999=DATE(2026,2,25)),ROW(Expenses!A$3:A$999)-2),3)),""),IF(IFERROR(INDEX(Income!B$3:B$502,SMALL(IF((Income!D$3:D$502="INR")*(Income!A$3:A$502=DATE(2026,2,25)),ROW(Income!A$3:A$502)-2),3)),"")&lt;&gt;"",IFERROR(INDEX(Income!B$3:B$502,SMALL(IF((Income!D$3:D$502="INR")*(Income!A$3:A$502=DATE(2026,2,25)),ROW(Income!A$3:A$502)-2),3)),""),""))</f>
        <v/>
      </c>
      <c r="I46" s="153">
        <f t="array" ref="I46">IF(IFERROR(-INDEX(Expenses!D$3:D$999,SMALL(IF((Expenses!E$3:E$999="INR")*(Expenses!A$3:A$999=DATE(2026,2,26)),ROW(Expenses!A$3:A$999)-2),3)),0)+IFERROR(INDEX(Income!C$3:C$502,SMALL(IF((Income!D$3:D$502="INR")*(Income!A$3:A$502=DATE(2026,2,26)),ROW(Income!A$3:A$502)-2),3)),0)=0,"",IFERROR(-INDEX(Expenses!D$3:D$999,SMALL(IF((Expenses!E$3:E$999="INR")*(Expenses!A$3:A$999=DATE(2026,2,26)),ROW(Expenses!A$3:A$999)-2),3)),0)+IFERROR(INDEX(Income!C$3:C$502,SMALL(IF((Income!D$3:D$502="INR")*(Income!A$3:A$502=DATE(2026,2,26)),ROW(Income!A$3:A$502)-2),3)),0))</f>
        <v/>
      </c>
      <c r="J46" s="126">
        <f t="array" ref="J46">IF(IFERROR(INDEX(Expenses!B$3:B$999,SMALL(IF((Expenses!E$3:E$999="INR")*(Expenses!A$3:A$999=DATE(2026,2,26)),ROW(Expenses!A$3:A$999)-2),3)),"")&lt;&gt;"",IFERROR(INDEX(Expenses!B$3:B$999,SMALL(IF((Expenses!E$3:E$999="INR")*(Expenses!A$3:A$999=DATE(2026,2,26)),ROW(Expenses!A$3:A$999)-2),3)),""),IF(IFERROR(INDEX(Income!B$3:B$502,SMALL(IF((Income!D$3:D$502="INR")*(Income!A$3:A$502=DATE(2026,2,26)),ROW(Income!A$3:A$502)-2),3)),"")&lt;&gt;"",IFERROR(INDEX(Income!B$3:B$502,SMALL(IF((Income!D$3:D$502="INR")*(Income!A$3:A$502=DATE(2026,2,26)),ROW(Income!A$3:A$502)-2),3)),""),""))</f>
        <v/>
      </c>
      <c r="K46" s="153">
        <f t="array" ref="K46">IF(IFERROR(-INDEX(Expenses!D$3:D$999,SMALL(IF((Expenses!E$3:E$999="INR")*(Expenses!A$3:A$999=DATE(2026,2,27)),ROW(Expenses!A$3:A$999)-2),3)),0)+IFERROR(INDEX(Income!C$3:C$502,SMALL(IF((Income!D$3:D$502="INR")*(Income!A$3:A$502=DATE(2026,2,27)),ROW(Income!A$3:A$502)-2),3)),0)=0,"",IFERROR(-INDEX(Expenses!D$3:D$999,SMALL(IF((Expenses!E$3:E$999="INR")*(Expenses!A$3:A$999=DATE(2026,2,27)),ROW(Expenses!A$3:A$999)-2),3)),0)+IFERROR(INDEX(Income!C$3:C$502,SMALL(IF((Income!D$3:D$502="INR")*(Income!A$3:A$502=DATE(2026,2,27)),ROW(Income!A$3:A$502)-2),3)),0))</f>
        <v/>
      </c>
      <c r="L46" s="126">
        <f t="array" ref="L46">IF(IFERROR(INDEX(Expenses!B$3:B$999,SMALL(IF((Expenses!E$3:E$999="INR")*(Expenses!A$3:A$999=DATE(2026,2,27)),ROW(Expenses!A$3:A$999)-2),3)),"")&lt;&gt;"",IFERROR(INDEX(Expenses!B$3:B$999,SMALL(IF((Expenses!E$3:E$999="INR")*(Expenses!A$3:A$999=DATE(2026,2,27)),ROW(Expenses!A$3:A$999)-2),3)),""),IF(IFERROR(INDEX(Income!B$3:B$502,SMALL(IF((Income!D$3:D$502="INR")*(Income!A$3:A$502=DATE(2026,2,27)),ROW(Income!A$3:A$502)-2),3)),"")&lt;&gt;"",IFERROR(INDEX(Income!B$3:B$502,SMALL(IF((Income!D$3:D$502="INR")*(Income!A$3:A$502=DATE(2026,2,27)),ROW(Income!A$3:A$502)-2),3)),""),""))</f>
        <v/>
      </c>
      <c r="M46" s="153">
        <f t="array" ref="M46">IF(IFERROR(-INDEX(Expenses!D$3:D$999,SMALL(IF((Expenses!E$3:E$999="INR")*(Expenses!A$3:A$999=DATE(2026,2,28)),ROW(Expenses!A$3:A$999)-2),3)),0)+IFERROR(INDEX(Income!C$3:C$502,SMALL(IF((Income!D$3:D$502="INR")*(Income!A$3:A$502=DATE(2026,2,28)),ROW(Income!A$3:A$502)-2),3)),0)=0,"",IFERROR(-INDEX(Expenses!D$3:D$999,SMALL(IF((Expenses!E$3:E$999="INR")*(Expenses!A$3:A$999=DATE(2026,2,28)),ROW(Expenses!A$3:A$999)-2),3)),0)+IFERROR(INDEX(Income!C$3:C$502,SMALL(IF((Income!D$3:D$502="INR")*(Income!A$3:A$502=DATE(2026,2,28)),ROW(Income!A$3:A$502)-2),3)),0))</f>
        <v/>
      </c>
      <c r="N46" s="126">
        <f t="array" ref="N46">IF(IFERROR(INDEX(Expenses!B$3:B$999,SMALL(IF((Expenses!E$3:E$999="INR")*(Expenses!A$3:A$999=DATE(2026,2,28)),ROW(Expenses!A$3:A$999)-2),3)),"")&lt;&gt;"",IFERROR(INDEX(Expenses!B$3:B$999,SMALL(IF((Expenses!E$3:E$999="INR")*(Expenses!A$3:A$999=DATE(2026,2,28)),ROW(Expenses!A$3:A$999)-2),3)),""),IF(IFERROR(INDEX(Income!B$3:B$502,SMALL(IF((Income!D$3:D$502="INR")*(Income!A$3:A$502=DATE(2026,2,28)),ROW(Income!A$3:A$502)-2),3)),"")&lt;&gt;"",IFERROR(INDEX(Income!B$3:B$502,SMALL(IF((Income!D$3:D$502="INR")*(Income!A$3:A$502=DATE(2026,2,28)),ROW(Income!A$3:A$502)-2),3)),""),""))</f>
        <v/>
      </c>
      <c r="O46" s="153">
        <f t="array" ref="O46">IF(IFERROR(-INDEX(Expenses!D$3:D$999,SMALL(IF((Expenses!E$3:E$999="INR")*(Expenses!A$3:A$999=DATE(2026,3,1)),ROW(Expenses!A$3:A$999)-2),3)),0)+IFERROR(INDEX(Income!C$3:C$502,SMALL(IF((Income!D$3:D$502="INR")*(Income!A$3:A$502=DATE(2026,3,1)),ROW(Income!A$3:A$502)-2),3)),0)=0,"",IFERROR(-INDEX(Expenses!D$3:D$999,SMALL(IF((Expenses!E$3:E$999="INR")*(Expenses!A$3:A$999=DATE(2026,3,1)),ROW(Expenses!A$3:A$999)-2),3)),0)+IFERROR(INDEX(Income!C$3:C$502,SMALL(IF((Income!D$3:D$502="INR")*(Income!A$3:A$502=DATE(2026,3,1)),ROW(Income!A$3:A$502)-2),3)),0))</f>
        <v/>
      </c>
      <c r="P46" s="126">
        <f t="array" ref="P46">IF(IFERROR(INDEX(Expenses!B$3:B$999,SMALL(IF((Expenses!E$3:E$999="INR")*(Expenses!A$3:A$999=DATE(2026,3,1)),ROW(Expenses!A$3:A$999)-2),3)),"")&lt;&gt;"",IFERROR(INDEX(Expenses!B$3:B$999,SMALL(IF((Expenses!E$3:E$999="INR")*(Expenses!A$3:A$999=DATE(2026,3,1)),ROW(Expenses!A$3:A$999)-2),3)),""),IF(IFERROR(INDEX(Income!B$3:B$502,SMALL(IF((Income!D$3:D$502="INR")*(Income!A$3:A$502=DATE(2026,3,1)),ROW(Income!A$3:A$502)-2),3)),"")&lt;&gt;"",IFERROR(INDEX(Income!B$3:B$502,SMALL(IF((Income!D$3:D$502="INR")*(Income!A$3:A$502=DATE(2026,3,1)),ROW(Income!A$3:A$502)-2),3)),""),""))</f>
        <v/>
      </c>
      <c r="Q46" s="9" t="n"/>
      <c r="R46" s="9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68">
      <c r="A47" s="9" t="n"/>
      <c r="B47" s="9" t="n"/>
      <c r="C47" s="153">
        <f t="array" ref="C47">IF(IFERROR(-INDEX(Expenses!D$3:D$999,SMALL(IF((Expenses!E$3:E$999="INR")*(Expenses!A$3:A$999=DATE(2026,2,23)),ROW(Expenses!A$3:A$999)-2),4)),0)+IFERROR(INDEX(Income!C$3:C$502,SMALL(IF((Income!D$3:D$502="INR")*(Income!A$3:A$502=DATE(2026,2,23)),ROW(Income!A$3:A$502)-2),4)),0)=0,"",IFERROR(-INDEX(Expenses!D$3:D$999,SMALL(IF((Expenses!E$3:E$999="INR")*(Expenses!A$3:A$999=DATE(2026,2,23)),ROW(Expenses!A$3:A$999)-2),4)),0)+IFERROR(INDEX(Income!C$3:C$502,SMALL(IF((Income!D$3:D$502="INR")*(Income!A$3:A$502=DATE(2026,2,23)),ROW(Income!A$3:A$502)-2),4)),0))</f>
        <v/>
      </c>
      <c r="D47" s="126">
        <f t="array" ref="D47">IF(IFERROR(INDEX(Expenses!B$3:B$999,SMALL(IF((Expenses!E$3:E$999="INR")*(Expenses!A$3:A$999=DATE(2026,2,23)),ROW(Expenses!A$3:A$999)-2),4)),"")&lt;&gt;"",IFERROR(INDEX(Expenses!B$3:B$999,SMALL(IF((Expenses!E$3:E$999="INR")*(Expenses!A$3:A$999=DATE(2026,2,23)),ROW(Expenses!A$3:A$999)-2),4)),""),IF(IFERROR(INDEX(Income!B$3:B$502,SMALL(IF((Income!D$3:D$502="INR")*(Income!A$3:A$502=DATE(2026,2,23)),ROW(Income!A$3:A$502)-2),4)),"")&lt;&gt;"",IFERROR(INDEX(Income!B$3:B$502,SMALL(IF((Income!D$3:D$502="INR")*(Income!A$3:A$502=DATE(2026,2,23)),ROW(Income!A$3:A$502)-2),4)),""),""))</f>
        <v/>
      </c>
      <c r="E47" s="153">
        <f t="array" ref="E47">IF(IFERROR(-INDEX(Expenses!D$3:D$999,SMALL(IF((Expenses!E$3:E$999="INR")*(Expenses!A$3:A$999=DATE(2026,2,24)),ROW(Expenses!A$3:A$999)-2),4)),0)+IFERROR(INDEX(Income!C$3:C$502,SMALL(IF((Income!D$3:D$502="INR")*(Income!A$3:A$502=DATE(2026,2,24)),ROW(Income!A$3:A$502)-2),4)),0)=0,"",IFERROR(-INDEX(Expenses!D$3:D$999,SMALL(IF((Expenses!E$3:E$999="INR")*(Expenses!A$3:A$999=DATE(2026,2,24)),ROW(Expenses!A$3:A$999)-2),4)),0)+IFERROR(INDEX(Income!C$3:C$502,SMALL(IF((Income!D$3:D$502="INR")*(Income!A$3:A$502=DATE(2026,2,24)),ROW(Income!A$3:A$502)-2),4)),0))</f>
        <v/>
      </c>
      <c r="F47" s="126">
        <f t="array" ref="F47">IF(IFERROR(INDEX(Expenses!B$3:B$999,SMALL(IF((Expenses!E$3:E$999="INR")*(Expenses!A$3:A$999=DATE(2026,2,24)),ROW(Expenses!A$3:A$999)-2),4)),"")&lt;&gt;"",IFERROR(INDEX(Expenses!B$3:B$999,SMALL(IF((Expenses!E$3:E$999="INR")*(Expenses!A$3:A$999=DATE(2026,2,24)),ROW(Expenses!A$3:A$999)-2),4)),""),IF(IFERROR(INDEX(Income!B$3:B$502,SMALL(IF((Income!D$3:D$502="INR")*(Income!A$3:A$502=DATE(2026,2,24)),ROW(Income!A$3:A$502)-2),4)),"")&lt;&gt;"",IFERROR(INDEX(Income!B$3:B$502,SMALL(IF((Income!D$3:D$502="INR")*(Income!A$3:A$502=DATE(2026,2,24)),ROW(Income!A$3:A$502)-2),4)),""),""))</f>
        <v/>
      </c>
      <c r="G47" s="153">
        <f t="array" ref="G47">IF(IFERROR(-INDEX(Expenses!D$3:D$999,SMALL(IF((Expenses!E$3:E$999="INR")*(Expenses!A$3:A$999=DATE(2026,2,25)),ROW(Expenses!A$3:A$999)-2),4)),0)+IFERROR(INDEX(Income!C$3:C$502,SMALL(IF((Income!D$3:D$502="INR")*(Income!A$3:A$502=DATE(2026,2,25)),ROW(Income!A$3:A$502)-2),4)),0)=0,"",IFERROR(-INDEX(Expenses!D$3:D$999,SMALL(IF((Expenses!E$3:E$999="INR")*(Expenses!A$3:A$999=DATE(2026,2,25)),ROW(Expenses!A$3:A$999)-2),4)),0)+IFERROR(INDEX(Income!C$3:C$502,SMALL(IF((Income!D$3:D$502="INR")*(Income!A$3:A$502=DATE(2026,2,25)),ROW(Income!A$3:A$502)-2),4)),0))</f>
        <v/>
      </c>
      <c r="H47" s="126">
        <f t="array" ref="H47">IF(IFERROR(INDEX(Expenses!B$3:B$999,SMALL(IF((Expenses!E$3:E$999="INR")*(Expenses!A$3:A$999=DATE(2026,2,25)),ROW(Expenses!A$3:A$999)-2),4)),"")&lt;&gt;"",IFERROR(INDEX(Expenses!B$3:B$999,SMALL(IF((Expenses!E$3:E$999="INR")*(Expenses!A$3:A$999=DATE(2026,2,25)),ROW(Expenses!A$3:A$999)-2),4)),""),IF(IFERROR(INDEX(Income!B$3:B$502,SMALL(IF((Income!D$3:D$502="INR")*(Income!A$3:A$502=DATE(2026,2,25)),ROW(Income!A$3:A$502)-2),4)),"")&lt;&gt;"",IFERROR(INDEX(Income!B$3:B$502,SMALL(IF((Income!D$3:D$502="INR")*(Income!A$3:A$502=DATE(2026,2,25)),ROW(Income!A$3:A$502)-2),4)),""),""))</f>
        <v/>
      </c>
      <c r="I47" s="153">
        <f t="array" ref="I47">IF(IFERROR(-INDEX(Expenses!D$3:D$999,SMALL(IF((Expenses!E$3:E$999="INR")*(Expenses!A$3:A$999=DATE(2026,2,26)),ROW(Expenses!A$3:A$999)-2),4)),0)+IFERROR(INDEX(Income!C$3:C$502,SMALL(IF((Income!D$3:D$502="INR")*(Income!A$3:A$502=DATE(2026,2,26)),ROW(Income!A$3:A$502)-2),4)),0)=0,"",IFERROR(-INDEX(Expenses!D$3:D$999,SMALL(IF((Expenses!E$3:E$999="INR")*(Expenses!A$3:A$999=DATE(2026,2,26)),ROW(Expenses!A$3:A$999)-2),4)),0)+IFERROR(INDEX(Income!C$3:C$502,SMALL(IF((Income!D$3:D$502="INR")*(Income!A$3:A$502=DATE(2026,2,26)),ROW(Income!A$3:A$502)-2),4)),0))</f>
        <v/>
      </c>
      <c r="J47" s="126">
        <f t="array" ref="J47">IF(IFERROR(INDEX(Expenses!B$3:B$999,SMALL(IF((Expenses!E$3:E$999="INR")*(Expenses!A$3:A$999=DATE(2026,2,26)),ROW(Expenses!A$3:A$999)-2),4)),"")&lt;&gt;"",IFERROR(INDEX(Expenses!B$3:B$999,SMALL(IF((Expenses!E$3:E$999="INR")*(Expenses!A$3:A$999=DATE(2026,2,26)),ROW(Expenses!A$3:A$999)-2),4)),""),IF(IFERROR(INDEX(Income!B$3:B$502,SMALL(IF((Income!D$3:D$502="INR")*(Income!A$3:A$502=DATE(2026,2,26)),ROW(Income!A$3:A$502)-2),4)),"")&lt;&gt;"",IFERROR(INDEX(Income!B$3:B$502,SMALL(IF((Income!D$3:D$502="INR")*(Income!A$3:A$502=DATE(2026,2,26)),ROW(Income!A$3:A$502)-2),4)),""),""))</f>
        <v/>
      </c>
      <c r="K47" s="153">
        <f t="array" ref="K47">IF(IFERROR(-INDEX(Expenses!D$3:D$999,SMALL(IF((Expenses!E$3:E$999="INR")*(Expenses!A$3:A$999=DATE(2026,2,27)),ROW(Expenses!A$3:A$999)-2),4)),0)+IFERROR(INDEX(Income!C$3:C$502,SMALL(IF((Income!D$3:D$502="INR")*(Income!A$3:A$502=DATE(2026,2,27)),ROW(Income!A$3:A$502)-2),4)),0)=0,"",IFERROR(-INDEX(Expenses!D$3:D$999,SMALL(IF((Expenses!E$3:E$999="INR")*(Expenses!A$3:A$999=DATE(2026,2,27)),ROW(Expenses!A$3:A$999)-2),4)),0)+IFERROR(INDEX(Income!C$3:C$502,SMALL(IF((Income!D$3:D$502="INR")*(Income!A$3:A$502=DATE(2026,2,27)),ROW(Income!A$3:A$502)-2),4)),0))</f>
        <v/>
      </c>
      <c r="L47" s="126">
        <f t="array" ref="L47">IF(IFERROR(INDEX(Expenses!B$3:B$999,SMALL(IF((Expenses!E$3:E$999="INR")*(Expenses!A$3:A$999=DATE(2026,2,27)),ROW(Expenses!A$3:A$999)-2),4)),"")&lt;&gt;"",IFERROR(INDEX(Expenses!B$3:B$999,SMALL(IF((Expenses!E$3:E$999="INR")*(Expenses!A$3:A$999=DATE(2026,2,27)),ROW(Expenses!A$3:A$999)-2),4)),""),IF(IFERROR(INDEX(Income!B$3:B$502,SMALL(IF((Income!D$3:D$502="INR")*(Income!A$3:A$502=DATE(2026,2,27)),ROW(Income!A$3:A$502)-2),4)),"")&lt;&gt;"",IFERROR(INDEX(Income!B$3:B$502,SMALL(IF((Income!D$3:D$502="INR")*(Income!A$3:A$502=DATE(2026,2,27)),ROW(Income!A$3:A$502)-2),4)),""),""))</f>
        <v/>
      </c>
      <c r="M47" s="153">
        <f t="array" ref="M47">IF(IFERROR(-INDEX(Expenses!D$3:D$999,SMALL(IF((Expenses!E$3:E$999="INR")*(Expenses!A$3:A$999=DATE(2026,2,28)),ROW(Expenses!A$3:A$999)-2),4)),0)+IFERROR(INDEX(Income!C$3:C$502,SMALL(IF((Income!D$3:D$502="INR")*(Income!A$3:A$502=DATE(2026,2,28)),ROW(Income!A$3:A$502)-2),4)),0)=0,"",IFERROR(-INDEX(Expenses!D$3:D$999,SMALL(IF((Expenses!E$3:E$999="INR")*(Expenses!A$3:A$999=DATE(2026,2,28)),ROW(Expenses!A$3:A$999)-2),4)),0)+IFERROR(INDEX(Income!C$3:C$502,SMALL(IF((Income!D$3:D$502="INR")*(Income!A$3:A$502=DATE(2026,2,28)),ROW(Income!A$3:A$502)-2),4)),0))</f>
        <v/>
      </c>
      <c r="N47" s="126">
        <f t="array" ref="N47">IF(IFERROR(INDEX(Expenses!B$3:B$999,SMALL(IF((Expenses!E$3:E$999="INR")*(Expenses!A$3:A$999=DATE(2026,2,28)),ROW(Expenses!A$3:A$999)-2),4)),"")&lt;&gt;"",IFERROR(INDEX(Expenses!B$3:B$999,SMALL(IF((Expenses!E$3:E$999="INR")*(Expenses!A$3:A$999=DATE(2026,2,28)),ROW(Expenses!A$3:A$999)-2),4)),""),IF(IFERROR(INDEX(Income!B$3:B$502,SMALL(IF((Income!D$3:D$502="INR")*(Income!A$3:A$502=DATE(2026,2,28)),ROW(Income!A$3:A$502)-2),4)),"")&lt;&gt;"",IFERROR(INDEX(Income!B$3:B$502,SMALL(IF((Income!D$3:D$502="INR")*(Income!A$3:A$502=DATE(2026,2,28)),ROW(Income!A$3:A$502)-2),4)),""),""))</f>
        <v/>
      </c>
      <c r="O47" s="153">
        <f t="array" ref="O47">IF(IFERROR(-INDEX(Expenses!D$3:D$999,SMALL(IF((Expenses!E$3:E$999="INR")*(Expenses!A$3:A$999=DATE(2026,3,1)),ROW(Expenses!A$3:A$999)-2),4)),0)+IFERROR(INDEX(Income!C$3:C$502,SMALL(IF((Income!D$3:D$502="INR")*(Income!A$3:A$502=DATE(2026,3,1)),ROW(Income!A$3:A$502)-2),4)),0)=0,"",IFERROR(-INDEX(Expenses!D$3:D$999,SMALL(IF((Expenses!E$3:E$999="INR")*(Expenses!A$3:A$999=DATE(2026,3,1)),ROW(Expenses!A$3:A$999)-2),4)),0)+IFERROR(INDEX(Income!C$3:C$502,SMALL(IF((Income!D$3:D$502="INR")*(Income!A$3:A$502=DATE(2026,3,1)),ROW(Income!A$3:A$502)-2),4)),0))</f>
        <v/>
      </c>
      <c r="P47" s="126">
        <f t="array" ref="P47">IF(IFERROR(INDEX(Expenses!B$3:B$999,SMALL(IF((Expenses!E$3:E$999="INR")*(Expenses!A$3:A$999=DATE(2026,3,1)),ROW(Expenses!A$3:A$999)-2),4)),"")&lt;&gt;"",IFERROR(INDEX(Expenses!B$3:B$999,SMALL(IF((Expenses!E$3:E$999="INR")*(Expenses!A$3:A$999=DATE(2026,3,1)),ROW(Expenses!A$3:A$999)-2),4)),""),IF(IFERROR(INDEX(Income!B$3:B$502,SMALL(IF((Income!D$3:D$502="INR")*(Income!A$3:A$502=DATE(2026,3,1)),ROW(Income!A$3:A$502)-2),4)),"")&lt;&gt;"",IFERROR(INDEX(Income!B$3:B$502,SMALL(IF((Income!D$3:D$502="INR")*(Income!A$3:A$502=DATE(2026,3,1)),ROW(Income!A$3:A$502)-2),4)),""),""))</f>
        <v/>
      </c>
      <c r="Q47" s="9" t="n"/>
      <c r="R47" s="9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68">
      <c r="A48" s="9" t="n"/>
      <c r="B48" s="9" t="n"/>
      <c r="C48" s="153">
        <f t="array" ref="C48">IF(IFERROR(-INDEX(Expenses!D$3:D$999,SMALL(IF((Expenses!E$3:E$999="INR")*(Expenses!A$3:A$999=DATE(2026,2,23)),ROW(Expenses!A$3:A$999)-2),5)),0)+IFERROR(INDEX(Income!C$3:C$502,SMALL(IF((Income!D$3:D$502="INR")*(Income!A$3:A$502=DATE(2026,2,23)),ROW(Income!A$3:A$502)-2),5)),0)=0,"",IFERROR(-INDEX(Expenses!D$3:D$999,SMALL(IF((Expenses!E$3:E$999="INR")*(Expenses!A$3:A$999=DATE(2026,2,23)),ROW(Expenses!A$3:A$999)-2),5)),0)+IFERROR(INDEX(Income!C$3:C$502,SMALL(IF((Income!D$3:D$502="INR")*(Income!A$3:A$502=DATE(2026,2,23)),ROW(Income!A$3:A$502)-2),5)),0))</f>
        <v/>
      </c>
      <c r="D48" s="126">
        <f t="array" ref="D48">IF(IFERROR(INDEX(Expenses!B$3:B$999,SMALL(IF((Expenses!E$3:E$999="INR")*(Expenses!A$3:A$999=DATE(2026,2,23)),ROW(Expenses!A$3:A$999)-2),5)),"")&lt;&gt;"",IFERROR(INDEX(Expenses!B$3:B$999,SMALL(IF((Expenses!E$3:E$999="INR")*(Expenses!A$3:A$999=DATE(2026,2,23)),ROW(Expenses!A$3:A$999)-2),5)),""),IF(IFERROR(INDEX(Income!B$3:B$502,SMALL(IF((Income!D$3:D$502="INR")*(Income!A$3:A$502=DATE(2026,2,23)),ROW(Income!A$3:A$502)-2),5)),"")&lt;&gt;"",IFERROR(INDEX(Income!B$3:B$502,SMALL(IF((Income!D$3:D$502="INR")*(Income!A$3:A$502=DATE(2026,2,23)),ROW(Income!A$3:A$502)-2),5)),""),""))</f>
        <v/>
      </c>
      <c r="E48" s="153">
        <f t="array" ref="E48">IF(IFERROR(-INDEX(Expenses!D$3:D$999,SMALL(IF((Expenses!E$3:E$999="INR")*(Expenses!A$3:A$999=DATE(2026,2,24)),ROW(Expenses!A$3:A$999)-2),5)),0)+IFERROR(INDEX(Income!C$3:C$502,SMALL(IF((Income!D$3:D$502="INR")*(Income!A$3:A$502=DATE(2026,2,24)),ROW(Income!A$3:A$502)-2),5)),0)=0,"",IFERROR(-INDEX(Expenses!D$3:D$999,SMALL(IF((Expenses!E$3:E$999="INR")*(Expenses!A$3:A$999=DATE(2026,2,24)),ROW(Expenses!A$3:A$999)-2),5)),0)+IFERROR(INDEX(Income!C$3:C$502,SMALL(IF((Income!D$3:D$502="INR")*(Income!A$3:A$502=DATE(2026,2,24)),ROW(Income!A$3:A$502)-2),5)),0))</f>
        <v/>
      </c>
      <c r="F48" s="126">
        <f t="array" ref="F48">IF(IFERROR(INDEX(Expenses!B$3:B$999,SMALL(IF((Expenses!E$3:E$999="INR")*(Expenses!A$3:A$999=DATE(2026,2,24)),ROW(Expenses!A$3:A$999)-2),5)),"")&lt;&gt;"",IFERROR(INDEX(Expenses!B$3:B$999,SMALL(IF((Expenses!E$3:E$999="INR")*(Expenses!A$3:A$999=DATE(2026,2,24)),ROW(Expenses!A$3:A$999)-2),5)),""),IF(IFERROR(INDEX(Income!B$3:B$502,SMALL(IF((Income!D$3:D$502="INR")*(Income!A$3:A$502=DATE(2026,2,24)),ROW(Income!A$3:A$502)-2),5)),"")&lt;&gt;"",IFERROR(INDEX(Income!B$3:B$502,SMALL(IF((Income!D$3:D$502="INR")*(Income!A$3:A$502=DATE(2026,2,24)),ROW(Income!A$3:A$502)-2),5)),""),""))</f>
        <v/>
      </c>
      <c r="G48" s="153">
        <f t="array" ref="G48">IF(IFERROR(-INDEX(Expenses!D$3:D$999,SMALL(IF((Expenses!E$3:E$999="INR")*(Expenses!A$3:A$999=DATE(2026,2,25)),ROW(Expenses!A$3:A$999)-2),5)),0)+IFERROR(INDEX(Income!C$3:C$502,SMALL(IF((Income!D$3:D$502="INR")*(Income!A$3:A$502=DATE(2026,2,25)),ROW(Income!A$3:A$502)-2),5)),0)=0,"",IFERROR(-INDEX(Expenses!D$3:D$999,SMALL(IF((Expenses!E$3:E$999="INR")*(Expenses!A$3:A$999=DATE(2026,2,25)),ROW(Expenses!A$3:A$999)-2),5)),0)+IFERROR(INDEX(Income!C$3:C$502,SMALL(IF((Income!D$3:D$502="INR")*(Income!A$3:A$502=DATE(2026,2,25)),ROW(Income!A$3:A$502)-2),5)),0))</f>
        <v/>
      </c>
      <c r="H48" s="126">
        <f t="array" ref="H48">IF(IFERROR(INDEX(Expenses!B$3:B$999,SMALL(IF((Expenses!E$3:E$999="INR")*(Expenses!A$3:A$999=DATE(2026,2,25)),ROW(Expenses!A$3:A$999)-2),5)),"")&lt;&gt;"",IFERROR(INDEX(Expenses!B$3:B$999,SMALL(IF((Expenses!E$3:E$999="INR")*(Expenses!A$3:A$999=DATE(2026,2,25)),ROW(Expenses!A$3:A$999)-2),5)),""),IF(IFERROR(INDEX(Income!B$3:B$502,SMALL(IF((Income!D$3:D$502="INR")*(Income!A$3:A$502=DATE(2026,2,25)),ROW(Income!A$3:A$502)-2),5)),"")&lt;&gt;"",IFERROR(INDEX(Income!B$3:B$502,SMALL(IF((Income!D$3:D$502="INR")*(Income!A$3:A$502=DATE(2026,2,25)),ROW(Income!A$3:A$502)-2),5)),""),""))</f>
        <v/>
      </c>
      <c r="I48" s="153">
        <f t="array" ref="I48">IF(IFERROR(-INDEX(Expenses!D$3:D$999,SMALL(IF((Expenses!E$3:E$999="INR")*(Expenses!A$3:A$999=DATE(2026,2,26)),ROW(Expenses!A$3:A$999)-2),5)),0)+IFERROR(INDEX(Income!C$3:C$502,SMALL(IF((Income!D$3:D$502="INR")*(Income!A$3:A$502=DATE(2026,2,26)),ROW(Income!A$3:A$502)-2),5)),0)=0,"",IFERROR(-INDEX(Expenses!D$3:D$999,SMALL(IF((Expenses!E$3:E$999="INR")*(Expenses!A$3:A$999=DATE(2026,2,26)),ROW(Expenses!A$3:A$999)-2),5)),0)+IFERROR(INDEX(Income!C$3:C$502,SMALL(IF((Income!D$3:D$502="INR")*(Income!A$3:A$502=DATE(2026,2,26)),ROW(Income!A$3:A$502)-2),5)),0))</f>
        <v/>
      </c>
      <c r="J48" s="126">
        <f t="array" ref="J48">IF(IFERROR(INDEX(Expenses!B$3:B$999,SMALL(IF((Expenses!E$3:E$999="INR")*(Expenses!A$3:A$999=DATE(2026,2,26)),ROW(Expenses!A$3:A$999)-2),5)),"")&lt;&gt;"",IFERROR(INDEX(Expenses!B$3:B$999,SMALL(IF((Expenses!E$3:E$999="INR")*(Expenses!A$3:A$999=DATE(2026,2,26)),ROW(Expenses!A$3:A$999)-2),5)),""),IF(IFERROR(INDEX(Income!B$3:B$502,SMALL(IF((Income!D$3:D$502="INR")*(Income!A$3:A$502=DATE(2026,2,26)),ROW(Income!A$3:A$502)-2),5)),"")&lt;&gt;"",IFERROR(INDEX(Income!B$3:B$502,SMALL(IF((Income!D$3:D$502="INR")*(Income!A$3:A$502=DATE(2026,2,26)),ROW(Income!A$3:A$502)-2),5)),""),""))</f>
        <v/>
      </c>
      <c r="K48" s="153">
        <f t="array" ref="K48">IF(IFERROR(-INDEX(Expenses!D$3:D$999,SMALL(IF((Expenses!E$3:E$999="INR")*(Expenses!A$3:A$999=DATE(2026,2,27)),ROW(Expenses!A$3:A$999)-2),5)),0)+IFERROR(INDEX(Income!C$3:C$502,SMALL(IF((Income!D$3:D$502="INR")*(Income!A$3:A$502=DATE(2026,2,27)),ROW(Income!A$3:A$502)-2),5)),0)=0,"",IFERROR(-INDEX(Expenses!D$3:D$999,SMALL(IF((Expenses!E$3:E$999="INR")*(Expenses!A$3:A$999=DATE(2026,2,27)),ROW(Expenses!A$3:A$999)-2),5)),0)+IFERROR(INDEX(Income!C$3:C$502,SMALL(IF((Income!D$3:D$502="INR")*(Income!A$3:A$502=DATE(2026,2,27)),ROW(Income!A$3:A$502)-2),5)),0))</f>
        <v/>
      </c>
      <c r="L48" s="126">
        <f t="array" ref="L48">IF(IFERROR(INDEX(Expenses!B$3:B$999,SMALL(IF((Expenses!E$3:E$999="INR")*(Expenses!A$3:A$999=DATE(2026,2,27)),ROW(Expenses!A$3:A$999)-2),5)),"")&lt;&gt;"",IFERROR(INDEX(Expenses!B$3:B$999,SMALL(IF((Expenses!E$3:E$999="INR")*(Expenses!A$3:A$999=DATE(2026,2,27)),ROW(Expenses!A$3:A$999)-2),5)),""),IF(IFERROR(INDEX(Income!B$3:B$502,SMALL(IF((Income!D$3:D$502="INR")*(Income!A$3:A$502=DATE(2026,2,27)),ROW(Income!A$3:A$502)-2),5)),"")&lt;&gt;"",IFERROR(INDEX(Income!B$3:B$502,SMALL(IF((Income!D$3:D$502="INR")*(Income!A$3:A$502=DATE(2026,2,27)),ROW(Income!A$3:A$502)-2),5)),""),""))</f>
        <v/>
      </c>
      <c r="M48" s="153">
        <f t="array" ref="M48">IF(IFERROR(-INDEX(Expenses!D$3:D$999,SMALL(IF((Expenses!E$3:E$999="INR")*(Expenses!A$3:A$999=DATE(2026,2,28)),ROW(Expenses!A$3:A$999)-2),5)),0)+IFERROR(INDEX(Income!C$3:C$502,SMALL(IF((Income!D$3:D$502="INR")*(Income!A$3:A$502=DATE(2026,2,28)),ROW(Income!A$3:A$502)-2),5)),0)=0,"",IFERROR(-INDEX(Expenses!D$3:D$999,SMALL(IF((Expenses!E$3:E$999="INR")*(Expenses!A$3:A$999=DATE(2026,2,28)),ROW(Expenses!A$3:A$999)-2),5)),0)+IFERROR(INDEX(Income!C$3:C$502,SMALL(IF((Income!D$3:D$502="INR")*(Income!A$3:A$502=DATE(2026,2,28)),ROW(Income!A$3:A$502)-2),5)),0))</f>
        <v/>
      </c>
      <c r="N48" s="126">
        <f t="array" ref="N48">IF(IFERROR(INDEX(Expenses!B$3:B$999,SMALL(IF((Expenses!E$3:E$999="INR")*(Expenses!A$3:A$999=DATE(2026,2,28)),ROW(Expenses!A$3:A$999)-2),5)),"")&lt;&gt;"",IFERROR(INDEX(Expenses!B$3:B$999,SMALL(IF((Expenses!E$3:E$999="INR")*(Expenses!A$3:A$999=DATE(2026,2,28)),ROW(Expenses!A$3:A$999)-2),5)),""),IF(IFERROR(INDEX(Income!B$3:B$502,SMALL(IF((Income!D$3:D$502="INR")*(Income!A$3:A$502=DATE(2026,2,28)),ROW(Income!A$3:A$502)-2),5)),"")&lt;&gt;"",IFERROR(INDEX(Income!B$3:B$502,SMALL(IF((Income!D$3:D$502="INR")*(Income!A$3:A$502=DATE(2026,2,28)),ROW(Income!A$3:A$502)-2),5)),""),""))</f>
        <v/>
      </c>
      <c r="O48" s="153">
        <f t="array" ref="O48">IF(IFERROR(-INDEX(Expenses!D$3:D$999,SMALL(IF((Expenses!E$3:E$999="INR")*(Expenses!A$3:A$999=DATE(2026,3,1)),ROW(Expenses!A$3:A$999)-2),5)),0)+IFERROR(INDEX(Income!C$3:C$502,SMALL(IF((Income!D$3:D$502="INR")*(Income!A$3:A$502=DATE(2026,3,1)),ROW(Income!A$3:A$502)-2),5)),0)=0,"",IFERROR(-INDEX(Expenses!D$3:D$999,SMALL(IF((Expenses!E$3:E$999="INR")*(Expenses!A$3:A$999=DATE(2026,3,1)),ROW(Expenses!A$3:A$999)-2),5)),0)+IFERROR(INDEX(Income!C$3:C$502,SMALL(IF((Income!D$3:D$502="INR")*(Income!A$3:A$502=DATE(2026,3,1)),ROW(Income!A$3:A$502)-2),5)),0))</f>
        <v/>
      </c>
      <c r="P48" s="126">
        <f t="array" ref="P48">IF(IFERROR(INDEX(Expenses!B$3:B$999,SMALL(IF((Expenses!E$3:E$999="INR")*(Expenses!A$3:A$999=DATE(2026,3,1)),ROW(Expenses!A$3:A$999)-2),5)),"")&lt;&gt;"",IFERROR(INDEX(Expenses!B$3:B$999,SMALL(IF((Expenses!E$3:E$999="INR")*(Expenses!A$3:A$999=DATE(2026,3,1)),ROW(Expenses!A$3:A$999)-2),5)),""),IF(IFERROR(INDEX(Income!B$3:B$502,SMALL(IF((Income!D$3:D$502="INR")*(Income!A$3:A$502=DATE(2026,3,1)),ROW(Income!A$3:A$502)-2),5)),"")&lt;&gt;"",IFERROR(INDEX(Income!B$3:B$502,SMALL(IF((Income!D$3:D$502="INR")*(Income!A$3:A$502=DATE(2026,3,1)),ROW(Income!A$3:A$502)-2),5)),""),""))</f>
        <v/>
      </c>
      <c r="Q48" s="9" t="n"/>
      <c r="R48" s="9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68">
      <c r="A49" s="151" t="n">
        <v>46083</v>
      </c>
      <c r="B49" s="103" t="n">
        <v>10</v>
      </c>
      <c r="C49" s="153">
        <f t="array" ref="C49">IF(IFERROR(-INDEX(Expenses!D$3:D$999,SMALL(IF((Expenses!E$3:E$999="INR")*(Expenses!A$3:A$999=DATE(2026,3,2)),ROW(Expenses!A$3:A$999)-2),1)),0)+IFERROR(INDEX(Income!C$3:C$502,SMALL(IF((Income!D$3:D$502="INR")*(Income!A$3:A$502=DATE(2026,3,2)),ROW(Income!A$3:A$502)-2),1)),0)=0,"",IFERROR(-INDEX(Expenses!D$3:D$999,SMALL(IF((Expenses!E$3:E$999="INR")*(Expenses!A$3:A$999=DATE(2026,3,2)),ROW(Expenses!A$3:A$999)-2),1)),0)+IFERROR(INDEX(Income!C$3:C$502,SMALL(IF((Income!D$3:D$502="INR")*(Income!A$3:A$502=DATE(2026,3,2)),ROW(Income!A$3:A$502)-2),1)),0))</f>
        <v/>
      </c>
      <c r="D49" s="126">
        <f t="array" ref="D49">IF(IFERROR(INDEX(Expenses!B$3:B$999,SMALL(IF((Expenses!E$3:E$999="INR")*(Expenses!A$3:A$999=DATE(2026,3,2)),ROW(Expenses!A$3:A$999)-2),1)),"")&lt;&gt;"",IFERROR(INDEX(Expenses!B$3:B$999,SMALL(IF((Expenses!E$3:E$999="INR")*(Expenses!A$3:A$999=DATE(2026,3,2)),ROW(Expenses!A$3:A$999)-2),1)),""),IF(IFERROR(INDEX(Income!B$3:B$502,SMALL(IF((Income!D$3:D$502="INR")*(Income!A$3:A$502=DATE(2026,3,2)),ROW(Income!A$3:A$502)-2),1)),"")&lt;&gt;"",IFERROR(INDEX(Income!B$3:B$502,SMALL(IF((Income!D$3:D$502="INR")*(Income!A$3:A$502=DATE(2026,3,2)),ROW(Income!A$3:A$502)-2),1)),""),""))</f>
        <v/>
      </c>
      <c r="E49" s="153">
        <f t="array" ref="E49">IF(IFERROR(-INDEX(Expenses!D$3:D$999,SMALL(IF((Expenses!E$3:E$999="INR")*(Expenses!A$3:A$999=DATE(2026,3,3)),ROW(Expenses!A$3:A$999)-2),1)),0)+IFERROR(INDEX(Income!C$3:C$502,SMALL(IF((Income!D$3:D$502="INR")*(Income!A$3:A$502=DATE(2026,3,3)),ROW(Income!A$3:A$502)-2),1)),0)=0,"",IFERROR(-INDEX(Expenses!D$3:D$999,SMALL(IF((Expenses!E$3:E$999="INR")*(Expenses!A$3:A$999=DATE(2026,3,3)),ROW(Expenses!A$3:A$999)-2),1)),0)+IFERROR(INDEX(Income!C$3:C$502,SMALL(IF((Income!D$3:D$502="INR")*(Income!A$3:A$502=DATE(2026,3,3)),ROW(Income!A$3:A$502)-2),1)),0))</f>
        <v/>
      </c>
      <c r="F49" s="126">
        <f t="array" ref="F49">IF(IFERROR(INDEX(Expenses!B$3:B$999,SMALL(IF((Expenses!E$3:E$999="INR")*(Expenses!A$3:A$999=DATE(2026,3,3)),ROW(Expenses!A$3:A$999)-2),1)),"")&lt;&gt;"",IFERROR(INDEX(Expenses!B$3:B$999,SMALL(IF((Expenses!E$3:E$999="INR")*(Expenses!A$3:A$999=DATE(2026,3,3)),ROW(Expenses!A$3:A$999)-2),1)),""),IF(IFERROR(INDEX(Income!B$3:B$502,SMALL(IF((Income!D$3:D$502="INR")*(Income!A$3:A$502=DATE(2026,3,3)),ROW(Income!A$3:A$502)-2),1)),"")&lt;&gt;"",IFERROR(INDEX(Income!B$3:B$502,SMALL(IF((Income!D$3:D$502="INR")*(Income!A$3:A$502=DATE(2026,3,3)),ROW(Income!A$3:A$502)-2),1)),""),""))</f>
        <v/>
      </c>
      <c r="G49" s="153">
        <f t="array" ref="G49">IF(IFERROR(-INDEX(Expenses!D$3:D$999,SMALL(IF((Expenses!E$3:E$999="INR")*(Expenses!A$3:A$999=DATE(2026,3,4)),ROW(Expenses!A$3:A$999)-2),1)),0)+IFERROR(INDEX(Income!C$3:C$502,SMALL(IF((Income!D$3:D$502="INR")*(Income!A$3:A$502=DATE(2026,3,4)),ROW(Income!A$3:A$502)-2),1)),0)=0,"",IFERROR(-INDEX(Expenses!D$3:D$999,SMALL(IF((Expenses!E$3:E$999="INR")*(Expenses!A$3:A$999=DATE(2026,3,4)),ROW(Expenses!A$3:A$999)-2),1)),0)+IFERROR(INDEX(Income!C$3:C$502,SMALL(IF((Income!D$3:D$502="INR")*(Income!A$3:A$502=DATE(2026,3,4)),ROW(Income!A$3:A$502)-2),1)),0))</f>
        <v/>
      </c>
      <c r="H49" s="126">
        <f t="array" ref="H49">IF(IFERROR(INDEX(Expenses!B$3:B$999,SMALL(IF((Expenses!E$3:E$999="INR")*(Expenses!A$3:A$999=DATE(2026,3,4)),ROW(Expenses!A$3:A$999)-2),1)),"")&lt;&gt;"",IFERROR(INDEX(Expenses!B$3:B$999,SMALL(IF((Expenses!E$3:E$999="INR")*(Expenses!A$3:A$999=DATE(2026,3,4)),ROW(Expenses!A$3:A$999)-2),1)),""),IF(IFERROR(INDEX(Income!B$3:B$502,SMALL(IF((Income!D$3:D$502="INR")*(Income!A$3:A$502=DATE(2026,3,4)),ROW(Income!A$3:A$502)-2),1)),"")&lt;&gt;"",IFERROR(INDEX(Income!B$3:B$502,SMALL(IF((Income!D$3:D$502="INR")*(Income!A$3:A$502=DATE(2026,3,4)),ROW(Income!A$3:A$502)-2),1)),""),""))</f>
        <v/>
      </c>
      <c r="I49" s="153">
        <f t="array" ref="I49">IF(IFERROR(-INDEX(Expenses!D$3:D$999,SMALL(IF((Expenses!E$3:E$999="INR")*(Expenses!A$3:A$999=DATE(2026,3,5)),ROW(Expenses!A$3:A$999)-2),1)),0)+IFERROR(INDEX(Income!C$3:C$502,SMALL(IF((Income!D$3:D$502="INR")*(Income!A$3:A$502=DATE(2026,3,5)),ROW(Income!A$3:A$502)-2),1)),0)=0,"",IFERROR(-INDEX(Expenses!D$3:D$999,SMALL(IF((Expenses!E$3:E$999="INR")*(Expenses!A$3:A$999=DATE(2026,3,5)),ROW(Expenses!A$3:A$999)-2),1)),0)+IFERROR(INDEX(Income!C$3:C$502,SMALL(IF((Income!D$3:D$502="INR")*(Income!A$3:A$502=DATE(2026,3,5)),ROW(Income!A$3:A$502)-2),1)),0))</f>
        <v/>
      </c>
      <c r="J49" s="126">
        <f t="array" ref="J49">IF(IFERROR(INDEX(Expenses!B$3:B$999,SMALL(IF((Expenses!E$3:E$999="INR")*(Expenses!A$3:A$999=DATE(2026,3,5)),ROW(Expenses!A$3:A$999)-2),1)),"")&lt;&gt;"",IFERROR(INDEX(Expenses!B$3:B$999,SMALL(IF((Expenses!E$3:E$999="INR")*(Expenses!A$3:A$999=DATE(2026,3,5)),ROW(Expenses!A$3:A$999)-2),1)),""),IF(IFERROR(INDEX(Income!B$3:B$502,SMALL(IF((Income!D$3:D$502="INR")*(Income!A$3:A$502=DATE(2026,3,5)),ROW(Income!A$3:A$502)-2),1)),"")&lt;&gt;"",IFERROR(INDEX(Income!B$3:B$502,SMALL(IF((Income!D$3:D$502="INR")*(Income!A$3:A$502=DATE(2026,3,5)),ROW(Income!A$3:A$502)-2),1)),""),""))</f>
        <v/>
      </c>
      <c r="K49" s="153">
        <f t="array" ref="K49">IF(IFERROR(-INDEX(Expenses!D$3:D$999,SMALL(IF((Expenses!E$3:E$999="INR")*(Expenses!A$3:A$999=DATE(2026,3,6)),ROW(Expenses!A$3:A$999)-2),1)),0)+IFERROR(INDEX(Income!C$3:C$502,SMALL(IF((Income!D$3:D$502="INR")*(Income!A$3:A$502=DATE(2026,3,6)),ROW(Income!A$3:A$502)-2),1)),0)=0,"",IFERROR(-INDEX(Expenses!D$3:D$999,SMALL(IF((Expenses!E$3:E$999="INR")*(Expenses!A$3:A$999=DATE(2026,3,6)),ROW(Expenses!A$3:A$999)-2),1)),0)+IFERROR(INDEX(Income!C$3:C$502,SMALL(IF((Income!D$3:D$502="INR")*(Income!A$3:A$502=DATE(2026,3,6)),ROW(Income!A$3:A$502)-2),1)),0))</f>
        <v/>
      </c>
      <c r="L49" s="126">
        <f t="array" ref="L49">IF(IFERROR(INDEX(Expenses!B$3:B$999,SMALL(IF((Expenses!E$3:E$999="INR")*(Expenses!A$3:A$999=DATE(2026,3,6)),ROW(Expenses!A$3:A$999)-2),1)),"")&lt;&gt;"",IFERROR(INDEX(Expenses!B$3:B$999,SMALL(IF((Expenses!E$3:E$999="INR")*(Expenses!A$3:A$999=DATE(2026,3,6)),ROW(Expenses!A$3:A$999)-2),1)),""),IF(IFERROR(INDEX(Income!B$3:B$502,SMALL(IF((Income!D$3:D$502="INR")*(Income!A$3:A$502=DATE(2026,3,6)),ROW(Income!A$3:A$502)-2),1)),"")&lt;&gt;"",IFERROR(INDEX(Income!B$3:B$502,SMALL(IF((Income!D$3:D$502="INR")*(Income!A$3:A$502=DATE(2026,3,6)),ROW(Income!A$3:A$502)-2),1)),""),""))</f>
        <v/>
      </c>
      <c r="M49" s="153">
        <f t="array" ref="M49">IF(IFERROR(-INDEX(Expenses!D$3:D$999,SMALL(IF((Expenses!E$3:E$999="INR")*(Expenses!A$3:A$999=DATE(2026,3,7)),ROW(Expenses!A$3:A$999)-2),1)),0)+IFERROR(INDEX(Income!C$3:C$502,SMALL(IF((Income!D$3:D$502="INR")*(Income!A$3:A$502=DATE(2026,3,7)),ROW(Income!A$3:A$502)-2),1)),0)=0,"",IFERROR(-INDEX(Expenses!D$3:D$999,SMALL(IF((Expenses!E$3:E$999="INR")*(Expenses!A$3:A$999=DATE(2026,3,7)),ROW(Expenses!A$3:A$999)-2),1)),0)+IFERROR(INDEX(Income!C$3:C$502,SMALL(IF((Income!D$3:D$502="INR")*(Income!A$3:A$502=DATE(2026,3,7)),ROW(Income!A$3:A$502)-2),1)),0))</f>
        <v/>
      </c>
      <c r="N49" s="126">
        <f t="array" ref="N49">IF(IFERROR(INDEX(Expenses!B$3:B$999,SMALL(IF((Expenses!E$3:E$999="INR")*(Expenses!A$3:A$999=DATE(2026,3,7)),ROW(Expenses!A$3:A$999)-2),1)),"")&lt;&gt;"",IFERROR(INDEX(Expenses!B$3:B$999,SMALL(IF((Expenses!E$3:E$999="INR")*(Expenses!A$3:A$999=DATE(2026,3,7)),ROW(Expenses!A$3:A$999)-2),1)),""),IF(IFERROR(INDEX(Income!B$3:B$502,SMALL(IF((Income!D$3:D$502="INR")*(Income!A$3:A$502=DATE(2026,3,7)),ROW(Income!A$3:A$502)-2),1)),"")&lt;&gt;"",IFERROR(INDEX(Income!B$3:B$502,SMALL(IF((Income!D$3:D$502="INR")*(Income!A$3:A$502=DATE(2026,3,7)),ROW(Income!A$3:A$502)-2),1)),""),""))</f>
        <v/>
      </c>
      <c r="O49" s="153">
        <f t="array" ref="O49">IF(IFERROR(-INDEX(Expenses!D$3:D$999,SMALL(IF((Expenses!E$3:E$999="INR")*(Expenses!A$3:A$999=DATE(2026,3,8)),ROW(Expenses!A$3:A$999)-2),1)),0)+IFERROR(INDEX(Income!C$3:C$502,SMALL(IF((Income!D$3:D$502="INR")*(Income!A$3:A$502=DATE(2026,3,8)),ROW(Income!A$3:A$502)-2),1)),0)=0,"",IFERROR(-INDEX(Expenses!D$3:D$999,SMALL(IF((Expenses!E$3:E$999="INR")*(Expenses!A$3:A$999=DATE(2026,3,8)),ROW(Expenses!A$3:A$999)-2),1)),0)+IFERROR(INDEX(Income!C$3:C$502,SMALL(IF((Income!D$3:D$502="INR")*(Income!A$3:A$502=DATE(2026,3,8)),ROW(Income!A$3:A$502)-2),1)),0))</f>
        <v/>
      </c>
      <c r="P49" s="126">
        <f t="array" ref="P49">IF(IFERROR(INDEX(Expenses!B$3:B$999,SMALL(IF((Expenses!E$3:E$999="INR")*(Expenses!A$3:A$999=DATE(2026,3,8)),ROW(Expenses!A$3:A$999)-2),1)),"")&lt;&gt;"",IFERROR(INDEX(Expenses!B$3:B$999,SMALL(IF((Expenses!E$3:E$999="INR")*(Expenses!A$3:A$999=DATE(2026,3,8)),ROW(Expenses!A$3:A$999)-2),1)),""),IF(IFERROR(INDEX(Income!B$3:B$502,SMALL(IF((Income!D$3:D$502="INR")*(Income!A$3:A$502=DATE(2026,3,8)),ROW(Income!A$3:A$502)-2),1)),"")&lt;&gt;"",IFERROR(INDEX(Income!B$3:B$502,SMALL(IF((Income!D$3:D$502="INR")*(Income!A$3:A$502=DATE(2026,3,8)),ROW(Income!A$3:A$502)-2),1)),""),""))</f>
        <v/>
      </c>
      <c r="Q49" s="103" t="n">
        <v>10</v>
      </c>
      <c r="R49" s="142">
        <f>SUM(C49:C53)+SUM(E49:E53)+SUM(G49:G53)+SUM(I49:I53)+SUM(K49:K53)+SUM(M49:M53)+SUM(O49:O53)</f>
        <v/>
      </c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68">
      <c r="A50" s="9" t="n"/>
      <c r="B50" s="9" t="n"/>
      <c r="C50" s="153">
        <f t="array" ref="C50">IF(IFERROR(-INDEX(Expenses!D$3:D$999,SMALL(IF((Expenses!E$3:E$999="INR")*(Expenses!A$3:A$999=DATE(2026,3,2)),ROW(Expenses!A$3:A$999)-2),2)),0)+IFERROR(INDEX(Income!C$3:C$502,SMALL(IF((Income!D$3:D$502="INR")*(Income!A$3:A$502=DATE(2026,3,2)),ROW(Income!A$3:A$502)-2),2)),0)=0,"",IFERROR(-INDEX(Expenses!D$3:D$999,SMALL(IF((Expenses!E$3:E$999="INR")*(Expenses!A$3:A$999=DATE(2026,3,2)),ROW(Expenses!A$3:A$999)-2),2)),0)+IFERROR(INDEX(Income!C$3:C$502,SMALL(IF((Income!D$3:D$502="INR")*(Income!A$3:A$502=DATE(2026,3,2)),ROW(Income!A$3:A$502)-2),2)),0))</f>
        <v/>
      </c>
      <c r="D50" s="126">
        <f t="array" ref="D50">IF(IFERROR(INDEX(Expenses!B$3:B$999,SMALL(IF((Expenses!E$3:E$999="INR")*(Expenses!A$3:A$999=DATE(2026,3,2)),ROW(Expenses!A$3:A$999)-2),2)),"")&lt;&gt;"",IFERROR(INDEX(Expenses!B$3:B$999,SMALL(IF((Expenses!E$3:E$999="INR")*(Expenses!A$3:A$999=DATE(2026,3,2)),ROW(Expenses!A$3:A$999)-2),2)),""),IF(IFERROR(INDEX(Income!B$3:B$502,SMALL(IF((Income!D$3:D$502="INR")*(Income!A$3:A$502=DATE(2026,3,2)),ROW(Income!A$3:A$502)-2),2)),"")&lt;&gt;"",IFERROR(INDEX(Income!B$3:B$502,SMALL(IF((Income!D$3:D$502="INR")*(Income!A$3:A$502=DATE(2026,3,2)),ROW(Income!A$3:A$502)-2),2)),""),""))</f>
        <v/>
      </c>
      <c r="E50" s="153">
        <f t="array" ref="E50">IF(IFERROR(-INDEX(Expenses!D$3:D$999,SMALL(IF((Expenses!E$3:E$999="INR")*(Expenses!A$3:A$999=DATE(2026,3,3)),ROW(Expenses!A$3:A$999)-2),2)),0)+IFERROR(INDEX(Income!C$3:C$502,SMALL(IF((Income!D$3:D$502="INR")*(Income!A$3:A$502=DATE(2026,3,3)),ROW(Income!A$3:A$502)-2),2)),0)=0,"",IFERROR(-INDEX(Expenses!D$3:D$999,SMALL(IF((Expenses!E$3:E$999="INR")*(Expenses!A$3:A$999=DATE(2026,3,3)),ROW(Expenses!A$3:A$999)-2),2)),0)+IFERROR(INDEX(Income!C$3:C$502,SMALL(IF((Income!D$3:D$502="INR")*(Income!A$3:A$502=DATE(2026,3,3)),ROW(Income!A$3:A$502)-2),2)),0))</f>
        <v/>
      </c>
      <c r="F50" s="126">
        <f t="array" ref="F50">IF(IFERROR(INDEX(Expenses!B$3:B$999,SMALL(IF((Expenses!E$3:E$999="INR")*(Expenses!A$3:A$999=DATE(2026,3,3)),ROW(Expenses!A$3:A$999)-2),2)),"")&lt;&gt;"",IFERROR(INDEX(Expenses!B$3:B$999,SMALL(IF((Expenses!E$3:E$999="INR")*(Expenses!A$3:A$999=DATE(2026,3,3)),ROW(Expenses!A$3:A$999)-2),2)),""),IF(IFERROR(INDEX(Income!B$3:B$502,SMALL(IF((Income!D$3:D$502="INR")*(Income!A$3:A$502=DATE(2026,3,3)),ROW(Income!A$3:A$502)-2),2)),"")&lt;&gt;"",IFERROR(INDEX(Income!B$3:B$502,SMALL(IF((Income!D$3:D$502="INR")*(Income!A$3:A$502=DATE(2026,3,3)),ROW(Income!A$3:A$502)-2),2)),""),""))</f>
        <v/>
      </c>
      <c r="G50" s="153">
        <f t="array" ref="G50">IF(IFERROR(-INDEX(Expenses!D$3:D$999,SMALL(IF((Expenses!E$3:E$999="INR")*(Expenses!A$3:A$999=DATE(2026,3,4)),ROW(Expenses!A$3:A$999)-2),2)),0)+IFERROR(INDEX(Income!C$3:C$502,SMALL(IF((Income!D$3:D$502="INR")*(Income!A$3:A$502=DATE(2026,3,4)),ROW(Income!A$3:A$502)-2),2)),0)=0,"",IFERROR(-INDEX(Expenses!D$3:D$999,SMALL(IF((Expenses!E$3:E$999="INR")*(Expenses!A$3:A$999=DATE(2026,3,4)),ROW(Expenses!A$3:A$999)-2),2)),0)+IFERROR(INDEX(Income!C$3:C$502,SMALL(IF((Income!D$3:D$502="INR")*(Income!A$3:A$502=DATE(2026,3,4)),ROW(Income!A$3:A$502)-2),2)),0))</f>
        <v/>
      </c>
      <c r="H50" s="126">
        <f t="array" ref="H50">IF(IFERROR(INDEX(Expenses!B$3:B$999,SMALL(IF((Expenses!E$3:E$999="INR")*(Expenses!A$3:A$999=DATE(2026,3,4)),ROW(Expenses!A$3:A$999)-2),2)),"")&lt;&gt;"",IFERROR(INDEX(Expenses!B$3:B$999,SMALL(IF((Expenses!E$3:E$999="INR")*(Expenses!A$3:A$999=DATE(2026,3,4)),ROW(Expenses!A$3:A$999)-2),2)),""),IF(IFERROR(INDEX(Income!B$3:B$502,SMALL(IF((Income!D$3:D$502="INR")*(Income!A$3:A$502=DATE(2026,3,4)),ROW(Income!A$3:A$502)-2),2)),"")&lt;&gt;"",IFERROR(INDEX(Income!B$3:B$502,SMALL(IF((Income!D$3:D$502="INR")*(Income!A$3:A$502=DATE(2026,3,4)),ROW(Income!A$3:A$502)-2),2)),""),""))</f>
        <v/>
      </c>
      <c r="I50" s="153">
        <f t="array" ref="I50">IF(IFERROR(-INDEX(Expenses!D$3:D$999,SMALL(IF((Expenses!E$3:E$999="INR")*(Expenses!A$3:A$999=DATE(2026,3,5)),ROW(Expenses!A$3:A$999)-2),2)),0)+IFERROR(INDEX(Income!C$3:C$502,SMALL(IF((Income!D$3:D$502="INR")*(Income!A$3:A$502=DATE(2026,3,5)),ROW(Income!A$3:A$502)-2),2)),0)=0,"",IFERROR(-INDEX(Expenses!D$3:D$999,SMALL(IF((Expenses!E$3:E$999="INR")*(Expenses!A$3:A$999=DATE(2026,3,5)),ROW(Expenses!A$3:A$999)-2),2)),0)+IFERROR(INDEX(Income!C$3:C$502,SMALL(IF((Income!D$3:D$502="INR")*(Income!A$3:A$502=DATE(2026,3,5)),ROW(Income!A$3:A$502)-2),2)),0))</f>
        <v/>
      </c>
      <c r="J50" s="126">
        <f t="array" ref="J50">IF(IFERROR(INDEX(Expenses!B$3:B$999,SMALL(IF((Expenses!E$3:E$999="INR")*(Expenses!A$3:A$999=DATE(2026,3,5)),ROW(Expenses!A$3:A$999)-2),2)),"")&lt;&gt;"",IFERROR(INDEX(Expenses!B$3:B$999,SMALL(IF((Expenses!E$3:E$999="INR")*(Expenses!A$3:A$999=DATE(2026,3,5)),ROW(Expenses!A$3:A$999)-2),2)),""),IF(IFERROR(INDEX(Income!B$3:B$502,SMALL(IF((Income!D$3:D$502="INR")*(Income!A$3:A$502=DATE(2026,3,5)),ROW(Income!A$3:A$502)-2),2)),"")&lt;&gt;"",IFERROR(INDEX(Income!B$3:B$502,SMALL(IF((Income!D$3:D$502="INR")*(Income!A$3:A$502=DATE(2026,3,5)),ROW(Income!A$3:A$502)-2),2)),""),""))</f>
        <v/>
      </c>
      <c r="K50" s="153">
        <f t="array" ref="K50">IF(IFERROR(-INDEX(Expenses!D$3:D$999,SMALL(IF((Expenses!E$3:E$999="INR")*(Expenses!A$3:A$999=DATE(2026,3,6)),ROW(Expenses!A$3:A$999)-2),2)),0)+IFERROR(INDEX(Income!C$3:C$502,SMALL(IF((Income!D$3:D$502="INR")*(Income!A$3:A$502=DATE(2026,3,6)),ROW(Income!A$3:A$502)-2),2)),0)=0,"",IFERROR(-INDEX(Expenses!D$3:D$999,SMALL(IF((Expenses!E$3:E$999="INR")*(Expenses!A$3:A$999=DATE(2026,3,6)),ROW(Expenses!A$3:A$999)-2),2)),0)+IFERROR(INDEX(Income!C$3:C$502,SMALL(IF((Income!D$3:D$502="INR")*(Income!A$3:A$502=DATE(2026,3,6)),ROW(Income!A$3:A$502)-2),2)),0))</f>
        <v/>
      </c>
      <c r="L50" s="126">
        <f t="array" ref="L50">IF(IFERROR(INDEX(Expenses!B$3:B$999,SMALL(IF((Expenses!E$3:E$999="INR")*(Expenses!A$3:A$999=DATE(2026,3,6)),ROW(Expenses!A$3:A$999)-2),2)),"")&lt;&gt;"",IFERROR(INDEX(Expenses!B$3:B$999,SMALL(IF((Expenses!E$3:E$999="INR")*(Expenses!A$3:A$999=DATE(2026,3,6)),ROW(Expenses!A$3:A$999)-2),2)),""),IF(IFERROR(INDEX(Income!B$3:B$502,SMALL(IF((Income!D$3:D$502="INR")*(Income!A$3:A$502=DATE(2026,3,6)),ROW(Income!A$3:A$502)-2),2)),"")&lt;&gt;"",IFERROR(INDEX(Income!B$3:B$502,SMALL(IF((Income!D$3:D$502="INR")*(Income!A$3:A$502=DATE(2026,3,6)),ROW(Income!A$3:A$502)-2),2)),""),""))</f>
        <v/>
      </c>
      <c r="M50" s="153">
        <f t="array" ref="M50">IF(IFERROR(-INDEX(Expenses!D$3:D$999,SMALL(IF((Expenses!E$3:E$999="INR")*(Expenses!A$3:A$999=DATE(2026,3,7)),ROW(Expenses!A$3:A$999)-2),2)),0)+IFERROR(INDEX(Income!C$3:C$502,SMALL(IF((Income!D$3:D$502="INR")*(Income!A$3:A$502=DATE(2026,3,7)),ROW(Income!A$3:A$502)-2),2)),0)=0,"",IFERROR(-INDEX(Expenses!D$3:D$999,SMALL(IF((Expenses!E$3:E$999="INR")*(Expenses!A$3:A$999=DATE(2026,3,7)),ROW(Expenses!A$3:A$999)-2),2)),0)+IFERROR(INDEX(Income!C$3:C$502,SMALL(IF((Income!D$3:D$502="INR")*(Income!A$3:A$502=DATE(2026,3,7)),ROW(Income!A$3:A$502)-2),2)),0))</f>
        <v/>
      </c>
      <c r="N50" s="126">
        <f t="array" ref="N50">IF(IFERROR(INDEX(Expenses!B$3:B$999,SMALL(IF((Expenses!E$3:E$999="INR")*(Expenses!A$3:A$999=DATE(2026,3,7)),ROW(Expenses!A$3:A$999)-2),2)),"")&lt;&gt;"",IFERROR(INDEX(Expenses!B$3:B$999,SMALL(IF((Expenses!E$3:E$999="INR")*(Expenses!A$3:A$999=DATE(2026,3,7)),ROW(Expenses!A$3:A$999)-2),2)),""),IF(IFERROR(INDEX(Income!B$3:B$502,SMALL(IF((Income!D$3:D$502="INR")*(Income!A$3:A$502=DATE(2026,3,7)),ROW(Income!A$3:A$502)-2),2)),"")&lt;&gt;"",IFERROR(INDEX(Income!B$3:B$502,SMALL(IF((Income!D$3:D$502="INR")*(Income!A$3:A$502=DATE(2026,3,7)),ROW(Income!A$3:A$502)-2),2)),""),""))</f>
        <v/>
      </c>
      <c r="O50" s="153">
        <f t="array" ref="O50">IF(IFERROR(-INDEX(Expenses!D$3:D$999,SMALL(IF((Expenses!E$3:E$999="INR")*(Expenses!A$3:A$999=DATE(2026,3,8)),ROW(Expenses!A$3:A$999)-2),2)),0)+IFERROR(INDEX(Income!C$3:C$502,SMALL(IF((Income!D$3:D$502="INR")*(Income!A$3:A$502=DATE(2026,3,8)),ROW(Income!A$3:A$502)-2),2)),0)=0,"",IFERROR(-INDEX(Expenses!D$3:D$999,SMALL(IF((Expenses!E$3:E$999="INR")*(Expenses!A$3:A$999=DATE(2026,3,8)),ROW(Expenses!A$3:A$999)-2),2)),0)+IFERROR(INDEX(Income!C$3:C$502,SMALL(IF((Income!D$3:D$502="INR")*(Income!A$3:A$502=DATE(2026,3,8)),ROW(Income!A$3:A$502)-2),2)),0))</f>
        <v/>
      </c>
      <c r="P50" s="126">
        <f t="array" ref="P50">IF(IFERROR(INDEX(Expenses!B$3:B$999,SMALL(IF((Expenses!E$3:E$999="INR")*(Expenses!A$3:A$999=DATE(2026,3,8)),ROW(Expenses!A$3:A$999)-2),2)),"")&lt;&gt;"",IFERROR(INDEX(Expenses!B$3:B$999,SMALL(IF((Expenses!E$3:E$999="INR")*(Expenses!A$3:A$999=DATE(2026,3,8)),ROW(Expenses!A$3:A$999)-2),2)),""),IF(IFERROR(INDEX(Income!B$3:B$502,SMALL(IF((Income!D$3:D$502="INR")*(Income!A$3:A$502=DATE(2026,3,8)),ROW(Income!A$3:A$502)-2),2)),"")&lt;&gt;"",IFERROR(INDEX(Income!B$3:B$502,SMALL(IF((Income!D$3:D$502="INR")*(Income!A$3:A$502=DATE(2026,3,8)),ROW(Income!A$3:A$502)-2),2)),""),""))</f>
        <v/>
      </c>
      <c r="Q50" s="9" t="n"/>
      <c r="R50" s="9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68">
      <c r="A51" s="9" t="n"/>
      <c r="B51" s="9" t="n"/>
      <c r="C51" s="153">
        <f t="array" ref="C51">IF(IFERROR(-INDEX(Expenses!D$3:D$999,SMALL(IF((Expenses!E$3:E$999="INR")*(Expenses!A$3:A$999=DATE(2026,3,2)),ROW(Expenses!A$3:A$999)-2),3)),0)+IFERROR(INDEX(Income!C$3:C$502,SMALL(IF((Income!D$3:D$502="INR")*(Income!A$3:A$502=DATE(2026,3,2)),ROW(Income!A$3:A$502)-2),3)),0)=0,"",IFERROR(-INDEX(Expenses!D$3:D$999,SMALL(IF((Expenses!E$3:E$999="INR")*(Expenses!A$3:A$999=DATE(2026,3,2)),ROW(Expenses!A$3:A$999)-2),3)),0)+IFERROR(INDEX(Income!C$3:C$502,SMALL(IF((Income!D$3:D$502="INR")*(Income!A$3:A$502=DATE(2026,3,2)),ROW(Income!A$3:A$502)-2),3)),0))</f>
        <v/>
      </c>
      <c r="D51" s="126">
        <f t="array" ref="D51">IF(IFERROR(INDEX(Expenses!B$3:B$999,SMALL(IF((Expenses!E$3:E$999="INR")*(Expenses!A$3:A$999=DATE(2026,3,2)),ROW(Expenses!A$3:A$999)-2),3)),"")&lt;&gt;"",IFERROR(INDEX(Expenses!B$3:B$999,SMALL(IF((Expenses!E$3:E$999="INR")*(Expenses!A$3:A$999=DATE(2026,3,2)),ROW(Expenses!A$3:A$999)-2),3)),""),IF(IFERROR(INDEX(Income!B$3:B$502,SMALL(IF((Income!D$3:D$502="INR")*(Income!A$3:A$502=DATE(2026,3,2)),ROW(Income!A$3:A$502)-2),3)),"")&lt;&gt;"",IFERROR(INDEX(Income!B$3:B$502,SMALL(IF((Income!D$3:D$502="INR")*(Income!A$3:A$502=DATE(2026,3,2)),ROW(Income!A$3:A$502)-2),3)),""),""))</f>
        <v/>
      </c>
      <c r="E51" s="153">
        <f t="array" ref="E51">IF(IFERROR(-INDEX(Expenses!D$3:D$999,SMALL(IF((Expenses!E$3:E$999="INR")*(Expenses!A$3:A$999=DATE(2026,3,3)),ROW(Expenses!A$3:A$999)-2),3)),0)+IFERROR(INDEX(Income!C$3:C$502,SMALL(IF((Income!D$3:D$502="INR")*(Income!A$3:A$502=DATE(2026,3,3)),ROW(Income!A$3:A$502)-2),3)),0)=0,"",IFERROR(-INDEX(Expenses!D$3:D$999,SMALL(IF((Expenses!E$3:E$999="INR")*(Expenses!A$3:A$999=DATE(2026,3,3)),ROW(Expenses!A$3:A$999)-2),3)),0)+IFERROR(INDEX(Income!C$3:C$502,SMALL(IF((Income!D$3:D$502="INR")*(Income!A$3:A$502=DATE(2026,3,3)),ROW(Income!A$3:A$502)-2),3)),0))</f>
        <v/>
      </c>
      <c r="F51" s="126">
        <f t="array" ref="F51">IF(IFERROR(INDEX(Expenses!B$3:B$999,SMALL(IF((Expenses!E$3:E$999="INR")*(Expenses!A$3:A$999=DATE(2026,3,3)),ROW(Expenses!A$3:A$999)-2),3)),"")&lt;&gt;"",IFERROR(INDEX(Expenses!B$3:B$999,SMALL(IF((Expenses!E$3:E$999="INR")*(Expenses!A$3:A$999=DATE(2026,3,3)),ROW(Expenses!A$3:A$999)-2),3)),""),IF(IFERROR(INDEX(Income!B$3:B$502,SMALL(IF((Income!D$3:D$502="INR")*(Income!A$3:A$502=DATE(2026,3,3)),ROW(Income!A$3:A$502)-2),3)),"")&lt;&gt;"",IFERROR(INDEX(Income!B$3:B$502,SMALL(IF((Income!D$3:D$502="INR")*(Income!A$3:A$502=DATE(2026,3,3)),ROW(Income!A$3:A$502)-2),3)),""),""))</f>
        <v/>
      </c>
      <c r="G51" s="153">
        <f t="array" ref="G51">IF(IFERROR(-INDEX(Expenses!D$3:D$999,SMALL(IF((Expenses!E$3:E$999="INR")*(Expenses!A$3:A$999=DATE(2026,3,4)),ROW(Expenses!A$3:A$999)-2),3)),0)+IFERROR(INDEX(Income!C$3:C$502,SMALL(IF((Income!D$3:D$502="INR")*(Income!A$3:A$502=DATE(2026,3,4)),ROW(Income!A$3:A$502)-2),3)),0)=0,"",IFERROR(-INDEX(Expenses!D$3:D$999,SMALL(IF((Expenses!E$3:E$999="INR")*(Expenses!A$3:A$999=DATE(2026,3,4)),ROW(Expenses!A$3:A$999)-2),3)),0)+IFERROR(INDEX(Income!C$3:C$502,SMALL(IF((Income!D$3:D$502="INR")*(Income!A$3:A$502=DATE(2026,3,4)),ROW(Income!A$3:A$502)-2),3)),0))</f>
        <v/>
      </c>
      <c r="H51" s="126">
        <f t="array" ref="H51">IF(IFERROR(INDEX(Expenses!B$3:B$999,SMALL(IF((Expenses!E$3:E$999="INR")*(Expenses!A$3:A$999=DATE(2026,3,4)),ROW(Expenses!A$3:A$999)-2),3)),"")&lt;&gt;"",IFERROR(INDEX(Expenses!B$3:B$999,SMALL(IF((Expenses!E$3:E$999="INR")*(Expenses!A$3:A$999=DATE(2026,3,4)),ROW(Expenses!A$3:A$999)-2),3)),""),IF(IFERROR(INDEX(Income!B$3:B$502,SMALL(IF((Income!D$3:D$502="INR")*(Income!A$3:A$502=DATE(2026,3,4)),ROW(Income!A$3:A$502)-2),3)),"")&lt;&gt;"",IFERROR(INDEX(Income!B$3:B$502,SMALL(IF((Income!D$3:D$502="INR")*(Income!A$3:A$502=DATE(2026,3,4)),ROW(Income!A$3:A$502)-2),3)),""),""))</f>
        <v/>
      </c>
      <c r="I51" s="153">
        <f t="array" ref="I51">IF(IFERROR(-INDEX(Expenses!D$3:D$999,SMALL(IF((Expenses!E$3:E$999="INR")*(Expenses!A$3:A$999=DATE(2026,3,5)),ROW(Expenses!A$3:A$999)-2),3)),0)+IFERROR(INDEX(Income!C$3:C$502,SMALL(IF((Income!D$3:D$502="INR")*(Income!A$3:A$502=DATE(2026,3,5)),ROW(Income!A$3:A$502)-2),3)),0)=0,"",IFERROR(-INDEX(Expenses!D$3:D$999,SMALL(IF((Expenses!E$3:E$999="INR")*(Expenses!A$3:A$999=DATE(2026,3,5)),ROW(Expenses!A$3:A$999)-2),3)),0)+IFERROR(INDEX(Income!C$3:C$502,SMALL(IF((Income!D$3:D$502="INR")*(Income!A$3:A$502=DATE(2026,3,5)),ROW(Income!A$3:A$502)-2),3)),0))</f>
        <v/>
      </c>
      <c r="J51" s="126">
        <f t="array" ref="J51">IF(IFERROR(INDEX(Expenses!B$3:B$999,SMALL(IF((Expenses!E$3:E$999="INR")*(Expenses!A$3:A$999=DATE(2026,3,5)),ROW(Expenses!A$3:A$999)-2),3)),"")&lt;&gt;"",IFERROR(INDEX(Expenses!B$3:B$999,SMALL(IF((Expenses!E$3:E$999="INR")*(Expenses!A$3:A$999=DATE(2026,3,5)),ROW(Expenses!A$3:A$999)-2),3)),""),IF(IFERROR(INDEX(Income!B$3:B$502,SMALL(IF((Income!D$3:D$502="INR")*(Income!A$3:A$502=DATE(2026,3,5)),ROW(Income!A$3:A$502)-2),3)),"")&lt;&gt;"",IFERROR(INDEX(Income!B$3:B$502,SMALL(IF((Income!D$3:D$502="INR")*(Income!A$3:A$502=DATE(2026,3,5)),ROW(Income!A$3:A$502)-2),3)),""),""))</f>
        <v/>
      </c>
      <c r="K51" s="153">
        <f t="array" ref="K51">IF(IFERROR(-INDEX(Expenses!D$3:D$999,SMALL(IF((Expenses!E$3:E$999="INR")*(Expenses!A$3:A$999=DATE(2026,3,6)),ROW(Expenses!A$3:A$999)-2),3)),0)+IFERROR(INDEX(Income!C$3:C$502,SMALL(IF((Income!D$3:D$502="INR")*(Income!A$3:A$502=DATE(2026,3,6)),ROW(Income!A$3:A$502)-2),3)),0)=0,"",IFERROR(-INDEX(Expenses!D$3:D$999,SMALL(IF((Expenses!E$3:E$999="INR")*(Expenses!A$3:A$999=DATE(2026,3,6)),ROW(Expenses!A$3:A$999)-2),3)),0)+IFERROR(INDEX(Income!C$3:C$502,SMALL(IF((Income!D$3:D$502="INR")*(Income!A$3:A$502=DATE(2026,3,6)),ROW(Income!A$3:A$502)-2),3)),0))</f>
        <v/>
      </c>
      <c r="L51" s="126">
        <f t="array" ref="L51">IF(IFERROR(INDEX(Expenses!B$3:B$999,SMALL(IF((Expenses!E$3:E$999="INR")*(Expenses!A$3:A$999=DATE(2026,3,6)),ROW(Expenses!A$3:A$999)-2),3)),"")&lt;&gt;"",IFERROR(INDEX(Expenses!B$3:B$999,SMALL(IF((Expenses!E$3:E$999="INR")*(Expenses!A$3:A$999=DATE(2026,3,6)),ROW(Expenses!A$3:A$999)-2),3)),""),IF(IFERROR(INDEX(Income!B$3:B$502,SMALL(IF((Income!D$3:D$502="INR")*(Income!A$3:A$502=DATE(2026,3,6)),ROW(Income!A$3:A$502)-2),3)),"")&lt;&gt;"",IFERROR(INDEX(Income!B$3:B$502,SMALL(IF((Income!D$3:D$502="INR")*(Income!A$3:A$502=DATE(2026,3,6)),ROW(Income!A$3:A$502)-2),3)),""),""))</f>
        <v/>
      </c>
      <c r="M51" s="153">
        <f t="array" ref="M51">IF(IFERROR(-INDEX(Expenses!D$3:D$999,SMALL(IF((Expenses!E$3:E$999="INR")*(Expenses!A$3:A$999=DATE(2026,3,7)),ROW(Expenses!A$3:A$999)-2),3)),0)+IFERROR(INDEX(Income!C$3:C$502,SMALL(IF((Income!D$3:D$502="INR")*(Income!A$3:A$502=DATE(2026,3,7)),ROW(Income!A$3:A$502)-2),3)),0)=0,"",IFERROR(-INDEX(Expenses!D$3:D$999,SMALL(IF((Expenses!E$3:E$999="INR")*(Expenses!A$3:A$999=DATE(2026,3,7)),ROW(Expenses!A$3:A$999)-2),3)),0)+IFERROR(INDEX(Income!C$3:C$502,SMALL(IF((Income!D$3:D$502="INR")*(Income!A$3:A$502=DATE(2026,3,7)),ROW(Income!A$3:A$502)-2),3)),0))</f>
        <v/>
      </c>
      <c r="N51" s="126">
        <f t="array" ref="N51">IF(IFERROR(INDEX(Expenses!B$3:B$999,SMALL(IF((Expenses!E$3:E$999="INR")*(Expenses!A$3:A$999=DATE(2026,3,7)),ROW(Expenses!A$3:A$999)-2),3)),"")&lt;&gt;"",IFERROR(INDEX(Expenses!B$3:B$999,SMALL(IF((Expenses!E$3:E$999="INR")*(Expenses!A$3:A$999=DATE(2026,3,7)),ROW(Expenses!A$3:A$999)-2),3)),""),IF(IFERROR(INDEX(Income!B$3:B$502,SMALL(IF((Income!D$3:D$502="INR")*(Income!A$3:A$502=DATE(2026,3,7)),ROW(Income!A$3:A$502)-2),3)),"")&lt;&gt;"",IFERROR(INDEX(Income!B$3:B$502,SMALL(IF((Income!D$3:D$502="INR")*(Income!A$3:A$502=DATE(2026,3,7)),ROW(Income!A$3:A$502)-2),3)),""),""))</f>
        <v/>
      </c>
      <c r="O51" s="153">
        <f t="array" ref="O51">IF(IFERROR(-INDEX(Expenses!D$3:D$999,SMALL(IF((Expenses!E$3:E$999="INR")*(Expenses!A$3:A$999=DATE(2026,3,8)),ROW(Expenses!A$3:A$999)-2),3)),0)+IFERROR(INDEX(Income!C$3:C$502,SMALL(IF((Income!D$3:D$502="INR")*(Income!A$3:A$502=DATE(2026,3,8)),ROW(Income!A$3:A$502)-2),3)),0)=0,"",IFERROR(-INDEX(Expenses!D$3:D$999,SMALL(IF((Expenses!E$3:E$999="INR")*(Expenses!A$3:A$999=DATE(2026,3,8)),ROW(Expenses!A$3:A$999)-2),3)),0)+IFERROR(INDEX(Income!C$3:C$502,SMALL(IF((Income!D$3:D$502="INR")*(Income!A$3:A$502=DATE(2026,3,8)),ROW(Income!A$3:A$502)-2),3)),0))</f>
        <v/>
      </c>
      <c r="P51" s="126">
        <f t="array" ref="P51">IF(IFERROR(INDEX(Expenses!B$3:B$999,SMALL(IF((Expenses!E$3:E$999="INR")*(Expenses!A$3:A$999=DATE(2026,3,8)),ROW(Expenses!A$3:A$999)-2),3)),"")&lt;&gt;"",IFERROR(INDEX(Expenses!B$3:B$999,SMALL(IF((Expenses!E$3:E$999="INR")*(Expenses!A$3:A$999=DATE(2026,3,8)),ROW(Expenses!A$3:A$999)-2),3)),""),IF(IFERROR(INDEX(Income!B$3:B$502,SMALL(IF((Income!D$3:D$502="INR")*(Income!A$3:A$502=DATE(2026,3,8)),ROW(Income!A$3:A$502)-2),3)),"")&lt;&gt;"",IFERROR(INDEX(Income!B$3:B$502,SMALL(IF((Income!D$3:D$502="INR")*(Income!A$3:A$502=DATE(2026,3,8)),ROW(Income!A$3:A$502)-2),3)),""),""))</f>
        <v/>
      </c>
      <c r="Q51" s="9" t="n"/>
      <c r="R51" s="9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68">
      <c r="A52" s="9" t="n"/>
      <c r="B52" s="9" t="n"/>
      <c r="C52" s="153">
        <f t="array" ref="C52">IF(IFERROR(-INDEX(Expenses!D$3:D$999,SMALL(IF((Expenses!E$3:E$999="INR")*(Expenses!A$3:A$999=DATE(2026,3,2)),ROW(Expenses!A$3:A$999)-2),4)),0)+IFERROR(INDEX(Income!C$3:C$502,SMALL(IF((Income!D$3:D$502="INR")*(Income!A$3:A$502=DATE(2026,3,2)),ROW(Income!A$3:A$502)-2),4)),0)=0,"",IFERROR(-INDEX(Expenses!D$3:D$999,SMALL(IF((Expenses!E$3:E$999="INR")*(Expenses!A$3:A$999=DATE(2026,3,2)),ROW(Expenses!A$3:A$999)-2),4)),0)+IFERROR(INDEX(Income!C$3:C$502,SMALL(IF((Income!D$3:D$502="INR")*(Income!A$3:A$502=DATE(2026,3,2)),ROW(Income!A$3:A$502)-2),4)),0))</f>
        <v/>
      </c>
      <c r="D52" s="126">
        <f t="array" ref="D52">IF(IFERROR(INDEX(Expenses!B$3:B$999,SMALL(IF((Expenses!E$3:E$999="INR")*(Expenses!A$3:A$999=DATE(2026,3,2)),ROW(Expenses!A$3:A$999)-2),4)),"")&lt;&gt;"",IFERROR(INDEX(Expenses!B$3:B$999,SMALL(IF((Expenses!E$3:E$999="INR")*(Expenses!A$3:A$999=DATE(2026,3,2)),ROW(Expenses!A$3:A$999)-2),4)),""),IF(IFERROR(INDEX(Income!B$3:B$502,SMALL(IF((Income!D$3:D$502="INR")*(Income!A$3:A$502=DATE(2026,3,2)),ROW(Income!A$3:A$502)-2),4)),"")&lt;&gt;"",IFERROR(INDEX(Income!B$3:B$502,SMALL(IF((Income!D$3:D$502="INR")*(Income!A$3:A$502=DATE(2026,3,2)),ROW(Income!A$3:A$502)-2),4)),""),""))</f>
        <v/>
      </c>
      <c r="E52" s="153">
        <f t="array" ref="E52">IF(IFERROR(-INDEX(Expenses!D$3:D$999,SMALL(IF((Expenses!E$3:E$999="INR")*(Expenses!A$3:A$999=DATE(2026,3,3)),ROW(Expenses!A$3:A$999)-2),4)),0)+IFERROR(INDEX(Income!C$3:C$502,SMALL(IF((Income!D$3:D$502="INR")*(Income!A$3:A$502=DATE(2026,3,3)),ROW(Income!A$3:A$502)-2),4)),0)=0,"",IFERROR(-INDEX(Expenses!D$3:D$999,SMALL(IF((Expenses!E$3:E$999="INR")*(Expenses!A$3:A$999=DATE(2026,3,3)),ROW(Expenses!A$3:A$999)-2),4)),0)+IFERROR(INDEX(Income!C$3:C$502,SMALL(IF((Income!D$3:D$502="INR")*(Income!A$3:A$502=DATE(2026,3,3)),ROW(Income!A$3:A$502)-2),4)),0))</f>
        <v/>
      </c>
      <c r="F52" s="126">
        <f t="array" ref="F52">IF(IFERROR(INDEX(Expenses!B$3:B$999,SMALL(IF((Expenses!E$3:E$999="INR")*(Expenses!A$3:A$999=DATE(2026,3,3)),ROW(Expenses!A$3:A$999)-2),4)),"")&lt;&gt;"",IFERROR(INDEX(Expenses!B$3:B$999,SMALL(IF((Expenses!E$3:E$999="INR")*(Expenses!A$3:A$999=DATE(2026,3,3)),ROW(Expenses!A$3:A$999)-2),4)),""),IF(IFERROR(INDEX(Income!B$3:B$502,SMALL(IF((Income!D$3:D$502="INR")*(Income!A$3:A$502=DATE(2026,3,3)),ROW(Income!A$3:A$502)-2),4)),"")&lt;&gt;"",IFERROR(INDEX(Income!B$3:B$502,SMALL(IF((Income!D$3:D$502="INR")*(Income!A$3:A$502=DATE(2026,3,3)),ROW(Income!A$3:A$502)-2),4)),""),""))</f>
        <v/>
      </c>
      <c r="G52" s="153">
        <f t="array" ref="G52">IF(IFERROR(-INDEX(Expenses!D$3:D$999,SMALL(IF((Expenses!E$3:E$999="INR")*(Expenses!A$3:A$999=DATE(2026,3,4)),ROW(Expenses!A$3:A$999)-2),4)),0)+IFERROR(INDEX(Income!C$3:C$502,SMALL(IF((Income!D$3:D$502="INR")*(Income!A$3:A$502=DATE(2026,3,4)),ROW(Income!A$3:A$502)-2),4)),0)=0,"",IFERROR(-INDEX(Expenses!D$3:D$999,SMALL(IF((Expenses!E$3:E$999="INR")*(Expenses!A$3:A$999=DATE(2026,3,4)),ROW(Expenses!A$3:A$999)-2),4)),0)+IFERROR(INDEX(Income!C$3:C$502,SMALL(IF((Income!D$3:D$502="INR")*(Income!A$3:A$502=DATE(2026,3,4)),ROW(Income!A$3:A$502)-2),4)),0))</f>
        <v/>
      </c>
      <c r="H52" s="126">
        <f t="array" ref="H52">IF(IFERROR(INDEX(Expenses!B$3:B$999,SMALL(IF((Expenses!E$3:E$999="INR")*(Expenses!A$3:A$999=DATE(2026,3,4)),ROW(Expenses!A$3:A$999)-2),4)),"")&lt;&gt;"",IFERROR(INDEX(Expenses!B$3:B$999,SMALL(IF((Expenses!E$3:E$999="INR")*(Expenses!A$3:A$999=DATE(2026,3,4)),ROW(Expenses!A$3:A$999)-2),4)),""),IF(IFERROR(INDEX(Income!B$3:B$502,SMALL(IF((Income!D$3:D$502="INR")*(Income!A$3:A$502=DATE(2026,3,4)),ROW(Income!A$3:A$502)-2),4)),"")&lt;&gt;"",IFERROR(INDEX(Income!B$3:B$502,SMALL(IF((Income!D$3:D$502="INR")*(Income!A$3:A$502=DATE(2026,3,4)),ROW(Income!A$3:A$502)-2),4)),""),""))</f>
        <v/>
      </c>
      <c r="I52" s="153">
        <f t="array" ref="I52">IF(IFERROR(-INDEX(Expenses!D$3:D$999,SMALL(IF((Expenses!E$3:E$999="INR")*(Expenses!A$3:A$999=DATE(2026,3,5)),ROW(Expenses!A$3:A$999)-2),4)),0)+IFERROR(INDEX(Income!C$3:C$502,SMALL(IF((Income!D$3:D$502="INR")*(Income!A$3:A$502=DATE(2026,3,5)),ROW(Income!A$3:A$502)-2),4)),0)=0,"",IFERROR(-INDEX(Expenses!D$3:D$999,SMALL(IF((Expenses!E$3:E$999="INR")*(Expenses!A$3:A$999=DATE(2026,3,5)),ROW(Expenses!A$3:A$999)-2),4)),0)+IFERROR(INDEX(Income!C$3:C$502,SMALL(IF((Income!D$3:D$502="INR")*(Income!A$3:A$502=DATE(2026,3,5)),ROW(Income!A$3:A$502)-2),4)),0))</f>
        <v/>
      </c>
      <c r="J52" s="126">
        <f t="array" ref="J52">IF(IFERROR(INDEX(Expenses!B$3:B$999,SMALL(IF((Expenses!E$3:E$999="INR")*(Expenses!A$3:A$999=DATE(2026,3,5)),ROW(Expenses!A$3:A$999)-2),4)),"")&lt;&gt;"",IFERROR(INDEX(Expenses!B$3:B$999,SMALL(IF((Expenses!E$3:E$999="INR")*(Expenses!A$3:A$999=DATE(2026,3,5)),ROW(Expenses!A$3:A$999)-2),4)),""),IF(IFERROR(INDEX(Income!B$3:B$502,SMALL(IF((Income!D$3:D$502="INR")*(Income!A$3:A$502=DATE(2026,3,5)),ROW(Income!A$3:A$502)-2),4)),"")&lt;&gt;"",IFERROR(INDEX(Income!B$3:B$502,SMALL(IF((Income!D$3:D$502="INR")*(Income!A$3:A$502=DATE(2026,3,5)),ROW(Income!A$3:A$502)-2),4)),""),""))</f>
        <v/>
      </c>
      <c r="K52" s="153">
        <f t="array" ref="K52">IF(IFERROR(-INDEX(Expenses!D$3:D$999,SMALL(IF((Expenses!E$3:E$999="INR")*(Expenses!A$3:A$999=DATE(2026,3,6)),ROW(Expenses!A$3:A$999)-2),4)),0)+IFERROR(INDEX(Income!C$3:C$502,SMALL(IF((Income!D$3:D$502="INR")*(Income!A$3:A$502=DATE(2026,3,6)),ROW(Income!A$3:A$502)-2),4)),0)=0,"",IFERROR(-INDEX(Expenses!D$3:D$999,SMALL(IF((Expenses!E$3:E$999="INR")*(Expenses!A$3:A$999=DATE(2026,3,6)),ROW(Expenses!A$3:A$999)-2),4)),0)+IFERROR(INDEX(Income!C$3:C$502,SMALL(IF((Income!D$3:D$502="INR")*(Income!A$3:A$502=DATE(2026,3,6)),ROW(Income!A$3:A$502)-2),4)),0))</f>
        <v/>
      </c>
      <c r="L52" s="126">
        <f t="array" ref="L52">IF(IFERROR(INDEX(Expenses!B$3:B$999,SMALL(IF((Expenses!E$3:E$999="INR")*(Expenses!A$3:A$999=DATE(2026,3,6)),ROW(Expenses!A$3:A$999)-2),4)),"")&lt;&gt;"",IFERROR(INDEX(Expenses!B$3:B$999,SMALL(IF((Expenses!E$3:E$999="INR")*(Expenses!A$3:A$999=DATE(2026,3,6)),ROW(Expenses!A$3:A$999)-2),4)),""),IF(IFERROR(INDEX(Income!B$3:B$502,SMALL(IF((Income!D$3:D$502="INR")*(Income!A$3:A$502=DATE(2026,3,6)),ROW(Income!A$3:A$502)-2),4)),"")&lt;&gt;"",IFERROR(INDEX(Income!B$3:B$502,SMALL(IF((Income!D$3:D$502="INR")*(Income!A$3:A$502=DATE(2026,3,6)),ROW(Income!A$3:A$502)-2),4)),""),""))</f>
        <v/>
      </c>
      <c r="M52" s="153">
        <f t="array" ref="M52">IF(IFERROR(-INDEX(Expenses!D$3:D$999,SMALL(IF((Expenses!E$3:E$999="INR")*(Expenses!A$3:A$999=DATE(2026,3,7)),ROW(Expenses!A$3:A$999)-2),4)),0)+IFERROR(INDEX(Income!C$3:C$502,SMALL(IF((Income!D$3:D$502="INR")*(Income!A$3:A$502=DATE(2026,3,7)),ROW(Income!A$3:A$502)-2),4)),0)=0,"",IFERROR(-INDEX(Expenses!D$3:D$999,SMALL(IF((Expenses!E$3:E$999="INR")*(Expenses!A$3:A$999=DATE(2026,3,7)),ROW(Expenses!A$3:A$999)-2),4)),0)+IFERROR(INDEX(Income!C$3:C$502,SMALL(IF((Income!D$3:D$502="INR")*(Income!A$3:A$502=DATE(2026,3,7)),ROW(Income!A$3:A$502)-2),4)),0))</f>
        <v/>
      </c>
      <c r="N52" s="126">
        <f t="array" ref="N52">IF(IFERROR(INDEX(Expenses!B$3:B$999,SMALL(IF((Expenses!E$3:E$999="INR")*(Expenses!A$3:A$999=DATE(2026,3,7)),ROW(Expenses!A$3:A$999)-2),4)),"")&lt;&gt;"",IFERROR(INDEX(Expenses!B$3:B$999,SMALL(IF((Expenses!E$3:E$999="INR")*(Expenses!A$3:A$999=DATE(2026,3,7)),ROW(Expenses!A$3:A$999)-2),4)),""),IF(IFERROR(INDEX(Income!B$3:B$502,SMALL(IF((Income!D$3:D$502="INR")*(Income!A$3:A$502=DATE(2026,3,7)),ROW(Income!A$3:A$502)-2),4)),"")&lt;&gt;"",IFERROR(INDEX(Income!B$3:B$502,SMALL(IF((Income!D$3:D$502="INR")*(Income!A$3:A$502=DATE(2026,3,7)),ROW(Income!A$3:A$502)-2),4)),""),""))</f>
        <v/>
      </c>
      <c r="O52" s="153">
        <f t="array" ref="O52">IF(IFERROR(-INDEX(Expenses!D$3:D$999,SMALL(IF((Expenses!E$3:E$999="INR")*(Expenses!A$3:A$999=DATE(2026,3,8)),ROW(Expenses!A$3:A$999)-2),4)),0)+IFERROR(INDEX(Income!C$3:C$502,SMALL(IF((Income!D$3:D$502="INR")*(Income!A$3:A$502=DATE(2026,3,8)),ROW(Income!A$3:A$502)-2),4)),0)=0,"",IFERROR(-INDEX(Expenses!D$3:D$999,SMALL(IF((Expenses!E$3:E$999="INR")*(Expenses!A$3:A$999=DATE(2026,3,8)),ROW(Expenses!A$3:A$999)-2),4)),0)+IFERROR(INDEX(Income!C$3:C$502,SMALL(IF((Income!D$3:D$502="INR")*(Income!A$3:A$502=DATE(2026,3,8)),ROW(Income!A$3:A$502)-2),4)),0))</f>
        <v/>
      </c>
      <c r="P52" s="126">
        <f t="array" ref="P52">IF(IFERROR(INDEX(Expenses!B$3:B$999,SMALL(IF((Expenses!E$3:E$999="INR")*(Expenses!A$3:A$999=DATE(2026,3,8)),ROW(Expenses!A$3:A$999)-2),4)),"")&lt;&gt;"",IFERROR(INDEX(Expenses!B$3:B$999,SMALL(IF((Expenses!E$3:E$999="INR")*(Expenses!A$3:A$999=DATE(2026,3,8)),ROW(Expenses!A$3:A$999)-2),4)),""),IF(IFERROR(INDEX(Income!B$3:B$502,SMALL(IF((Income!D$3:D$502="INR")*(Income!A$3:A$502=DATE(2026,3,8)),ROW(Income!A$3:A$502)-2),4)),"")&lt;&gt;"",IFERROR(INDEX(Income!B$3:B$502,SMALL(IF((Income!D$3:D$502="INR")*(Income!A$3:A$502=DATE(2026,3,8)),ROW(Income!A$3:A$502)-2),4)),""),""))</f>
        <v/>
      </c>
      <c r="Q52" s="9" t="n"/>
      <c r="R52" s="9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68">
      <c r="A53" s="9" t="n"/>
      <c r="B53" s="9" t="n"/>
      <c r="C53" s="153">
        <f t="array" ref="C53">IF(IFERROR(-INDEX(Expenses!D$3:D$999,SMALL(IF((Expenses!E$3:E$999="INR")*(Expenses!A$3:A$999=DATE(2026,3,2)),ROW(Expenses!A$3:A$999)-2),5)),0)+IFERROR(INDEX(Income!C$3:C$502,SMALL(IF((Income!D$3:D$502="INR")*(Income!A$3:A$502=DATE(2026,3,2)),ROW(Income!A$3:A$502)-2),5)),0)=0,"",IFERROR(-INDEX(Expenses!D$3:D$999,SMALL(IF((Expenses!E$3:E$999="INR")*(Expenses!A$3:A$999=DATE(2026,3,2)),ROW(Expenses!A$3:A$999)-2),5)),0)+IFERROR(INDEX(Income!C$3:C$502,SMALL(IF((Income!D$3:D$502="INR")*(Income!A$3:A$502=DATE(2026,3,2)),ROW(Income!A$3:A$502)-2),5)),0))</f>
        <v/>
      </c>
      <c r="D53" s="126">
        <f t="array" ref="D53">IF(IFERROR(INDEX(Expenses!B$3:B$999,SMALL(IF((Expenses!E$3:E$999="INR")*(Expenses!A$3:A$999=DATE(2026,3,2)),ROW(Expenses!A$3:A$999)-2),5)),"")&lt;&gt;"",IFERROR(INDEX(Expenses!B$3:B$999,SMALL(IF((Expenses!E$3:E$999="INR")*(Expenses!A$3:A$999=DATE(2026,3,2)),ROW(Expenses!A$3:A$999)-2),5)),""),IF(IFERROR(INDEX(Income!B$3:B$502,SMALL(IF((Income!D$3:D$502="INR")*(Income!A$3:A$502=DATE(2026,3,2)),ROW(Income!A$3:A$502)-2),5)),"")&lt;&gt;"",IFERROR(INDEX(Income!B$3:B$502,SMALL(IF((Income!D$3:D$502="INR")*(Income!A$3:A$502=DATE(2026,3,2)),ROW(Income!A$3:A$502)-2),5)),""),""))</f>
        <v/>
      </c>
      <c r="E53" s="153">
        <f t="array" ref="E53">IF(IFERROR(-INDEX(Expenses!D$3:D$999,SMALL(IF((Expenses!E$3:E$999="INR")*(Expenses!A$3:A$999=DATE(2026,3,3)),ROW(Expenses!A$3:A$999)-2),5)),0)+IFERROR(INDEX(Income!C$3:C$502,SMALL(IF((Income!D$3:D$502="INR")*(Income!A$3:A$502=DATE(2026,3,3)),ROW(Income!A$3:A$502)-2),5)),0)=0,"",IFERROR(-INDEX(Expenses!D$3:D$999,SMALL(IF((Expenses!E$3:E$999="INR")*(Expenses!A$3:A$999=DATE(2026,3,3)),ROW(Expenses!A$3:A$999)-2),5)),0)+IFERROR(INDEX(Income!C$3:C$502,SMALL(IF((Income!D$3:D$502="INR")*(Income!A$3:A$502=DATE(2026,3,3)),ROW(Income!A$3:A$502)-2),5)),0))</f>
        <v/>
      </c>
      <c r="F53" s="126">
        <f t="array" ref="F53">IF(IFERROR(INDEX(Expenses!B$3:B$999,SMALL(IF((Expenses!E$3:E$999="INR")*(Expenses!A$3:A$999=DATE(2026,3,3)),ROW(Expenses!A$3:A$999)-2),5)),"")&lt;&gt;"",IFERROR(INDEX(Expenses!B$3:B$999,SMALL(IF((Expenses!E$3:E$999="INR")*(Expenses!A$3:A$999=DATE(2026,3,3)),ROW(Expenses!A$3:A$999)-2),5)),""),IF(IFERROR(INDEX(Income!B$3:B$502,SMALL(IF((Income!D$3:D$502="INR")*(Income!A$3:A$502=DATE(2026,3,3)),ROW(Income!A$3:A$502)-2),5)),"")&lt;&gt;"",IFERROR(INDEX(Income!B$3:B$502,SMALL(IF((Income!D$3:D$502="INR")*(Income!A$3:A$502=DATE(2026,3,3)),ROW(Income!A$3:A$502)-2),5)),""),""))</f>
        <v/>
      </c>
      <c r="G53" s="153">
        <f t="array" ref="G53">IF(IFERROR(-INDEX(Expenses!D$3:D$999,SMALL(IF((Expenses!E$3:E$999="INR")*(Expenses!A$3:A$999=DATE(2026,3,4)),ROW(Expenses!A$3:A$999)-2),5)),0)+IFERROR(INDEX(Income!C$3:C$502,SMALL(IF((Income!D$3:D$502="INR")*(Income!A$3:A$502=DATE(2026,3,4)),ROW(Income!A$3:A$502)-2),5)),0)=0,"",IFERROR(-INDEX(Expenses!D$3:D$999,SMALL(IF((Expenses!E$3:E$999="INR")*(Expenses!A$3:A$999=DATE(2026,3,4)),ROW(Expenses!A$3:A$999)-2),5)),0)+IFERROR(INDEX(Income!C$3:C$502,SMALL(IF((Income!D$3:D$502="INR")*(Income!A$3:A$502=DATE(2026,3,4)),ROW(Income!A$3:A$502)-2),5)),0))</f>
        <v/>
      </c>
      <c r="H53" s="126">
        <f t="array" ref="H53">IF(IFERROR(INDEX(Expenses!B$3:B$999,SMALL(IF((Expenses!E$3:E$999="INR")*(Expenses!A$3:A$999=DATE(2026,3,4)),ROW(Expenses!A$3:A$999)-2),5)),"")&lt;&gt;"",IFERROR(INDEX(Expenses!B$3:B$999,SMALL(IF((Expenses!E$3:E$999="INR")*(Expenses!A$3:A$999=DATE(2026,3,4)),ROW(Expenses!A$3:A$999)-2),5)),""),IF(IFERROR(INDEX(Income!B$3:B$502,SMALL(IF((Income!D$3:D$502="INR")*(Income!A$3:A$502=DATE(2026,3,4)),ROW(Income!A$3:A$502)-2),5)),"")&lt;&gt;"",IFERROR(INDEX(Income!B$3:B$502,SMALL(IF((Income!D$3:D$502="INR")*(Income!A$3:A$502=DATE(2026,3,4)),ROW(Income!A$3:A$502)-2),5)),""),""))</f>
        <v/>
      </c>
      <c r="I53" s="153">
        <f t="array" ref="I53">IF(IFERROR(-INDEX(Expenses!D$3:D$999,SMALL(IF((Expenses!E$3:E$999="INR")*(Expenses!A$3:A$999=DATE(2026,3,5)),ROW(Expenses!A$3:A$999)-2),5)),0)+IFERROR(INDEX(Income!C$3:C$502,SMALL(IF((Income!D$3:D$502="INR")*(Income!A$3:A$502=DATE(2026,3,5)),ROW(Income!A$3:A$502)-2),5)),0)=0,"",IFERROR(-INDEX(Expenses!D$3:D$999,SMALL(IF((Expenses!E$3:E$999="INR")*(Expenses!A$3:A$999=DATE(2026,3,5)),ROW(Expenses!A$3:A$999)-2),5)),0)+IFERROR(INDEX(Income!C$3:C$502,SMALL(IF((Income!D$3:D$502="INR")*(Income!A$3:A$502=DATE(2026,3,5)),ROW(Income!A$3:A$502)-2),5)),0))</f>
        <v/>
      </c>
      <c r="J53" s="126">
        <f t="array" ref="J53">IF(IFERROR(INDEX(Expenses!B$3:B$999,SMALL(IF((Expenses!E$3:E$999="INR")*(Expenses!A$3:A$999=DATE(2026,3,5)),ROW(Expenses!A$3:A$999)-2),5)),"")&lt;&gt;"",IFERROR(INDEX(Expenses!B$3:B$999,SMALL(IF((Expenses!E$3:E$999="INR")*(Expenses!A$3:A$999=DATE(2026,3,5)),ROW(Expenses!A$3:A$999)-2),5)),""),IF(IFERROR(INDEX(Income!B$3:B$502,SMALL(IF((Income!D$3:D$502="INR")*(Income!A$3:A$502=DATE(2026,3,5)),ROW(Income!A$3:A$502)-2),5)),"")&lt;&gt;"",IFERROR(INDEX(Income!B$3:B$502,SMALL(IF((Income!D$3:D$502="INR")*(Income!A$3:A$502=DATE(2026,3,5)),ROW(Income!A$3:A$502)-2),5)),""),""))</f>
        <v/>
      </c>
      <c r="K53" s="153">
        <f t="array" ref="K53">IF(IFERROR(-INDEX(Expenses!D$3:D$999,SMALL(IF((Expenses!E$3:E$999="INR")*(Expenses!A$3:A$999=DATE(2026,3,6)),ROW(Expenses!A$3:A$999)-2),5)),0)+IFERROR(INDEX(Income!C$3:C$502,SMALL(IF((Income!D$3:D$502="INR")*(Income!A$3:A$502=DATE(2026,3,6)),ROW(Income!A$3:A$502)-2),5)),0)=0,"",IFERROR(-INDEX(Expenses!D$3:D$999,SMALL(IF((Expenses!E$3:E$999="INR")*(Expenses!A$3:A$999=DATE(2026,3,6)),ROW(Expenses!A$3:A$999)-2),5)),0)+IFERROR(INDEX(Income!C$3:C$502,SMALL(IF((Income!D$3:D$502="INR")*(Income!A$3:A$502=DATE(2026,3,6)),ROW(Income!A$3:A$502)-2),5)),0))</f>
        <v/>
      </c>
      <c r="L53" s="126">
        <f t="array" ref="L53">IF(IFERROR(INDEX(Expenses!B$3:B$999,SMALL(IF((Expenses!E$3:E$999="INR")*(Expenses!A$3:A$999=DATE(2026,3,6)),ROW(Expenses!A$3:A$999)-2),5)),"")&lt;&gt;"",IFERROR(INDEX(Expenses!B$3:B$999,SMALL(IF((Expenses!E$3:E$999="INR")*(Expenses!A$3:A$999=DATE(2026,3,6)),ROW(Expenses!A$3:A$999)-2),5)),""),IF(IFERROR(INDEX(Income!B$3:B$502,SMALL(IF((Income!D$3:D$502="INR")*(Income!A$3:A$502=DATE(2026,3,6)),ROW(Income!A$3:A$502)-2),5)),"")&lt;&gt;"",IFERROR(INDEX(Income!B$3:B$502,SMALL(IF((Income!D$3:D$502="INR")*(Income!A$3:A$502=DATE(2026,3,6)),ROW(Income!A$3:A$502)-2),5)),""),""))</f>
        <v/>
      </c>
      <c r="M53" s="153">
        <f t="array" ref="M53">IF(IFERROR(-INDEX(Expenses!D$3:D$999,SMALL(IF((Expenses!E$3:E$999="INR")*(Expenses!A$3:A$999=DATE(2026,3,7)),ROW(Expenses!A$3:A$999)-2),5)),0)+IFERROR(INDEX(Income!C$3:C$502,SMALL(IF((Income!D$3:D$502="INR")*(Income!A$3:A$502=DATE(2026,3,7)),ROW(Income!A$3:A$502)-2),5)),0)=0,"",IFERROR(-INDEX(Expenses!D$3:D$999,SMALL(IF((Expenses!E$3:E$999="INR")*(Expenses!A$3:A$999=DATE(2026,3,7)),ROW(Expenses!A$3:A$999)-2),5)),0)+IFERROR(INDEX(Income!C$3:C$502,SMALL(IF((Income!D$3:D$502="INR")*(Income!A$3:A$502=DATE(2026,3,7)),ROW(Income!A$3:A$502)-2),5)),0))</f>
        <v/>
      </c>
      <c r="N53" s="126">
        <f t="array" ref="N53">IF(IFERROR(INDEX(Expenses!B$3:B$999,SMALL(IF((Expenses!E$3:E$999="INR")*(Expenses!A$3:A$999=DATE(2026,3,7)),ROW(Expenses!A$3:A$999)-2),5)),"")&lt;&gt;"",IFERROR(INDEX(Expenses!B$3:B$999,SMALL(IF((Expenses!E$3:E$999="INR")*(Expenses!A$3:A$999=DATE(2026,3,7)),ROW(Expenses!A$3:A$999)-2),5)),""),IF(IFERROR(INDEX(Income!B$3:B$502,SMALL(IF((Income!D$3:D$502="INR")*(Income!A$3:A$502=DATE(2026,3,7)),ROW(Income!A$3:A$502)-2),5)),"")&lt;&gt;"",IFERROR(INDEX(Income!B$3:B$502,SMALL(IF((Income!D$3:D$502="INR")*(Income!A$3:A$502=DATE(2026,3,7)),ROW(Income!A$3:A$502)-2),5)),""),""))</f>
        <v/>
      </c>
      <c r="O53" s="153">
        <f t="array" ref="O53">IF(IFERROR(-INDEX(Expenses!D$3:D$999,SMALL(IF((Expenses!E$3:E$999="INR")*(Expenses!A$3:A$999=DATE(2026,3,8)),ROW(Expenses!A$3:A$999)-2),5)),0)+IFERROR(INDEX(Income!C$3:C$502,SMALL(IF((Income!D$3:D$502="INR")*(Income!A$3:A$502=DATE(2026,3,8)),ROW(Income!A$3:A$502)-2),5)),0)=0,"",IFERROR(-INDEX(Expenses!D$3:D$999,SMALL(IF((Expenses!E$3:E$999="INR")*(Expenses!A$3:A$999=DATE(2026,3,8)),ROW(Expenses!A$3:A$999)-2),5)),0)+IFERROR(INDEX(Income!C$3:C$502,SMALL(IF((Income!D$3:D$502="INR")*(Income!A$3:A$502=DATE(2026,3,8)),ROW(Income!A$3:A$502)-2),5)),0))</f>
        <v/>
      </c>
      <c r="P53" s="126">
        <f t="array" ref="P53">IF(IFERROR(INDEX(Expenses!B$3:B$999,SMALL(IF((Expenses!E$3:E$999="INR")*(Expenses!A$3:A$999=DATE(2026,3,8)),ROW(Expenses!A$3:A$999)-2),5)),"")&lt;&gt;"",IFERROR(INDEX(Expenses!B$3:B$999,SMALL(IF((Expenses!E$3:E$999="INR")*(Expenses!A$3:A$999=DATE(2026,3,8)),ROW(Expenses!A$3:A$999)-2),5)),""),IF(IFERROR(INDEX(Income!B$3:B$502,SMALL(IF((Income!D$3:D$502="INR")*(Income!A$3:A$502=DATE(2026,3,8)),ROW(Income!A$3:A$502)-2),5)),"")&lt;&gt;"",IFERROR(INDEX(Income!B$3:B$502,SMALL(IF((Income!D$3:D$502="INR")*(Income!A$3:A$502=DATE(2026,3,8)),ROW(Income!A$3:A$502)-2),5)),""),""))</f>
        <v/>
      </c>
      <c r="Q53" s="9" t="n"/>
      <c r="R53" s="9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68">
      <c r="A54" s="151" t="n">
        <v>46090</v>
      </c>
      <c r="B54" s="103" t="n">
        <v>11</v>
      </c>
      <c r="C54" s="153">
        <f t="array" ref="C54">IF(IFERROR(-INDEX(Expenses!D$3:D$999,SMALL(IF((Expenses!E$3:E$999="INR")*(Expenses!A$3:A$999=DATE(2026,3,9)),ROW(Expenses!A$3:A$999)-2),1)),0)+IFERROR(INDEX(Income!C$3:C$502,SMALL(IF((Income!D$3:D$502="INR")*(Income!A$3:A$502=DATE(2026,3,9)),ROW(Income!A$3:A$502)-2),1)),0)=0,"",IFERROR(-INDEX(Expenses!D$3:D$999,SMALL(IF((Expenses!E$3:E$999="INR")*(Expenses!A$3:A$999=DATE(2026,3,9)),ROW(Expenses!A$3:A$999)-2),1)),0)+IFERROR(INDEX(Income!C$3:C$502,SMALL(IF((Income!D$3:D$502="INR")*(Income!A$3:A$502=DATE(2026,3,9)),ROW(Income!A$3:A$502)-2),1)),0))</f>
        <v/>
      </c>
      <c r="D54" s="126">
        <f t="array" ref="D54">IF(IFERROR(INDEX(Expenses!B$3:B$999,SMALL(IF((Expenses!E$3:E$999="INR")*(Expenses!A$3:A$999=DATE(2026,3,9)),ROW(Expenses!A$3:A$999)-2),1)),"")&lt;&gt;"",IFERROR(INDEX(Expenses!B$3:B$999,SMALL(IF((Expenses!E$3:E$999="INR")*(Expenses!A$3:A$999=DATE(2026,3,9)),ROW(Expenses!A$3:A$999)-2),1)),""),IF(IFERROR(INDEX(Income!B$3:B$502,SMALL(IF((Income!D$3:D$502="INR")*(Income!A$3:A$502=DATE(2026,3,9)),ROW(Income!A$3:A$502)-2),1)),"")&lt;&gt;"",IFERROR(INDEX(Income!B$3:B$502,SMALL(IF((Income!D$3:D$502="INR")*(Income!A$3:A$502=DATE(2026,3,9)),ROW(Income!A$3:A$502)-2),1)),""),""))</f>
        <v/>
      </c>
      <c r="E54" s="153">
        <f t="array" ref="E54">IF(IFERROR(-INDEX(Expenses!D$3:D$999,SMALL(IF((Expenses!E$3:E$999="INR")*(Expenses!A$3:A$999=DATE(2026,3,10)),ROW(Expenses!A$3:A$999)-2),1)),0)+IFERROR(INDEX(Income!C$3:C$502,SMALL(IF((Income!D$3:D$502="INR")*(Income!A$3:A$502=DATE(2026,3,10)),ROW(Income!A$3:A$502)-2),1)),0)=0,"",IFERROR(-INDEX(Expenses!D$3:D$999,SMALL(IF((Expenses!E$3:E$999="INR")*(Expenses!A$3:A$999=DATE(2026,3,10)),ROW(Expenses!A$3:A$999)-2),1)),0)+IFERROR(INDEX(Income!C$3:C$502,SMALL(IF((Income!D$3:D$502="INR")*(Income!A$3:A$502=DATE(2026,3,10)),ROW(Income!A$3:A$502)-2),1)),0))</f>
        <v/>
      </c>
      <c r="F54" s="126">
        <f t="array" ref="F54">IF(IFERROR(INDEX(Expenses!B$3:B$999,SMALL(IF((Expenses!E$3:E$999="INR")*(Expenses!A$3:A$999=DATE(2026,3,10)),ROW(Expenses!A$3:A$999)-2),1)),"")&lt;&gt;"",IFERROR(INDEX(Expenses!B$3:B$999,SMALL(IF((Expenses!E$3:E$999="INR")*(Expenses!A$3:A$999=DATE(2026,3,10)),ROW(Expenses!A$3:A$999)-2),1)),""),IF(IFERROR(INDEX(Income!B$3:B$502,SMALL(IF((Income!D$3:D$502="INR")*(Income!A$3:A$502=DATE(2026,3,10)),ROW(Income!A$3:A$502)-2),1)),"")&lt;&gt;"",IFERROR(INDEX(Income!B$3:B$502,SMALL(IF((Income!D$3:D$502="INR")*(Income!A$3:A$502=DATE(2026,3,10)),ROW(Income!A$3:A$502)-2),1)),""),""))</f>
        <v/>
      </c>
      <c r="G54" s="153">
        <f t="array" ref="G54">IF(IFERROR(-INDEX(Expenses!D$3:D$999,SMALL(IF((Expenses!E$3:E$999="INR")*(Expenses!A$3:A$999=DATE(2026,3,11)),ROW(Expenses!A$3:A$999)-2),1)),0)+IFERROR(INDEX(Income!C$3:C$502,SMALL(IF((Income!D$3:D$502="INR")*(Income!A$3:A$502=DATE(2026,3,11)),ROW(Income!A$3:A$502)-2),1)),0)=0,"",IFERROR(-INDEX(Expenses!D$3:D$999,SMALL(IF((Expenses!E$3:E$999="INR")*(Expenses!A$3:A$999=DATE(2026,3,11)),ROW(Expenses!A$3:A$999)-2),1)),0)+IFERROR(INDEX(Income!C$3:C$502,SMALL(IF((Income!D$3:D$502="INR")*(Income!A$3:A$502=DATE(2026,3,11)),ROW(Income!A$3:A$502)-2),1)),0))</f>
        <v/>
      </c>
      <c r="H54" s="126">
        <f t="array" ref="H54">IF(IFERROR(INDEX(Expenses!B$3:B$999,SMALL(IF((Expenses!E$3:E$999="INR")*(Expenses!A$3:A$999=DATE(2026,3,11)),ROW(Expenses!A$3:A$999)-2),1)),"")&lt;&gt;"",IFERROR(INDEX(Expenses!B$3:B$999,SMALL(IF((Expenses!E$3:E$999="INR")*(Expenses!A$3:A$999=DATE(2026,3,11)),ROW(Expenses!A$3:A$999)-2),1)),""),IF(IFERROR(INDEX(Income!B$3:B$502,SMALL(IF((Income!D$3:D$502="INR")*(Income!A$3:A$502=DATE(2026,3,11)),ROW(Income!A$3:A$502)-2),1)),"")&lt;&gt;"",IFERROR(INDEX(Income!B$3:B$502,SMALL(IF((Income!D$3:D$502="INR")*(Income!A$3:A$502=DATE(2026,3,11)),ROW(Income!A$3:A$502)-2),1)),""),""))</f>
        <v/>
      </c>
      <c r="I54" s="153">
        <f t="array" ref="I54">IF(IFERROR(-INDEX(Expenses!D$3:D$999,SMALL(IF((Expenses!E$3:E$999="INR")*(Expenses!A$3:A$999=DATE(2026,3,12)),ROW(Expenses!A$3:A$999)-2),1)),0)+IFERROR(INDEX(Income!C$3:C$502,SMALL(IF((Income!D$3:D$502="INR")*(Income!A$3:A$502=DATE(2026,3,12)),ROW(Income!A$3:A$502)-2),1)),0)=0,"",IFERROR(-INDEX(Expenses!D$3:D$999,SMALL(IF((Expenses!E$3:E$999="INR")*(Expenses!A$3:A$999=DATE(2026,3,12)),ROW(Expenses!A$3:A$999)-2),1)),0)+IFERROR(INDEX(Income!C$3:C$502,SMALL(IF((Income!D$3:D$502="INR")*(Income!A$3:A$502=DATE(2026,3,12)),ROW(Income!A$3:A$502)-2),1)),0))</f>
        <v/>
      </c>
      <c r="J54" s="126">
        <f t="array" ref="J54">IF(IFERROR(INDEX(Expenses!B$3:B$999,SMALL(IF((Expenses!E$3:E$999="INR")*(Expenses!A$3:A$999=DATE(2026,3,12)),ROW(Expenses!A$3:A$999)-2),1)),"")&lt;&gt;"",IFERROR(INDEX(Expenses!B$3:B$999,SMALL(IF((Expenses!E$3:E$999="INR")*(Expenses!A$3:A$999=DATE(2026,3,12)),ROW(Expenses!A$3:A$999)-2),1)),""),IF(IFERROR(INDEX(Income!B$3:B$502,SMALL(IF((Income!D$3:D$502="INR")*(Income!A$3:A$502=DATE(2026,3,12)),ROW(Income!A$3:A$502)-2),1)),"")&lt;&gt;"",IFERROR(INDEX(Income!B$3:B$502,SMALL(IF((Income!D$3:D$502="INR")*(Income!A$3:A$502=DATE(2026,3,12)),ROW(Income!A$3:A$502)-2),1)),""),""))</f>
        <v/>
      </c>
      <c r="K54" s="153">
        <f t="array" ref="K54">IF(IFERROR(-INDEX(Expenses!D$3:D$999,SMALL(IF((Expenses!E$3:E$999="INR")*(Expenses!A$3:A$999=DATE(2026,3,13)),ROW(Expenses!A$3:A$999)-2),1)),0)+IFERROR(INDEX(Income!C$3:C$502,SMALL(IF((Income!D$3:D$502="INR")*(Income!A$3:A$502=DATE(2026,3,13)),ROW(Income!A$3:A$502)-2),1)),0)=0,"",IFERROR(-INDEX(Expenses!D$3:D$999,SMALL(IF((Expenses!E$3:E$999="INR")*(Expenses!A$3:A$999=DATE(2026,3,13)),ROW(Expenses!A$3:A$999)-2),1)),0)+IFERROR(INDEX(Income!C$3:C$502,SMALL(IF((Income!D$3:D$502="INR")*(Income!A$3:A$502=DATE(2026,3,13)),ROW(Income!A$3:A$502)-2),1)),0))</f>
        <v/>
      </c>
      <c r="L54" s="126">
        <f t="array" ref="L54">IF(IFERROR(INDEX(Expenses!B$3:B$999,SMALL(IF((Expenses!E$3:E$999="INR")*(Expenses!A$3:A$999=DATE(2026,3,13)),ROW(Expenses!A$3:A$999)-2),1)),"")&lt;&gt;"",IFERROR(INDEX(Expenses!B$3:B$999,SMALL(IF((Expenses!E$3:E$999="INR")*(Expenses!A$3:A$999=DATE(2026,3,13)),ROW(Expenses!A$3:A$999)-2),1)),""),IF(IFERROR(INDEX(Income!B$3:B$502,SMALL(IF((Income!D$3:D$502="INR")*(Income!A$3:A$502=DATE(2026,3,13)),ROW(Income!A$3:A$502)-2),1)),"")&lt;&gt;"",IFERROR(INDEX(Income!B$3:B$502,SMALL(IF((Income!D$3:D$502="INR")*(Income!A$3:A$502=DATE(2026,3,13)),ROW(Income!A$3:A$502)-2),1)),""),""))</f>
        <v/>
      </c>
      <c r="M54" s="153">
        <f t="array" ref="M54">IF(IFERROR(-INDEX(Expenses!D$3:D$999,SMALL(IF((Expenses!E$3:E$999="INR")*(Expenses!A$3:A$999=DATE(2026,3,14)),ROW(Expenses!A$3:A$999)-2),1)),0)+IFERROR(INDEX(Income!C$3:C$502,SMALL(IF((Income!D$3:D$502="INR")*(Income!A$3:A$502=DATE(2026,3,14)),ROW(Income!A$3:A$502)-2),1)),0)=0,"",IFERROR(-INDEX(Expenses!D$3:D$999,SMALL(IF((Expenses!E$3:E$999="INR")*(Expenses!A$3:A$999=DATE(2026,3,14)),ROW(Expenses!A$3:A$999)-2),1)),0)+IFERROR(INDEX(Income!C$3:C$502,SMALL(IF((Income!D$3:D$502="INR")*(Income!A$3:A$502=DATE(2026,3,14)),ROW(Income!A$3:A$502)-2),1)),0))</f>
        <v/>
      </c>
      <c r="N54" s="126">
        <f t="array" ref="N54">IF(IFERROR(INDEX(Expenses!B$3:B$999,SMALL(IF((Expenses!E$3:E$999="INR")*(Expenses!A$3:A$999=DATE(2026,3,14)),ROW(Expenses!A$3:A$999)-2),1)),"")&lt;&gt;"",IFERROR(INDEX(Expenses!B$3:B$999,SMALL(IF((Expenses!E$3:E$999="INR")*(Expenses!A$3:A$999=DATE(2026,3,14)),ROW(Expenses!A$3:A$999)-2),1)),""),IF(IFERROR(INDEX(Income!B$3:B$502,SMALL(IF((Income!D$3:D$502="INR")*(Income!A$3:A$502=DATE(2026,3,14)),ROW(Income!A$3:A$502)-2),1)),"")&lt;&gt;"",IFERROR(INDEX(Income!B$3:B$502,SMALL(IF((Income!D$3:D$502="INR")*(Income!A$3:A$502=DATE(2026,3,14)),ROW(Income!A$3:A$502)-2),1)),""),""))</f>
        <v/>
      </c>
      <c r="O54" s="153">
        <f t="array" ref="O54">IF(IFERROR(-INDEX(Expenses!D$3:D$999,SMALL(IF((Expenses!E$3:E$999="INR")*(Expenses!A$3:A$999=DATE(2026,3,15)),ROW(Expenses!A$3:A$999)-2),1)),0)+IFERROR(INDEX(Income!C$3:C$502,SMALL(IF((Income!D$3:D$502="INR")*(Income!A$3:A$502=DATE(2026,3,15)),ROW(Income!A$3:A$502)-2),1)),0)=0,"",IFERROR(-INDEX(Expenses!D$3:D$999,SMALL(IF((Expenses!E$3:E$999="INR")*(Expenses!A$3:A$999=DATE(2026,3,15)),ROW(Expenses!A$3:A$999)-2),1)),0)+IFERROR(INDEX(Income!C$3:C$502,SMALL(IF((Income!D$3:D$502="INR")*(Income!A$3:A$502=DATE(2026,3,15)),ROW(Income!A$3:A$502)-2),1)),0))</f>
        <v/>
      </c>
      <c r="P54" s="126">
        <f t="array" ref="P54">IF(IFERROR(INDEX(Expenses!B$3:B$999,SMALL(IF((Expenses!E$3:E$999="INR")*(Expenses!A$3:A$999=DATE(2026,3,15)),ROW(Expenses!A$3:A$999)-2),1)),"")&lt;&gt;"",IFERROR(INDEX(Expenses!B$3:B$999,SMALL(IF((Expenses!E$3:E$999="INR")*(Expenses!A$3:A$999=DATE(2026,3,15)),ROW(Expenses!A$3:A$999)-2),1)),""),IF(IFERROR(INDEX(Income!B$3:B$502,SMALL(IF((Income!D$3:D$502="INR")*(Income!A$3:A$502=DATE(2026,3,15)),ROW(Income!A$3:A$502)-2),1)),"")&lt;&gt;"",IFERROR(INDEX(Income!B$3:B$502,SMALL(IF((Income!D$3:D$502="INR")*(Income!A$3:A$502=DATE(2026,3,15)),ROW(Income!A$3:A$502)-2),1)),""),""))</f>
        <v/>
      </c>
      <c r="Q54" s="103" t="n">
        <v>11</v>
      </c>
      <c r="R54" s="142">
        <f>SUM(C54:C58)+SUM(E54:E58)+SUM(G54:G58)+SUM(I54:I58)+SUM(K54:K58)+SUM(M54:M58)+SUM(O54:O58)</f>
        <v/>
      </c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68">
      <c r="A55" s="9" t="n"/>
      <c r="B55" s="9" t="n"/>
      <c r="C55" s="153">
        <f t="array" ref="C55">IF(IFERROR(-INDEX(Expenses!D$3:D$999,SMALL(IF((Expenses!E$3:E$999="INR")*(Expenses!A$3:A$999=DATE(2026,3,9)),ROW(Expenses!A$3:A$999)-2),2)),0)+IFERROR(INDEX(Income!C$3:C$502,SMALL(IF((Income!D$3:D$502="INR")*(Income!A$3:A$502=DATE(2026,3,9)),ROW(Income!A$3:A$502)-2),2)),0)=0,"",IFERROR(-INDEX(Expenses!D$3:D$999,SMALL(IF((Expenses!E$3:E$999="INR")*(Expenses!A$3:A$999=DATE(2026,3,9)),ROW(Expenses!A$3:A$999)-2),2)),0)+IFERROR(INDEX(Income!C$3:C$502,SMALL(IF((Income!D$3:D$502="INR")*(Income!A$3:A$502=DATE(2026,3,9)),ROW(Income!A$3:A$502)-2),2)),0))</f>
        <v/>
      </c>
      <c r="D55" s="126">
        <f t="array" ref="D55">IF(IFERROR(INDEX(Expenses!B$3:B$999,SMALL(IF((Expenses!E$3:E$999="INR")*(Expenses!A$3:A$999=DATE(2026,3,9)),ROW(Expenses!A$3:A$999)-2),2)),"")&lt;&gt;"",IFERROR(INDEX(Expenses!B$3:B$999,SMALL(IF((Expenses!E$3:E$999="INR")*(Expenses!A$3:A$999=DATE(2026,3,9)),ROW(Expenses!A$3:A$999)-2),2)),""),IF(IFERROR(INDEX(Income!B$3:B$502,SMALL(IF((Income!D$3:D$502="INR")*(Income!A$3:A$502=DATE(2026,3,9)),ROW(Income!A$3:A$502)-2),2)),"")&lt;&gt;"",IFERROR(INDEX(Income!B$3:B$502,SMALL(IF((Income!D$3:D$502="INR")*(Income!A$3:A$502=DATE(2026,3,9)),ROW(Income!A$3:A$502)-2),2)),""),""))</f>
        <v/>
      </c>
      <c r="E55" s="153">
        <f t="array" ref="E55">IF(IFERROR(-INDEX(Expenses!D$3:D$999,SMALL(IF((Expenses!E$3:E$999="INR")*(Expenses!A$3:A$999=DATE(2026,3,10)),ROW(Expenses!A$3:A$999)-2),2)),0)+IFERROR(INDEX(Income!C$3:C$502,SMALL(IF((Income!D$3:D$502="INR")*(Income!A$3:A$502=DATE(2026,3,10)),ROW(Income!A$3:A$502)-2),2)),0)=0,"",IFERROR(-INDEX(Expenses!D$3:D$999,SMALL(IF((Expenses!E$3:E$999="INR")*(Expenses!A$3:A$999=DATE(2026,3,10)),ROW(Expenses!A$3:A$999)-2),2)),0)+IFERROR(INDEX(Income!C$3:C$502,SMALL(IF((Income!D$3:D$502="INR")*(Income!A$3:A$502=DATE(2026,3,10)),ROW(Income!A$3:A$502)-2),2)),0))</f>
        <v/>
      </c>
      <c r="F55" s="126">
        <f t="array" ref="F55">IF(IFERROR(INDEX(Expenses!B$3:B$999,SMALL(IF((Expenses!E$3:E$999="INR")*(Expenses!A$3:A$999=DATE(2026,3,10)),ROW(Expenses!A$3:A$999)-2),2)),"")&lt;&gt;"",IFERROR(INDEX(Expenses!B$3:B$999,SMALL(IF((Expenses!E$3:E$999="INR")*(Expenses!A$3:A$999=DATE(2026,3,10)),ROW(Expenses!A$3:A$999)-2),2)),""),IF(IFERROR(INDEX(Income!B$3:B$502,SMALL(IF((Income!D$3:D$502="INR")*(Income!A$3:A$502=DATE(2026,3,10)),ROW(Income!A$3:A$502)-2),2)),"")&lt;&gt;"",IFERROR(INDEX(Income!B$3:B$502,SMALL(IF((Income!D$3:D$502="INR")*(Income!A$3:A$502=DATE(2026,3,10)),ROW(Income!A$3:A$502)-2),2)),""),""))</f>
        <v/>
      </c>
      <c r="G55" s="153">
        <f t="array" ref="G55">IF(IFERROR(-INDEX(Expenses!D$3:D$999,SMALL(IF((Expenses!E$3:E$999="INR")*(Expenses!A$3:A$999=DATE(2026,3,11)),ROW(Expenses!A$3:A$999)-2),2)),0)+IFERROR(INDEX(Income!C$3:C$502,SMALL(IF((Income!D$3:D$502="INR")*(Income!A$3:A$502=DATE(2026,3,11)),ROW(Income!A$3:A$502)-2),2)),0)=0,"",IFERROR(-INDEX(Expenses!D$3:D$999,SMALL(IF((Expenses!E$3:E$999="INR")*(Expenses!A$3:A$999=DATE(2026,3,11)),ROW(Expenses!A$3:A$999)-2),2)),0)+IFERROR(INDEX(Income!C$3:C$502,SMALL(IF((Income!D$3:D$502="INR")*(Income!A$3:A$502=DATE(2026,3,11)),ROW(Income!A$3:A$502)-2),2)),0))</f>
        <v/>
      </c>
      <c r="H55" s="126">
        <f t="array" ref="H55">IF(IFERROR(INDEX(Expenses!B$3:B$999,SMALL(IF((Expenses!E$3:E$999="INR")*(Expenses!A$3:A$999=DATE(2026,3,11)),ROW(Expenses!A$3:A$999)-2),2)),"")&lt;&gt;"",IFERROR(INDEX(Expenses!B$3:B$999,SMALL(IF((Expenses!E$3:E$999="INR")*(Expenses!A$3:A$999=DATE(2026,3,11)),ROW(Expenses!A$3:A$999)-2),2)),""),IF(IFERROR(INDEX(Income!B$3:B$502,SMALL(IF((Income!D$3:D$502="INR")*(Income!A$3:A$502=DATE(2026,3,11)),ROW(Income!A$3:A$502)-2),2)),"")&lt;&gt;"",IFERROR(INDEX(Income!B$3:B$502,SMALL(IF((Income!D$3:D$502="INR")*(Income!A$3:A$502=DATE(2026,3,11)),ROW(Income!A$3:A$502)-2),2)),""),""))</f>
        <v/>
      </c>
      <c r="I55" s="153">
        <f t="array" ref="I55">IF(IFERROR(-INDEX(Expenses!D$3:D$999,SMALL(IF((Expenses!E$3:E$999="INR")*(Expenses!A$3:A$999=DATE(2026,3,12)),ROW(Expenses!A$3:A$999)-2),2)),0)+IFERROR(INDEX(Income!C$3:C$502,SMALL(IF((Income!D$3:D$502="INR")*(Income!A$3:A$502=DATE(2026,3,12)),ROW(Income!A$3:A$502)-2),2)),0)=0,"",IFERROR(-INDEX(Expenses!D$3:D$999,SMALL(IF((Expenses!E$3:E$999="INR")*(Expenses!A$3:A$999=DATE(2026,3,12)),ROW(Expenses!A$3:A$999)-2),2)),0)+IFERROR(INDEX(Income!C$3:C$502,SMALL(IF((Income!D$3:D$502="INR")*(Income!A$3:A$502=DATE(2026,3,12)),ROW(Income!A$3:A$502)-2),2)),0))</f>
        <v/>
      </c>
      <c r="J55" s="126">
        <f t="array" ref="J55">IF(IFERROR(INDEX(Expenses!B$3:B$999,SMALL(IF((Expenses!E$3:E$999="INR")*(Expenses!A$3:A$999=DATE(2026,3,12)),ROW(Expenses!A$3:A$999)-2),2)),"")&lt;&gt;"",IFERROR(INDEX(Expenses!B$3:B$999,SMALL(IF((Expenses!E$3:E$999="INR")*(Expenses!A$3:A$999=DATE(2026,3,12)),ROW(Expenses!A$3:A$999)-2),2)),""),IF(IFERROR(INDEX(Income!B$3:B$502,SMALL(IF((Income!D$3:D$502="INR")*(Income!A$3:A$502=DATE(2026,3,12)),ROW(Income!A$3:A$502)-2),2)),"")&lt;&gt;"",IFERROR(INDEX(Income!B$3:B$502,SMALL(IF((Income!D$3:D$502="INR")*(Income!A$3:A$502=DATE(2026,3,12)),ROW(Income!A$3:A$502)-2),2)),""),""))</f>
        <v/>
      </c>
      <c r="K55" s="153">
        <f t="array" ref="K55">IF(IFERROR(-INDEX(Expenses!D$3:D$999,SMALL(IF((Expenses!E$3:E$999="INR")*(Expenses!A$3:A$999=DATE(2026,3,13)),ROW(Expenses!A$3:A$999)-2),2)),0)+IFERROR(INDEX(Income!C$3:C$502,SMALL(IF((Income!D$3:D$502="INR")*(Income!A$3:A$502=DATE(2026,3,13)),ROW(Income!A$3:A$502)-2),2)),0)=0,"",IFERROR(-INDEX(Expenses!D$3:D$999,SMALL(IF((Expenses!E$3:E$999="INR")*(Expenses!A$3:A$999=DATE(2026,3,13)),ROW(Expenses!A$3:A$999)-2),2)),0)+IFERROR(INDEX(Income!C$3:C$502,SMALL(IF((Income!D$3:D$502="INR")*(Income!A$3:A$502=DATE(2026,3,13)),ROW(Income!A$3:A$502)-2),2)),0))</f>
        <v/>
      </c>
      <c r="L55" s="126">
        <f t="array" ref="L55">IF(IFERROR(INDEX(Expenses!B$3:B$999,SMALL(IF((Expenses!E$3:E$999="INR")*(Expenses!A$3:A$999=DATE(2026,3,13)),ROW(Expenses!A$3:A$999)-2),2)),"")&lt;&gt;"",IFERROR(INDEX(Expenses!B$3:B$999,SMALL(IF((Expenses!E$3:E$999="INR")*(Expenses!A$3:A$999=DATE(2026,3,13)),ROW(Expenses!A$3:A$999)-2),2)),""),IF(IFERROR(INDEX(Income!B$3:B$502,SMALL(IF((Income!D$3:D$502="INR")*(Income!A$3:A$502=DATE(2026,3,13)),ROW(Income!A$3:A$502)-2),2)),"")&lt;&gt;"",IFERROR(INDEX(Income!B$3:B$502,SMALL(IF((Income!D$3:D$502="INR")*(Income!A$3:A$502=DATE(2026,3,13)),ROW(Income!A$3:A$502)-2),2)),""),""))</f>
        <v/>
      </c>
      <c r="M55" s="153">
        <f t="array" ref="M55">IF(IFERROR(-INDEX(Expenses!D$3:D$999,SMALL(IF((Expenses!E$3:E$999="INR")*(Expenses!A$3:A$999=DATE(2026,3,14)),ROW(Expenses!A$3:A$999)-2),2)),0)+IFERROR(INDEX(Income!C$3:C$502,SMALL(IF((Income!D$3:D$502="INR")*(Income!A$3:A$502=DATE(2026,3,14)),ROW(Income!A$3:A$502)-2),2)),0)=0,"",IFERROR(-INDEX(Expenses!D$3:D$999,SMALL(IF((Expenses!E$3:E$999="INR")*(Expenses!A$3:A$999=DATE(2026,3,14)),ROW(Expenses!A$3:A$999)-2),2)),0)+IFERROR(INDEX(Income!C$3:C$502,SMALL(IF((Income!D$3:D$502="INR")*(Income!A$3:A$502=DATE(2026,3,14)),ROW(Income!A$3:A$502)-2),2)),0))</f>
        <v/>
      </c>
      <c r="N55" s="126">
        <f t="array" ref="N55">IF(IFERROR(INDEX(Expenses!B$3:B$999,SMALL(IF((Expenses!E$3:E$999="INR")*(Expenses!A$3:A$999=DATE(2026,3,14)),ROW(Expenses!A$3:A$999)-2),2)),"")&lt;&gt;"",IFERROR(INDEX(Expenses!B$3:B$999,SMALL(IF((Expenses!E$3:E$999="INR")*(Expenses!A$3:A$999=DATE(2026,3,14)),ROW(Expenses!A$3:A$999)-2),2)),""),IF(IFERROR(INDEX(Income!B$3:B$502,SMALL(IF((Income!D$3:D$502="INR")*(Income!A$3:A$502=DATE(2026,3,14)),ROW(Income!A$3:A$502)-2),2)),"")&lt;&gt;"",IFERROR(INDEX(Income!B$3:B$502,SMALL(IF((Income!D$3:D$502="INR")*(Income!A$3:A$502=DATE(2026,3,14)),ROW(Income!A$3:A$502)-2),2)),""),""))</f>
        <v/>
      </c>
      <c r="O55" s="153">
        <f t="array" ref="O55">IF(IFERROR(-INDEX(Expenses!D$3:D$999,SMALL(IF((Expenses!E$3:E$999="INR")*(Expenses!A$3:A$999=DATE(2026,3,15)),ROW(Expenses!A$3:A$999)-2),2)),0)+IFERROR(INDEX(Income!C$3:C$502,SMALL(IF((Income!D$3:D$502="INR")*(Income!A$3:A$502=DATE(2026,3,15)),ROW(Income!A$3:A$502)-2),2)),0)=0,"",IFERROR(-INDEX(Expenses!D$3:D$999,SMALL(IF((Expenses!E$3:E$999="INR")*(Expenses!A$3:A$999=DATE(2026,3,15)),ROW(Expenses!A$3:A$999)-2),2)),0)+IFERROR(INDEX(Income!C$3:C$502,SMALL(IF((Income!D$3:D$502="INR")*(Income!A$3:A$502=DATE(2026,3,15)),ROW(Income!A$3:A$502)-2),2)),0))</f>
        <v/>
      </c>
      <c r="P55" s="126">
        <f t="array" ref="P55">IF(IFERROR(INDEX(Expenses!B$3:B$999,SMALL(IF((Expenses!E$3:E$999="INR")*(Expenses!A$3:A$999=DATE(2026,3,15)),ROW(Expenses!A$3:A$999)-2),2)),"")&lt;&gt;"",IFERROR(INDEX(Expenses!B$3:B$999,SMALL(IF((Expenses!E$3:E$999="INR")*(Expenses!A$3:A$999=DATE(2026,3,15)),ROW(Expenses!A$3:A$999)-2),2)),""),IF(IFERROR(INDEX(Income!B$3:B$502,SMALL(IF((Income!D$3:D$502="INR")*(Income!A$3:A$502=DATE(2026,3,15)),ROW(Income!A$3:A$502)-2),2)),"")&lt;&gt;"",IFERROR(INDEX(Income!B$3:B$502,SMALL(IF((Income!D$3:D$502="INR")*(Income!A$3:A$502=DATE(2026,3,15)),ROW(Income!A$3:A$502)-2),2)),""),""))</f>
        <v/>
      </c>
      <c r="Q55" s="9" t="n"/>
      <c r="R55" s="9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68">
      <c r="A56" s="9" t="n"/>
      <c r="B56" s="9" t="n"/>
      <c r="C56" s="153">
        <f t="array" ref="C56">IF(IFERROR(-INDEX(Expenses!D$3:D$999,SMALL(IF((Expenses!E$3:E$999="INR")*(Expenses!A$3:A$999=DATE(2026,3,9)),ROW(Expenses!A$3:A$999)-2),3)),0)+IFERROR(INDEX(Income!C$3:C$502,SMALL(IF((Income!D$3:D$502="INR")*(Income!A$3:A$502=DATE(2026,3,9)),ROW(Income!A$3:A$502)-2),3)),0)=0,"",IFERROR(-INDEX(Expenses!D$3:D$999,SMALL(IF((Expenses!E$3:E$999="INR")*(Expenses!A$3:A$999=DATE(2026,3,9)),ROW(Expenses!A$3:A$999)-2),3)),0)+IFERROR(INDEX(Income!C$3:C$502,SMALL(IF((Income!D$3:D$502="INR")*(Income!A$3:A$502=DATE(2026,3,9)),ROW(Income!A$3:A$502)-2),3)),0))</f>
        <v/>
      </c>
      <c r="D56" s="126">
        <f t="array" ref="D56">IF(IFERROR(INDEX(Expenses!B$3:B$999,SMALL(IF((Expenses!E$3:E$999="INR")*(Expenses!A$3:A$999=DATE(2026,3,9)),ROW(Expenses!A$3:A$999)-2),3)),"")&lt;&gt;"",IFERROR(INDEX(Expenses!B$3:B$999,SMALL(IF((Expenses!E$3:E$999="INR")*(Expenses!A$3:A$999=DATE(2026,3,9)),ROW(Expenses!A$3:A$999)-2),3)),""),IF(IFERROR(INDEX(Income!B$3:B$502,SMALL(IF((Income!D$3:D$502="INR")*(Income!A$3:A$502=DATE(2026,3,9)),ROW(Income!A$3:A$502)-2),3)),"")&lt;&gt;"",IFERROR(INDEX(Income!B$3:B$502,SMALL(IF((Income!D$3:D$502="INR")*(Income!A$3:A$502=DATE(2026,3,9)),ROW(Income!A$3:A$502)-2),3)),""),""))</f>
        <v/>
      </c>
      <c r="E56" s="153">
        <f t="array" ref="E56">IF(IFERROR(-INDEX(Expenses!D$3:D$999,SMALL(IF((Expenses!E$3:E$999="INR")*(Expenses!A$3:A$999=DATE(2026,3,10)),ROW(Expenses!A$3:A$999)-2),3)),0)+IFERROR(INDEX(Income!C$3:C$502,SMALL(IF((Income!D$3:D$502="INR")*(Income!A$3:A$502=DATE(2026,3,10)),ROW(Income!A$3:A$502)-2),3)),0)=0,"",IFERROR(-INDEX(Expenses!D$3:D$999,SMALL(IF((Expenses!E$3:E$999="INR")*(Expenses!A$3:A$999=DATE(2026,3,10)),ROW(Expenses!A$3:A$999)-2),3)),0)+IFERROR(INDEX(Income!C$3:C$502,SMALL(IF((Income!D$3:D$502="INR")*(Income!A$3:A$502=DATE(2026,3,10)),ROW(Income!A$3:A$502)-2),3)),0))</f>
        <v/>
      </c>
      <c r="F56" s="126">
        <f t="array" ref="F56">IF(IFERROR(INDEX(Expenses!B$3:B$999,SMALL(IF((Expenses!E$3:E$999="INR")*(Expenses!A$3:A$999=DATE(2026,3,10)),ROW(Expenses!A$3:A$999)-2),3)),"")&lt;&gt;"",IFERROR(INDEX(Expenses!B$3:B$999,SMALL(IF((Expenses!E$3:E$999="INR")*(Expenses!A$3:A$999=DATE(2026,3,10)),ROW(Expenses!A$3:A$999)-2),3)),""),IF(IFERROR(INDEX(Income!B$3:B$502,SMALL(IF((Income!D$3:D$502="INR")*(Income!A$3:A$502=DATE(2026,3,10)),ROW(Income!A$3:A$502)-2),3)),"")&lt;&gt;"",IFERROR(INDEX(Income!B$3:B$502,SMALL(IF((Income!D$3:D$502="INR")*(Income!A$3:A$502=DATE(2026,3,10)),ROW(Income!A$3:A$502)-2),3)),""),""))</f>
        <v/>
      </c>
      <c r="G56" s="153">
        <f t="array" ref="G56">IF(IFERROR(-INDEX(Expenses!D$3:D$999,SMALL(IF((Expenses!E$3:E$999="INR")*(Expenses!A$3:A$999=DATE(2026,3,11)),ROW(Expenses!A$3:A$999)-2),3)),0)+IFERROR(INDEX(Income!C$3:C$502,SMALL(IF((Income!D$3:D$502="INR")*(Income!A$3:A$502=DATE(2026,3,11)),ROW(Income!A$3:A$502)-2),3)),0)=0,"",IFERROR(-INDEX(Expenses!D$3:D$999,SMALL(IF((Expenses!E$3:E$999="INR")*(Expenses!A$3:A$999=DATE(2026,3,11)),ROW(Expenses!A$3:A$999)-2),3)),0)+IFERROR(INDEX(Income!C$3:C$502,SMALL(IF((Income!D$3:D$502="INR")*(Income!A$3:A$502=DATE(2026,3,11)),ROW(Income!A$3:A$502)-2),3)),0))</f>
        <v/>
      </c>
      <c r="H56" s="126">
        <f t="array" ref="H56">IF(IFERROR(INDEX(Expenses!B$3:B$999,SMALL(IF((Expenses!E$3:E$999="INR")*(Expenses!A$3:A$999=DATE(2026,3,11)),ROW(Expenses!A$3:A$999)-2),3)),"")&lt;&gt;"",IFERROR(INDEX(Expenses!B$3:B$999,SMALL(IF((Expenses!E$3:E$999="INR")*(Expenses!A$3:A$999=DATE(2026,3,11)),ROW(Expenses!A$3:A$999)-2),3)),""),IF(IFERROR(INDEX(Income!B$3:B$502,SMALL(IF((Income!D$3:D$502="INR")*(Income!A$3:A$502=DATE(2026,3,11)),ROW(Income!A$3:A$502)-2),3)),"")&lt;&gt;"",IFERROR(INDEX(Income!B$3:B$502,SMALL(IF((Income!D$3:D$502="INR")*(Income!A$3:A$502=DATE(2026,3,11)),ROW(Income!A$3:A$502)-2),3)),""),""))</f>
        <v/>
      </c>
      <c r="I56" s="153">
        <f t="array" ref="I56">IF(IFERROR(-INDEX(Expenses!D$3:D$999,SMALL(IF((Expenses!E$3:E$999="INR")*(Expenses!A$3:A$999=DATE(2026,3,12)),ROW(Expenses!A$3:A$999)-2),3)),0)+IFERROR(INDEX(Income!C$3:C$502,SMALL(IF((Income!D$3:D$502="INR")*(Income!A$3:A$502=DATE(2026,3,12)),ROW(Income!A$3:A$502)-2),3)),0)=0,"",IFERROR(-INDEX(Expenses!D$3:D$999,SMALL(IF((Expenses!E$3:E$999="INR")*(Expenses!A$3:A$999=DATE(2026,3,12)),ROW(Expenses!A$3:A$999)-2),3)),0)+IFERROR(INDEX(Income!C$3:C$502,SMALL(IF((Income!D$3:D$502="INR")*(Income!A$3:A$502=DATE(2026,3,12)),ROW(Income!A$3:A$502)-2),3)),0))</f>
        <v/>
      </c>
      <c r="J56" s="126">
        <f t="array" ref="J56">IF(IFERROR(INDEX(Expenses!B$3:B$999,SMALL(IF((Expenses!E$3:E$999="INR")*(Expenses!A$3:A$999=DATE(2026,3,12)),ROW(Expenses!A$3:A$999)-2),3)),"")&lt;&gt;"",IFERROR(INDEX(Expenses!B$3:B$999,SMALL(IF((Expenses!E$3:E$999="INR")*(Expenses!A$3:A$999=DATE(2026,3,12)),ROW(Expenses!A$3:A$999)-2),3)),""),IF(IFERROR(INDEX(Income!B$3:B$502,SMALL(IF((Income!D$3:D$502="INR")*(Income!A$3:A$502=DATE(2026,3,12)),ROW(Income!A$3:A$502)-2),3)),"")&lt;&gt;"",IFERROR(INDEX(Income!B$3:B$502,SMALL(IF((Income!D$3:D$502="INR")*(Income!A$3:A$502=DATE(2026,3,12)),ROW(Income!A$3:A$502)-2),3)),""),""))</f>
        <v/>
      </c>
      <c r="K56" s="153">
        <f t="array" ref="K56">IF(IFERROR(-INDEX(Expenses!D$3:D$999,SMALL(IF((Expenses!E$3:E$999="INR")*(Expenses!A$3:A$999=DATE(2026,3,13)),ROW(Expenses!A$3:A$999)-2),3)),0)+IFERROR(INDEX(Income!C$3:C$502,SMALL(IF((Income!D$3:D$502="INR")*(Income!A$3:A$502=DATE(2026,3,13)),ROW(Income!A$3:A$502)-2),3)),0)=0,"",IFERROR(-INDEX(Expenses!D$3:D$999,SMALL(IF((Expenses!E$3:E$999="INR")*(Expenses!A$3:A$999=DATE(2026,3,13)),ROW(Expenses!A$3:A$999)-2),3)),0)+IFERROR(INDEX(Income!C$3:C$502,SMALL(IF((Income!D$3:D$502="INR")*(Income!A$3:A$502=DATE(2026,3,13)),ROW(Income!A$3:A$502)-2),3)),0))</f>
        <v/>
      </c>
      <c r="L56" s="126">
        <f t="array" ref="L56">IF(IFERROR(INDEX(Expenses!B$3:B$999,SMALL(IF((Expenses!E$3:E$999="INR")*(Expenses!A$3:A$999=DATE(2026,3,13)),ROW(Expenses!A$3:A$999)-2),3)),"")&lt;&gt;"",IFERROR(INDEX(Expenses!B$3:B$999,SMALL(IF((Expenses!E$3:E$999="INR")*(Expenses!A$3:A$999=DATE(2026,3,13)),ROW(Expenses!A$3:A$999)-2),3)),""),IF(IFERROR(INDEX(Income!B$3:B$502,SMALL(IF((Income!D$3:D$502="INR")*(Income!A$3:A$502=DATE(2026,3,13)),ROW(Income!A$3:A$502)-2),3)),"")&lt;&gt;"",IFERROR(INDEX(Income!B$3:B$502,SMALL(IF((Income!D$3:D$502="INR")*(Income!A$3:A$502=DATE(2026,3,13)),ROW(Income!A$3:A$502)-2),3)),""),""))</f>
        <v/>
      </c>
      <c r="M56" s="153">
        <f t="array" ref="M56">IF(IFERROR(-INDEX(Expenses!D$3:D$999,SMALL(IF((Expenses!E$3:E$999="INR")*(Expenses!A$3:A$999=DATE(2026,3,14)),ROW(Expenses!A$3:A$999)-2),3)),0)+IFERROR(INDEX(Income!C$3:C$502,SMALL(IF((Income!D$3:D$502="INR")*(Income!A$3:A$502=DATE(2026,3,14)),ROW(Income!A$3:A$502)-2),3)),0)=0,"",IFERROR(-INDEX(Expenses!D$3:D$999,SMALL(IF((Expenses!E$3:E$999="INR")*(Expenses!A$3:A$999=DATE(2026,3,14)),ROW(Expenses!A$3:A$999)-2),3)),0)+IFERROR(INDEX(Income!C$3:C$502,SMALL(IF((Income!D$3:D$502="INR")*(Income!A$3:A$502=DATE(2026,3,14)),ROW(Income!A$3:A$502)-2),3)),0))</f>
        <v/>
      </c>
      <c r="N56" s="126">
        <f t="array" ref="N56">IF(IFERROR(INDEX(Expenses!B$3:B$999,SMALL(IF((Expenses!E$3:E$999="INR")*(Expenses!A$3:A$999=DATE(2026,3,14)),ROW(Expenses!A$3:A$999)-2),3)),"")&lt;&gt;"",IFERROR(INDEX(Expenses!B$3:B$999,SMALL(IF((Expenses!E$3:E$999="INR")*(Expenses!A$3:A$999=DATE(2026,3,14)),ROW(Expenses!A$3:A$999)-2),3)),""),IF(IFERROR(INDEX(Income!B$3:B$502,SMALL(IF((Income!D$3:D$502="INR")*(Income!A$3:A$502=DATE(2026,3,14)),ROW(Income!A$3:A$502)-2),3)),"")&lt;&gt;"",IFERROR(INDEX(Income!B$3:B$502,SMALL(IF((Income!D$3:D$502="INR")*(Income!A$3:A$502=DATE(2026,3,14)),ROW(Income!A$3:A$502)-2),3)),""),""))</f>
        <v/>
      </c>
      <c r="O56" s="153">
        <f t="array" ref="O56">IF(IFERROR(-INDEX(Expenses!D$3:D$999,SMALL(IF((Expenses!E$3:E$999="INR")*(Expenses!A$3:A$999=DATE(2026,3,15)),ROW(Expenses!A$3:A$999)-2),3)),0)+IFERROR(INDEX(Income!C$3:C$502,SMALL(IF((Income!D$3:D$502="INR")*(Income!A$3:A$502=DATE(2026,3,15)),ROW(Income!A$3:A$502)-2),3)),0)=0,"",IFERROR(-INDEX(Expenses!D$3:D$999,SMALL(IF((Expenses!E$3:E$999="INR")*(Expenses!A$3:A$999=DATE(2026,3,15)),ROW(Expenses!A$3:A$999)-2),3)),0)+IFERROR(INDEX(Income!C$3:C$502,SMALL(IF((Income!D$3:D$502="INR")*(Income!A$3:A$502=DATE(2026,3,15)),ROW(Income!A$3:A$502)-2),3)),0))</f>
        <v/>
      </c>
      <c r="P56" s="126">
        <f t="array" ref="P56">IF(IFERROR(INDEX(Expenses!B$3:B$999,SMALL(IF((Expenses!E$3:E$999="INR")*(Expenses!A$3:A$999=DATE(2026,3,15)),ROW(Expenses!A$3:A$999)-2),3)),"")&lt;&gt;"",IFERROR(INDEX(Expenses!B$3:B$999,SMALL(IF((Expenses!E$3:E$999="INR")*(Expenses!A$3:A$999=DATE(2026,3,15)),ROW(Expenses!A$3:A$999)-2),3)),""),IF(IFERROR(INDEX(Income!B$3:B$502,SMALL(IF((Income!D$3:D$502="INR")*(Income!A$3:A$502=DATE(2026,3,15)),ROW(Income!A$3:A$502)-2),3)),"")&lt;&gt;"",IFERROR(INDEX(Income!B$3:B$502,SMALL(IF((Income!D$3:D$502="INR")*(Income!A$3:A$502=DATE(2026,3,15)),ROW(Income!A$3:A$502)-2),3)),""),""))</f>
        <v/>
      </c>
      <c r="Q56" s="9" t="n"/>
      <c r="R56" s="9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68">
      <c r="A57" s="9" t="n"/>
      <c r="B57" s="9" t="n"/>
      <c r="C57" s="153">
        <f t="array" ref="C57">IF(IFERROR(-INDEX(Expenses!D$3:D$999,SMALL(IF((Expenses!E$3:E$999="INR")*(Expenses!A$3:A$999=DATE(2026,3,9)),ROW(Expenses!A$3:A$999)-2),4)),0)+IFERROR(INDEX(Income!C$3:C$502,SMALL(IF((Income!D$3:D$502="INR")*(Income!A$3:A$502=DATE(2026,3,9)),ROW(Income!A$3:A$502)-2),4)),0)=0,"",IFERROR(-INDEX(Expenses!D$3:D$999,SMALL(IF((Expenses!E$3:E$999="INR")*(Expenses!A$3:A$999=DATE(2026,3,9)),ROW(Expenses!A$3:A$999)-2),4)),0)+IFERROR(INDEX(Income!C$3:C$502,SMALL(IF((Income!D$3:D$502="INR")*(Income!A$3:A$502=DATE(2026,3,9)),ROW(Income!A$3:A$502)-2),4)),0))</f>
        <v/>
      </c>
      <c r="D57" s="126">
        <f t="array" ref="D57">IF(IFERROR(INDEX(Expenses!B$3:B$999,SMALL(IF((Expenses!E$3:E$999="INR")*(Expenses!A$3:A$999=DATE(2026,3,9)),ROW(Expenses!A$3:A$999)-2),4)),"")&lt;&gt;"",IFERROR(INDEX(Expenses!B$3:B$999,SMALL(IF((Expenses!E$3:E$999="INR")*(Expenses!A$3:A$999=DATE(2026,3,9)),ROW(Expenses!A$3:A$999)-2),4)),""),IF(IFERROR(INDEX(Income!B$3:B$502,SMALL(IF((Income!D$3:D$502="INR")*(Income!A$3:A$502=DATE(2026,3,9)),ROW(Income!A$3:A$502)-2),4)),"")&lt;&gt;"",IFERROR(INDEX(Income!B$3:B$502,SMALL(IF((Income!D$3:D$502="INR")*(Income!A$3:A$502=DATE(2026,3,9)),ROW(Income!A$3:A$502)-2),4)),""),""))</f>
        <v/>
      </c>
      <c r="E57" s="153">
        <f t="array" ref="E57">IF(IFERROR(-INDEX(Expenses!D$3:D$999,SMALL(IF((Expenses!E$3:E$999="INR")*(Expenses!A$3:A$999=DATE(2026,3,10)),ROW(Expenses!A$3:A$999)-2),4)),0)+IFERROR(INDEX(Income!C$3:C$502,SMALL(IF((Income!D$3:D$502="INR")*(Income!A$3:A$502=DATE(2026,3,10)),ROW(Income!A$3:A$502)-2),4)),0)=0,"",IFERROR(-INDEX(Expenses!D$3:D$999,SMALL(IF((Expenses!E$3:E$999="INR")*(Expenses!A$3:A$999=DATE(2026,3,10)),ROW(Expenses!A$3:A$999)-2),4)),0)+IFERROR(INDEX(Income!C$3:C$502,SMALL(IF((Income!D$3:D$502="INR")*(Income!A$3:A$502=DATE(2026,3,10)),ROW(Income!A$3:A$502)-2),4)),0))</f>
        <v/>
      </c>
      <c r="F57" s="126">
        <f t="array" ref="F57">IF(IFERROR(INDEX(Expenses!B$3:B$999,SMALL(IF((Expenses!E$3:E$999="INR")*(Expenses!A$3:A$999=DATE(2026,3,10)),ROW(Expenses!A$3:A$999)-2),4)),"")&lt;&gt;"",IFERROR(INDEX(Expenses!B$3:B$999,SMALL(IF((Expenses!E$3:E$999="INR")*(Expenses!A$3:A$999=DATE(2026,3,10)),ROW(Expenses!A$3:A$999)-2),4)),""),IF(IFERROR(INDEX(Income!B$3:B$502,SMALL(IF((Income!D$3:D$502="INR")*(Income!A$3:A$502=DATE(2026,3,10)),ROW(Income!A$3:A$502)-2),4)),"")&lt;&gt;"",IFERROR(INDEX(Income!B$3:B$502,SMALL(IF((Income!D$3:D$502="INR")*(Income!A$3:A$502=DATE(2026,3,10)),ROW(Income!A$3:A$502)-2),4)),""),""))</f>
        <v/>
      </c>
      <c r="G57" s="153">
        <f t="array" ref="G57">IF(IFERROR(-INDEX(Expenses!D$3:D$999,SMALL(IF((Expenses!E$3:E$999="INR")*(Expenses!A$3:A$999=DATE(2026,3,11)),ROW(Expenses!A$3:A$999)-2),4)),0)+IFERROR(INDEX(Income!C$3:C$502,SMALL(IF((Income!D$3:D$502="INR")*(Income!A$3:A$502=DATE(2026,3,11)),ROW(Income!A$3:A$502)-2),4)),0)=0,"",IFERROR(-INDEX(Expenses!D$3:D$999,SMALL(IF((Expenses!E$3:E$999="INR")*(Expenses!A$3:A$999=DATE(2026,3,11)),ROW(Expenses!A$3:A$999)-2),4)),0)+IFERROR(INDEX(Income!C$3:C$502,SMALL(IF((Income!D$3:D$502="INR")*(Income!A$3:A$502=DATE(2026,3,11)),ROW(Income!A$3:A$502)-2),4)),0))</f>
        <v/>
      </c>
      <c r="H57" s="126">
        <f t="array" ref="H57">IF(IFERROR(INDEX(Expenses!B$3:B$999,SMALL(IF((Expenses!E$3:E$999="INR")*(Expenses!A$3:A$999=DATE(2026,3,11)),ROW(Expenses!A$3:A$999)-2),4)),"")&lt;&gt;"",IFERROR(INDEX(Expenses!B$3:B$999,SMALL(IF((Expenses!E$3:E$999="INR")*(Expenses!A$3:A$999=DATE(2026,3,11)),ROW(Expenses!A$3:A$999)-2),4)),""),IF(IFERROR(INDEX(Income!B$3:B$502,SMALL(IF((Income!D$3:D$502="INR")*(Income!A$3:A$502=DATE(2026,3,11)),ROW(Income!A$3:A$502)-2),4)),"")&lt;&gt;"",IFERROR(INDEX(Income!B$3:B$502,SMALL(IF((Income!D$3:D$502="INR")*(Income!A$3:A$502=DATE(2026,3,11)),ROW(Income!A$3:A$502)-2),4)),""),""))</f>
        <v/>
      </c>
      <c r="I57" s="153">
        <f t="array" ref="I57">IF(IFERROR(-INDEX(Expenses!D$3:D$999,SMALL(IF((Expenses!E$3:E$999="INR")*(Expenses!A$3:A$999=DATE(2026,3,12)),ROW(Expenses!A$3:A$999)-2),4)),0)+IFERROR(INDEX(Income!C$3:C$502,SMALL(IF((Income!D$3:D$502="INR")*(Income!A$3:A$502=DATE(2026,3,12)),ROW(Income!A$3:A$502)-2),4)),0)=0,"",IFERROR(-INDEX(Expenses!D$3:D$999,SMALL(IF((Expenses!E$3:E$999="INR")*(Expenses!A$3:A$999=DATE(2026,3,12)),ROW(Expenses!A$3:A$999)-2),4)),0)+IFERROR(INDEX(Income!C$3:C$502,SMALL(IF((Income!D$3:D$502="INR")*(Income!A$3:A$502=DATE(2026,3,12)),ROW(Income!A$3:A$502)-2),4)),0))</f>
        <v/>
      </c>
      <c r="J57" s="126">
        <f t="array" ref="J57">IF(IFERROR(INDEX(Expenses!B$3:B$999,SMALL(IF((Expenses!E$3:E$999="INR")*(Expenses!A$3:A$999=DATE(2026,3,12)),ROW(Expenses!A$3:A$999)-2),4)),"")&lt;&gt;"",IFERROR(INDEX(Expenses!B$3:B$999,SMALL(IF((Expenses!E$3:E$999="INR")*(Expenses!A$3:A$999=DATE(2026,3,12)),ROW(Expenses!A$3:A$999)-2),4)),""),IF(IFERROR(INDEX(Income!B$3:B$502,SMALL(IF((Income!D$3:D$502="INR")*(Income!A$3:A$502=DATE(2026,3,12)),ROW(Income!A$3:A$502)-2),4)),"")&lt;&gt;"",IFERROR(INDEX(Income!B$3:B$502,SMALL(IF((Income!D$3:D$502="INR")*(Income!A$3:A$502=DATE(2026,3,12)),ROW(Income!A$3:A$502)-2),4)),""),""))</f>
        <v/>
      </c>
      <c r="K57" s="153">
        <f t="array" ref="K57">IF(IFERROR(-INDEX(Expenses!D$3:D$999,SMALL(IF((Expenses!E$3:E$999="INR")*(Expenses!A$3:A$999=DATE(2026,3,13)),ROW(Expenses!A$3:A$999)-2),4)),0)+IFERROR(INDEX(Income!C$3:C$502,SMALL(IF((Income!D$3:D$502="INR")*(Income!A$3:A$502=DATE(2026,3,13)),ROW(Income!A$3:A$502)-2),4)),0)=0,"",IFERROR(-INDEX(Expenses!D$3:D$999,SMALL(IF((Expenses!E$3:E$999="INR")*(Expenses!A$3:A$999=DATE(2026,3,13)),ROW(Expenses!A$3:A$999)-2),4)),0)+IFERROR(INDEX(Income!C$3:C$502,SMALL(IF((Income!D$3:D$502="INR")*(Income!A$3:A$502=DATE(2026,3,13)),ROW(Income!A$3:A$502)-2),4)),0))</f>
        <v/>
      </c>
      <c r="L57" s="126">
        <f t="array" ref="L57">IF(IFERROR(INDEX(Expenses!B$3:B$999,SMALL(IF((Expenses!E$3:E$999="INR")*(Expenses!A$3:A$999=DATE(2026,3,13)),ROW(Expenses!A$3:A$999)-2),4)),"")&lt;&gt;"",IFERROR(INDEX(Expenses!B$3:B$999,SMALL(IF((Expenses!E$3:E$999="INR")*(Expenses!A$3:A$999=DATE(2026,3,13)),ROW(Expenses!A$3:A$999)-2),4)),""),IF(IFERROR(INDEX(Income!B$3:B$502,SMALL(IF((Income!D$3:D$502="INR")*(Income!A$3:A$502=DATE(2026,3,13)),ROW(Income!A$3:A$502)-2),4)),"")&lt;&gt;"",IFERROR(INDEX(Income!B$3:B$502,SMALL(IF((Income!D$3:D$502="INR")*(Income!A$3:A$502=DATE(2026,3,13)),ROW(Income!A$3:A$502)-2),4)),""),""))</f>
        <v/>
      </c>
      <c r="M57" s="153">
        <f t="array" ref="M57">IF(IFERROR(-INDEX(Expenses!D$3:D$999,SMALL(IF((Expenses!E$3:E$999="INR")*(Expenses!A$3:A$999=DATE(2026,3,14)),ROW(Expenses!A$3:A$999)-2),4)),0)+IFERROR(INDEX(Income!C$3:C$502,SMALL(IF((Income!D$3:D$502="INR")*(Income!A$3:A$502=DATE(2026,3,14)),ROW(Income!A$3:A$502)-2),4)),0)=0,"",IFERROR(-INDEX(Expenses!D$3:D$999,SMALL(IF((Expenses!E$3:E$999="INR")*(Expenses!A$3:A$999=DATE(2026,3,14)),ROW(Expenses!A$3:A$999)-2),4)),0)+IFERROR(INDEX(Income!C$3:C$502,SMALL(IF((Income!D$3:D$502="INR")*(Income!A$3:A$502=DATE(2026,3,14)),ROW(Income!A$3:A$502)-2),4)),0))</f>
        <v/>
      </c>
      <c r="N57" s="126">
        <f t="array" ref="N57">IF(IFERROR(INDEX(Expenses!B$3:B$999,SMALL(IF((Expenses!E$3:E$999="INR")*(Expenses!A$3:A$999=DATE(2026,3,14)),ROW(Expenses!A$3:A$999)-2),4)),"")&lt;&gt;"",IFERROR(INDEX(Expenses!B$3:B$999,SMALL(IF((Expenses!E$3:E$999="INR")*(Expenses!A$3:A$999=DATE(2026,3,14)),ROW(Expenses!A$3:A$999)-2),4)),""),IF(IFERROR(INDEX(Income!B$3:B$502,SMALL(IF((Income!D$3:D$502="INR")*(Income!A$3:A$502=DATE(2026,3,14)),ROW(Income!A$3:A$502)-2),4)),"")&lt;&gt;"",IFERROR(INDEX(Income!B$3:B$502,SMALL(IF((Income!D$3:D$502="INR")*(Income!A$3:A$502=DATE(2026,3,14)),ROW(Income!A$3:A$502)-2),4)),""),""))</f>
        <v/>
      </c>
      <c r="O57" s="153">
        <f t="array" ref="O57">IF(IFERROR(-INDEX(Expenses!D$3:D$999,SMALL(IF((Expenses!E$3:E$999="INR")*(Expenses!A$3:A$999=DATE(2026,3,15)),ROW(Expenses!A$3:A$999)-2),4)),0)+IFERROR(INDEX(Income!C$3:C$502,SMALL(IF((Income!D$3:D$502="INR")*(Income!A$3:A$502=DATE(2026,3,15)),ROW(Income!A$3:A$502)-2),4)),0)=0,"",IFERROR(-INDEX(Expenses!D$3:D$999,SMALL(IF((Expenses!E$3:E$999="INR")*(Expenses!A$3:A$999=DATE(2026,3,15)),ROW(Expenses!A$3:A$999)-2),4)),0)+IFERROR(INDEX(Income!C$3:C$502,SMALL(IF((Income!D$3:D$502="INR")*(Income!A$3:A$502=DATE(2026,3,15)),ROW(Income!A$3:A$502)-2),4)),0))</f>
        <v/>
      </c>
      <c r="P57" s="126">
        <f t="array" ref="P57">IF(IFERROR(INDEX(Expenses!B$3:B$999,SMALL(IF((Expenses!E$3:E$999="INR")*(Expenses!A$3:A$999=DATE(2026,3,15)),ROW(Expenses!A$3:A$999)-2),4)),"")&lt;&gt;"",IFERROR(INDEX(Expenses!B$3:B$999,SMALL(IF((Expenses!E$3:E$999="INR")*(Expenses!A$3:A$999=DATE(2026,3,15)),ROW(Expenses!A$3:A$999)-2),4)),""),IF(IFERROR(INDEX(Income!B$3:B$502,SMALL(IF((Income!D$3:D$502="INR")*(Income!A$3:A$502=DATE(2026,3,15)),ROW(Income!A$3:A$502)-2),4)),"")&lt;&gt;"",IFERROR(INDEX(Income!B$3:B$502,SMALL(IF((Income!D$3:D$502="INR")*(Income!A$3:A$502=DATE(2026,3,15)),ROW(Income!A$3:A$502)-2),4)),""),""))</f>
        <v/>
      </c>
      <c r="Q57" s="9" t="n"/>
      <c r="R57" s="9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68">
      <c r="A58" s="9" t="n"/>
      <c r="B58" s="9" t="n"/>
      <c r="C58" s="153">
        <f t="array" ref="C58">IF(IFERROR(-INDEX(Expenses!D$3:D$999,SMALL(IF((Expenses!E$3:E$999="INR")*(Expenses!A$3:A$999=DATE(2026,3,9)),ROW(Expenses!A$3:A$999)-2),5)),0)+IFERROR(INDEX(Income!C$3:C$502,SMALL(IF((Income!D$3:D$502="INR")*(Income!A$3:A$502=DATE(2026,3,9)),ROW(Income!A$3:A$502)-2),5)),0)=0,"",IFERROR(-INDEX(Expenses!D$3:D$999,SMALL(IF((Expenses!E$3:E$999="INR")*(Expenses!A$3:A$999=DATE(2026,3,9)),ROW(Expenses!A$3:A$999)-2),5)),0)+IFERROR(INDEX(Income!C$3:C$502,SMALL(IF((Income!D$3:D$502="INR")*(Income!A$3:A$502=DATE(2026,3,9)),ROW(Income!A$3:A$502)-2),5)),0))</f>
        <v/>
      </c>
      <c r="D58" s="126">
        <f t="array" ref="D58">IF(IFERROR(INDEX(Expenses!B$3:B$999,SMALL(IF((Expenses!E$3:E$999="INR")*(Expenses!A$3:A$999=DATE(2026,3,9)),ROW(Expenses!A$3:A$999)-2),5)),"")&lt;&gt;"",IFERROR(INDEX(Expenses!B$3:B$999,SMALL(IF((Expenses!E$3:E$999="INR")*(Expenses!A$3:A$999=DATE(2026,3,9)),ROW(Expenses!A$3:A$999)-2),5)),""),IF(IFERROR(INDEX(Income!B$3:B$502,SMALL(IF((Income!D$3:D$502="INR")*(Income!A$3:A$502=DATE(2026,3,9)),ROW(Income!A$3:A$502)-2),5)),"")&lt;&gt;"",IFERROR(INDEX(Income!B$3:B$502,SMALL(IF((Income!D$3:D$502="INR")*(Income!A$3:A$502=DATE(2026,3,9)),ROW(Income!A$3:A$502)-2),5)),""),""))</f>
        <v/>
      </c>
      <c r="E58" s="153">
        <f t="array" ref="E58">IF(IFERROR(-INDEX(Expenses!D$3:D$999,SMALL(IF((Expenses!E$3:E$999="INR")*(Expenses!A$3:A$999=DATE(2026,3,10)),ROW(Expenses!A$3:A$999)-2),5)),0)+IFERROR(INDEX(Income!C$3:C$502,SMALL(IF((Income!D$3:D$502="INR")*(Income!A$3:A$502=DATE(2026,3,10)),ROW(Income!A$3:A$502)-2),5)),0)=0,"",IFERROR(-INDEX(Expenses!D$3:D$999,SMALL(IF((Expenses!E$3:E$999="INR")*(Expenses!A$3:A$999=DATE(2026,3,10)),ROW(Expenses!A$3:A$999)-2),5)),0)+IFERROR(INDEX(Income!C$3:C$502,SMALL(IF((Income!D$3:D$502="INR")*(Income!A$3:A$502=DATE(2026,3,10)),ROW(Income!A$3:A$502)-2),5)),0))</f>
        <v/>
      </c>
      <c r="F58" s="126">
        <f t="array" ref="F58">IF(IFERROR(INDEX(Expenses!B$3:B$999,SMALL(IF((Expenses!E$3:E$999="INR")*(Expenses!A$3:A$999=DATE(2026,3,10)),ROW(Expenses!A$3:A$999)-2),5)),"")&lt;&gt;"",IFERROR(INDEX(Expenses!B$3:B$999,SMALL(IF((Expenses!E$3:E$999="INR")*(Expenses!A$3:A$999=DATE(2026,3,10)),ROW(Expenses!A$3:A$999)-2),5)),""),IF(IFERROR(INDEX(Income!B$3:B$502,SMALL(IF((Income!D$3:D$502="INR")*(Income!A$3:A$502=DATE(2026,3,10)),ROW(Income!A$3:A$502)-2),5)),"")&lt;&gt;"",IFERROR(INDEX(Income!B$3:B$502,SMALL(IF((Income!D$3:D$502="INR")*(Income!A$3:A$502=DATE(2026,3,10)),ROW(Income!A$3:A$502)-2),5)),""),""))</f>
        <v/>
      </c>
      <c r="G58" s="153">
        <f t="array" ref="G58">IF(IFERROR(-INDEX(Expenses!D$3:D$999,SMALL(IF((Expenses!E$3:E$999="INR")*(Expenses!A$3:A$999=DATE(2026,3,11)),ROW(Expenses!A$3:A$999)-2),5)),0)+IFERROR(INDEX(Income!C$3:C$502,SMALL(IF((Income!D$3:D$502="INR")*(Income!A$3:A$502=DATE(2026,3,11)),ROW(Income!A$3:A$502)-2),5)),0)=0,"",IFERROR(-INDEX(Expenses!D$3:D$999,SMALL(IF((Expenses!E$3:E$999="INR")*(Expenses!A$3:A$999=DATE(2026,3,11)),ROW(Expenses!A$3:A$999)-2),5)),0)+IFERROR(INDEX(Income!C$3:C$502,SMALL(IF((Income!D$3:D$502="INR")*(Income!A$3:A$502=DATE(2026,3,11)),ROW(Income!A$3:A$502)-2),5)),0))</f>
        <v/>
      </c>
      <c r="H58" s="126">
        <f t="array" ref="H58">IF(IFERROR(INDEX(Expenses!B$3:B$999,SMALL(IF((Expenses!E$3:E$999="INR")*(Expenses!A$3:A$999=DATE(2026,3,11)),ROW(Expenses!A$3:A$999)-2),5)),"")&lt;&gt;"",IFERROR(INDEX(Expenses!B$3:B$999,SMALL(IF((Expenses!E$3:E$999="INR")*(Expenses!A$3:A$999=DATE(2026,3,11)),ROW(Expenses!A$3:A$999)-2),5)),""),IF(IFERROR(INDEX(Income!B$3:B$502,SMALL(IF((Income!D$3:D$502="INR")*(Income!A$3:A$502=DATE(2026,3,11)),ROW(Income!A$3:A$502)-2),5)),"")&lt;&gt;"",IFERROR(INDEX(Income!B$3:B$502,SMALL(IF((Income!D$3:D$502="INR")*(Income!A$3:A$502=DATE(2026,3,11)),ROW(Income!A$3:A$502)-2),5)),""),""))</f>
        <v/>
      </c>
      <c r="I58" s="153">
        <f t="array" ref="I58">IF(IFERROR(-INDEX(Expenses!D$3:D$999,SMALL(IF((Expenses!E$3:E$999="INR")*(Expenses!A$3:A$999=DATE(2026,3,12)),ROW(Expenses!A$3:A$999)-2),5)),0)+IFERROR(INDEX(Income!C$3:C$502,SMALL(IF((Income!D$3:D$502="INR")*(Income!A$3:A$502=DATE(2026,3,12)),ROW(Income!A$3:A$502)-2),5)),0)=0,"",IFERROR(-INDEX(Expenses!D$3:D$999,SMALL(IF((Expenses!E$3:E$999="INR")*(Expenses!A$3:A$999=DATE(2026,3,12)),ROW(Expenses!A$3:A$999)-2),5)),0)+IFERROR(INDEX(Income!C$3:C$502,SMALL(IF((Income!D$3:D$502="INR")*(Income!A$3:A$502=DATE(2026,3,12)),ROW(Income!A$3:A$502)-2),5)),0))</f>
        <v/>
      </c>
      <c r="J58" s="126">
        <f t="array" ref="J58">IF(IFERROR(INDEX(Expenses!B$3:B$999,SMALL(IF((Expenses!E$3:E$999="INR")*(Expenses!A$3:A$999=DATE(2026,3,12)),ROW(Expenses!A$3:A$999)-2),5)),"")&lt;&gt;"",IFERROR(INDEX(Expenses!B$3:B$999,SMALL(IF((Expenses!E$3:E$999="INR")*(Expenses!A$3:A$999=DATE(2026,3,12)),ROW(Expenses!A$3:A$999)-2),5)),""),IF(IFERROR(INDEX(Income!B$3:B$502,SMALL(IF((Income!D$3:D$502="INR")*(Income!A$3:A$502=DATE(2026,3,12)),ROW(Income!A$3:A$502)-2),5)),"")&lt;&gt;"",IFERROR(INDEX(Income!B$3:B$502,SMALL(IF((Income!D$3:D$502="INR")*(Income!A$3:A$502=DATE(2026,3,12)),ROW(Income!A$3:A$502)-2),5)),""),""))</f>
        <v/>
      </c>
      <c r="K58" s="153">
        <f t="array" ref="K58">IF(IFERROR(-INDEX(Expenses!D$3:D$999,SMALL(IF((Expenses!E$3:E$999="INR")*(Expenses!A$3:A$999=DATE(2026,3,13)),ROW(Expenses!A$3:A$999)-2),5)),0)+IFERROR(INDEX(Income!C$3:C$502,SMALL(IF((Income!D$3:D$502="INR")*(Income!A$3:A$502=DATE(2026,3,13)),ROW(Income!A$3:A$502)-2),5)),0)=0,"",IFERROR(-INDEX(Expenses!D$3:D$999,SMALL(IF((Expenses!E$3:E$999="INR")*(Expenses!A$3:A$999=DATE(2026,3,13)),ROW(Expenses!A$3:A$999)-2),5)),0)+IFERROR(INDEX(Income!C$3:C$502,SMALL(IF((Income!D$3:D$502="INR")*(Income!A$3:A$502=DATE(2026,3,13)),ROW(Income!A$3:A$502)-2),5)),0))</f>
        <v/>
      </c>
      <c r="L58" s="126">
        <f t="array" ref="L58">IF(IFERROR(INDEX(Expenses!B$3:B$999,SMALL(IF((Expenses!E$3:E$999="INR")*(Expenses!A$3:A$999=DATE(2026,3,13)),ROW(Expenses!A$3:A$999)-2),5)),"")&lt;&gt;"",IFERROR(INDEX(Expenses!B$3:B$999,SMALL(IF((Expenses!E$3:E$999="INR")*(Expenses!A$3:A$999=DATE(2026,3,13)),ROW(Expenses!A$3:A$999)-2),5)),""),IF(IFERROR(INDEX(Income!B$3:B$502,SMALL(IF((Income!D$3:D$502="INR")*(Income!A$3:A$502=DATE(2026,3,13)),ROW(Income!A$3:A$502)-2),5)),"")&lt;&gt;"",IFERROR(INDEX(Income!B$3:B$502,SMALL(IF((Income!D$3:D$502="INR")*(Income!A$3:A$502=DATE(2026,3,13)),ROW(Income!A$3:A$502)-2),5)),""),""))</f>
        <v/>
      </c>
      <c r="M58" s="153">
        <f t="array" ref="M58">IF(IFERROR(-INDEX(Expenses!D$3:D$999,SMALL(IF((Expenses!E$3:E$999="INR")*(Expenses!A$3:A$999=DATE(2026,3,14)),ROW(Expenses!A$3:A$999)-2),5)),0)+IFERROR(INDEX(Income!C$3:C$502,SMALL(IF((Income!D$3:D$502="INR")*(Income!A$3:A$502=DATE(2026,3,14)),ROW(Income!A$3:A$502)-2),5)),0)=0,"",IFERROR(-INDEX(Expenses!D$3:D$999,SMALL(IF((Expenses!E$3:E$999="INR")*(Expenses!A$3:A$999=DATE(2026,3,14)),ROW(Expenses!A$3:A$999)-2),5)),0)+IFERROR(INDEX(Income!C$3:C$502,SMALL(IF((Income!D$3:D$502="INR")*(Income!A$3:A$502=DATE(2026,3,14)),ROW(Income!A$3:A$502)-2),5)),0))</f>
        <v/>
      </c>
      <c r="N58" s="126">
        <f t="array" ref="N58">IF(IFERROR(INDEX(Expenses!B$3:B$999,SMALL(IF((Expenses!E$3:E$999="INR")*(Expenses!A$3:A$999=DATE(2026,3,14)),ROW(Expenses!A$3:A$999)-2),5)),"")&lt;&gt;"",IFERROR(INDEX(Expenses!B$3:B$999,SMALL(IF((Expenses!E$3:E$999="INR")*(Expenses!A$3:A$999=DATE(2026,3,14)),ROW(Expenses!A$3:A$999)-2),5)),""),IF(IFERROR(INDEX(Income!B$3:B$502,SMALL(IF((Income!D$3:D$502="INR")*(Income!A$3:A$502=DATE(2026,3,14)),ROW(Income!A$3:A$502)-2),5)),"")&lt;&gt;"",IFERROR(INDEX(Income!B$3:B$502,SMALL(IF((Income!D$3:D$502="INR")*(Income!A$3:A$502=DATE(2026,3,14)),ROW(Income!A$3:A$502)-2),5)),""),""))</f>
        <v/>
      </c>
      <c r="O58" s="153">
        <f t="array" ref="O58">IF(IFERROR(-INDEX(Expenses!D$3:D$999,SMALL(IF((Expenses!E$3:E$999="INR")*(Expenses!A$3:A$999=DATE(2026,3,15)),ROW(Expenses!A$3:A$999)-2),5)),0)+IFERROR(INDEX(Income!C$3:C$502,SMALL(IF((Income!D$3:D$502="INR")*(Income!A$3:A$502=DATE(2026,3,15)),ROW(Income!A$3:A$502)-2),5)),0)=0,"",IFERROR(-INDEX(Expenses!D$3:D$999,SMALL(IF((Expenses!E$3:E$999="INR")*(Expenses!A$3:A$999=DATE(2026,3,15)),ROW(Expenses!A$3:A$999)-2),5)),0)+IFERROR(INDEX(Income!C$3:C$502,SMALL(IF((Income!D$3:D$502="INR")*(Income!A$3:A$502=DATE(2026,3,15)),ROW(Income!A$3:A$502)-2),5)),0))</f>
        <v/>
      </c>
      <c r="P58" s="126">
        <f t="array" ref="P58">IF(IFERROR(INDEX(Expenses!B$3:B$999,SMALL(IF((Expenses!E$3:E$999="INR")*(Expenses!A$3:A$999=DATE(2026,3,15)),ROW(Expenses!A$3:A$999)-2),5)),"")&lt;&gt;"",IFERROR(INDEX(Expenses!B$3:B$999,SMALL(IF((Expenses!E$3:E$999="INR")*(Expenses!A$3:A$999=DATE(2026,3,15)),ROW(Expenses!A$3:A$999)-2),5)),""),IF(IFERROR(INDEX(Income!B$3:B$502,SMALL(IF((Income!D$3:D$502="INR")*(Income!A$3:A$502=DATE(2026,3,15)),ROW(Income!A$3:A$502)-2),5)),"")&lt;&gt;"",IFERROR(INDEX(Income!B$3:B$502,SMALL(IF((Income!D$3:D$502="INR")*(Income!A$3:A$502=DATE(2026,3,15)),ROW(Income!A$3:A$502)-2),5)),""),""))</f>
        <v/>
      </c>
      <c r="Q58" s="9" t="n"/>
      <c r="R58" s="9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68">
      <c r="A59" s="151" t="n">
        <v>46097</v>
      </c>
      <c r="B59" s="103" t="n">
        <v>12</v>
      </c>
      <c r="C59" s="153">
        <f t="array" ref="C59">IF(IFERROR(-INDEX(Expenses!D$3:D$999,SMALL(IF((Expenses!E$3:E$999="INR")*(Expenses!A$3:A$999=DATE(2026,3,16)),ROW(Expenses!A$3:A$999)-2),1)),0)+IFERROR(INDEX(Income!C$3:C$502,SMALL(IF((Income!D$3:D$502="INR")*(Income!A$3:A$502=DATE(2026,3,16)),ROW(Income!A$3:A$502)-2),1)),0)=0,"",IFERROR(-INDEX(Expenses!D$3:D$999,SMALL(IF((Expenses!E$3:E$999="INR")*(Expenses!A$3:A$999=DATE(2026,3,16)),ROW(Expenses!A$3:A$999)-2),1)),0)+IFERROR(INDEX(Income!C$3:C$502,SMALL(IF((Income!D$3:D$502="INR")*(Income!A$3:A$502=DATE(2026,3,16)),ROW(Income!A$3:A$502)-2),1)),0))</f>
        <v/>
      </c>
      <c r="D59" s="126">
        <f t="array" ref="D59">IF(IFERROR(INDEX(Expenses!B$3:B$999,SMALL(IF((Expenses!E$3:E$999="INR")*(Expenses!A$3:A$999=DATE(2026,3,16)),ROW(Expenses!A$3:A$999)-2),1)),"")&lt;&gt;"",IFERROR(INDEX(Expenses!B$3:B$999,SMALL(IF((Expenses!E$3:E$999="INR")*(Expenses!A$3:A$999=DATE(2026,3,16)),ROW(Expenses!A$3:A$999)-2),1)),""),IF(IFERROR(INDEX(Income!B$3:B$502,SMALL(IF((Income!D$3:D$502="INR")*(Income!A$3:A$502=DATE(2026,3,16)),ROW(Income!A$3:A$502)-2),1)),"")&lt;&gt;"",IFERROR(INDEX(Income!B$3:B$502,SMALL(IF((Income!D$3:D$502="INR")*(Income!A$3:A$502=DATE(2026,3,16)),ROW(Income!A$3:A$502)-2),1)),""),""))</f>
        <v/>
      </c>
      <c r="E59" s="153">
        <f t="array" ref="E59">IF(IFERROR(-INDEX(Expenses!D$3:D$999,SMALL(IF((Expenses!E$3:E$999="INR")*(Expenses!A$3:A$999=DATE(2026,3,17)),ROW(Expenses!A$3:A$999)-2),1)),0)+IFERROR(INDEX(Income!C$3:C$502,SMALL(IF((Income!D$3:D$502="INR")*(Income!A$3:A$502=DATE(2026,3,17)),ROW(Income!A$3:A$502)-2),1)),0)=0,"",IFERROR(-INDEX(Expenses!D$3:D$999,SMALL(IF((Expenses!E$3:E$999="INR")*(Expenses!A$3:A$999=DATE(2026,3,17)),ROW(Expenses!A$3:A$999)-2),1)),0)+IFERROR(INDEX(Income!C$3:C$502,SMALL(IF((Income!D$3:D$502="INR")*(Income!A$3:A$502=DATE(2026,3,17)),ROW(Income!A$3:A$502)-2),1)),0))</f>
        <v/>
      </c>
      <c r="F59" s="126">
        <f t="array" ref="F59">IF(IFERROR(INDEX(Expenses!B$3:B$999,SMALL(IF((Expenses!E$3:E$999="INR")*(Expenses!A$3:A$999=DATE(2026,3,17)),ROW(Expenses!A$3:A$999)-2),1)),"")&lt;&gt;"",IFERROR(INDEX(Expenses!B$3:B$999,SMALL(IF((Expenses!E$3:E$999="INR")*(Expenses!A$3:A$999=DATE(2026,3,17)),ROW(Expenses!A$3:A$999)-2),1)),""),IF(IFERROR(INDEX(Income!B$3:B$502,SMALL(IF((Income!D$3:D$502="INR")*(Income!A$3:A$502=DATE(2026,3,17)),ROW(Income!A$3:A$502)-2),1)),"")&lt;&gt;"",IFERROR(INDEX(Income!B$3:B$502,SMALL(IF((Income!D$3:D$502="INR")*(Income!A$3:A$502=DATE(2026,3,17)),ROW(Income!A$3:A$502)-2),1)),""),""))</f>
        <v/>
      </c>
      <c r="G59" s="153">
        <f t="array" ref="G59">IF(IFERROR(-INDEX(Expenses!D$3:D$999,SMALL(IF((Expenses!E$3:E$999="INR")*(Expenses!A$3:A$999=DATE(2026,3,18)),ROW(Expenses!A$3:A$999)-2),1)),0)+IFERROR(INDEX(Income!C$3:C$502,SMALL(IF((Income!D$3:D$502="INR")*(Income!A$3:A$502=DATE(2026,3,18)),ROW(Income!A$3:A$502)-2),1)),0)=0,"",IFERROR(-INDEX(Expenses!D$3:D$999,SMALL(IF((Expenses!E$3:E$999="INR")*(Expenses!A$3:A$999=DATE(2026,3,18)),ROW(Expenses!A$3:A$999)-2),1)),0)+IFERROR(INDEX(Income!C$3:C$502,SMALL(IF((Income!D$3:D$502="INR")*(Income!A$3:A$502=DATE(2026,3,18)),ROW(Income!A$3:A$502)-2),1)),0))</f>
        <v/>
      </c>
      <c r="H59" s="126">
        <f t="array" ref="H59">IF(IFERROR(INDEX(Expenses!B$3:B$999,SMALL(IF((Expenses!E$3:E$999="INR")*(Expenses!A$3:A$999=DATE(2026,3,18)),ROW(Expenses!A$3:A$999)-2),1)),"")&lt;&gt;"",IFERROR(INDEX(Expenses!B$3:B$999,SMALL(IF((Expenses!E$3:E$999="INR")*(Expenses!A$3:A$999=DATE(2026,3,18)),ROW(Expenses!A$3:A$999)-2),1)),""),IF(IFERROR(INDEX(Income!B$3:B$502,SMALL(IF((Income!D$3:D$502="INR")*(Income!A$3:A$502=DATE(2026,3,18)),ROW(Income!A$3:A$502)-2),1)),"")&lt;&gt;"",IFERROR(INDEX(Income!B$3:B$502,SMALL(IF((Income!D$3:D$502="INR")*(Income!A$3:A$502=DATE(2026,3,18)),ROW(Income!A$3:A$502)-2),1)),""),""))</f>
        <v/>
      </c>
      <c r="I59" s="153">
        <f t="array" ref="I59">IF(IFERROR(-INDEX(Expenses!D$3:D$999,SMALL(IF((Expenses!E$3:E$999="INR")*(Expenses!A$3:A$999=DATE(2026,3,19)),ROW(Expenses!A$3:A$999)-2),1)),0)+IFERROR(INDEX(Income!C$3:C$502,SMALL(IF((Income!D$3:D$502="INR")*(Income!A$3:A$502=DATE(2026,3,19)),ROW(Income!A$3:A$502)-2),1)),0)=0,"",IFERROR(-INDEX(Expenses!D$3:D$999,SMALL(IF((Expenses!E$3:E$999="INR")*(Expenses!A$3:A$999=DATE(2026,3,19)),ROW(Expenses!A$3:A$999)-2),1)),0)+IFERROR(INDEX(Income!C$3:C$502,SMALL(IF((Income!D$3:D$502="INR")*(Income!A$3:A$502=DATE(2026,3,19)),ROW(Income!A$3:A$502)-2),1)),0))</f>
        <v/>
      </c>
      <c r="J59" s="126">
        <f t="array" ref="J59">IF(IFERROR(INDEX(Expenses!B$3:B$999,SMALL(IF((Expenses!E$3:E$999="INR")*(Expenses!A$3:A$999=DATE(2026,3,19)),ROW(Expenses!A$3:A$999)-2),1)),"")&lt;&gt;"",IFERROR(INDEX(Expenses!B$3:B$999,SMALL(IF((Expenses!E$3:E$999="INR")*(Expenses!A$3:A$999=DATE(2026,3,19)),ROW(Expenses!A$3:A$999)-2),1)),""),IF(IFERROR(INDEX(Income!B$3:B$502,SMALL(IF((Income!D$3:D$502="INR")*(Income!A$3:A$502=DATE(2026,3,19)),ROW(Income!A$3:A$502)-2),1)),"")&lt;&gt;"",IFERROR(INDEX(Income!B$3:B$502,SMALL(IF((Income!D$3:D$502="INR")*(Income!A$3:A$502=DATE(2026,3,19)),ROW(Income!A$3:A$502)-2),1)),""),""))</f>
        <v/>
      </c>
      <c r="K59" s="153">
        <f t="array" ref="K59">IF(IFERROR(-INDEX(Expenses!D$3:D$999,SMALL(IF((Expenses!E$3:E$999="INR")*(Expenses!A$3:A$999=DATE(2026,3,20)),ROW(Expenses!A$3:A$999)-2),1)),0)+IFERROR(INDEX(Income!C$3:C$502,SMALL(IF((Income!D$3:D$502="INR")*(Income!A$3:A$502=DATE(2026,3,20)),ROW(Income!A$3:A$502)-2),1)),0)=0,"",IFERROR(-INDEX(Expenses!D$3:D$999,SMALL(IF((Expenses!E$3:E$999="INR")*(Expenses!A$3:A$999=DATE(2026,3,20)),ROW(Expenses!A$3:A$999)-2),1)),0)+IFERROR(INDEX(Income!C$3:C$502,SMALL(IF((Income!D$3:D$502="INR")*(Income!A$3:A$502=DATE(2026,3,20)),ROW(Income!A$3:A$502)-2),1)),0))</f>
        <v/>
      </c>
      <c r="L59" s="126">
        <f t="array" ref="L59">IF(IFERROR(INDEX(Expenses!B$3:B$999,SMALL(IF((Expenses!E$3:E$999="INR")*(Expenses!A$3:A$999=DATE(2026,3,20)),ROW(Expenses!A$3:A$999)-2),1)),"")&lt;&gt;"",IFERROR(INDEX(Expenses!B$3:B$999,SMALL(IF((Expenses!E$3:E$999="INR")*(Expenses!A$3:A$999=DATE(2026,3,20)),ROW(Expenses!A$3:A$999)-2),1)),""),IF(IFERROR(INDEX(Income!B$3:B$502,SMALL(IF((Income!D$3:D$502="INR")*(Income!A$3:A$502=DATE(2026,3,20)),ROW(Income!A$3:A$502)-2),1)),"")&lt;&gt;"",IFERROR(INDEX(Income!B$3:B$502,SMALL(IF((Income!D$3:D$502="INR")*(Income!A$3:A$502=DATE(2026,3,20)),ROW(Income!A$3:A$502)-2),1)),""),""))</f>
        <v/>
      </c>
      <c r="M59" s="153">
        <f t="array" ref="M59">IF(IFERROR(-INDEX(Expenses!D$3:D$999,SMALL(IF((Expenses!E$3:E$999="INR")*(Expenses!A$3:A$999=DATE(2026,3,21)),ROW(Expenses!A$3:A$999)-2),1)),0)+IFERROR(INDEX(Income!C$3:C$502,SMALL(IF((Income!D$3:D$502="INR")*(Income!A$3:A$502=DATE(2026,3,21)),ROW(Income!A$3:A$502)-2),1)),0)=0,"",IFERROR(-INDEX(Expenses!D$3:D$999,SMALL(IF((Expenses!E$3:E$999="INR")*(Expenses!A$3:A$999=DATE(2026,3,21)),ROW(Expenses!A$3:A$999)-2),1)),0)+IFERROR(INDEX(Income!C$3:C$502,SMALL(IF((Income!D$3:D$502="INR")*(Income!A$3:A$502=DATE(2026,3,21)),ROW(Income!A$3:A$502)-2),1)),0))</f>
        <v/>
      </c>
      <c r="N59" s="126">
        <f t="array" ref="N59">IF(IFERROR(INDEX(Expenses!B$3:B$999,SMALL(IF((Expenses!E$3:E$999="INR")*(Expenses!A$3:A$999=DATE(2026,3,21)),ROW(Expenses!A$3:A$999)-2),1)),"")&lt;&gt;"",IFERROR(INDEX(Expenses!B$3:B$999,SMALL(IF((Expenses!E$3:E$999="INR")*(Expenses!A$3:A$999=DATE(2026,3,21)),ROW(Expenses!A$3:A$999)-2),1)),""),IF(IFERROR(INDEX(Income!B$3:B$502,SMALL(IF((Income!D$3:D$502="INR")*(Income!A$3:A$502=DATE(2026,3,21)),ROW(Income!A$3:A$502)-2),1)),"")&lt;&gt;"",IFERROR(INDEX(Income!B$3:B$502,SMALL(IF((Income!D$3:D$502="INR")*(Income!A$3:A$502=DATE(2026,3,21)),ROW(Income!A$3:A$502)-2),1)),""),""))</f>
        <v/>
      </c>
      <c r="O59" s="153">
        <f t="array" ref="O59">IF(IFERROR(-INDEX(Expenses!D$3:D$999,SMALL(IF((Expenses!E$3:E$999="INR")*(Expenses!A$3:A$999=DATE(2026,3,22)),ROW(Expenses!A$3:A$999)-2),1)),0)+IFERROR(INDEX(Income!C$3:C$502,SMALL(IF((Income!D$3:D$502="INR")*(Income!A$3:A$502=DATE(2026,3,22)),ROW(Income!A$3:A$502)-2),1)),0)=0,"",IFERROR(-INDEX(Expenses!D$3:D$999,SMALL(IF((Expenses!E$3:E$999="INR")*(Expenses!A$3:A$999=DATE(2026,3,22)),ROW(Expenses!A$3:A$999)-2),1)),0)+IFERROR(INDEX(Income!C$3:C$502,SMALL(IF((Income!D$3:D$502="INR")*(Income!A$3:A$502=DATE(2026,3,22)),ROW(Income!A$3:A$502)-2),1)),0))</f>
        <v/>
      </c>
      <c r="P59" s="126">
        <f t="array" ref="P59">IF(IFERROR(INDEX(Expenses!B$3:B$999,SMALL(IF((Expenses!E$3:E$999="INR")*(Expenses!A$3:A$999=DATE(2026,3,22)),ROW(Expenses!A$3:A$999)-2),1)),"")&lt;&gt;"",IFERROR(INDEX(Expenses!B$3:B$999,SMALL(IF((Expenses!E$3:E$999="INR")*(Expenses!A$3:A$999=DATE(2026,3,22)),ROW(Expenses!A$3:A$999)-2),1)),""),IF(IFERROR(INDEX(Income!B$3:B$502,SMALL(IF((Income!D$3:D$502="INR")*(Income!A$3:A$502=DATE(2026,3,22)),ROW(Income!A$3:A$502)-2),1)),"")&lt;&gt;"",IFERROR(INDEX(Income!B$3:B$502,SMALL(IF((Income!D$3:D$502="INR")*(Income!A$3:A$502=DATE(2026,3,22)),ROW(Income!A$3:A$502)-2),1)),""),""))</f>
        <v/>
      </c>
      <c r="Q59" s="103" t="n">
        <v>12</v>
      </c>
      <c r="R59" s="142">
        <f>SUM(C59:C63)+SUM(E59:E63)+SUM(G59:G63)+SUM(I59:I63)+SUM(K59:K63)+SUM(M59:M63)+SUM(O59:O63)</f>
        <v/>
      </c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68">
      <c r="A60" s="9" t="n"/>
      <c r="B60" s="9" t="n"/>
      <c r="C60" s="153">
        <f t="array" ref="C60">IF(IFERROR(-INDEX(Expenses!D$3:D$999,SMALL(IF((Expenses!E$3:E$999="INR")*(Expenses!A$3:A$999=DATE(2026,3,16)),ROW(Expenses!A$3:A$999)-2),2)),0)+IFERROR(INDEX(Income!C$3:C$502,SMALL(IF((Income!D$3:D$502="INR")*(Income!A$3:A$502=DATE(2026,3,16)),ROW(Income!A$3:A$502)-2),2)),0)=0,"",IFERROR(-INDEX(Expenses!D$3:D$999,SMALL(IF((Expenses!E$3:E$999="INR")*(Expenses!A$3:A$999=DATE(2026,3,16)),ROW(Expenses!A$3:A$999)-2),2)),0)+IFERROR(INDEX(Income!C$3:C$502,SMALL(IF((Income!D$3:D$502="INR")*(Income!A$3:A$502=DATE(2026,3,16)),ROW(Income!A$3:A$502)-2),2)),0))</f>
        <v/>
      </c>
      <c r="D60" s="126">
        <f t="array" ref="D60">IF(IFERROR(INDEX(Expenses!B$3:B$999,SMALL(IF((Expenses!E$3:E$999="INR")*(Expenses!A$3:A$999=DATE(2026,3,16)),ROW(Expenses!A$3:A$999)-2),2)),"")&lt;&gt;"",IFERROR(INDEX(Expenses!B$3:B$999,SMALL(IF((Expenses!E$3:E$999="INR")*(Expenses!A$3:A$999=DATE(2026,3,16)),ROW(Expenses!A$3:A$999)-2),2)),""),IF(IFERROR(INDEX(Income!B$3:B$502,SMALL(IF((Income!D$3:D$502="INR")*(Income!A$3:A$502=DATE(2026,3,16)),ROW(Income!A$3:A$502)-2),2)),"")&lt;&gt;"",IFERROR(INDEX(Income!B$3:B$502,SMALL(IF((Income!D$3:D$502="INR")*(Income!A$3:A$502=DATE(2026,3,16)),ROW(Income!A$3:A$502)-2),2)),""),""))</f>
        <v/>
      </c>
      <c r="E60" s="153">
        <f t="array" ref="E60">IF(IFERROR(-INDEX(Expenses!D$3:D$999,SMALL(IF((Expenses!E$3:E$999="INR")*(Expenses!A$3:A$999=DATE(2026,3,17)),ROW(Expenses!A$3:A$999)-2),2)),0)+IFERROR(INDEX(Income!C$3:C$502,SMALL(IF((Income!D$3:D$502="INR")*(Income!A$3:A$502=DATE(2026,3,17)),ROW(Income!A$3:A$502)-2),2)),0)=0,"",IFERROR(-INDEX(Expenses!D$3:D$999,SMALL(IF((Expenses!E$3:E$999="INR")*(Expenses!A$3:A$999=DATE(2026,3,17)),ROW(Expenses!A$3:A$999)-2),2)),0)+IFERROR(INDEX(Income!C$3:C$502,SMALL(IF((Income!D$3:D$502="INR")*(Income!A$3:A$502=DATE(2026,3,17)),ROW(Income!A$3:A$502)-2),2)),0))</f>
        <v/>
      </c>
      <c r="F60" s="126">
        <f t="array" ref="F60">IF(IFERROR(INDEX(Expenses!B$3:B$999,SMALL(IF((Expenses!E$3:E$999="INR")*(Expenses!A$3:A$999=DATE(2026,3,17)),ROW(Expenses!A$3:A$999)-2),2)),"")&lt;&gt;"",IFERROR(INDEX(Expenses!B$3:B$999,SMALL(IF((Expenses!E$3:E$999="INR")*(Expenses!A$3:A$999=DATE(2026,3,17)),ROW(Expenses!A$3:A$999)-2),2)),""),IF(IFERROR(INDEX(Income!B$3:B$502,SMALL(IF((Income!D$3:D$502="INR")*(Income!A$3:A$502=DATE(2026,3,17)),ROW(Income!A$3:A$502)-2),2)),"")&lt;&gt;"",IFERROR(INDEX(Income!B$3:B$502,SMALL(IF((Income!D$3:D$502="INR")*(Income!A$3:A$502=DATE(2026,3,17)),ROW(Income!A$3:A$502)-2),2)),""),""))</f>
        <v/>
      </c>
      <c r="G60" s="153">
        <f t="array" ref="G60">IF(IFERROR(-INDEX(Expenses!D$3:D$999,SMALL(IF((Expenses!E$3:E$999="INR")*(Expenses!A$3:A$999=DATE(2026,3,18)),ROW(Expenses!A$3:A$999)-2),2)),0)+IFERROR(INDEX(Income!C$3:C$502,SMALL(IF((Income!D$3:D$502="INR")*(Income!A$3:A$502=DATE(2026,3,18)),ROW(Income!A$3:A$502)-2),2)),0)=0,"",IFERROR(-INDEX(Expenses!D$3:D$999,SMALL(IF((Expenses!E$3:E$999="INR")*(Expenses!A$3:A$999=DATE(2026,3,18)),ROW(Expenses!A$3:A$999)-2),2)),0)+IFERROR(INDEX(Income!C$3:C$502,SMALL(IF((Income!D$3:D$502="INR")*(Income!A$3:A$502=DATE(2026,3,18)),ROW(Income!A$3:A$502)-2),2)),0))</f>
        <v/>
      </c>
      <c r="H60" s="126">
        <f t="array" ref="H60">IF(IFERROR(INDEX(Expenses!B$3:B$999,SMALL(IF((Expenses!E$3:E$999="INR")*(Expenses!A$3:A$999=DATE(2026,3,18)),ROW(Expenses!A$3:A$999)-2),2)),"")&lt;&gt;"",IFERROR(INDEX(Expenses!B$3:B$999,SMALL(IF((Expenses!E$3:E$999="INR")*(Expenses!A$3:A$999=DATE(2026,3,18)),ROW(Expenses!A$3:A$999)-2),2)),""),IF(IFERROR(INDEX(Income!B$3:B$502,SMALL(IF((Income!D$3:D$502="INR")*(Income!A$3:A$502=DATE(2026,3,18)),ROW(Income!A$3:A$502)-2),2)),"")&lt;&gt;"",IFERROR(INDEX(Income!B$3:B$502,SMALL(IF((Income!D$3:D$502="INR")*(Income!A$3:A$502=DATE(2026,3,18)),ROW(Income!A$3:A$502)-2),2)),""),""))</f>
        <v/>
      </c>
      <c r="I60" s="153">
        <f t="array" ref="I60">IF(IFERROR(-INDEX(Expenses!D$3:D$999,SMALL(IF((Expenses!E$3:E$999="INR")*(Expenses!A$3:A$999=DATE(2026,3,19)),ROW(Expenses!A$3:A$999)-2),2)),0)+IFERROR(INDEX(Income!C$3:C$502,SMALL(IF((Income!D$3:D$502="INR")*(Income!A$3:A$502=DATE(2026,3,19)),ROW(Income!A$3:A$502)-2),2)),0)=0,"",IFERROR(-INDEX(Expenses!D$3:D$999,SMALL(IF((Expenses!E$3:E$999="INR")*(Expenses!A$3:A$999=DATE(2026,3,19)),ROW(Expenses!A$3:A$999)-2),2)),0)+IFERROR(INDEX(Income!C$3:C$502,SMALL(IF((Income!D$3:D$502="INR")*(Income!A$3:A$502=DATE(2026,3,19)),ROW(Income!A$3:A$502)-2),2)),0))</f>
        <v/>
      </c>
      <c r="J60" s="126">
        <f t="array" ref="J60">IF(IFERROR(INDEX(Expenses!B$3:B$999,SMALL(IF((Expenses!E$3:E$999="INR")*(Expenses!A$3:A$999=DATE(2026,3,19)),ROW(Expenses!A$3:A$999)-2),2)),"")&lt;&gt;"",IFERROR(INDEX(Expenses!B$3:B$999,SMALL(IF((Expenses!E$3:E$999="INR")*(Expenses!A$3:A$999=DATE(2026,3,19)),ROW(Expenses!A$3:A$999)-2),2)),""),IF(IFERROR(INDEX(Income!B$3:B$502,SMALL(IF((Income!D$3:D$502="INR")*(Income!A$3:A$502=DATE(2026,3,19)),ROW(Income!A$3:A$502)-2),2)),"")&lt;&gt;"",IFERROR(INDEX(Income!B$3:B$502,SMALL(IF((Income!D$3:D$502="INR")*(Income!A$3:A$502=DATE(2026,3,19)),ROW(Income!A$3:A$502)-2),2)),""),""))</f>
        <v/>
      </c>
      <c r="K60" s="153">
        <f t="array" ref="K60">IF(IFERROR(-INDEX(Expenses!D$3:D$999,SMALL(IF((Expenses!E$3:E$999="INR")*(Expenses!A$3:A$999=DATE(2026,3,20)),ROW(Expenses!A$3:A$999)-2),2)),0)+IFERROR(INDEX(Income!C$3:C$502,SMALL(IF((Income!D$3:D$502="INR")*(Income!A$3:A$502=DATE(2026,3,20)),ROW(Income!A$3:A$502)-2),2)),0)=0,"",IFERROR(-INDEX(Expenses!D$3:D$999,SMALL(IF((Expenses!E$3:E$999="INR")*(Expenses!A$3:A$999=DATE(2026,3,20)),ROW(Expenses!A$3:A$999)-2),2)),0)+IFERROR(INDEX(Income!C$3:C$502,SMALL(IF((Income!D$3:D$502="INR")*(Income!A$3:A$502=DATE(2026,3,20)),ROW(Income!A$3:A$502)-2),2)),0))</f>
        <v/>
      </c>
      <c r="L60" s="126">
        <f t="array" ref="L60">IF(IFERROR(INDEX(Expenses!B$3:B$999,SMALL(IF((Expenses!E$3:E$999="INR")*(Expenses!A$3:A$999=DATE(2026,3,20)),ROW(Expenses!A$3:A$999)-2),2)),"")&lt;&gt;"",IFERROR(INDEX(Expenses!B$3:B$999,SMALL(IF((Expenses!E$3:E$999="INR")*(Expenses!A$3:A$999=DATE(2026,3,20)),ROW(Expenses!A$3:A$999)-2),2)),""),IF(IFERROR(INDEX(Income!B$3:B$502,SMALL(IF((Income!D$3:D$502="INR")*(Income!A$3:A$502=DATE(2026,3,20)),ROW(Income!A$3:A$502)-2),2)),"")&lt;&gt;"",IFERROR(INDEX(Income!B$3:B$502,SMALL(IF((Income!D$3:D$502="INR")*(Income!A$3:A$502=DATE(2026,3,20)),ROW(Income!A$3:A$502)-2),2)),""),""))</f>
        <v/>
      </c>
      <c r="M60" s="153">
        <f t="array" ref="M60">IF(IFERROR(-INDEX(Expenses!D$3:D$999,SMALL(IF((Expenses!E$3:E$999="INR")*(Expenses!A$3:A$999=DATE(2026,3,21)),ROW(Expenses!A$3:A$999)-2),2)),0)+IFERROR(INDEX(Income!C$3:C$502,SMALL(IF((Income!D$3:D$502="INR")*(Income!A$3:A$502=DATE(2026,3,21)),ROW(Income!A$3:A$502)-2),2)),0)=0,"",IFERROR(-INDEX(Expenses!D$3:D$999,SMALL(IF((Expenses!E$3:E$999="INR")*(Expenses!A$3:A$999=DATE(2026,3,21)),ROW(Expenses!A$3:A$999)-2),2)),0)+IFERROR(INDEX(Income!C$3:C$502,SMALL(IF((Income!D$3:D$502="INR")*(Income!A$3:A$502=DATE(2026,3,21)),ROW(Income!A$3:A$502)-2),2)),0))</f>
        <v/>
      </c>
      <c r="N60" s="126">
        <f t="array" ref="N60">IF(IFERROR(INDEX(Expenses!B$3:B$999,SMALL(IF((Expenses!E$3:E$999="INR")*(Expenses!A$3:A$999=DATE(2026,3,21)),ROW(Expenses!A$3:A$999)-2),2)),"")&lt;&gt;"",IFERROR(INDEX(Expenses!B$3:B$999,SMALL(IF((Expenses!E$3:E$999="INR")*(Expenses!A$3:A$999=DATE(2026,3,21)),ROW(Expenses!A$3:A$999)-2),2)),""),IF(IFERROR(INDEX(Income!B$3:B$502,SMALL(IF((Income!D$3:D$502="INR")*(Income!A$3:A$502=DATE(2026,3,21)),ROW(Income!A$3:A$502)-2),2)),"")&lt;&gt;"",IFERROR(INDEX(Income!B$3:B$502,SMALL(IF((Income!D$3:D$502="INR")*(Income!A$3:A$502=DATE(2026,3,21)),ROW(Income!A$3:A$502)-2),2)),""),""))</f>
        <v/>
      </c>
      <c r="O60" s="153">
        <f t="array" ref="O60">IF(IFERROR(-INDEX(Expenses!D$3:D$999,SMALL(IF((Expenses!E$3:E$999="INR")*(Expenses!A$3:A$999=DATE(2026,3,22)),ROW(Expenses!A$3:A$999)-2),2)),0)+IFERROR(INDEX(Income!C$3:C$502,SMALL(IF((Income!D$3:D$502="INR")*(Income!A$3:A$502=DATE(2026,3,22)),ROW(Income!A$3:A$502)-2),2)),0)=0,"",IFERROR(-INDEX(Expenses!D$3:D$999,SMALL(IF((Expenses!E$3:E$999="INR")*(Expenses!A$3:A$999=DATE(2026,3,22)),ROW(Expenses!A$3:A$999)-2),2)),0)+IFERROR(INDEX(Income!C$3:C$502,SMALL(IF((Income!D$3:D$502="INR")*(Income!A$3:A$502=DATE(2026,3,22)),ROW(Income!A$3:A$502)-2),2)),0))</f>
        <v/>
      </c>
      <c r="P60" s="126">
        <f t="array" ref="P60">IF(IFERROR(INDEX(Expenses!B$3:B$999,SMALL(IF((Expenses!E$3:E$999="INR")*(Expenses!A$3:A$999=DATE(2026,3,22)),ROW(Expenses!A$3:A$999)-2),2)),"")&lt;&gt;"",IFERROR(INDEX(Expenses!B$3:B$999,SMALL(IF((Expenses!E$3:E$999="INR")*(Expenses!A$3:A$999=DATE(2026,3,22)),ROW(Expenses!A$3:A$999)-2),2)),""),IF(IFERROR(INDEX(Income!B$3:B$502,SMALL(IF((Income!D$3:D$502="INR")*(Income!A$3:A$502=DATE(2026,3,22)),ROW(Income!A$3:A$502)-2),2)),"")&lt;&gt;"",IFERROR(INDEX(Income!B$3:B$502,SMALL(IF((Income!D$3:D$502="INR")*(Income!A$3:A$502=DATE(2026,3,22)),ROW(Income!A$3:A$502)-2),2)),""),""))</f>
        <v/>
      </c>
      <c r="Q60" s="9" t="n"/>
      <c r="R60" s="9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68">
      <c r="A61" s="9" t="n"/>
      <c r="B61" s="9" t="n"/>
      <c r="C61" s="153">
        <f t="array" ref="C61">IF(IFERROR(-INDEX(Expenses!D$3:D$999,SMALL(IF((Expenses!E$3:E$999="INR")*(Expenses!A$3:A$999=DATE(2026,3,16)),ROW(Expenses!A$3:A$999)-2),3)),0)+IFERROR(INDEX(Income!C$3:C$502,SMALL(IF((Income!D$3:D$502="INR")*(Income!A$3:A$502=DATE(2026,3,16)),ROW(Income!A$3:A$502)-2),3)),0)=0,"",IFERROR(-INDEX(Expenses!D$3:D$999,SMALL(IF((Expenses!E$3:E$999="INR")*(Expenses!A$3:A$999=DATE(2026,3,16)),ROW(Expenses!A$3:A$999)-2),3)),0)+IFERROR(INDEX(Income!C$3:C$502,SMALL(IF((Income!D$3:D$502="INR")*(Income!A$3:A$502=DATE(2026,3,16)),ROW(Income!A$3:A$502)-2),3)),0))</f>
        <v/>
      </c>
      <c r="D61" s="126">
        <f t="array" ref="D61">IF(IFERROR(INDEX(Expenses!B$3:B$999,SMALL(IF((Expenses!E$3:E$999="INR")*(Expenses!A$3:A$999=DATE(2026,3,16)),ROW(Expenses!A$3:A$999)-2),3)),"")&lt;&gt;"",IFERROR(INDEX(Expenses!B$3:B$999,SMALL(IF((Expenses!E$3:E$999="INR")*(Expenses!A$3:A$999=DATE(2026,3,16)),ROW(Expenses!A$3:A$999)-2),3)),""),IF(IFERROR(INDEX(Income!B$3:B$502,SMALL(IF((Income!D$3:D$502="INR")*(Income!A$3:A$502=DATE(2026,3,16)),ROW(Income!A$3:A$502)-2),3)),"")&lt;&gt;"",IFERROR(INDEX(Income!B$3:B$502,SMALL(IF((Income!D$3:D$502="INR")*(Income!A$3:A$502=DATE(2026,3,16)),ROW(Income!A$3:A$502)-2),3)),""),""))</f>
        <v/>
      </c>
      <c r="E61" s="153">
        <f t="array" ref="E61">IF(IFERROR(-INDEX(Expenses!D$3:D$999,SMALL(IF((Expenses!E$3:E$999="INR")*(Expenses!A$3:A$999=DATE(2026,3,17)),ROW(Expenses!A$3:A$999)-2),3)),0)+IFERROR(INDEX(Income!C$3:C$502,SMALL(IF((Income!D$3:D$502="INR")*(Income!A$3:A$502=DATE(2026,3,17)),ROW(Income!A$3:A$502)-2),3)),0)=0,"",IFERROR(-INDEX(Expenses!D$3:D$999,SMALL(IF((Expenses!E$3:E$999="INR")*(Expenses!A$3:A$999=DATE(2026,3,17)),ROW(Expenses!A$3:A$999)-2),3)),0)+IFERROR(INDEX(Income!C$3:C$502,SMALL(IF((Income!D$3:D$502="INR")*(Income!A$3:A$502=DATE(2026,3,17)),ROW(Income!A$3:A$502)-2),3)),0))</f>
        <v/>
      </c>
      <c r="F61" s="126">
        <f t="array" ref="F61">IF(IFERROR(INDEX(Expenses!B$3:B$999,SMALL(IF((Expenses!E$3:E$999="INR")*(Expenses!A$3:A$999=DATE(2026,3,17)),ROW(Expenses!A$3:A$999)-2),3)),"")&lt;&gt;"",IFERROR(INDEX(Expenses!B$3:B$999,SMALL(IF((Expenses!E$3:E$999="INR")*(Expenses!A$3:A$999=DATE(2026,3,17)),ROW(Expenses!A$3:A$999)-2),3)),""),IF(IFERROR(INDEX(Income!B$3:B$502,SMALL(IF((Income!D$3:D$502="INR")*(Income!A$3:A$502=DATE(2026,3,17)),ROW(Income!A$3:A$502)-2),3)),"")&lt;&gt;"",IFERROR(INDEX(Income!B$3:B$502,SMALL(IF((Income!D$3:D$502="INR")*(Income!A$3:A$502=DATE(2026,3,17)),ROW(Income!A$3:A$502)-2),3)),""),""))</f>
        <v/>
      </c>
      <c r="G61" s="153">
        <f t="array" ref="G61">IF(IFERROR(-INDEX(Expenses!D$3:D$999,SMALL(IF((Expenses!E$3:E$999="INR")*(Expenses!A$3:A$999=DATE(2026,3,18)),ROW(Expenses!A$3:A$999)-2),3)),0)+IFERROR(INDEX(Income!C$3:C$502,SMALL(IF((Income!D$3:D$502="INR")*(Income!A$3:A$502=DATE(2026,3,18)),ROW(Income!A$3:A$502)-2),3)),0)=0,"",IFERROR(-INDEX(Expenses!D$3:D$999,SMALL(IF((Expenses!E$3:E$999="INR")*(Expenses!A$3:A$999=DATE(2026,3,18)),ROW(Expenses!A$3:A$999)-2),3)),0)+IFERROR(INDEX(Income!C$3:C$502,SMALL(IF((Income!D$3:D$502="INR")*(Income!A$3:A$502=DATE(2026,3,18)),ROW(Income!A$3:A$502)-2),3)),0))</f>
        <v/>
      </c>
      <c r="H61" s="126">
        <f t="array" ref="H61">IF(IFERROR(INDEX(Expenses!B$3:B$999,SMALL(IF((Expenses!E$3:E$999="INR")*(Expenses!A$3:A$999=DATE(2026,3,18)),ROW(Expenses!A$3:A$999)-2),3)),"")&lt;&gt;"",IFERROR(INDEX(Expenses!B$3:B$999,SMALL(IF((Expenses!E$3:E$999="INR")*(Expenses!A$3:A$999=DATE(2026,3,18)),ROW(Expenses!A$3:A$999)-2),3)),""),IF(IFERROR(INDEX(Income!B$3:B$502,SMALL(IF((Income!D$3:D$502="INR")*(Income!A$3:A$502=DATE(2026,3,18)),ROW(Income!A$3:A$502)-2),3)),"")&lt;&gt;"",IFERROR(INDEX(Income!B$3:B$502,SMALL(IF((Income!D$3:D$502="INR")*(Income!A$3:A$502=DATE(2026,3,18)),ROW(Income!A$3:A$502)-2),3)),""),""))</f>
        <v/>
      </c>
      <c r="I61" s="153">
        <f t="array" ref="I61">IF(IFERROR(-INDEX(Expenses!D$3:D$999,SMALL(IF((Expenses!E$3:E$999="INR")*(Expenses!A$3:A$999=DATE(2026,3,19)),ROW(Expenses!A$3:A$999)-2),3)),0)+IFERROR(INDEX(Income!C$3:C$502,SMALL(IF((Income!D$3:D$502="INR")*(Income!A$3:A$502=DATE(2026,3,19)),ROW(Income!A$3:A$502)-2),3)),0)=0,"",IFERROR(-INDEX(Expenses!D$3:D$999,SMALL(IF((Expenses!E$3:E$999="INR")*(Expenses!A$3:A$999=DATE(2026,3,19)),ROW(Expenses!A$3:A$999)-2),3)),0)+IFERROR(INDEX(Income!C$3:C$502,SMALL(IF((Income!D$3:D$502="INR")*(Income!A$3:A$502=DATE(2026,3,19)),ROW(Income!A$3:A$502)-2),3)),0))</f>
        <v/>
      </c>
      <c r="J61" s="126">
        <f t="array" ref="J61">IF(IFERROR(INDEX(Expenses!B$3:B$999,SMALL(IF((Expenses!E$3:E$999="INR")*(Expenses!A$3:A$999=DATE(2026,3,19)),ROW(Expenses!A$3:A$999)-2),3)),"")&lt;&gt;"",IFERROR(INDEX(Expenses!B$3:B$999,SMALL(IF((Expenses!E$3:E$999="INR")*(Expenses!A$3:A$999=DATE(2026,3,19)),ROW(Expenses!A$3:A$999)-2),3)),""),IF(IFERROR(INDEX(Income!B$3:B$502,SMALL(IF((Income!D$3:D$502="INR")*(Income!A$3:A$502=DATE(2026,3,19)),ROW(Income!A$3:A$502)-2),3)),"")&lt;&gt;"",IFERROR(INDEX(Income!B$3:B$502,SMALL(IF((Income!D$3:D$502="INR")*(Income!A$3:A$502=DATE(2026,3,19)),ROW(Income!A$3:A$502)-2),3)),""),""))</f>
        <v/>
      </c>
      <c r="K61" s="153">
        <f t="array" ref="K61">IF(IFERROR(-INDEX(Expenses!D$3:D$999,SMALL(IF((Expenses!E$3:E$999="INR")*(Expenses!A$3:A$999=DATE(2026,3,20)),ROW(Expenses!A$3:A$999)-2),3)),0)+IFERROR(INDEX(Income!C$3:C$502,SMALL(IF((Income!D$3:D$502="INR")*(Income!A$3:A$502=DATE(2026,3,20)),ROW(Income!A$3:A$502)-2),3)),0)=0,"",IFERROR(-INDEX(Expenses!D$3:D$999,SMALL(IF((Expenses!E$3:E$999="INR")*(Expenses!A$3:A$999=DATE(2026,3,20)),ROW(Expenses!A$3:A$999)-2),3)),0)+IFERROR(INDEX(Income!C$3:C$502,SMALL(IF((Income!D$3:D$502="INR")*(Income!A$3:A$502=DATE(2026,3,20)),ROW(Income!A$3:A$502)-2),3)),0))</f>
        <v/>
      </c>
      <c r="L61" s="126">
        <f t="array" ref="L61">IF(IFERROR(INDEX(Expenses!B$3:B$999,SMALL(IF((Expenses!E$3:E$999="INR")*(Expenses!A$3:A$999=DATE(2026,3,20)),ROW(Expenses!A$3:A$999)-2),3)),"")&lt;&gt;"",IFERROR(INDEX(Expenses!B$3:B$999,SMALL(IF((Expenses!E$3:E$999="INR")*(Expenses!A$3:A$999=DATE(2026,3,20)),ROW(Expenses!A$3:A$999)-2),3)),""),IF(IFERROR(INDEX(Income!B$3:B$502,SMALL(IF((Income!D$3:D$502="INR")*(Income!A$3:A$502=DATE(2026,3,20)),ROW(Income!A$3:A$502)-2),3)),"")&lt;&gt;"",IFERROR(INDEX(Income!B$3:B$502,SMALL(IF((Income!D$3:D$502="INR")*(Income!A$3:A$502=DATE(2026,3,20)),ROW(Income!A$3:A$502)-2),3)),""),""))</f>
        <v/>
      </c>
      <c r="M61" s="153">
        <f t="array" ref="M61">IF(IFERROR(-INDEX(Expenses!D$3:D$999,SMALL(IF((Expenses!E$3:E$999="INR")*(Expenses!A$3:A$999=DATE(2026,3,21)),ROW(Expenses!A$3:A$999)-2),3)),0)+IFERROR(INDEX(Income!C$3:C$502,SMALL(IF((Income!D$3:D$502="INR")*(Income!A$3:A$502=DATE(2026,3,21)),ROW(Income!A$3:A$502)-2),3)),0)=0,"",IFERROR(-INDEX(Expenses!D$3:D$999,SMALL(IF((Expenses!E$3:E$999="INR")*(Expenses!A$3:A$999=DATE(2026,3,21)),ROW(Expenses!A$3:A$999)-2),3)),0)+IFERROR(INDEX(Income!C$3:C$502,SMALL(IF((Income!D$3:D$502="INR")*(Income!A$3:A$502=DATE(2026,3,21)),ROW(Income!A$3:A$502)-2),3)),0))</f>
        <v/>
      </c>
      <c r="N61" s="126">
        <f t="array" ref="N61">IF(IFERROR(INDEX(Expenses!B$3:B$999,SMALL(IF((Expenses!E$3:E$999="INR")*(Expenses!A$3:A$999=DATE(2026,3,21)),ROW(Expenses!A$3:A$999)-2),3)),"")&lt;&gt;"",IFERROR(INDEX(Expenses!B$3:B$999,SMALL(IF((Expenses!E$3:E$999="INR")*(Expenses!A$3:A$999=DATE(2026,3,21)),ROW(Expenses!A$3:A$999)-2),3)),""),IF(IFERROR(INDEX(Income!B$3:B$502,SMALL(IF((Income!D$3:D$502="INR")*(Income!A$3:A$502=DATE(2026,3,21)),ROW(Income!A$3:A$502)-2),3)),"")&lt;&gt;"",IFERROR(INDEX(Income!B$3:B$502,SMALL(IF((Income!D$3:D$502="INR")*(Income!A$3:A$502=DATE(2026,3,21)),ROW(Income!A$3:A$502)-2),3)),""),""))</f>
        <v/>
      </c>
      <c r="O61" s="153">
        <f t="array" ref="O61">IF(IFERROR(-INDEX(Expenses!D$3:D$999,SMALL(IF((Expenses!E$3:E$999="INR")*(Expenses!A$3:A$999=DATE(2026,3,22)),ROW(Expenses!A$3:A$999)-2),3)),0)+IFERROR(INDEX(Income!C$3:C$502,SMALL(IF((Income!D$3:D$502="INR")*(Income!A$3:A$502=DATE(2026,3,22)),ROW(Income!A$3:A$502)-2),3)),0)=0,"",IFERROR(-INDEX(Expenses!D$3:D$999,SMALL(IF((Expenses!E$3:E$999="INR")*(Expenses!A$3:A$999=DATE(2026,3,22)),ROW(Expenses!A$3:A$999)-2),3)),0)+IFERROR(INDEX(Income!C$3:C$502,SMALL(IF((Income!D$3:D$502="INR")*(Income!A$3:A$502=DATE(2026,3,22)),ROW(Income!A$3:A$502)-2),3)),0))</f>
        <v/>
      </c>
      <c r="P61" s="126">
        <f t="array" ref="P61">IF(IFERROR(INDEX(Expenses!B$3:B$999,SMALL(IF((Expenses!E$3:E$999="INR")*(Expenses!A$3:A$999=DATE(2026,3,22)),ROW(Expenses!A$3:A$999)-2),3)),"")&lt;&gt;"",IFERROR(INDEX(Expenses!B$3:B$999,SMALL(IF((Expenses!E$3:E$999="INR")*(Expenses!A$3:A$999=DATE(2026,3,22)),ROW(Expenses!A$3:A$999)-2),3)),""),IF(IFERROR(INDEX(Income!B$3:B$502,SMALL(IF((Income!D$3:D$502="INR")*(Income!A$3:A$502=DATE(2026,3,22)),ROW(Income!A$3:A$502)-2),3)),"")&lt;&gt;"",IFERROR(INDEX(Income!B$3:B$502,SMALL(IF((Income!D$3:D$502="INR")*(Income!A$3:A$502=DATE(2026,3,22)),ROW(Income!A$3:A$502)-2),3)),""),""))</f>
        <v/>
      </c>
      <c r="Q61" s="9" t="n"/>
      <c r="R61" s="9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68">
      <c r="A62" s="9" t="n"/>
      <c r="B62" s="9" t="n"/>
      <c r="C62" s="153">
        <f t="array" ref="C62">IF(IFERROR(-INDEX(Expenses!D$3:D$999,SMALL(IF((Expenses!E$3:E$999="INR")*(Expenses!A$3:A$999=DATE(2026,3,16)),ROW(Expenses!A$3:A$999)-2),4)),0)+IFERROR(INDEX(Income!C$3:C$502,SMALL(IF((Income!D$3:D$502="INR")*(Income!A$3:A$502=DATE(2026,3,16)),ROW(Income!A$3:A$502)-2),4)),0)=0,"",IFERROR(-INDEX(Expenses!D$3:D$999,SMALL(IF((Expenses!E$3:E$999="INR")*(Expenses!A$3:A$999=DATE(2026,3,16)),ROW(Expenses!A$3:A$999)-2),4)),0)+IFERROR(INDEX(Income!C$3:C$502,SMALL(IF((Income!D$3:D$502="INR")*(Income!A$3:A$502=DATE(2026,3,16)),ROW(Income!A$3:A$502)-2),4)),0))</f>
        <v/>
      </c>
      <c r="D62" s="126">
        <f t="array" ref="D62">IF(IFERROR(INDEX(Expenses!B$3:B$999,SMALL(IF((Expenses!E$3:E$999="INR")*(Expenses!A$3:A$999=DATE(2026,3,16)),ROW(Expenses!A$3:A$999)-2),4)),"")&lt;&gt;"",IFERROR(INDEX(Expenses!B$3:B$999,SMALL(IF((Expenses!E$3:E$999="INR")*(Expenses!A$3:A$999=DATE(2026,3,16)),ROW(Expenses!A$3:A$999)-2),4)),""),IF(IFERROR(INDEX(Income!B$3:B$502,SMALL(IF((Income!D$3:D$502="INR")*(Income!A$3:A$502=DATE(2026,3,16)),ROW(Income!A$3:A$502)-2),4)),"")&lt;&gt;"",IFERROR(INDEX(Income!B$3:B$502,SMALL(IF((Income!D$3:D$502="INR")*(Income!A$3:A$502=DATE(2026,3,16)),ROW(Income!A$3:A$502)-2),4)),""),""))</f>
        <v/>
      </c>
      <c r="E62" s="153">
        <f t="array" ref="E62">IF(IFERROR(-INDEX(Expenses!D$3:D$999,SMALL(IF((Expenses!E$3:E$999="INR")*(Expenses!A$3:A$999=DATE(2026,3,17)),ROW(Expenses!A$3:A$999)-2),4)),0)+IFERROR(INDEX(Income!C$3:C$502,SMALL(IF((Income!D$3:D$502="INR")*(Income!A$3:A$502=DATE(2026,3,17)),ROW(Income!A$3:A$502)-2),4)),0)=0,"",IFERROR(-INDEX(Expenses!D$3:D$999,SMALL(IF((Expenses!E$3:E$999="INR")*(Expenses!A$3:A$999=DATE(2026,3,17)),ROW(Expenses!A$3:A$999)-2),4)),0)+IFERROR(INDEX(Income!C$3:C$502,SMALL(IF((Income!D$3:D$502="INR")*(Income!A$3:A$502=DATE(2026,3,17)),ROW(Income!A$3:A$502)-2),4)),0))</f>
        <v/>
      </c>
      <c r="F62" s="126">
        <f t="array" ref="F62">IF(IFERROR(INDEX(Expenses!B$3:B$999,SMALL(IF((Expenses!E$3:E$999="INR")*(Expenses!A$3:A$999=DATE(2026,3,17)),ROW(Expenses!A$3:A$999)-2),4)),"")&lt;&gt;"",IFERROR(INDEX(Expenses!B$3:B$999,SMALL(IF((Expenses!E$3:E$999="INR")*(Expenses!A$3:A$999=DATE(2026,3,17)),ROW(Expenses!A$3:A$999)-2),4)),""),IF(IFERROR(INDEX(Income!B$3:B$502,SMALL(IF((Income!D$3:D$502="INR")*(Income!A$3:A$502=DATE(2026,3,17)),ROW(Income!A$3:A$502)-2),4)),"")&lt;&gt;"",IFERROR(INDEX(Income!B$3:B$502,SMALL(IF((Income!D$3:D$502="INR")*(Income!A$3:A$502=DATE(2026,3,17)),ROW(Income!A$3:A$502)-2),4)),""),""))</f>
        <v/>
      </c>
      <c r="G62" s="153">
        <f t="array" ref="G62">IF(IFERROR(-INDEX(Expenses!D$3:D$999,SMALL(IF((Expenses!E$3:E$999="INR")*(Expenses!A$3:A$999=DATE(2026,3,18)),ROW(Expenses!A$3:A$999)-2),4)),0)+IFERROR(INDEX(Income!C$3:C$502,SMALL(IF((Income!D$3:D$502="INR")*(Income!A$3:A$502=DATE(2026,3,18)),ROW(Income!A$3:A$502)-2),4)),0)=0,"",IFERROR(-INDEX(Expenses!D$3:D$999,SMALL(IF((Expenses!E$3:E$999="INR")*(Expenses!A$3:A$999=DATE(2026,3,18)),ROW(Expenses!A$3:A$999)-2),4)),0)+IFERROR(INDEX(Income!C$3:C$502,SMALL(IF((Income!D$3:D$502="INR")*(Income!A$3:A$502=DATE(2026,3,18)),ROW(Income!A$3:A$502)-2),4)),0))</f>
        <v/>
      </c>
      <c r="H62" s="126">
        <f t="array" ref="H62">IF(IFERROR(INDEX(Expenses!B$3:B$999,SMALL(IF((Expenses!E$3:E$999="INR")*(Expenses!A$3:A$999=DATE(2026,3,18)),ROW(Expenses!A$3:A$999)-2),4)),"")&lt;&gt;"",IFERROR(INDEX(Expenses!B$3:B$999,SMALL(IF((Expenses!E$3:E$999="INR")*(Expenses!A$3:A$999=DATE(2026,3,18)),ROW(Expenses!A$3:A$999)-2),4)),""),IF(IFERROR(INDEX(Income!B$3:B$502,SMALL(IF((Income!D$3:D$502="INR")*(Income!A$3:A$502=DATE(2026,3,18)),ROW(Income!A$3:A$502)-2),4)),"")&lt;&gt;"",IFERROR(INDEX(Income!B$3:B$502,SMALL(IF((Income!D$3:D$502="INR")*(Income!A$3:A$502=DATE(2026,3,18)),ROW(Income!A$3:A$502)-2),4)),""),""))</f>
        <v/>
      </c>
      <c r="I62" s="153">
        <f t="array" ref="I62">IF(IFERROR(-INDEX(Expenses!D$3:D$999,SMALL(IF((Expenses!E$3:E$999="INR")*(Expenses!A$3:A$999=DATE(2026,3,19)),ROW(Expenses!A$3:A$999)-2),4)),0)+IFERROR(INDEX(Income!C$3:C$502,SMALL(IF((Income!D$3:D$502="INR")*(Income!A$3:A$502=DATE(2026,3,19)),ROW(Income!A$3:A$502)-2),4)),0)=0,"",IFERROR(-INDEX(Expenses!D$3:D$999,SMALL(IF((Expenses!E$3:E$999="INR")*(Expenses!A$3:A$999=DATE(2026,3,19)),ROW(Expenses!A$3:A$999)-2),4)),0)+IFERROR(INDEX(Income!C$3:C$502,SMALL(IF((Income!D$3:D$502="INR")*(Income!A$3:A$502=DATE(2026,3,19)),ROW(Income!A$3:A$502)-2),4)),0))</f>
        <v/>
      </c>
      <c r="J62" s="126">
        <f t="array" ref="J62">IF(IFERROR(INDEX(Expenses!B$3:B$999,SMALL(IF((Expenses!E$3:E$999="INR")*(Expenses!A$3:A$999=DATE(2026,3,19)),ROW(Expenses!A$3:A$999)-2),4)),"")&lt;&gt;"",IFERROR(INDEX(Expenses!B$3:B$999,SMALL(IF((Expenses!E$3:E$999="INR")*(Expenses!A$3:A$999=DATE(2026,3,19)),ROW(Expenses!A$3:A$999)-2),4)),""),IF(IFERROR(INDEX(Income!B$3:B$502,SMALL(IF((Income!D$3:D$502="INR")*(Income!A$3:A$502=DATE(2026,3,19)),ROW(Income!A$3:A$502)-2),4)),"")&lt;&gt;"",IFERROR(INDEX(Income!B$3:B$502,SMALL(IF((Income!D$3:D$502="INR")*(Income!A$3:A$502=DATE(2026,3,19)),ROW(Income!A$3:A$502)-2),4)),""),""))</f>
        <v/>
      </c>
      <c r="K62" s="153">
        <f t="array" ref="K62">IF(IFERROR(-INDEX(Expenses!D$3:D$999,SMALL(IF((Expenses!E$3:E$999="INR")*(Expenses!A$3:A$999=DATE(2026,3,20)),ROW(Expenses!A$3:A$999)-2),4)),0)+IFERROR(INDEX(Income!C$3:C$502,SMALL(IF((Income!D$3:D$502="INR")*(Income!A$3:A$502=DATE(2026,3,20)),ROW(Income!A$3:A$502)-2),4)),0)=0,"",IFERROR(-INDEX(Expenses!D$3:D$999,SMALL(IF((Expenses!E$3:E$999="INR")*(Expenses!A$3:A$999=DATE(2026,3,20)),ROW(Expenses!A$3:A$999)-2),4)),0)+IFERROR(INDEX(Income!C$3:C$502,SMALL(IF((Income!D$3:D$502="INR")*(Income!A$3:A$502=DATE(2026,3,20)),ROW(Income!A$3:A$502)-2),4)),0))</f>
        <v/>
      </c>
      <c r="L62" s="126">
        <f t="array" ref="L62">IF(IFERROR(INDEX(Expenses!B$3:B$999,SMALL(IF((Expenses!E$3:E$999="INR")*(Expenses!A$3:A$999=DATE(2026,3,20)),ROW(Expenses!A$3:A$999)-2),4)),"")&lt;&gt;"",IFERROR(INDEX(Expenses!B$3:B$999,SMALL(IF((Expenses!E$3:E$999="INR")*(Expenses!A$3:A$999=DATE(2026,3,20)),ROW(Expenses!A$3:A$999)-2),4)),""),IF(IFERROR(INDEX(Income!B$3:B$502,SMALL(IF((Income!D$3:D$502="INR")*(Income!A$3:A$502=DATE(2026,3,20)),ROW(Income!A$3:A$502)-2),4)),"")&lt;&gt;"",IFERROR(INDEX(Income!B$3:B$502,SMALL(IF((Income!D$3:D$502="INR")*(Income!A$3:A$502=DATE(2026,3,20)),ROW(Income!A$3:A$502)-2),4)),""),""))</f>
        <v/>
      </c>
      <c r="M62" s="153">
        <f t="array" ref="M62">IF(IFERROR(-INDEX(Expenses!D$3:D$999,SMALL(IF((Expenses!E$3:E$999="INR")*(Expenses!A$3:A$999=DATE(2026,3,21)),ROW(Expenses!A$3:A$999)-2),4)),0)+IFERROR(INDEX(Income!C$3:C$502,SMALL(IF((Income!D$3:D$502="INR")*(Income!A$3:A$502=DATE(2026,3,21)),ROW(Income!A$3:A$502)-2),4)),0)=0,"",IFERROR(-INDEX(Expenses!D$3:D$999,SMALL(IF((Expenses!E$3:E$999="INR")*(Expenses!A$3:A$999=DATE(2026,3,21)),ROW(Expenses!A$3:A$999)-2),4)),0)+IFERROR(INDEX(Income!C$3:C$502,SMALL(IF((Income!D$3:D$502="INR")*(Income!A$3:A$502=DATE(2026,3,21)),ROW(Income!A$3:A$502)-2),4)),0))</f>
        <v/>
      </c>
      <c r="N62" s="126">
        <f t="array" ref="N62">IF(IFERROR(INDEX(Expenses!B$3:B$999,SMALL(IF((Expenses!E$3:E$999="INR")*(Expenses!A$3:A$999=DATE(2026,3,21)),ROW(Expenses!A$3:A$999)-2),4)),"")&lt;&gt;"",IFERROR(INDEX(Expenses!B$3:B$999,SMALL(IF((Expenses!E$3:E$999="INR")*(Expenses!A$3:A$999=DATE(2026,3,21)),ROW(Expenses!A$3:A$999)-2),4)),""),IF(IFERROR(INDEX(Income!B$3:B$502,SMALL(IF((Income!D$3:D$502="INR")*(Income!A$3:A$502=DATE(2026,3,21)),ROW(Income!A$3:A$502)-2),4)),"")&lt;&gt;"",IFERROR(INDEX(Income!B$3:B$502,SMALL(IF((Income!D$3:D$502="INR")*(Income!A$3:A$502=DATE(2026,3,21)),ROW(Income!A$3:A$502)-2),4)),""),""))</f>
        <v/>
      </c>
      <c r="O62" s="153">
        <f t="array" ref="O62">IF(IFERROR(-INDEX(Expenses!D$3:D$999,SMALL(IF((Expenses!E$3:E$999="INR")*(Expenses!A$3:A$999=DATE(2026,3,22)),ROW(Expenses!A$3:A$999)-2),4)),0)+IFERROR(INDEX(Income!C$3:C$502,SMALL(IF((Income!D$3:D$502="INR")*(Income!A$3:A$502=DATE(2026,3,22)),ROW(Income!A$3:A$502)-2),4)),0)=0,"",IFERROR(-INDEX(Expenses!D$3:D$999,SMALL(IF((Expenses!E$3:E$999="INR")*(Expenses!A$3:A$999=DATE(2026,3,22)),ROW(Expenses!A$3:A$999)-2),4)),0)+IFERROR(INDEX(Income!C$3:C$502,SMALL(IF((Income!D$3:D$502="INR")*(Income!A$3:A$502=DATE(2026,3,22)),ROW(Income!A$3:A$502)-2),4)),0))</f>
        <v/>
      </c>
      <c r="P62" s="126">
        <f t="array" ref="P62">IF(IFERROR(INDEX(Expenses!B$3:B$999,SMALL(IF((Expenses!E$3:E$999="INR")*(Expenses!A$3:A$999=DATE(2026,3,22)),ROW(Expenses!A$3:A$999)-2),4)),"")&lt;&gt;"",IFERROR(INDEX(Expenses!B$3:B$999,SMALL(IF((Expenses!E$3:E$999="INR")*(Expenses!A$3:A$999=DATE(2026,3,22)),ROW(Expenses!A$3:A$999)-2),4)),""),IF(IFERROR(INDEX(Income!B$3:B$502,SMALL(IF((Income!D$3:D$502="INR")*(Income!A$3:A$502=DATE(2026,3,22)),ROW(Income!A$3:A$502)-2),4)),"")&lt;&gt;"",IFERROR(INDEX(Income!B$3:B$502,SMALL(IF((Income!D$3:D$502="INR")*(Income!A$3:A$502=DATE(2026,3,22)),ROW(Income!A$3:A$502)-2),4)),""),""))</f>
        <v/>
      </c>
      <c r="Q62" s="9" t="n"/>
      <c r="R62" s="9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68">
      <c r="A63" s="9" t="n"/>
      <c r="B63" s="9" t="n"/>
      <c r="C63" s="153">
        <f t="array" ref="C63">IF(IFERROR(-INDEX(Expenses!D$3:D$999,SMALL(IF((Expenses!E$3:E$999="INR")*(Expenses!A$3:A$999=DATE(2026,3,16)),ROW(Expenses!A$3:A$999)-2),5)),0)+IFERROR(INDEX(Income!C$3:C$502,SMALL(IF((Income!D$3:D$502="INR")*(Income!A$3:A$502=DATE(2026,3,16)),ROW(Income!A$3:A$502)-2),5)),0)=0,"",IFERROR(-INDEX(Expenses!D$3:D$999,SMALL(IF((Expenses!E$3:E$999="INR")*(Expenses!A$3:A$999=DATE(2026,3,16)),ROW(Expenses!A$3:A$999)-2),5)),0)+IFERROR(INDEX(Income!C$3:C$502,SMALL(IF((Income!D$3:D$502="INR")*(Income!A$3:A$502=DATE(2026,3,16)),ROW(Income!A$3:A$502)-2),5)),0))</f>
        <v/>
      </c>
      <c r="D63" s="126">
        <f t="array" ref="D63">IF(IFERROR(INDEX(Expenses!B$3:B$999,SMALL(IF((Expenses!E$3:E$999="INR")*(Expenses!A$3:A$999=DATE(2026,3,16)),ROW(Expenses!A$3:A$999)-2),5)),"")&lt;&gt;"",IFERROR(INDEX(Expenses!B$3:B$999,SMALL(IF((Expenses!E$3:E$999="INR")*(Expenses!A$3:A$999=DATE(2026,3,16)),ROW(Expenses!A$3:A$999)-2),5)),""),IF(IFERROR(INDEX(Income!B$3:B$502,SMALL(IF((Income!D$3:D$502="INR")*(Income!A$3:A$502=DATE(2026,3,16)),ROW(Income!A$3:A$502)-2),5)),"")&lt;&gt;"",IFERROR(INDEX(Income!B$3:B$502,SMALL(IF((Income!D$3:D$502="INR")*(Income!A$3:A$502=DATE(2026,3,16)),ROW(Income!A$3:A$502)-2),5)),""),""))</f>
        <v/>
      </c>
      <c r="E63" s="153">
        <f t="array" ref="E63">IF(IFERROR(-INDEX(Expenses!D$3:D$999,SMALL(IF((Expenses!E$3:E$999="INR")*(Expenses!A$3:A$999=DATE(2026,3,17)),ROW(Expenses!A$3:A$999)-2),5)),0)+IFERROR(INDEX(Income!C$3:C$502,SMALL(IF((Income!D$3:D$502="INR")*(Income!A$3:A$502=DATE(2026,3,17)),ROW(Income!A$3:A$502)-2),5)),0)=0,"",IFERROR(-INDEX(Expenses!D$3:D$999,SMALL(IF((Expenses!E$3:E$999="INR")*(Expenses!A$3:A$999=DATE(2026,3,17)),ROW(Expenses!A$3:A$999)-2),5)),0)+IFERROR(INDEX(Income!C$3:C$502,SMALL(IF((Income!D$3:D$502="INR")*(Income!A$3:A$502=DATE(2026,3,17)),ROW(Income!A$3:A$502)-2),5)),0))</f>
        <v/>
      </c>
      <c r="F63" s="126">
        <f t="array" ref="F63">IF(IFERROR(INDEX(Expenses!B$3:B$999,SMALL(IF((Expenses!E$3:E$999="INR")*(Expenses!A$3:A$999=DATE(2026,3,17)),ROW(Expenses!A$3:A$999)-2),5)),"")&lt;&gt;"",IFERROR(INDEX(Expenses!B$3:B$999,SMALL(IF((Expenses!E$3:E$999="INR")*(Expenses!A$3:A$999=DATE(2026,3,17)),ROW(Expenses!A$3:A$999)-2),5)),""),IF(IFERROR(INDEX(Income!B$3:B$502,SMALL(IF((Income!D$3:D$502="INR")*(Income!A$3:A$502=DATE(2026,3,17)),ROW(Income!A$3:A$502)-2),5)),"")&lt;&gt;"",IFERROR(INDEX(Income!B$3:B$502,SMALL(IF((Income!D$3:D$502="INR")*(Income!A$3:A$502=DATE(2026,3,17)),ROW(Income!A$3:A$502)-2),5)),""),""))</f>
        <v/>
      </c>
      <c r="G63" s="153">
        <f t="array" ref="G63">IF(IFERROR(-INDEX(Expenses!D$3:D$999,SMALL(IF((Expenses!E$3:E$999="INR")*(Expenses!A$3:A$999=DATE(2026,3,18)),ROW(Expenses!A$3:A$999)-2),5)),0)+IFERROR(INDEX(Income!C$3:C$502,SMALL(IF((Income!D$3:D$502="INR")*(Income!A$3:A$502=DATE(2026,3,18)),ROW(Income!A$3:A$502)-2),5)),0)=0,"",IFERROR(-INDEX(Expenses!D$3:D$999,SMALL(IF((Expenses!E$3:E$999="INR")*(Expenses!A$3:A$999=DATE(2026,3,18)),ROW(Expenses!A$3:A$999)-2),5)),0)+IFERROR(INDEX(Income!C$3:C$502,SMALL(IF((Income!D$3:D$502="INR")*(Income!A$3:A$502=DATE(2026,3,18)),ROW(Income!A$3:A$502)-2),5)),0))</f>
        <v/>
      </c>
      <c r="H63" s="126">
        <f t="array" ref="H63">IF(IFERROR(INDEX(Expenses!B$3:B$999,SMALL(IF((Expenses!E$3:E$999="INR")*(Expenses!A$3:A$999=DATE(2026,3,18)),ROW(Expenses!A$3:A$999)-2),5)),"")&lt;&gt;"",IFERROR(INDEX(Expenses!B$3:B$999,SMALL(IF((Expenses!E$3:E$999="INR")*(Expenses!A$3:A$999=DATE(2026,3,18)),ROW(Expenses!A$3:A$999)-2),5)),""),IF(IFERROR(INDEX(Income!B$3:B$502,SMALL(IF((Income!D$3:D$502="INR")*(Income!A$3:A$502=DATE(2026,3,18)),ROW(Income!A$3:A$502)-2),5)),"")&lt;&gt;"",IFERROR(INDEX(Income!B$3:B$502,SMALL(IF((Income!D$3:D$502="INR")*(Income!A$3:A$502=DATE(2026,3,18)),ROW(Income!A$3:A$502)-2),5)),""),""))</f>
        <v/>
      </c>
      <c r="I63" s="153">
        <f t="array" ref="I63">IF(IFERROR(-INDEX(Expenses!D$3:D$999,SMALL(IF((Expenses!E$3:E$999="INR")*(Expenses!A$3:A$999=DATE(2026,3,19)),ROW(Expenses!A$3:A$999)-2),5)),0)+IFERROR(INDEX(Income!C$3:C$502,SMALL(IF((Income!D$3:D$502="INR")*(Income!A$3:A$502=DATE(2026,3,19)),ROW(Income!A$3:A$502)-2),5)),0)=0,"",IFERROR(-INDEX(Expenses!D$3:D$999,SMALL(IF((Expenses!E$3:E$999="INR")*(Expenses!A$3:A$999=DATE(2026,3,19)),ROW(Expenses!A$3:A$999)-2),5)),0)+IFERROR(INDEX(Income!C$3:C$502,SMALL(IF((Income!D$3:D$502="INR")*(Income!A$3:A$502=DATE(2026,3,19)),ROW(Income!A$3:A$502)-2),5)),0))</f>
        <v/>
      </c>
      <c r="J63" s="126">
        <f t="array" ref="J63">IF(IFERROR(INDEX(Expenses!B$3:B$999,SMALL(IF((Expenses!E$3:E$999="INR")*(Expenses!A$3:A$999=DATE(2026,3,19)),ROW(Expenses!A$3:A$999)-2),5)),"")&lt;&gt;"",IFERROR(INDEX(Expenses!B$3:B$999,SMALL(IF((Expenses!E$3:E$999="INR")*(Expenses!A$3:A$999=DATE(2026,3,19)),ROW(Expenses!A$3:A$999)-2),5)),""),IF(IFERROR(INDEX(Income!B$3:B$502,SMALL(IF((Income!D$3:D$502="INR")*(Income!A$3:A$502=DATE(2026,3,19)),ROW(Income!A$3:A$502)-2),5)),"")&lt;&gt;"",IFERROR(INDEX(Income!B$3:B$502,SMALL(IF((Income!D$3:D$502="INR")*(Income!A$3:A$502=DATE(2026,3,19)),ROW(Income!A$3:A$502)-2),5)),""),""))</f>
        <v/>
      </c>
      <c r="K63" s="153">
        <f t="array" ref="K63">IF(IFERROR(-INDEX(Expenses!D$3:D$999,SMALL(IF((Expenses!E$3:E$999="INR")*(Expenses!A$3:A$999=DATE(2026,3,20)),ROW(Expenses!A$3:A$999)-2),5)),0)+IFERROR(INDEX(Income!C$3:C$502,SMALL(IF((Income!D$3:D$502="INR")*(Income!A$3:A$502=DATE(2026,3,20)),ROW(Income!A$3:A$502)-2),5)),0)=0,"",IFERROR(-INDEX(Expenses!D$3:D$999,SMALL(IF((Expenses!E$3:E$999="INR")*(Expenses!A$3:A$999=DATE(2026,3,20)),ROW(Expenses!A$3:A$999)-2),5)),0)+IFERROR(INDEX(Income!C$3:C$502,SMALL(IF((Income!D$3:D$502="INR")*(Income!A$3:A$502=DATE(2026,3,20)),ROW(Income!A$3:A$502)-2),5)),0))</f>
        <v/>
      </c>
      <c r="L63" s="126">
        <f t="array" ref="L63">IF(IFERROR(INDEX(Expenses!B$3:B$999,SMALL(IF((Expenses!E$3:E$999="INR")*(Expenses!A$3:A$999=DATE(2026,3,20)),ROW(Expenses!A$3:A$999)-2),5)),"")&lt;&gt;"",IFERROR(INDEX(Expenses!B$3:B$999,SMALL(IF((Expenses!E$3:E$999="INR")*(Expenses!A$3:A$999=DATE(2026,3,20)),ROW(Expenses!A$3:A$999)-2),5)),""),IF(IFERROR(INDEX(Income!B$3:B$502,SMALL(IF((Income!D$3:D$502="INR")*(Income!A$3:A$502=DATE(2026,3,20)),ROW(Income!A$3:A$502)-2),5)),"")&lt;&gt;"",IFERROR(INDEX(Income!B$3:B$502,SMALL(IF((Income!D$3:D$502="INR")*(Income!A$3:A$502=DATE(2026,3,20)),ROW(Income!A$3:A$502)-2),5)),""),""))</f>
        <v/>
      </c>
      <c r="M63" s="153">
        <f t="array" ref="M63">IF(IFERROR(-INDEX(Expenses!D$3:D$999,SMALL(IF((Expenses!E$3:E$999="INR")*(Expenses!A$3:A$999=DATE(2026,3,21)),ROW(Expenses!A$3:A$999)-2),5)),0)+IFERROR(INDEX(Income!C$3:C$502,SMALL(IF((Income!D$3:D$502="INR")*(Income!A$3:A$502=DATE(2026,3,21)),ROW(Income!A$3:A$502)-2),5)),0)=0,"",IFERROR(-INDEX(Expenses!D$3:D$999,SMALL(IF((Expenses!E$3:E$999="INR")*(Expenses!A$3:A$999=DATE(2026,3,21)),ROW(Expenses!A$3:A$999)-2),5)),0)+IFERROR(INDEX(Income!C$3:C$502,SMALL(IF((Income!D$3:D$502="INR")*(Income!A$3:A$502=DATE(2026,3,21)),ROW(Income!A$3:A$502)-2),5)),0))</f>
        <v/>
      </c>
      <c r="N63" s="126">
        <f t="array" ref="N63">IF(IFERROR(INDEX(Expenses!B$3:B$999,SMALL(IF((Expenses!E$3:E$999="INR")*(Expenses!A$3:A$999=DATE(2026,3,21)),ROW(Expenses!A$3:A$999)-2),5)),"")&lt;&gt;"",IFERROR(INDEX(Expenses!B$3:B$999,SMALL(IF((Expenses!E$3:E$999="INR")*(Expenses!A$3:A$999=DATE(2026,3,21)),ROW(Expenses!A$3:A$999)-2),5)),""),IF(IFERROR(INDEX(Income!B$3:B$502,SMALL(IF((Income!D$3:D$502="INR")*(Income!A$3:A$502=DATE(2026,3,21)),ROW(Income!A$3:A$502)-2),5)),"")&lt;&gt;"",IFERROR(INDEX(Income!B$3:B$502,SMALL(IF((Income!D$3:D$502="INR")*(Income!A$3:A$502=DATE(2026,3,21)),ROW(Income!A$3:A$502)-2),5)),""),""))</f>
        <v/>
      </c>
      <c r="O63" s="153">
        <f t="array" ref="O63">IF(IFERROR(-INDEX(Expenses!D$3:D$999,SMALL(IF((Expenses!E$3:E$999="INR")*(Expenses!A$3:A$999=DATE(2026,3,22)),ROW(Expenses!A$3:A$999)-2),5)),0)+IFERROR(INDEX(Income!C$3:C$502,SMALL(IF((Income!D$3:D$502="INR")*(Income!A$3:A$502=DATE(2026,3,22)),ROW(Income!A$3:A$502)-2),5)),0)=0,"",IFERROR(-INDEX(Expenses!D$3:D$999,SMALL(IF((Expenses!E$3:E$999="INR")*(Expenses!A$3:A$999=DATE(2026,3,22)),ROW(Expenses!A$3:A$999)-2),5)),0)+IFERROR(INDEX(Income!C$3:C$502,SMALL(IF((Income!D$3:D$502="INR")*(Income!A$3:A$502=DATE(2026,3,22)),ROW(Income!A$3:A$502)-2),5)),0))</f>
        <v/>
      </c>
      <c r="P63" s="126">
        <f t="array" ref="P63">IF(IFERROR(INDEX(Expenses!B$3:B$999,SMALL(IF((Expenses!E$3:E$999="INR")*(Expenses!A$3:A$999=DATE(2026,3,22)),ROW(Expenses!A$3:A$999)-2),5)),"")&lt;&gt;"",IFERROR(INDEX(Expenses!B$3:B$999,SMALL(IF((Expenses!E$3:E$999="INR")*(Expenses!A$3:A$999=DATE(2026,3,22)),ROW(Expenses!A$3:A$999)-2),5)),""),IF(IFERROR(INDEX(Income!B$3:B$502,SMALL(IF((Income!D$3:D$502="INR")*(Income!A$3:A$502=DATE(2026,3,22)),ROW(Income!A$3:A$502)-2),5)),"")&lt;&gt;"",IFERROR(INDEX(Income!B$3:B$502,SMALL(IF((Income!D$3:D$502="INR")*(Income!A$3:A$502=DATE(2026,3,22)),ROW(Income!A$3:A$502)-2),5)),""),""))</f>
        <v/>
      </c>
      <c r="Q63" s="9" t="n"/>
      <c r="R63" s="9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68">
      <c r="A64" s="151" t="n">
        <v>46104</v>
      </c>
      <c r="B64" s="103" t="n">
        <v>13</v>
      </c>
      <c r="C64" s="153">
        <f t="array" ref="C64">IF(IFERROR(-INDEX(Expenses!D$3:D$999,SMALL(IF((Expenses!E$3:E$999="INR")*(Expenses!A$3:A$999=DATE(2026,3,23)),ROW(Expenses!A$3:A$999)-2),1)),0)+IFERROR(INDEX(Income!C$3:C$502,SMALL(IF((Income!D$3:D$502="INR")*(Income!A$3:A$502=DATE(2026,3,23)),ROW(Income!A$3:A$502)-2),1)),0)=0,"",IFERROR(-INDEX(Expenses!D$3:D$999,SMALL(IF((Expenses!E$3:E$999="INR")*(Expenses!A$3:A$999=DATE(2026,3,23)),ROW(Expenses!A$3:A$999)-2),1)),0)+IFERROR(INDEX(Income!C$3:C$502,SMALL(IF((Income!D$3:D$502="INR")*(Income!A$3:A$502=DATE(2026,3,23)),ROW(Income!A$3:A$502)-2),1)),0))</f>
        <v/>
      </c>
      <c r="D64" s="126">
        <f t="array" ref="D64">IF(IFERROR(INDEX(Expenses!B$3:B$999,SMALL(IF((Expenses!E$3:E$999="INR")*(Expenses!A$3:A$999=DATE(2026,3,23)),ROW(Expenses!A$3:A$999)-2),1)),"")&lt;&gt;"",IFERROR(INDEX(Expenses!B$3:B$999,SMALL(IF((Expenses!E$3:E$999="INR")*(Expenses!A$3:A$999=DATE(2026,3,23)),ROW(Expenses!A$3:A$999)-2),1)),""),IF(IFERROR(INDEX(Income!B$3:B$502,SMALL(IF((Income!D$3:D$502="INR")*(Income!A$3:A$502=DATE(2026,3,23)),ROW(Income!A$3:A$502)-2),1)),"")&lt;&gt;"",IFERROR(INDEX(Income!B$3:B$502,SMALL(IF((Income!D$3:D$502="INR")*(Income!A$3:A$502=DATE(2026,3,23)),ROW(Income!A$3:A$502)-2),1)),""),""))</f>
        <v/>
      </c>
      <c r="E64" s="153">
        <f t="array" ref="E64">IF(IFERROR(-INDEX(Expenses!D$3:D$999,SMALL(IF((Expenses!E$3:E$999="INR")*(Expenses!A$3:A$999=DATE(2026,3,24)),ROW(Expenses!A$3:A$999)-2),1)),0)+IFERROR(INDEX(Income!C$3:C$502,SMALL(IF((Income!D$3:D$502="INR")*(Income!A$3:A$502=DATE(2026,3,24)),ROW(Income!A$3:A$502)-2),1)),0)=0,"",IFERROR(-INDEX(Expenses!D$3:D$999,SMALL(IF((Expenses!E$3:E$999="INR")*(Expenses!A$3:A$999=DATE(2026,3,24)),ROW(Expenses!A$3:A$999)-2),1)),0)+IFERROR(INDEX(Income!C$3:C$502,SMALL(IF((Income!D$3:D$502="INR")*(Income!A$3:A$502=DATE(2026,3,24)),ROW(Income!A$3:A$502)-2),1)),0))</f>
        <v/>
      </c>
      <c r="F64" s="126">
        <f t="array" ref="F64">IF(IFERROR(INDEX(Expenses!B$3:B$999,SMALL(IF((Expenses!E$3:E$999="INR")*(Expenses!A$3:A$999=DATE(2026,3,24)),ROW(Expenses!A$3:A$999)-2),1)),"")&lt;&gt;"",IFERROR(INDEX(Expenses!B$3:B$999,SMALL(IF((Expenses!E$3:E$999="INR")*(Expenses!A$3:A$999=DATE(2026,3,24)),ROW(Expenses!A$3:A$999)-2),1)),""),IF(IFERROR(INDEX(Income!B$3:B$502,SMALL(IF((Income!D$3:D$502="INR")*(Income!A$3:A$502=DATE(2026,3,24)),ROW(Income!A$3:A$502)-2),1)),"")&lt;&gt;"",IFERROR(INDEX(Income!B$3:B$502,SMALL(IF((Income!D$3:D$502="INR")*(Income!A$3:A$502=DATE(2026,3,24)),ROW(Income!A$3:A$502)-2),1)),""),""))</f>
        <v/>
      </c>
      <c r="G64" s="153">
        <f t="array" ref="G64">IF(IFERROR(-INDEX(Expenses!D$3:D$999,SMALL(IF((Expenses!E$3:E$999="INR")*(Expenses!A$3:A$999=DATE(2026,3,25)),ROW(Expenses!A$3:A$999)-2),1)),0)+IFERROR(INDEX(Income!C$3:C$502,SMALL(IF((Income!D$3:D$502="INR")*(Income!A$3:A$502=DATE(2026,3,25)),ROW(Income!A$3:A$502)-2),1)),0)=0,"",IFERROR(-INDEX(Expenses!D$3:D$999,SMALL(IF((Expenses!E$3:E$999="INR")*(Expenses!A$3:A$999=DATE(2026,3,25)),ROW(Expenses!A$3:A$999)-2),1)),0)+IFERROR(INDEX(Income!C$3:C$502,SMALL(IF((Income!D$3:D$502="INR")*(Income!A$3:A$502=DATE(2026,3,25)),ROW(Income!A$3:A$502)-2),1)),0))</f>
        <v/>
      </c>
      <c r="H64" s="126">
        <f t="array" ref="H64">IF(IFERROR(INDEX(Expenses!B$3:B$999,SMALL(IF((Expenses!E$3:E$999="INR")*(Expenses!A$3:A$999=DATE(2026,3,25)),ROW(Expenses!A$3:A$999)-2),1)),"")&lt;&gt;"",IFERROR(INDEX(Expenses!B$3:B$999,SMALL(IF((Expenses!E$3:E$999="INR")*(Expenses!A$3:A$999=DATE(2026,3,25)),ROW(Expenses!A$3:A$999)-2),1)),""),IF(IFERROR(INDEX(Income!B$3:B$502,SMALL(IF((Income!D$3:D$502="INR")*(Income!A$3:A$502=DATE(2026,3,25)),ROW(Income!A$3:A$502)-2),1)),"")&lt;&gt;"",IFERROR(INDEX(Income!B$3:B$502,SMALL(IF((Income!D$3:D$502="INR")*(Income!A$3:A$502=DATE(2026,3,25)),ROW(Income!A$3:A$502)-2),1)),""),""))</f>
        <v/>
      </c>
      <c r="I64" s="153">
        <f t="array" ref="I64">IF(IFERROR(-INDEX(Expenses!D$3:D$999,SMALL(IF((Expenses!E$3:E$999="INR")*(Expenses!A$3:A$999=DATE(2026,3,26)),ROW(Expenses!A$3:A$999)-2),1)),0)+IFERROR(INDEX(Income!C$3:C$502,SMALL(IF((Income!D$3:D$502="INR")*(Income!A$3:A$502=DATE(2026,3,26)),ROW(Income!A$3:A$502)-2),1)),0)=0,"",IFERROR(-INDEX(Expenses!D$3:D$999,SMALL(IF((Expenses!E$3:E$999="INR")*(Expenses!A$3:A$999=DATE(2026,3,26)),ROW(Expenses!A$3:A$999)-2),1)),0)+IFERROR(INDEX(Income!C$3:C$502,SMALL(IF((Income!D$3:D$502="INR")*(Income!A$3:A$502=DATE(2026,3,26)),ROW(Income!A$3:A$502)-2),1)),0))</f>
        <v/>
      </c>
      <c r="J64" s="126">
        <f t="array" ref="J64">IF(IFERROR(INDEX(Expenses!B$3:B$999,SMALL(IF((Expenses!E$3:E$999="INR")*(Expenses!A$3:A$999=DATE(2026,3,26)),ROW(Expenses!A$3:A$999)-2),1)),"")&lt;&gt;"",IFERROR(INDEX(Expenses!B$3:B$999,SMALL(IF((Expenses!E$3:E$999="INR")*(Expenses!A$3:A$999=DATE(2026,3,26)),ROW(Expenses!A$3:A$999)-2),1)),""),IF(IFERROR(INDEX(Income!B$3:B$502,SMALL(IF((Income!D$3:D$502="INR")*(Income!A$3:A$502=DATE(2026,3,26)),ROW(Income!A$3:A$502)-2),1)),"")&lt;&gt;"",IFERROR(INDEX(Income!B$3:B$502,SMALL(IF((Income!D$3:D$502="INR")*(Income!A$3:A$502=DATE(2026,3,26)),ROW(Income!A$3:A$502)-2),1)),""),""))</f>
        <v/>
      </c>
      <c r="K64" s="153">
        <f t="array" ref="K64">IF(IFERROR(-INDEX(Expenses!D$3:D$999,SMALL(IF((Expenses!E$3:E$999="INR")*(Expenses!A$3:A$999=DATE(2026,3,27)),ROW(Expenses!A$3:A$999)-2),1)),0)+IFERROR(INDEX(Income!C$3:C$502,SMALL(IF((Income!D$3:D$502="INR")*(Income!A$3:A$502=DATE(2026,3,27)),ROW(Income!A$3:A$502)-2),1)),0)=0,"",IFERROR(-INDEX(Expenses!D$3:D$999,SMALL(IF((Expenses!E$3:E$999="INR")*(Expenses!A$3:A$999=DATE(2026,3,27)),ROW(Expenses!A$3:A$999)-2),1)),0)+IFERROR(INDEX(Income!C$3:C$502,SMALL(IF((Income!D$3:D$502="INR")*(Income!A$3:A$502=DATE(2026,3,27)),ROW(Income!A$3:A$502)-2),1)),0))</f>
        <v/>
      </c>
      <c r="L64" s="126">
        <f t="array" ref="L64">IF(IFERROR(INDEX(Expenses!B$3:B$999,SMALL(IF((Expenses!E$3:E$999="INR")*(Expenses!A$3:A$999=DATE(2026,3,27)),ROW(Expenses!A$3:A$999)-2),1)),"")&lt;&gt;"",IFERROR(INDEX(Expenses!B$3:B$999,SMALL(IF((Expenses!E$3:E$999="INR")*(Expenses!A$3:A$999=DATE(2026,3,27)),ROW(Expenses!A$3:A$999)-2),1)),""),IF(IFERROR(INDEX(Income!B$3:B$502,SMALL(IF((Income!D$3:D$502="INR")*(Income!A$3:A$502=DATE(2026,3,27)),ROW(Income!A$3:A$502)-2),1)),"")&lt;&gt;"",IFERROR(INDEX(Income!B$3:B$502,SMALL(IF((Income!D$3:D$502="INR")*(Income!A$3:A$502=DATE(2026,3,27)),ROW(Income!A$3:A$502)-2),1)),""),""))</f>
        <v/>
      </c>
      <c r="M64" s="153">
        <f t="array" ref="M64">IF(IFERROR(-INDEX(Expenses!D$3:D$999,SMALL(IF((Expenses!E$3:E$999="INR")*(Expenses!A$3:A$999=DATE(2026,3,28)),ROW(Expenses!A$3:A$999)-2),1)),0)+IFERROR(INDEX(Income!C$3:C$502,SMALL(IF((Income!D$3:D$502="INR")*(Income!A$3:A$502=DATE(2026,3,28)),ROW(Income!A$3:A$502)-2),1)),0)=0,"",IFERROR(-INDEX(Expenses!D$3:D$999,SMALL(IF((Expenses!E$3:E$999="INR")*(Expenses!A$3:A$999=DATE(2026,3,28)),ROW(Expenses!A$3:A$999)-2),1)),0)+IFERROR(INDEX(Income!C$3:C$502,SMALL(IF((Income!D$3:D$502="INR")*(Income!A$3:A$502=DATE(2026,3,28)),ROW(Income!A$3:A$502)-2),1)),0))</f>
        <v/>
      </c>
      <c r="N64" s="126">
        <f t="array" ref="N64">IF(IFERROR(INDEX(Expenses!B$3:B$999,SMALL(IF((Expenses!E$3:E$999="INR")*(Expenses!A$3:A$999=DATE(2026,3,28)),ROW(Expenses!A$3:A$999)-2),1)),"")&lt;&gt;"",IFERROR(INDEX(Expenses!B$3:B$999,SMALL(IF((Expenses!E$3:E$999="INR")*(Expenses!A$3:A$999=DATE(2026,3,28)),ROW(Expenses!A$3:A$999)-2),1)),""),IF(IFERROR(INDEX(Income!B$3:B$502,SMALL(IF((Income!D$3:D$502="INR")*(Income!A$3:A$502=DATE(2026,3,28)),ROW(Income!A$3:A$502)-2),1)),"")&lt;&gt;"",IFERROR(INDEX(Income!B$3:B$502,SMALL(IF((Income!D$3:D$502="INR")*(Income!A$3:A$502=DATE(2026,3,28)),ROW(Income!A$3:A$502)-2),1)),""),""))</f>
        <v/>
      </c>
      <c r="O64" s="153">
        <f t="array" ref="O64">IF(IFERROR(-INDEX(Expenses!D$3:D$999,SMALL(IF((Expenses!E$3:E$999="INR")*(Expenses!A$3:A$999=DATE(2026,3,29)),ROW(Expenses!A$3:A$999)-2),1)),0)+IFERROR(INDEX(Income!C$3:C$502,SMALL(IF((Income!D$3:D$502="INR")*(Income!A$3:A$502=DATE(2026,3,29)),ROW(Income!A$3:A$502)-2),1)),0)=0,"",IFERROR(-INDEX(Expenses!D$3:D$999,SMALL(IF((Expenses!E$3:E$999="INR")*(Expenses!A$3:A$999=DATE(2026,3,29)),ROW(Expenses!A$3:A$999)-2),1)),0)+IFERROR(INDEX(Income!C$3:C$502,SMALL(IF((Income!D$3:D$502="INR")*(Income!A$3:A$502=DATE(2026,3,29)),ROW(Income!A$3:A$502)-2),1)),0))</f>
        <v/>
      </c>
      <c r="P64" s="126">
        <f t="array" ref="P64">IF(IFERROR(INDEX(Expenses!B$3:B$999,SMALL(IF((Expenses!E$3:E$999="INR")*(Expenses!A$3:A$999=DATE(2026,3,29)),ROW(Expenses!A$3:A$999)-2),1)),"")&lt;&gt;"",IFERROR(INDEX(Expenses!B$3:B$999,SMALL(IF((Expenses!E$3:E$999="INR")*(Expenses!A$3:A$999=DATE(2026,3,29)),ROW(Expenses!A$3:A$999)-2),1)),""),IF(IFERROR(INDEX(Income!B$3:B$502,SMALL(IF((Income!D$3:D$502="INR")*(Income!A$3:A$502=DATE(2026,3,29)),ROW(Income!A$3:A$502)-2),1)),"")&lt;&gt;"",IFERROR(INDEX(Income!B$3:B$502,SMALL(IF((Income!D$3:D$502="INR")*(Income!A$3:A$502=DATE(2026,3,29)),ROW(Income!A$3:A$502)-2),1)),""),""))</f>
        <v/>
      </c>
      <c r="Q64" s="103" t="n">
        <v>13</v>
      </c>
      <c r="R64" s="142">
        <f>SUM(C64:C68)+SUM(E64:E68)+SUM(G64:G68)+SUM(I64:I68)+SUM(K64:K68)+SUM(M64:M68)+SUM(O64:O68)</f>
        <v/>
      </c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68">
      <c r="A65" s="9" t="n"/>
      <c r="B65" s="9" t="n"/>
      <c r="C65" s="153">
        <f t="array" ref="C65">IF(IFERROR(-INDEX(Expenses!D$3:D$999,SMALL(IF((Expenses!E$3:E$999="INR")*(Expenses!A$3:A$999=DATE(2026,3,23)),ROW(Expenses!A$3:A$999)-2),2)),0)+IFERROR(INDEX(Income!C$3:C$502,SMALL(IF((Income!D$3:D$502="INR")*(Income!A$3:A$502=DATE(2026,3,23)),ROW(Income!A$3:A$502)-2),2)),0)=0,"",IFERROR(-INDEX(Expenses!D$3:D$999,SMALL(IF((Expenses!E$3:E$999="INR")*(Expenses!A$3:A$999=DATE(2026,3,23)),ROW(Expenses!A$3:A$999)-2),2)),0)+IFERROR(INDEX(Income!C$3:C$502,SMALL(IF((Income!D$3:D$502="INR")*(Income!A$3:A$502=DATE(2026,3,23)),ROW(Income!A$3:A$502)-2),2)),0))</f>
        <v/>
      </c>
      <c r="D65" s="126">
        <f t="array" ref="D65">IF(IFERROR(INDEX(Expenses!B$3:B$999,SMALL(IF((Expenses!E$3:E$999="INR")*(Expenses!A$3:A$999=DATE(2026,3,23)),ROW(Expenses!A$3:A$999)-2),2)),"")&lt;&gt;"",IFERROR(INDEX(Expenses!B$3:B$999,SMALL(IF((Expenses!E$3:E$999="INR")*(Expenses!A$3:A$999=DATE(2026,3,23)),ROW(Expenses!A$3:A$999)-2),2)),""),IF(IFERROR(INDEX(Income!B$3:B$502,SMALL(IF((Income!D$3:D$502="INR")*(Income!A$3:A$502=DATE(2026,3,23)),ROW(Income!A$3:A$502)-2),2)),"")&lt;&gt;"",IFERROR(INDEX(Income!B$3:B$502,SMALL(IF((Income!D$3:D$502="INR")*(Income!A$3:A$502=DATE(2026,3,23)),ROW(Income!A$3:A$502)-2),2)),""),""))</f>
        <v/>
      </c>
      <c r="E65" s="153">
        <f t="array" ref="E65">IF(IFERROR(-INDEX(Expenses!D$3:D$999,SMALL(IF((Expenses!E$3:E$999="INR")*(Expenses!A$3:A$999=DATE(2026,3,24)),ROW(Expenses!A$3:A$999)-2),2)),0)+IFERROR(INDEX(Income!C$3:C$502,SMALL(IF((Income!D$3:D$502="INR")*(Income!A$3:A$502=DATE(2026,3,24)),ROW(Income!A$3:A$502)-2),2)),0)=0,"",IFERROR(-INDEX(Expenses!D$3:D$999,SMALL(IF((Expenses!E$3:E$999="INR")*(Expenses!A$3:A$999=DATE(2026,3,24)),ROW(Expenses!A$3:A$999)-2),2)),0)+IFERROR(INDEX(Income!C$3:C$502,SMALL(IF((Income!D$3:D$502="INR")*(Income!A$3:A$502=DATE(2026,3,24)),ROW(Income!A$3:A$502)-2),2)),0))</f>
        <v/>
      </c>
      <c r="F65" s="126">
        <f t="array" ref="F65">IF(IFERROR(INDEX(Expenses!B$3:B$999,SMALL(IF((Expenses!E$3:E$999="INR")*(Expenses!A$3:A$999=DATE(2026,3,24)),ROW(Expenses!A$3:A$999)-2),2)),"")&lt;&gt;"",IFERROR(INDEX(Expenses!B$3:B$999,SMALL(IF((Expenses!E$3:E$999="INR")*(Expenses!A$3:A$999=DATE(2026,3,24)),ROW(Expenses!A$3:A$999)-2),2)),""),IF(IFERROR(INDEX(Income!B$3:B$502,SMALL(IF((Income!D$3:D$502="INR")*(Income!A$3:A$502=DATE(2026,3,24)),ROW(Income!A$3:A$502)-2),2)),"")&lt;&gt;"",IFERROR(INDEX(Income!B$3:B$502,SMALL(IF((Income!D$3:D$502="INR")*(Income!A$3:A$502=DATE(2026,3,24)),ROW(Income!A$3:A$502)-2),2)),""),""))</f>
        <v/>
      </c>
      <c r="G65" s="153">
        <f t="array" ref="G65">IF(IFERROR(-INDEX(Expenses!D$3:D$999,SMALL(IF((Expenses!E$3:E$999="INR")*(Expenses!A$3:A$999=DATE(2026,3,25)),ROW(Expenses!A$3:A$999)-2),2)),0)+IFERROR(INDEX(Income!C$3:C$502,SMALL(IF((Income!D$3:D$502="INR")*(Income!A$3:A$502=DATE(2026,3,25)),ROW(Income!A$3:A$502)-2),2)),0)=0,"",IFERROR(-INDEX(Expenses!D$3:D$999,SMALL(IF((Expenses!E$3:E$999="INR")*(Expenses!A$3:A$999=DATE(2026,3,25)),ROW(Expenses!A$3:A$999)-2),2)),0)+IFERROR(INDEX(Income!C$3:C$502,SMALL(IF((Income!D$3:D$502="INR")*(Income!A$3:A$502=DATE(2026,3,25)),ROW(Income!A$3:A$502)-2),2)),0))</f>
        <v/>
      </c>
      <c r="H65" s="126">
        <f t="array" ref="H65">IF(IFERROR(INDEX(Expenses!B$3:B$999,SMALL(IF((Expenses!E$3:E$999="INR")*(Expenses!A$3:A$999=DATE(2026,3,25)),ROW(Expenses!A$3:A$999)-2),2)),"")&lt;&gt;"",IFERROR(INDEX(Expenses!B$3:B$999,SMALL(IF((Expenses!E$3:E$999="INR")*(Expenses!A$3:A$999=DATE(2026,3,25)),ROW(Expenses!A$3:A$999)-2),2)),""),IF(IFERROR(INDEX(Income!B$3:B$502,SMALL(IF((Income!D$3:D$502="INR")*(Income!A$3:A$502=DATE(2026,3,25)),ROW(Income!A$3:A$502)-2),2)),"")&lt;&gt;"",IFERROR(INDEX(Income!B$3:B$502,SMALL(IF((Income!D$3:D$502="INR")*(Income!A$3:A$502=DATE(2026,3,25)),ROW(Income!A$3:A$502)-2),2)),""),""))</f>
        <v/>
      </c>
      <c r="I65" s="153">
        <f t="array" ref="I65">IF(IFERROR(-INDEX(Expenses!D$3:D$999,SMALL(IF((Expenses!E$3:E$999="INR")*(Expenses!A$3:A$999=DATE(2026,3,26)),ROW(Expenses!A$3:A$999)-2),2)),0)+IFERROR(INDEX(Income!C$3:C$502,SMALL(IF((Income!D$3:D$502="INR")*(Income!A$3:A$502=DATE(2026,3,26)),ROW(Income!A$3:A$502)-2),2)),0)=0,"",IFERROR(-INDEX(Expenses!D$3:D$999,SMALL(IF((Expenses!E$3:E$999="INR")*(Expenses!A$3:A$999=DATE(2026,3,26)),ROW(Expenses!A$3:A$999)-2),2)),0)+IFERROR(INDEX(Income!C$3:C$502,SMALL(IF((Income!D$3:D$502="INR")*(Income!A$3:A$502=DATE(2026,3,26)),ROW(Income!A$3:A$502)-2),2)),0))</f>
        <v/>
      </c>
      <c r="J65" s="126">
        <f t="array" ref="J65">IF(IFERROR(INDEX(Expenses!B$3:B$999,SMALL(IF((Expenses!E$3:E$999="INR")*(Expenses!A$3:A$999=DATE(2026,3,26)),ROW(Expenses!A$3:A$999)-2),2)),"")&lt;&gt;"",IFERROR(INDEX(Expenses!B$3:B$999,SMALL(IF((Expenses!E$3:E$999="INR")*(Expenses!A$3:A$999=DATE(2026,3,26)),ROW(Expenses!A$3:A$999)-2),2)),""),IF(IFERROR(INDEX(Income!B$3:B$502,SMALL(IF((Income!D$3:D$502="INR")*(Income!A$3:A$502=DATE(2026,3,26)),ROW(Income!A$3:A$502)-2),2)),"")&lt;&gt;"",IFERROR(INDEX(Income!B$3:B$502,SMALL(IF((Income!D$3:D$502="INR")*(Income!A$3:A$502=DATE(2026,3,26)),ROW(Income!A$3:A$502)-2),2)),""),""))</f>
        <v/>
      </c>
      <c r="K65" s="153">
        <f t="array" ref="K65">IF(IFERROR(-INDEX(Expenses!D$3:D$999,SMALL(IF((Expenses!E$3:E$999="INR")*(Expenses!A$3:A$999=DATE(2026,3,27)),ROW(Expenses!A$3:A$999)-2),2)),0)+IFERROR(INDEX(Income!C$3:C$502,SMALL(IF((Income!D$3:D$502="INR")*(Income!A$3:A$502=DATE(2026,3,27)),ROW(Income!A$3:A$502)-2),2)),0)=0,"",IFERROR(-INDEX(Expenses!D$3:D$999,SMALL(IF((Expenses!E$3:E$999="INR")*(Expenses!A$3:A$999=DATE(2026,3,27)),ROW(Expenses!A$3:A$999)-2),2)),0)+IFERROR(INDEX(Income!C$3:C$502,SMALL(IF((Income!D$3:D$502="INR")*(Income!A$3:A$502=DATE(2026,3,27)),ROW(Income!A$3:A$502)-2),2)),0))</f>
        <v/>
      </c>
      <c r="L65" s="126">
        <f t="array" ref="L65">IF(IFERROR(INDEX(Expenses!B$3:B$999,SMALL(IF((Expenses!E$3:E$999="INR")*(Expenses!A$3:A$999=DATE(2026,3,27)),ROW(Expenses!A$3:A$999)-2),2)),"")&lt;&gt;"",IFERROR(INDEX(Expenses!B$3:B$999,SMALL(IF((Expenses!E$3:E$999="INR")*(Expenses!A$3:A$999=DATE(2026,3,27)),ROW(Expenses!A$3:A$999)-2),2)),""),IF(IFERROR(INDEX(Income!B$3:B$502,SMALL(IF((Income!D$3:D$502="INR")*(Income!A$3:A$502=DATE(2026,3,27)),ROW(Income!A$3:A$502)-2),2)),"")&lt;&gt;"",IFERROR(INDEX(Income!B$3:B$502,SMALL(IF((Income!D$3:D$502="INR")*(Income!A$3:A$502=DATE(2026,3,27)),ROW(Income!A$3:A$502)-2),2)),""),""))</f>
        <v/>
      </c>
      <c r="M65" s="153">
        <f t="array" ref="M65">IF(IFERROR(-INDEX(Expenses!D$3:D$999,SMALL(IF((Expenses!E$3:E$999="INR")*(Expenses!A$3:A$999=DATE(2026,3,28)),ROW(Expenses!A$3:A$999)-2),2)),0)+IFERROR(INDEX(Income!C$3:C$502,SMALL(IF((Income!D$3:D$502="INR")*(Income!A$3:A$502=DATE(2026,3,28)),ROW(Income!A$3:A$502)-2),2)),0)=0,"",IFERROR(-INDEX(Expenses!D$3:D$999,SMALL(IF((Expenses!E$3:E$999="INR")*(Expenses!A$3:A$999=DATE(2026,3,28)),ROW(Expenses!A$3:A$999)-2),2)),0)+IFERROR(INDEX(Income!C$3:C$502,SMALL(IF((Income!D$3:D$502="INR")*(Income!A$3:A$502=DATE(2026,3,28)),ROW(Income!A$3:A$502)-2),2)),0))</f>
        <v/>
      </c>
      <c r="N65" s="126">
        <f t="array" ref="N65">IF(IFERROR(INDEX(Expenses!B$3:B$999,SMALL(IF((Expenses!E$3:E$999="INR")*(Expenses!A$3:A$999=DATE(2026,3,28)),ROW(Expenses!A$3:A$999)-2),2)),"")&lt;&gt;"",IFERROR(INDEX(Expenses!B$3:B$999,SMALL(IF((Expenses!E$3:E$999="INR")*(Expenses!A$3:A$999=DATE(2026,3,28)),ROW(Expenses!A$3:A$999)-2),2)),""),IF(IFERROR(INDEX(Income!B$3:B$502,SMALL(IF((Income!D$3:D$502="INR")*(Income!A$3:A$502=DATE(2026,3,28)),ROW(Income!A$3:A$502)-2),2)),"")&lt;&gt;"",IFERROR(INDEX(Income!B$3:B$502,SMALL(IF((Income!D$3:D$502="INR")*(Income!A$3:A$502=DATE(2026,3,28)),ROW(Income!A$3:A$502)-2),2)),""),""))</f>
        <v/>
      </c>
      <c r="O65" s="153">
        <f t="array" ref="O65">IF(IFERROR(-INDEX(Expenses!D$3:D$999,SMALL(IF((Expenses!E$3:E$999="INR")*(Expenses!A$3:A$999=DATE(2026,3,29)),ROW(Expenses!A$3:A$999)-2),2)),0)+IFERROR(INDEX(Income!C$3:C$502,SMALL(IF((Income!D$3:D$502="INR")*(Income!A$3:A$502=DATE(2026,3,29)),ROW(Income!A$3:A$502)-2),2)),0)=0,"",IFERROR(-INDEX(Expenses!D$3:D$999,SMALL(IF((Expenses!E$3:E$999="INR")*(Expenses!A$3:A$999=DATE(2026,3,29)),ROW(Expenses!A$3:A$999)-2),2)),0)+IFERROR(INDEX(Income!C$3:C$502,SMALL(IF((Income!D$3:D$502="INR")*(Income!A$3:A$502=DATE(2026,3,29)),ROW(Income!A$3:A$502)-2),2)),0))</f>
        <v/>
      </c>
      <c r="P65" s="126">
        <f t="array" ref="P65">IF(IFERROR(INDEX(Expenses!B$3:B$999,SMALL(IF((Expenses!E$3:E$999="INR")*(Expenses!A$3:A$999=DATE(2026,3,29)),ROW(Expenses!A$3:A$999)-2),2)),"")&lt;&gt;"",IFERROR(INDEX(Expenses!B$3:B$999,SMALL(IF((Expenses!E$3:E$999="INR")*(Expenses!A$3:A$999=DATE(2026,3,29)),ROW(Expenses!A$3:A$999)-2),2)),""),IF(IFERROR(INDEX(Income!B$3:B$502,SMALL(IF((Income!D$3:D$502="INR")*(Income!A$3:A$502=DATE(2026,3,29)),ROW(Income!A$3:A$502)-2),2)),"")&lt;&gt;"",IFERROR(INDEX(Income!B$3:B$502,SMALL(IF((Income!D$3:D$502="INR")*(Income!A$3:A$502=DATE(2026,3,29)),ROW(Income!A$3:A$502)-2),2)),""),""))</f>
        <v/>
      </c>
      <c r="Q65" s="9" t="n"/>
      <c r="R65" s="9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68">
      <c r="A66" s="9" t="n"/>
      <c r="B66" s="9" t="n"/>
      <c r="C66" s="153">
        <f t="array" ref="C66">IF(IFERROR(-INDEX(Expenses!D$3:D$999,SMALL(IF((Expenses!E$3:E$999="INR")*(Expenses!A$3:A$999=DATE(2026,3,23)),ROW(Expenses!A$3:A$999)-2),3)),0)+IFERROR(INDEX(Income!C$3:C$502,SMALL(IF((Income!D$3:D$502="INR")*(Income!A$3:A$502=DATE(2026,3,23)),ROW(Income!A$3:A$502)-2),3)),0)=0,"",IFERROR(-INDEX(Expenses!D$3:D$999,SMALL(IF((Expenses!E$3:E$999="INR")*(Expenses!A$3:A$999=DATE(2026,3,23)),ROW(Expenses!A$3:A$999)-2),3)),0)+IFERROR(INDEX(Income!C$3:C$502,SMALL(IF((Income!D$3:D$502="INR")*(Income!A$3:A$502=DATE(2026,3,23)),ROW(Income!A$3:A$502)-2),3)),0))</f>
        <v/>
      </c>
      <c r="D66" s="126">
        <f t="array" ref="D66">IF(IFERROR(INDEX(Expenses!B$3:B$999,SMALL(IF((Expenses!E$3:E$999="INR")*(Expenses!A$3:A$999=DATE(2026,3,23)),ROW(Expenses!A$3:A$999)-2),3)),"")&lt;&gt;"",IFERROR(INDEX(Expenses!B$3:B$999,SMALL(IF((Expenses!E$3:E$999="INR")*(Expenses!A$3:A$999=DATE(2026,3,23)),ROW(Expenses!A$3:A$999)-2),3)),""),IF(IFERROR(INDEX(Income!B$3:B$502,SMALL(IF((Income!D$3:D$502="INR")*(Income!A$3:A$502=DATE(2026,3,23)),ROW(Income!A$3:A$502)-2),3)),"")&lt;&gt;"",IFERROR(INDEX(Income!B$3:B$502,SMALL(IF((Income!D$3:D$502="INR")*(Income!A$3:A$502=DATE(2026,3,23)),ROW(Income!A$3:A$502)-2),3)),""),""))</f>
        <v/>
      </c>
      <c r="E66" s="153">
        <f t="array" ref="E66">IF(IFERROR(-INDEX(Expenses!D$3:D$999,SMALL(IF((Expenses!E$3:E$999="INR")*(Expenses!A$3:A$999=DATE(2026,3,24)),ROW(Expenses!A$3:A$999)-2),3)),0)+IFERROR(INDEX(Income!C$3:C$502,SMALL(IF((Income!D$3:D$502="INR")*(Income!A$3:A$502=DATE(2026,3,24)),ROW(Income!A$3:A$502)-2),3)),0)=0,"",IFERROR(-INDEX(Expenses!D$3:D$999,SMALL(IF((Expenses!E$3:E$999="INR")*(Expenses!A$3:A$999=DATE(2026,3,24)),ROW(Expenses!A$3:A$999)-2),3)),0)+IFERROR(INDEX(Income!C$3:C$502,SMALL(IF((Income!D$3:D$502="INR")*(Income!A$3:A$502=DATE(2026,3,24)),ROW(Income!A$3:A$502)-2),3)),0))</f>
        <v/>
      </c>
      <c r="F66" s="126">
        <f t="array" ref="F66">IF(IFERROR(INDEX(Expenses!B$3:B$999,SMALL(IF((Expenses!E$3:E$999="INR")*(Expenses!A$3:A$999=DATE(2026,3,24)),ROW(Expenses!A$3:A$999)-2),3)),"")&lt;&gt;"",IFERROR(INDEX(Expenses!B$3:B$999,SMALL(IF((Expenses!E$3:E$999="INR")*(Expenses!A$3:A$999=DATE(2026,3,24)),ROW(Expenses!A$3:A$999)-2),3)),""),IF(IFERROR(INDEX(Income!B$3:B$502,SMALL(IF((Income!D$3:D$502="INR")*(Income!A$3:A$502=DATE(2026,3,24)),ROW(Income!A$3:A$502)-2),3)),"")&lt;&gt;"",IFERROR(INDEX(Income!B$3:B$502,SMALL(IF((Income!D$3:D$502="INR")*(Income!A$3:A$502=DATE(2026,3,24)),ROW(Income!A$3:A$502)-2),3)),""),""))</f>
        <v/>
      </c>
      <c r="G66" s="153">
        <f t="array" ref="G66">IF(IFERROR(-INDEX(Expenses!D$3:D$999,SMALL(IF((Expenses!E$3:E$999="INR")*(Expenses!A$3:A$999=DATE(2026,3,25)),ROW(Expenses!A$3:A$999)-2),3)),0)+IFERROR(INDEX(Income!C$3:C$502,SMALL(IF((Income!D$3:D$502="INR")*(Income!A$3:A$502=DATE(2026,3,25)),ROW(Income!A$3:A$502)-2),3)),0)=0,"",IFERROR(-INDEX(Expenses!D$3:D$999,SMALL(IF((Expenses!E$3:E$999="INR")*(Expenses!A$3:A$999=DATE(2026,3,25)),ROW(Expenses!A$3:A$999)-2),3)),0)+IFERROR(INDEX(Income!C$3:C$502,SMALL(IF((Income!D$3:D$502="INR")*(Income!A$3:A$502=DATE(2026,3,25)),ROW(Income!A$3:A$502)-2),3)),0))</f>
        <v/>
      </c>
      <c r="H66" s="126">
        <f t="array" ref="H66">IF(IFERROR(INDEX(Expenses!B$3:B$999,SMALL(IF((Expenses!E$3:E$999="INR")*(Expenses!A$3:A$999=DATE(2026,3,25)),ROW(Expenses!A$3:A$999)-2),3)),"")&lt;&gt;"",IFERROR(INDEX(Expenses!B$3:B$999,SMALL(IF((Expenses!E$3:E$999="INR")*(Expenses!A$3:A$999=DATE(2026,3,25)),ROW(Expenses!A$3:A$999)-2),3)),""),IF(IFERROR(INDEX(Income!B$3:B$502,SMALL(IF((Income!D$3:D$502="INR")*(Income!A$3:A$502=DATE(2026,3,25)),ROW(Income!A$3:A$502)-2),3)),"")&lt;&gt;"",IFERROR(INDEX(Income!B$3:B$502,SMALL(IF((Income!D$3:D$502="INR")*(Income!A$3:A$502=DATE(2026,3,25)),ROW(Income!A$3:A$502)-2),3)),""),""))</f>
        <v/>
      </c>
      <c r="I66" s="153">
        <f t="array" ref="I66">IF(IFERROR(-INDEX(Expenses!D$3:D$999,SMALL(IF((Expenses!E$3:E$999="INR")*(Expenses!A$3:A$999=DATE(2026,3,26)),ROW(Expenses!A$3:A$999)-2),3)),0)+IFERROR(INDEX(Income!C$3:C$502,SMALL(IF((Income!D$3:D$502="INR")*(Income!A$3:A$502=DATE(2026,3,26)),ROW(Income!A$3:A$502)-2),3)),0)=0,"",IFERROR(-INDEX(Expenses!D$3:D$999,SMALL(IF((Expenses!E$3:E$999="INR")*(Expenses!A$3:A$999=DATE(2026,3,26)),ROW(Expenses!A$3:A$999)-2),3)),0)+IFERROR(INDEX(Income!C$3:C$502,SMALL(IF((Income!D$3:D$502="INR")*(Income!A$3:A$502=DATE(2026,3,26)),ROW(Income!A$3:A$502)-2),3)),0))</f>
        <v/>
      </c>
      <c r="J66" s="126">
        <f t="array" ref="J66">IF(IFERROR(INDEX(Expenses!B$3:B$999,SMALL(IF((Expenses!E$3:E$999="INR")*(Expenses!A$3:A$999=DATE(2026,3,26)),ROW(Expenses!A$3:A$999)-2),3)),"")&lt;&gt;"",IFERROR(INDEX(Expenses!B$3:B$999,SMALL(IF((Expenses!E$3:E$999="INR")*(Expenses!A$3:A$999=DATE(2026,3,26)),ROW(Expenses!A$3:A$999)-2),3)),""),IF(IFERROR(INDEX(Income!B$3:B$502,SMALL(IF((Income!D$3:D$502="INR")*(Income!A$3:A$502=DATE(2026,3,26)),ROW(Income!A$3:A$502)-2),3)),"")&lt;&gt;"",IFERROR(INDEX(Income!B$3:B$502,SMALL(IF((Income!D$3:D$502="INR")*(Income!A$3:A$502=DATE(2026,3,26)),ROW(Income!A$3:A$502)-2),3)),""),""))</f>
        <v/>
      </c>
      <c r="K66" s="153">
        <f t="array" ref="K66">IF(IFERROR(-INDEX(Expenses!D$3:D$999,SMALL(IF((Expenses!E$3:E$999="INR")*(Expenses!A$3:A$999=DATE(2026,3,27)),ROW(Expenses!A$3:A$999)-2),3)),0)+IFERROR(INDEX(Income!C$3:C$502,SMALL(IF((Income!D$3:D$502="INR")*(Income!A$3:A$502=DATE(2026,3,27)),ROW(Income!A$3:A$502)-2),3)),0)=0,"",IFERROR(-INDEX(Expenses!D$3:D$999,SMALL(IF((Expenses!E$3:E$999="INR")*(Expenses!A$3:A$999=DATE(2026,3,27)),ROW(Expenses!A$3:A$999)-2),3)),0)+IFERROR(INDEX(Income!C$3:C$502,SMALL(IF((Income!D$3:D$502="INR")*(Income!A$3:A$502=DATE(2026,3,27)),ROW(Income!A$3:A$502)-2),3)),0))</f>
        <v/>
      </c>
      <c r="L66" s="126">
        <f t="array" ref="L66">IF(IFERROR(INDEX(Expenses!B$3:B$999,SMALL(IF((Expenses!E$3:E$999="INR")*(Expenses!A$3:A$999=DATE(2026,3,27)),ROW(Expenses!A$3:A$999)-2),3)),"")&lt;&gt;"",IFERROR(INDEX(Expenses!B$3:B$999,SMALL(IF((Expenses!E$3:E$999="INR")*(Expenses!A$3:A$999=DATE(2026,3,27)),ROW(Expenses!A$3:A$999)-2),3)),""),IF(IFERROR(INDEX(Income!B$3:B$502,SMALL(IF((Income!D$3:D$502="INR")*(Income!A$3:A$502=DATE(2026,3,27)),ROW(Income!A$3:A$502)-2),3)),"")&lt;&gt;"",IFERROR(INDEX(Income!B$3:B$502,SMALL(IF((Income!D$3:D$502="INR")*(Income!A$3:A$502=DATE(2026,3,27)),ROW(Income!A$3:A$502)-2),3)),""),""))</f>
        <v/>
      </c>
      <c r="M66" s="153">
        <f t="array" ref="M66">IF(IFERROR(-INDEX(Expenses!D$3:D$999,SMALL(IF((Expenses!E$3:E$999="INR")*(Expenses!A$3:A$999=DATE(2026,3,28)),ROW(Expenses!A$3:A$999)-2),3)),0)+IFERROR(INDEX(Income!C$3:C$502,SMALL(IF((Income!D$3:D$502="INR")*(Income!A$3:A$502=DATE(2026,3,28)),ROW(Income!A$3:A$502)-2),3)),0)=0,"",IFERROR(-INDEX(Expenses!D$3:D$999,SMALL(IF((Expenses!E$3:E$999="INR")*(Expenses!A$3:A$999=DATE(2026,3,28)),ROW(Expenses!A$3:A$999)-2),3)),0)+IFERROR(INDEX(Income!C$3:C$502,SMALL(IF((Income!D$3:D$502="INR")*(Income!A$3:A$502=DATE(2026,3,28)),ROW(Income!A$3:A$502)-2),3)),0))</f>
        <v/>
      </c>
      <c r="N66" s="126">
        <f t="array" ref="N66">IF(IFERROR(INDEX(Expenses!B$3:B$999,SMALL(IF((Expenses!E$3:E$999="INR")*(Expenses!A$3:A$999=DATE(2026,3,28)),ROW(Expenses!A$3:A$999)-2),3)),"")&lt;&gt;"",IFERROR(INDEX(Expenses!B$3:B$999,SMALL(IF((Expenses!E$3:E$999="INR")*(Expenses!A$3:A$999=DATE(2026,3,28)),ROW(Expenses!A$3:A$999)-2),3)),""),IF(IFERROR(INDEX(Income!B$3:B$502,SMALL(IF((Income!D$3:D$502="INR")*(Income!A$3:A$502=DATE(2026,3,28)),ROW(Income!A$3:A$502)-2),3)),"")&lt;&gt;"",IFERROR(INDEX(Income!B$3:B$502,SMALL(IF((Income!D$3:D$502="INR")*(Income!A$3:A$502=DATE(2026,3,28)),ROW(Income!A$3:A$502)-2),3)),""),""))</f>
        <v/>
      </c>
      <c r="O66" s="153">
        <f t="array" ref="O66">IF(IFERROR(-INDEX(Expenses!D$3:D$999,SMALL(IF((Expenses!E$3:E$999="INR")*(Expenses!A$3:A$999=DATE(2026,3,29)),ROW(Expenses!A$3:A$999)-2),3)),0)+IFERROR(INDEX(Income!C$3:C$502,SMALL(IF((Income!D$3:D$502="INR")*(Income!A$3:A$502=DATE(2026,3,29)),ROW(Income!A$3:A$502)-2),3)),0)=0,"",IFERROR(-INDEX(Expenses!D$3:D$999,SMALL(IF((Expenses!E$3:E$999="INR")*(Expenses!A$3:A$999=DATE(2026,3,29)),ROW(Expenses!A$3:A$999)-2),3)),0)+IFERROR(INDEX(Income!C$3:C$502,SMALL(IF((Income!D$3:D$502="INR")*(Income!A$3:A$502=DATE(2026,3,29)),ROW(Income!A$3:A$502)-2),3)),0))</f>
        <v/>
      </c>
      <c r="P66" s="126">
        <f t="array" ref="P66">IF(IFERROR(INDEX(Expenses!B$3:B$999,SMALL(IF((Expenses!E$3:E$999="INR")*(Expenses!A$3:A$999=DATE(2026,3,29)),ROW(Expenses!A$3:A$999)-2),3)),"")&lt;&gt;"",IFERROR(INDEX(Expenses!B$3:B$999,SMALL(IF((Expenses!E$3:E$999="INR")*(Expenses!A$3:A$999=DATE(2026,3,29)),ROW(Expenses!A$3:A$999)-2),3)),""),IF(IFERROR(INDEX(Income!B$3:B$502,SMALL(IF((Income!D$3:D$502="INR")*(Income!A$3:A$502=DATE(2026,3,29)),ROW(Income!A$3:A$502)-2),3)),"")&lt;&gt;"",IFERROR(INDEX(Income!B$3:B$502,SMALL(IF((Income!D$3:D$502="INR")*(Income!A$3:A$502=DATE(2026,3,29)),ROW(Income!A$3:A$502)-2),3)),""),""))</f>
        <v/>
      </c>
      <c r="Q66" s="9" t="n"/>
      <c r="R66" s="9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68">
      <c r="A67" s="9" t="n"/>
      <c r="B67" s="9" t="n"/>
      <c r="C67" s="153">
        <f t="array" ref="C67">IF(IFERROR(-INDEX(Expenses!D$3:D$999,SMALL(IF((Expenses!E$3:E$999="INR")*(Expenses!A$3:A$999=DATE(2026,3,23)),ROW(Expenses!A$3:A$999)-2),4)),0)+IFERROR(INDEX(Income!C$3:C$502,SMALL(IF((Income!D$3:D$502="INR")*(Income!A$3:A$502=DATE(2026,3,23)),ROW(Income!A$3:A$502)-2),4)),0)=0,"",IFERROR(-INDEX(Expenses!D$3:D$999,SMALL(IF((Expenses!E$3:E$999="INR")*(Expenses!A$3:A$999=DATE(2026,3,23)),ROW(Expenses!A$3:A$999)-2),4)),0)+IFERROR(INDEX(Income!C$3:C$502,SMALL(IF((Income!D$3:D$502="INR")*(Income!A$3:A$502=DATE(2026,3,23)),ROW(Income!A$3:A$502)-2),4)),0))</f>
        <v/>
      </c>
      <c r="D67" s="126">
        <f t="array" ref="D67">IF(IFERROR(INDEX(Expenses!B$3:B$999,SMALL(IF((Expenses!E$3:E$999="INR")*(Expenses!A$3:A$999=DATE(2026,3,23)),ROW(Expenses!A$3:A$999)-2),4)),"")&lt;&gt;"",IFERROR(INDEX(Expenses!B$3:B$999,SMALL(IF((Expenses!E$3:E$999="INR")*(Expenses!A$3:A$999=DATE(2026,3,23)),ROW(Expenses!A$3:A$999)-2),4)),""),IF(IFERROR(INDEX(Income!B$3:B$502,SMALL(IF((Income!D$3:D$502="INR")*(Income!A$3:A$502=DATE(2026,3,23)),ROW(Income!A$3:A$502)-2),4)),"")&lt;&gt;"",IFERROR(INDEX(Income!B$3:B$502,SMALL(IF((Income!D$3:D$502="INR")*(Income!A$3:A$502=DATE(2026,3,23)),ROW(Income!A$3:A$502)-2),4)),""),""))</f>
        <v/>
      </c>
      <c r="E67" s="153">
        <f t="array" ref="E67">IF(IFERROR(-INDEX(Expenses!D$3:D$999,SMALL(IF((Expenses!E$3:E$999="INR")*(Expenses!A$3:A$999=DATE(2026,3,24)),ROW(Expenses!A$3:A$999)-2),4)),0)+IFERROR(INDEX(Income!C$3:C$502,SMALL(IF((Income!D$3:D$502="INR")*(Income!A$3:A$502=DATE(2026,3,24)),ROW(Income!A$3:A$502)-2),4)),0)=0,"",IFERROR(-INDEX(Expenses!D$3:D$999,SMALL(IF((Expenses!E$3:E$999="INR")*(Expenses!A$3:A$999=DATE(2026,3,24)),ROW(Expenses!A$3:A$999)-2),4)),0)+IFERROR(INDEX(Income!C$3:C$502,SMALL(IF((Income!D$3:D$502="INR")*(Income!A$3:A$502=DATE(2026,3,24)),ROW(Income!A$3:A$502)-2),4)),0))</f>
        <v/>
      </c>
      <c r="F67" s="126">
        <f t="array" ref="F67">IF(IFERROR(INDEX(Expenses!B$3:B$999,SMALL(IF((Expenses!E$3:E$999="INR")*(Expenses!A$3:A$999=DATE(2026,3,24)),ROW(Expenses!A$3:A$999)-2),4)),"")&lt;&gt;"",IFERROR(INDEX(Expenses!B$3:B$999,SMALL(IF((Expenses!E$3:E$999="INR")*(Expenses!A$3:A$999=DATE(2026,3,24)),ROW(Expenses!A$3:A$999)-2),4)),""),IF(IFERROR(INDEX(Income!B$3:B$502,SMALL(IF((Income!D$3:D$502="INR")*(Income!A$3:A$502=DATE(2026,3,24)),ROW(Income!A$3:A$502)-2),4)),"")&lt;&gt;"",IFERROR(INDEX(Income!B$3:B$502,SMALL(IF((Income!D$3:D$502="INR")*(Income!A$3:A$502=DATE(2026,3,24)),ROW(Income!A$3:A$502)-2),4)),""),""))</f>
        <v/>
      </c>
      <c r="G67" s="153">
        <f t="array" ref="G67">IF(IFERROR(-INDEX(Expenses!D$3:D$999,SMALL(IF((Expenses!E$3:E$999="INR")*(Expenses!A$3:A$999=DATE(2026,3,25)),ROW(Expenses!A$3:A$999)-2),4)),0)+IFERROR(INDEX(Income!C$3:C$502,SMALL(IF((Income!D$3:D$502="INR")*(Income!A$3:A$502=DATE(2026,3,25)),ROW(Income!A$3:A$502)-2),4)),0)=0,"",IFERROR(-INDEX(Expenses!D$3:D$999,SMALL(IF((Expenses!E$3:E$999="INR")*(Expenses!A$3:A$999=DATE(2026,3,25)),ROW(Expenses!A$3:A$999)-2),4)),0)+IFERROR(INDEX(Income!C$3:C$502,SMALL(IF((Income!D$3:D$502="INR")*(Income!A$3:A$502=DATE(2026,3,25)),ROW(Income!A$3:A$502)-2),4)),0))</f>
        <v/>
      </c>
      <c r="H67" s="126">
        <f t="array" ref="H67">IF(IFERROR(INDEX(Expenses!B$3:B$999,SMALL(IF((Expenses!E$3:E$999="INR")*(Expenses!A$3:A$999=DATE(2026,3,25)),ROW(Expenses!A$3:A$999)-2),4)),"")&lt;&gt;"",IFERROR(INDEX(Expenses!B$3:B$999,SMALL(IF((Expenses!E$3:E$999="INR")*(Expenses!A$3:A$999=DATE(2026,3,25)),ROW(Expenses!A$3:A$999)-2),4)),""),IF(IFERROR(INDEX(Income!B$3:B$502,SMALL(IF((Income!D$3:D$502="INR")*(Income!A$3:A$502=DATE(2026,3,25)),ROW(Income!A$3:A$502)-2),4)),"")&lt;&gt;"",IFERROR(INDEX(Income!B$3:B$502,SMALL(IF((Income!D$3:D$502="INR")*(Income!A$3:A$502=DATE(2026,3,25)),ROW(Income!A$3:A$502)-2),4)),""),""))</f>
        <v/>
      </c>
      <c r="I67" s="153">
        <f t="array" ref="I67">IF(IFERROR(-INDEX(Expenses!D$3:D$999,SMALL(IF((Expenses!E$3:E$999="INR")*(Expenses!A$3:A$999=DATE(2026,3,26)),ROW(Expenses!A$3:A$999)-2),4)),0)+IFERROR(INDEX(Income!C$3:C$502,SMALL(IF((Income!D$3:D$502="INR")*(Income!A$3:A$502=DATE(2026,3,26)),ROW(Income!A$3:A$502)-2),4)),0)=0,"",IFERROR(-INDEX(Expenses!D$3:D$999,SMALL(IF((Expenses!E$3:E$999="INR")*(Expenses!A$3:A$999=DATE(2026,3,26)),ROW(Expenses!A$3:A$999)-2),4)),0)+IFERROR(INDEX(Income!C$3:C$502,SMALL(IF((Income!D$3:D$502="INR")*(Income!A$3:A$502=DATE(2026,3,26)),ROW(Income!A$3:A$502)-2),4)),0))</f>
        <v/>
      </c>
      <c r="J67" s="126">
        <f t="array" ref="J67">IF(IFERROR(INDEX(Expenses!B$3:B$999,SMALL(IF((Expenses!E$3:E$999="INR")*(Expenses!A$3:A$999=DATE(2026,3,26)),ROW(Expenses!A$3:A$999)-2),4)),"")&lt;&gt;"",IFERROR(INDEX(Expenses!B$3:B$999,SMALL(IF((Expenses!E$3:E$999="INR")*(Expenses!A$3:A$999=DATE(2026,3,26)),ROW(Expenses!A$3:A$999)-2),4)),""),IF(IFERROR(INDEX(Income!B$3:B$502,SMALL(IF((Income!D$3:D$502="INR")*(Income!A$3:A$502=DATE(2026,3,26)),ROW(Income!A$3:A$502)-2),4)),"")&lt;&gt;"",IFERROR(INDEX(Income!B$3:B$502,SMALL(IF((Income!D$3:D$502="INR")*(Income!A$3:A$502=DATE(2026,3,26)),ROW(Income!A$3:A$502)-2),4)),""),""))</f>
        <v/>
      </c>
      <c r="K67" s="153">
        <f t="array" ref="K67">IF(IFERROR(-INDEX(Expenses!D$3:D$999,SMALL(IF((Expenses!E$3:E$999="INR")*(Expenses!A$3:A$999=DATE(2026,3,27)),ROW(Expenses!A$3:A$999)-2),4)),0)+IFERROR(INDEX(Income!C$3:C$502,SMALL(IF((Income!D$3:D$502="INR")*(Income!A$3:A$502=DATE(2026,3,27)),ROW(Income!A$3:A$502)-2),4)),0)=0,"",IFERROR(-INDEX(Expenses!D$3:D$999,SMALL(IF((Expenses!E$3:E$999="INR")*(Expenses!A$3:A$999=DATE(2026,3,27)),ROW(Expenses!A$3:A$999)-2),4)),0)+IFERROR(INDEX(Income!C$3:C$502,SMALL(IF((Income!D$3:D$502="INR")*(Income!A$3:A$502=DATE(2026,3,27)),ROW(Income!A$3:A$502)-2),4)),0))</f>
        <v/>
      </c>
      <c r="L67" s="126">
        <f t="array" ref="L67">IF(IFERROR(INDEX(Expenses!B$3:B$999,SMALL(IF((Expenses!E$3:E$999="INR")*(Expenses!A$3:A$999=DATE(2026,3,27)),ROW(Expenses!A$3:A$999)-2),4)),"")&lt;&gt;"",IFERROR(INDEX(Expenses!B$3:B$999,SMALL(IF((Expenses!E$3:E$999="INR")*(Expenses!A$3:A$999=DATE(2026,3,27)),ROW(Expenses!A$3:A$999)-2),4)),""),IF(IFERROR(INDEX(Income!B$3:B$502,SMALL(IF((Income!D$3:D$502="INR")*(Income!A$3:A$502=DATE(2026,3,27)),ROW(Income!A$3:A$502)-2),4)),"")&lt;&gt;"",IFERROR(INDEX(Income!B$3:B$502,SMALL(IF((Income!D$3:D$502="INR")*(Income!A$3:A$502=DATE(2026,3,27)),ROW(Income!A$3:A$502)-2),4)),""),""))</f>
        <v/>
      </c>
      <c r="M67" s="153">
        <f t="array" ref="M67">IF(IFERROR(-INDEX(Expenses!D$3:D$999,SMALL(IF((Expenses!E$3:E$999="INR")*(Expenses!A$3:A$999=DATE(2026,3,28)),ROW(Expenses!A$3:A$999)-2),4)),0)+IFERROR(INDEX(Income!C$3:C$502,SMALL(IF((Income!D$3:D$502="INR")*(Income!A$3:A$502=DATE(2026,3,28)),ROW(Income!A$3:A$502)-2),4)),0)=0,"",IFERROR(-INDEX(Expenses!D$3:D$999,SMALL(IF((Expenses!E$3:E$999="INR")*(Expenses!A$3:A$999=DATE(2026,3,28)),ROW(Expenses!A$3:A$999)-2),4)),0)+IFERROR(INDEX(Income!C$3:C$502,SMALL(IF((Income!D$3:D$502="INR")*(Income!A$3:A$502=DATE(2026,3,28)),ROW(Income!A$3:A$502)-2),4)),0))</f>
        <v/>
      </c>
      <c r="N67" s="126">
        <f t="array" ref="N67">IF(IFERROR(INDEX(Expenses!B$3:B$999,SMALL(IF((Expenses!E$3:E$999="INR")*(Expenses!A$3:A$999=DATE(2026,3,28)),ROW(Expenses!A$3:A$999)-2),4)),"")&lt;&gt;"",IFERROR(INDEX(Expenses!B$3:B$999,SMALL(IF((Expenses!E$3:E$999="INR")*(Expenses!A$3:A$999=DATE(2026,3,28)),ROW(Expenses!A$3:A$999)-2),4)),""),IF(IFERROR(INDEX(Income!B$3:B$502,SMALL(IF((Income!D$3:D$502="INR")*(Income!A$3:A$502=DATE(2026,3,28)),ROW(Income!A$3:A$502)-2),4)),"")&lt;&gt;"",IFERROR(INDEX(Income!B$3:B$502,SMALL(IF((Income!D$3:D$502="INR")*(Income!A$3:A$502=DATE(2026,3,28)),ROW(Income!A$3:A$502)-2),4)),""),""))</f>
        <v/>
      </c>
      <c r="O67" s="153">
        <f t="array" ref="O67">IF(IFERROR(-INDEX(Expenses!D$3:D$999,SMALL(IF((Expenses!E$3:E$999="INR")*(Expenses!A$3:A$999=DATE(2026,3,29)),ROW(Expenses!A$3:A$999)-2),4)),0)+IFERROR(INDEX(Income!C$3:C$502,SMALL(IF((Income!D$3:D$502="INR")*(Income!A$3:A$502=DATE(2026,3,29)),ROW(Income!A$3:A$502)-2),4)),0)=0,"",IFERROR(-INDEX(Expenses!D$3:D$999,SMALL(IF((Expenses!E$3:E$999="INR")*(Expenses!A$3:A$999=DATE(2026,3,29)),ROW(Expenses!A$3:A$999)-2),4)),0)+IFERROR(INDEX(Income!C$3:C$502,SMALL(IF((Income!D$3:D$502="INR")*(Income!A$3:A$502=DATE(2026,3,29)),ROW(Income!A$3:A$502)-2),4)),0))</f>
        <v/>
      </c>
      <c r="P67" s="126">
        <f t="array" ref="P67">IF(IFERROR(INDEX(Expenses!B$3:B$999,SMALL(IF((Expenses!E$3:E$999="INR")*(Expenses!A$3:A$999=DATE(2026,3,29)),ROW(Expenses!A$3:A$999)-2),4)),"")&lt;&gt;"",IFERROR(INDEX(Expenses!B$3:B$999,SMALL(IF((Expenses!E$3:E$999="INR")*(Expenses!A$3:A$999=DATE(2026,3,29)),ROW(Expenses!A$3:A$999)-2),4)),""),IF(IFERROR(INDEX(Income!B$3:B$502,SMALL(IF((Income!D$3:D$502="INR")*(Income!A$3:A$502=DATE(2026,3,29)),ROW(Income!A$3:A$502)-2),4)),"")&lt;&gt;"",IFERROR(INDEX(Income!B$3:B$502,SMALL(IF((Income!D$3:D$502="INR")*(Income!A$3:A$502=DATE(2026,3,29)),ROW(Income!A$3:A$502)-2),4)),""),""))</f>
        <v/>
      </c>
      <c r="Q67" s="9" t="n"/>
      <c r="R67" s="9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68">
      <c r="A68" s="9" t="n"/>
      <c r="B68" s="9" t="n"/>
      <c r="C68" s="153">
        <f t="array" ref="C68">IF(IFERROR(-INDEX(Expenses!D$3:D$999,SMALL(IF((Expenses!E$3:E$999="INR")*(Expenses!A$3:A$999=DATE(2026,3,23)),ROW(Expenses!A$3:A$999)-2),5)),0)+IFERROR(INDEX(Income!C$3:C$502,SMALL(IF((Income!D$3:D$502="INR")*(Income!A$3:A$502=DATE(2026,3,23)),ROW(Income!A$3:A$502)-2),5)),0)=0,"",IFERROR(-INDEX(Expenses!D$3:D$999,SMALL(IF((Expenses!E$3:E$999="INR")*(Expenses!A$3:A$999=DATE(2026,3,23)),ROW(Expenses!A$3:A$999)-2),5)),0)+IFERROR(INDEX(Income!C$3:C$502,SMALL(IF((Income!D$3:D$502="INR")*(Income!A$3:A$502=DATE(2026,3,23)),ROW(Income!A$3:A$502)-2),5)),0))</f>
        <v/>
      </c>
      <c r="D68" s="126">
        <f t="array" ref="D68">IF(IFERROR(INDEX(Expenses!B$3:B$999,SMALL(IF((Expenses!E$3:E$999="INR")*(Expenses!A$3:A$999=DATE(2026,3,23)),ROW(Expenses!A$3:A$999)-2),5)),"")&lt;&gt;"",IFERROR(INDEX(Expenses!B$3:B$999,SMALL(IF((Expenses!E$3:E$999="INR")*(Expenses!A$3:A$999=DATE(2026,3,23)),ROW(Expenses!A$3:A$999)-2),5)),""),IF(IFERROR(INDEX(Income!B$3:B$502,SMALL(IF((Income!D$3:D$502="INR")*(Income!A$3:A$502=DATE(2026,3,23)),ROW(Income!A$3:A$502)-2),5)),"")&lt;&gt;"",IFERROR(INDEX(Income!B$3:B$502,SMALL(IF((Income!D$3:D$502="INR")*(Income!A$3:A$502=DATE(2026,3,23)),ROW(Income!A$3:A$502)-2),5)),""),""))</f>
        <v/>
      </c>
      <c r="E68" s="153">
        <f t="array" ref="E68">IF(IFERROR(-INDEX(Expenses!D$3:D$999,SMALL(IF((Expenses!E$3:E$999="INR")*(Expenses!A$3:A$999=DATE(2026,3,24)),ROW(Expenses!A$3:A$999)-2),5)),0)+IFERROR(INDEX(Income!C$3:C$502,SMALL(IF((Income!D$3:D$502="INR")*(Income!A$3:A$502=DATE(2026,3,24)),ROW(Income!A$3:A$502)-2),5)),0)=0,"",IFERROR(-INDEX(Expenses!D$3:D$999,SMALL(IF((Expenses!E$3:E$999="INR")*(Expenses!A$3:A$999=DATE(2026,3,24)),ROW(Expenses!A$3:A$999)-2),5)),0)+IFERROR(INDEX(Income!C$3:C$502,SMALL(IF((Income!D$3:D$502="INR")*(Income!A$3:A$502=DATE(2026,3,24)),ROW(Income!A$3:A$502)-2),5)),0))</f>
        <v/>
      </c>
      <c r="F68" s="126">
        <f t="array" ref="F68">IF(IFERROR(INDEX(Expenses!B$3:B$999,SMALL(IF((Expenses!E$3:E$999="INR")*(Expenses!A$3:A$999=DATE(2026,3,24)),ROW(Expenses!A$3:A$999)-2),5)),"")&lt;&gt;"",IFERROR(INDEX(Expenses!B$3:B$999,SMALL(IF((Expenses!E$3:E$999="INR")*(Expenses!A$3:A$999=DATE(2026,3,24)),ROW(Expenses!A$3:A$999)-2),5)),""),IF(IFERROR(INDEX(Income!B$3:B$502,SMALL(IF((Income!D$3:D$502="INR")*(Income!A$3:A$502=DATE(2026,3,24)),ROW(Income!A$3:A$502)-2),5)),"")&lt;&gt;"",IFERROR(INDEX(Income!B$3:B$502,SMALL(IF((Income!D$3:D$502="INR")*(Income!A$3:A$502=DATE(2026,3,24)),ROW(Income!A$3:A$502)-2),5)),""),""))</f>
        <v/>
      </c>
      <c r="G68" s="153">
        <f t="array" ref="G68">IF(IFERROR(-INDEX(Expenses!D$3:D$999,SMALL(IF((Expenses!E$3:E$999="INR")*(Expenses!A$3:A$999=DATE(2026,3,25)),ROW(Expenses!A$3:A$999)-2),5)),0)+IFERROR(INDEX(Income!C$3:C$502,SMALL(IF((Income!D$3:D$502="INR")*(Income!A$3:A$502=DATE(2026,3,25)),ROW(Income!A$3:A$502)-2),5)),0)=0,"",IFERROR(-INDEX(Expenses!D$3:D$999,SMALL(IF((Expenses!E$3:E$999="INR")*(Expenses!A$3:A$999=DATE(2026,3,25)),ROW(Expenses!A$3:A$999)-2),5)),0)+IFERROR(INDEX(Income!C$3:C$502,SMALL(IF((Income!D$3:D$502="INR")*(Income!A$3:A$502=DATE(2026,3,25)),ROW(Income!A$3:A$502)-2),5)),0))</f>
        <v/>
      </c>
      <c r="H68" s="126">
        <f t="array" ref="H68">IF(IFERROR(INDEX(Expenses!B$3:B$999,SMALL(IF((Expenses!E$3:E$999="INR")*(Expenses!A$3:A$999=DATE(2026,3,25)),ROW(Expenses!A$3:A$999)-2),5)),"")&lt;&gt;"",IFERROR(INDEX(Expenses!B$3:B$999,SMALL(IF((Expenses!E$3:E$999="INR")*(Expenses!A$3:A$999=DATE(2026,3,25)),ROW(Expenses!A$3:A$999)-2),5)),""),IF(IFERROR(INDEX(Income!B$3:B$502,SMALL(IF((Income!D$3:D$502="INR")*(Income!A$3:A$502=DATE(2026,3,25)),ROW(Income!A$3:A$502)-2),5)),"")&lt;&gt;"",IFERROR(INDEX(Income!B$3:B$502,SMALL(IF((Income!D$3:D$502="INR")*(Income!A$3:A$502=DATE(2026,3,25)),ROW(Income!A$3:A$502)-2),5)),""),""))</f>
        <v/>
      </c>
      <c r="I68" s="153">
        <f t="array" ref="I68">IF(IFERROR(-INDEX(Expenses!D$3:D$999,SMALL(IF((Expenses!E$3:E$999="INR")*(Expenses!A$3:A$999=DATE(2026,3,26)),ROW(Expenses!A$3:A$999)-2),5)),0)+IFERROR(INDEX(Income!C$3:C$502,SMALL(IF((Income!D$3:D$502="INR")*(Income!A$3:A$502=DATE(2026,3,26)),ROW(Income!A$3:A$502)-2),5)),0)=0,"",IFERROR(-INDEX(Expenses!D$3:D$999,SMALL(IF((Expenses!E$3:E$999="INR")*(Expenses!A$3:A$999=DATE(2026,3,26)),ROW(Expenses!A$3:A$999)-2),5)),0)+IFERROR(INDEX(Income!C$3:C$502,SMALL(IF((Income!D$3:D$502="INR")*(Income!A$3:A$502=DATE(2026,3,26)),ROW(Income!A$3:A$502)-2),5)),0))</f>
        <v/>
      </c>
      <c r="J68" s="126">
        <f t="array" ref="J68">IF(IFERROR(INDEX(Expenses!B$3:B$999,SMALL(IF((Expenses!E$3:E$999="INR")*(Expenses!A$3:A$999=DATE(2026,3,26)),ROW(Expenses!A$3:A$999)-2),5)),"")&lt;&gt;"",IFERROR(INDEX(Expenses!B$3:B$999,SMALL(IF((Expenses!E$3:E$999="INR")*(Expenses!A$3:A$999=DATE(2026,3,26)),ROW(Expenses!A$3:A$999)-2),5)),""),IF(IFERROR(INDEX(Income!B$3:B$502,SMALL(IF((Income!D$3:D$502="INR")*(Income!A$3:A$502=DATE(2026,3,26)),ROW(Income!A$3:A$502)-2),5)),"")&lt;&gt;"",IFERROR(INDEX(Income!B$3:B$502,SMALL(IF((Income!D$3:D$502="INR")*(Income!A$3:A$502=DATE(2026,3,26)),ROW(Income!A$3:A$502)-2),5)),""),""))</f>
        <v/>
      </c>
      <c r="K68" s="153">
        <f t="array" ref="K68">IF(IFERROR(-INDEX(Expenses!D$3:D$999,SMALL(IF((Expenses!E$3:E$999="INR")*(Expenses!A$3:A$999=DATE(2026,3,27)),ROW(Expenses!A$3:A$999)-2),5)),0)+IFERROR(INDEX(Income!C$3:C$502,SMALL(IF((Income!D$3:D$502="INR")*(Income!A$3:A$502=DATE(2026,3,27)),ROW(Income!A$3:A$502)-2),5)),0)=0,"",IFERROR(-INDEX(Expenses!D$3:D$999,SMALL(IF((Expenses!E$3:E$999="INR")*(Expenses!A$3:A$999=DATE(2026,3,27)),ROW(Expenses!A$3:A$999)-2),5)),0)+IFERROR(INDEX(Income!C$3:C$502,SMALL(IF((Income!D$3:D$502="INR")*(Income!A$3:A$502=DATE(2026,3,27)),ROW(Income!A$3:A$502)-2),5)),0))</f>
        <v/>
      </c>
      <c r="L68" s="126">
        <f t="array" ref="L68">IF(IFERROR(INDEX(Expenses!B$3:B$999,SMALL(IF((Expenses!E$3:E$999="INR")*(Expenses!A$3:A$999=DATE(2026,3,27)),ROW(Expenses!A$3:A$999)-2),5)),"")&lt;&gt;"",IFERROR(INDEX(Expenses!B$3:B$999,SMALL(IF((Expenses!E$3:E$999="INR")*(Expenses!A$3:A$999=DATE(2026,3,27)),ROW(Expenses!A$3:A$999)-2),5)),""),IF(IFERROR(INDEX(Income!B$3:B$502,SMALL(IF((Income!D$3:D$502="INR")*(Income!A$3:A$502=DATE(2026,3,27)),ROW(Income!A$3:A$502)-2),5)),"")&lt;&gt;"",IFERROR(INDEX(Income!B$3:B$502,SMALL(IF((Income!D$3:D$502="INR")*(Income!A$3:A$502=DATE(2026,3,27)),ROW(Income!A$3:A$502)-2),5)),""),""))</f>
        <v/>
      </c>
      <c r="M68" s="153">
        <f t="array" ref="M68">IF(IFERROR(-INDEX(Expenses!D$3:D$999,SMALL(IF((Expenses!E$3:E$999="INR")*(Expenses!A$3:A$999=DATE(2026,3,28)),ROW(Expenses!A$3:A$999)-2),5)),0)+IFERROR(INDEX(Income!C$3:C$502,SMALL(IF((Income!D$3:D$502="INR")*(Income!A$3:A$502=DATE(2026,3,28)),ROW(Income!A$3:A$502)-2),5)),0)=0,"",IFERROR(-INDEX(Expenses!D$3:D$999,SMALL(IF((Expenses!E$3:E$999="INR")*(Expenses!A$3:A$999=DATE(2026,3,28)),ROW(Expenses!A$3:A$999)-2),5)),0)+IFERROR(INDEX(Income!C$3:C$502,SMALL(IF((Income!D$3:D$502="INR")*(Income!A$3:A$502=DATE(2026,3,28)),ROW(Income!A$3:A$502)-2),5)),0))</f>
        <v/>
      </c>
      <c r="N68" s="126">
        <f t="array" ref="N68">IF(IFERROR(INDEX(Expenses!B$3:B$999,SMALL(IF((Expenses!E$3:E$999="INR")*(Expenses!A$3:A$999=DATE(2026,3,28)),ROW(Expenses!A$3:A$999)-2),5)),"")&lt;&gt;"",IFERROR(INDEX(Expenses!B$3:B$999,SMALL(IF((Expenses!E$3:E$999="INR")*(Expenses!A$3:A$999=DATE(2026,3,28)),ROW(Expenses!A$3:A$999)-2),5)),""),IF(IFERROR(INDEX(Income!B$3:B$502,SMALL(IF((Income!D$3:D$502="INR")*(Income!A$3:A$502=DATE(2026,3,28)),ROW(Income!A$3:A$502)-2),5)),"")&lt;&gt;"",IFERROR(INDEX(Income!B$3:B$502,SMALL(IF((Income!D$3:D$502="INR")*(Income!A$3:A$502=DATE(2026,3,28)),ROW(Income!A$3:A$502)-2),5)),""),""))</f>
        <v/>
      </c>
      <c r="O68" s="153">
        <f t="array" ref="O68">IF(IFERROR(-INDEX(Expenses!D$3:D$999,SMALL(IF((Expenses!E$3:E$999="INR")*(Expenses!A$3:A$999=DATE(2026,3,29)),ROW(Expenses!A$3:A$999)-2),5)),0)+IFERROR(INDEX(Income!C$3:C$502,SMALL(IF((Income!D$3:D$502="INR")*(Income!A$3:A$502=DATE(2026,3,29)),ROW(Income!A$3:A$502)-2),5)),0)=0,"",IFERROR(-INDEX(Expenses!D$3:D$999,SMALL(IF((Expenses!E$3:E$999="INR")*(Expenses!A$3:A$999=DATE(2026,3,29)),ROW(Expenses!A$3:A$999)-2),5)),0)+IFERROR(INDEX(Income!C$3:C$502,SMALL(IF((Income!D$3:D$502="INR")*(Income!A$3:A$502=DATE(2026,3,29)),ROW(Income!A$3:A$502)-2),5)),0))</f>
        <v/>
      </c>
      <c r="P68" s="126">
        <f t="array" ref="P68">IF(IFERROR(INDEX(Expenses!B$3:B$999,SMALL(IF((Expenses!E$3:E$999="INR")*(Expenses!A$3:A$999=DATE(2026,3,29)),ROW(Expenses!A$3:A$999)-2),5)),"")&lt;&gt;"",IFERROR(INDEX(Expenses!B$3:B$999,SMALL(IF((Expenses!E$3:E$999="INR")*(Expenses!A$3:A$999=DATE(2026,3,29)),ROW(Expenses!A$3:A$999)-2),5)),""),IF(IFERROR(INDEX(Income!B$3:B$502,SMALL(IF((Income!D$3:D$502="INR")*(Income!A$3:A$502=DATE(2026,3,29)),ROW(Income!A$3:A$502)-2),5)),"")&lt;&gt;"",IFERROR(INDEX(Income!B$3:B$502,SMALL(IF((Income!D$3:D$502="INR")*(Income!A$3:A$502=DATE(2026,3,29)),ROW(Income!A$3:A$502)-2),5)),""),""))</f>
        <v/>
      </c>
      <c r="Q68" s="9" t="n"/>
      <c r="R68" s="9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68">
      <c r="A69" s="151" t="n">
        <v>46111</v>
      </c>
      <c r="B69" s="103" t="n">
        <v>14</v>
      </c>
      <c r="C69" s="153">
        <f t="array" ref="C69">IF(IFERROR(-INDEX(Expenses!D$3:D$999,SMALL(IF((Expenses!E$3:E$999="INR")*(Expenses!A$3:A$999=DATE(2026,3,30)),ROW(Expenses!A$3:A$999)-2),1)),0)+IFERROR(INDEX(Income!C$3:C$502,SMALL(IF((Income!D$3:D$502="INR")*(Income!A$3:A$502=DATE(2026,3,30)),ROW(Income!A$3:A$502)-2),1)),0)=0,"",IFERROR(-INDEX(Expenses!D$3:D$999,SMALL(IF((Expenses!E$3:E$999="INR")*(Expenses!A$3:A$999=DATE(2026,3,30)),ROW(Expenses!A$3:A$999)-2),1)),0)+IFERROR(INDEX(Income!C$3:C$502,SMALL(IF((Income!D$3:D$502="INR")*(Income!A$3:A$502=DATE(2026,3,30)),ROW(Income!A$3:A$502)-2),1)),0))</f>
        <v/>
      </c>
      <c r="D69" s="126">
        <f t="array" ref="D69">IF(IFERROR(INDEX(Expenses!B$3:B$999,SMALL(IF((Expenses!E$3:E$999="INR")*(Expenses!A$3:A$999=DATE(2026,3,30)),ROW(Expenses!A$3:A$999)-2),1)),"")&lt;&gt;"",IFERROR(INDEX(Expenses!B$3:B$999,SMALL(IF((Expenses!E$3:E$999="INR")*(Expenses!A$3:A$999=DATE(2026,3,30)),ROW(Expenses!A$3:A$999)-2),1)),""),IF(IFERROR(INDEX(Income!B$3:B$502,SMALL(IF((Income!D$3:D$502="INR")*(Income!A$3:A$502=DATE(2026,3,30)),ROW(Income!A$3:A$502)-2),1)),"")&lt;&gt;"",IFERROR(INDEX(Income!B$3:B$502,SMALL(IF((Income!D$3:D$502="INR")*(Income!A$3:A$502=DATE(2026,3,30)),ROW(Income!A$3:A$502)-2),1)),""),""))</f>
        <v/>
      </c>
      <c r="E69" s="153">
        <f t="array" ref="E69">IF(IFERROR(-INDEX(Expenses!D$3:D$999,SMALL(IF((Expenses!E$3:E$999="INR")*(Expenses!A$3:A$999=DATE(2026,3,31)),ROW(Expenses!A$3:A$999)-2),1)),0)+IFERROR(INDEX(Income!C$3:C$502,SMALL(IF((Income!D$3:D$502="INR")*(Income!A$3:A$502=DATE(2026,3,31)),ROW(Income!A$3:A$502)-2),1)),0)=0,"",IFERROR(-INDEX(Expenses!D$3:D$999,SMALL(IF((Expenses!E$3:E$999="INR")*(Expenses!A$3:A$999=DATE(2026,3,31)),ROW(Expenses!A$3:A$999)-2),1)),0)+IFERROR(INDEX(Income!C$3:C$502,SMALL(IF((Income!D$3:D$502="INR")*(Income!A$3:A$502=DATE(2026,3,31)),ROW(Income!A$3:A$502)-2),1)),0))</f>
        <v/>
      </c>
      <c r="F69" s="126">
        <f t="array" ref="F69">IF(IFERROR(INDEX(Expenses!B$3:B$999,SMALL(IF((Expenses!E$3:E$999="INR")*(Expenses!A$3:A$999=DATE(2026,3,31)),ROW(Expenses!A$3:A$999)-2),1)),"")&lt;&gt;"",IFERROR(INDEX(Expenses!B$3:B$999,SMALL(IF((Expenses!E$3:E$999="INR")*(Expenses!A$3:A$999=DATE(2026,3,31)),ROW(Expenses!A$3:A$999)-2),1)),""),IF(IFERROR(INDEX(Income!B$3:B$502,SMALL(IF((Income!D$3:D$502="INR")*(Income!A$3:A$502=DATE(2026,3,31)),ROW(Income!A$3:A$502)-2),1)),"")&lt;&gt;"",IFERROR(INDEX(Income!B$3:B$502,SMALL(IF((Income!D$3:D$502="INR")*(Income!A$3:A$502=DATE(2026,3,31)),ROW(Income!A$3:A$502)-2),1)),""),""))</f>
        <v/>
      </c>
      <c r="G69" s="153">
        <f t="array" ref="G69">IF(IFERROR(-INDEX(Expenses!D$3:D$999,SMALL(IF((Expenses!E$3:E$999="INR")*(Expenses!A$3:A$999=DATE(2026,4,1)),ROW(Expenses!A$3:A$999)-2),1)),0)+IFERROR(INDEX(Income!C$3:C$502,SMALL(IF((Income!D$3:D$502="INR")*(Income!A$3:A$502=DATE(2026,4,1)),ROW(Income!A$3:A$502)-2),1)),0)=0,"",IFERROR(-INDEX(Expenses!D$3:D$999,SMALL(IF((Expenses!E$3:E$999="INR")*(Expenses!A$3:A$999=DATE(2026,4,1)),ROW(Expenses!A$3:A$999)-2),1)),0)+IFERROR(INDEX(Income!C$3:C$502,SMALL(IF((Income!D$3:D$502="INR")*(Income!A$3:A$502=DATE(2026,4,1)),ROW(Income!A$3:A$502)-2),1)),0))</f>
        <v/>
      </c>
      <c r="H69" s="126">
        <f t="array" ref="H69">IF(IFERROR(INDEX(Expenses!B$3:B$999,SMALL(IF((Expenses!E$3:E$999="INR")*(Expenses!A$3:A$999=DATE(2026,4,1)),ROW(Expenses!A$3:A$999)-2),1)),"")&lt;&gt;"",IFERROR(INDEX(Expenses!B$3:B$999,SMALL(IF((Expenses!E$3:E$999="INR")*(Expenses!A$3:A$999=DATE(2026,4,1)),ROW(Expenses!A$3:A$999)-2),1)),""),IF(IFERROR(INDEX(Income!B$3:B$502,SMALL(IF((Income!D$3:D$502="INR")*(Income!A$3:A$502=DATE(2026,4,1)),ROW(Income!A$3:A$502)-2),1)),"")&lt;&gt;"",IFERROR(INDEX(Income!B$3:B$502,SMALL(IF((Income!D$3:D$502="INR")*(Income!A$3:A$502=DATE(2026,4,1)),ROW(Income!A$3:A$502)-2),1)),""),""))</f>
        <v/>
      </c>
      <c r="I69" s="153">
        <f t="array" ref="I69">IF(IFERROR(-INDEX(Expenses!D$3:D$999,SMALL(IF((Expenses!E$3:E$999="INR")*(Expenses!A$3:A$999=DATE(2026,4,2)),ROW(Expenses!A$3:A$999)-2),1)),0)+IFERROR(INDEX(Income!C$3:C$502,SMALL(IF((Income!D$3:D$502="INR")*(Income!A$3:A$502=DATE(2026,4,2)),ROW(Income!A$3:A$502)-2),1)),0)=0,"",IFERROR(-INDEX(Expenses!D$3:D$999,SMALL(IF((Expenses!E$3:E$999="INR")*(Expenses!A$3:A$999=DATE(2026,4,2)),ROW(Expenses!A$3:A$999)-2),1)),0)+IFERROR(INDEX(Income!C$3:C$502,SMALL(IF((Income!D$3:D$502="INR")*(Income!A$3:A$502=DATE(2026,4,2)),ROW(Income!A$3:A$502)-2),1)),0))</f>
        <v/>
      </c>
      <c r="J69" s="126">
        <f t="array" ref="J69">IF(IFERROR(INDEX(Expenses!B$3:B$999,SMALL(IF((Expenses!E$3:E$999="INR")*(Expenses!A$3:A$999=DATE(2026,4,2)),ROW(Expenses!A$3:A$999)-2),1)),"")&lt;&gt;"",IFERROR(INDEX(Expenses!B$3:B$999,SMALL(IF((Expenses!E$3:E$999="INR")*(Expenses!A$3:A$999=DATE(2026,4,2)),ROW(Expenses!A$3:A$999)-2),1)),""),IF(IFERROR(INDEX(Income!B$3:B$502,SMALL(IF((Income!D$3:D$502="INR")*(Income!A$3:A$502=DATE(2026,4,2)),ROW(Income!A$3:A$502)-2),1)),"")&lt;&gt;"",IFERROR(INDEX(Income!B$3:B$502,SMALL(IF((Income!D$3:D$502="INR")*(Income!A$3:A$502=DATE(2026,4,2)),ROW(Income!A$3:A$502)-2),1)),""),""))</f>
        <v/>
      </c>
      <c r="K69" s="153">
        <f t="array" ref="K69">IF(IFERROR(-INDEX(Expenses!D$3:D$999,SMALL(IF((Expenses!E$3:E$999="INR")*(Expenses!A$3:A$999=DATE(2026,4,3)),ROW(Expenses!A$3:A$999)-2),1)),0)+IFERROR(INDEX(Income!C$3:C$502,SMALL(IF((Income!D$3:D$502="INR")*(Income!A$3:A$502=DATE(2026,4,3)),ROW(Income!A$3:A$502)-2),1)),0)=0,"",IFERROR(-INDEX(Expenses!D$3:D$999,SMALL(IF((Expenses!E$3:E$999="INR")*(Expenses!A$3:A$999=DATE(2026,4,3)),ROW(Expenses!A$3:A$999)-2),1)),0)+IFERROR(INDEX(Income!C$3:C$502,SMALL(IF((Income!D$3:D$502="INR")*(Income!A$3:A$502=DATE(2026,4,3)),ROW(Income!A$3:A$502)-2),1)),0))</f>
        <v/>
      </c>
      <c r="L69" s="126">
        <f t="array" ref="L69">IF(IFERROR(INDEX(Expenses!B$3:B$999,SMALL(IF((Expenses!E$3:E$999="INR")*(Expenses!A$3:A$999=DATE(2026,4,3)),ROW(Expenses!A$3:A$999)-2),1)),"")&lt;&gt;"",IFERROR(INDEX(Expenses!B$3:B$999,SMALL(IF((Expenses!E$3:E$999="INR")*(Expenses!A$3:A$999=DATE(2026,4,3)),ROW(Expenses!A$3:A$999)-2),1)),""),IF(IFERROR(INDEX(Income!B$3:B$502,SMALL(IF((Income!D$3:D$502="INR")*(Income!A$3:A$502=DATE(2026,4,3)),ROW(Income!A$3:A$502)-2),1)),"")&lt;&gt;"",IFERROR(INDEX(Income!B$3:B$502,SMALL(IF((Income!D$3:D$502="INR")*(Income!A$3:A$502=DATE(2026,4,3)),ROW(Income!A$3:A$502)-2),1)),""),""))</f>
        <v/>
      </c>
      <c r="M69" s="153">
        <f t="array" ref="M69">IF(IFERROR(-INDEX(Expenses!D$3:D$999,SMALL(IF((Expenses!E$3:E$999="INR")*(Expenses!A$3:A$999=DATE(2026,4,4)),ROW(Expenses!A$3:A$999)-2),1)),0)+IFERROR(INDEX(Income!C$3:C$502,SMALL(IF((Income!D$3:D$502="INR")*(Income!A$3:A$502=DATE(2026,4,4)),ROW(Income!A$3:A$502)-2),1)),0)=0,"",IFERROR(-INDEX(Expenses!D$3:D$999,SMALL(IF((Expenses!E$3:E$999="INR")*(Expenses!A$3:A$999=DATE(2026,4,4)),ROW(Expenses!A$3:A$999)-2),1)),0)+IFERROR(INDEX(Income!C$3:C$502,SMALL(IF((Income!D$3:D$502="INR")*(Income!A$3:A$502=DATE(2026,4,4)),ROW(Income!A$3:A$502)-2),1)),0))</f>
        <v/>
      </c>
      <c r="N69" s="126">
        <f t="array" ref="N69">IF(IFERROR(INDEX(Expenses!B$3:B$999,SMALL(IF((Expenses!E$3:E$999="INR")*(Expenses!A$3:A$999=DATE(2026,4,4)),ROW(Expenses!A$3:A$999)-2),1)),"")&lt;&gt;"",IFERROR(INDEX(Expenses!B$3:B$999,SMALL(IF((Expenses!E$3:E$999="INR")*(Expenses!A$3:A$999=DATE(2026,4,4)),ROW(Expenses!A$3:A$999)-2),1)),""),IF(IFERROR(INDEX(Income!B$3:B$502,SMALL(IF((Income!D$3:D$502="INR")*(Income!A$3:A$502=DATE(2026,4,4)),ROW(Income!A$3:A$502)-2),1)),"")&lt;&gt;"",IFERROR(INDEX(Income!B$3:B$502,SMALL(IF((Income!D$3:D$502="INR")*(Income!A$3:A$502=DATE(2026,4,4)),ROW(Income!A$3:A$502)-2),1)),""),""))</f>
        <v/>
      </c>
      <c r="O69" s="153">
        <f t="array" ref="O69">IF(IFERROR(-INDEX(Expenses!D$3:D$999,SMALL(IF((Expenses!E$3:E$999="INR")*(Expenses!A$3:A$999=DATE(2026,4,5)),ROW(Expenses!A$3:A$999)-2),1)),0)+IFERROR(INDEX(Income!C$3:C$502,SMALL(IF((Income!D$3:D$502="INR")*(Income!A$3:A$502=DATE(2026,4,5)),ROW(Income!A$3:A$502)-2),1)),0)=0,"",IFERROR(-INDEX(Expenses!D$3:D$999,SMALL(IF((Expenses!E$3:E$999="INR")*(Expenses!A$3:A$999=DATE(2026,4,5)),ROW(Expenses!A$3:A$999)-2),1)),0)+IFERROR(INDEX(Income!C$3:C$502,SMALL(IF((Income!D$3:D$502="INR")*(Income!A$3:A$502=DATE(2026,4,5)),ROW(Income!A$3:A$502)-2),1)),0))</f>
        <v/>
      </c>
      <c r="P69" s="126">
        <f t="array" ref="P69">IF(IFERROR(INDEX(Expenses!B$3:B$999,SMALL(IF((Expenses!E$3:E$999="INR")*(Expenses!A$3:A$999=DATE(2026,4,5)),ROW(Expenses!A$3:A$999)-2),1)),"")&lt;&gt;"",IFERROR(INDEX(Expenses!B$3:B$999,SMALL(IF((Expenses!E$3:E$999="INR")*(Expenses!A$3:A$999=DATE(2026,4,5)),ROW(Expenses!A$3:A$999)-2),1)),""),IF(IFERROR(INDEX(Income!B$3:B$502,SMALL(IF((Income!D$3:D$502="INR")*(Income!A$3:A$502=DATE(2026,4,5)),ROW(Income!A$3:A$502)-2),1)),"")&lt;&gt;"",IFERROR(INDEX(Income!B$3:B$502,SMALL(IF((Income!D$3:D$502="INR")*(Income!A$3:A$502=DATE(2026,4,5)),ROW(Income!A$3:A$502)-2),1)),""),""))</f>
        <v/>
      </c>
      <c r="Q69" s="103" t="n">
        <v>14</v>
      </c>
      <c r="R69" s="142">
        <f>SUM(C69:C73)+SUM(E69:E73)+SUM(G69:G73)+SUM(I69:I73)+SUM(K69:K73)+SUM(M69:M73)+SUM(O69:O73)</f>
        <v/>
      </c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68">
      <c r="A70" s="9" t="n"/>
      <c r="B70" s="9" t="n"/>
      <c r="C70" s="153">
        <f t="array" ref="C70">IF(IFERROR(-INDEX(Expenses!D$3:D$999,SMALL(IF((Expenses!E$3:E$999="INR")*(Expenses!A$3:A$999=DATE(2026,3,30)),ROW(Expenses!A$3:A$999)-2),2)),0)+IFERROR(INDEX(Income!C$3:C$502,SMALL(IF((Income!D$3:D$502="INR")*(Income!A$3:A$502=DATE(2026,3,30)),ROW(Income!A$3:A$502)-2),2)),0)=0,"",IFERROR(-INDEX(Expenses!D$3:D$999,SMALL(IF((Expenses!E$3:E$999="INR")*(Expenses!A$3:A$999=DATE(2026,3,30)),ROW(Expenses!A$3:A$999)-2),2)),0)+IFERROR(INDEX(Income!C$3:C$502,SMALL(IF((Income!D$3:D$502="INR")*(Income!A$3:A$502=DATE(2026,3,30)),ROW(Income!A$3:A$502)-2),2)),0))</f>
        <v/>
      </c>
      <c r="D70" s="126">
        <f t="array" ref="D70">IF(IFERROR(INDEX(Expenses!B$3:B$999,SMALL(IF((Expenses!E$3:E$999="INR")*(Expenses!A$3:A$999=DATE(2026,3,30)),ROW(Expenses!A$3:A$999)-2),2)),"")&lt;&gt;"",IFERROR(INDEX(Expenses!B$3:B$999,SMALL(IF((Expenses!E$3:E$999="INR")*(Expenses!A$3:A$999=DATE(2026,3,30)),ROW(Expenses!A$3:A$999)-2),2)),""),IF(IFERROR(INDEX(Income!B$3:B$502,SMALL(IF((Income!D$3:D$502="INR")*(Income!A$3:A$502=DATE(2026,3,30)),ROW(Income!A$3:A$502)-2),2)),"")&lt;&gt;"",IFERROR(INDEX(Income!B$3:B$502,SMALL(IF((Income!D$3:D$502="INR")*(Income!A$3:A$502=DATE(2026,3,30)),ROW(Income!A$3:A$502)-2),2)),""),""))</f>
        <v/>
      </c>
      <c r="E70" s="153">
        <f t="array" ref="E70">IF(IFERROR(-INDEX(Expenses!D$3:D$999,SMALL(IF((Expenses!E$3:E$999="INR")*(Expenses!A$3:A$999=DATE(2026,3,31)),ROW(Expenses!A$3:A$999)-2),2)),0)+IFERROR(INDEX(Income!C$3:C$502,SMALL(IF((Income!D$3:D$502="INR")*(Income!A$3:A$502=DATE(2026,3,31)),ROW(Income!A$3:A$502)-2),2)),0)=0,"",IFERROR(-INDEX(Expenses!D$3:D$999,SMALL(IF((Expenses!E$3:E$999="INR")*(Expenses!A$3:A$999=DATE(2026,3,31)),ROW(Expenses!A$3:A$999)-2),2)),0)+IFERROR(INDEX(Income!C$3:C$502,SMALL(IF((Income!D$3:D$502="INR")*(Income!A$3:A$502=DATE(2026,3,31)),ROW(Income!A$3:A$502)-2),2)),0))</f>
        <v/>
      </c>
      <c r="F70" s="126">
        <f t="array" ref="F70">IF(IFERROR(INDEX(Expenses!B$3:B$999,SMALL(IF((Expenses!E$3:E$999="INR")*(Expenses!A$3:A$999=DATE(2026,3,31)),ROW(Expenses!A$3:A$999)-2),2)),"")&lt;&gt;"",IFERROR(INDEX(Expenses!B$3:B$999,SMALL(IF((Expenses!E$3:E$999="INR")*(Expenses!A$3:A$999=DATE(2026,3,31)),ROW(Expenses!A$3:A$999)-2),2)),""),IF(IFERROR(INDEX(Income!B$3:B$502,SMALL(IF((Income!D$3:D$502="INR")*(Income!A$3:A$502=DATE(2026,3,31)),ROW(Income!A$3:A$502)-2),2)),"")&lt;&gt;"",IFERROR(INDEX(Income!B$3:B$502,SMALL(IF((Income!D$3:D$502="INR")*(Income!A$3:A$502=DATE(2026,3,31)),ROW(Income!A$3:A$502)-2),2)),""),""))</f>
        <v/>
      </c>
      <c r="G70" s="153">
        <f t="array" ref="G70">IF(IFERROR(-INDEX(Expenses!D$3:D$999,SMALL(IF((Expenses!E$3:E$999="INR")*(Expenses!A$3:A$999=DATE(2026,4,1)),ROW(Expenses!A$3:A$999)-2),2)),0)+IFERROR(INDEX(Income!C$3:C$502,SMALL(IF((Income!D$3:D$502="INR")*(Income!A$3:A$502=DATE(2026,4,1)),ROW(Income!A$3:A$502)-2),2)),0)=0,"",IFERROR(-INDEX(Expenses!D$3:D$999,SMALL(IF((Expenses!E$3:E$999="INR")*(Expenses!A$3:A$999=DATE(2026,4,1)),ROW(Expenses!A$3:A$999)-2),2)),0)+IFERROR(INDEX(Income!C$3:C$502,SMALL(IF((Income!D$3:D$502="INR")*(Income!A$3:A$502=DATE(2026,4,1)),ROW(Income!A$3:A$502)-2),2)),0))</f>
        <v/>
      </c>
      <c r="H70" s="126">
        <f t="array" ref="H70">IF(IFERROR(INDEX(Expenses!B$3:B$999,SMALL(IF((Expenses!E$3:E$999="INR")*(Expenses!A$3:A$999=DATE(2026,4,1)),ROW(Expenses!A$3:A$999)-2),2)),"")&lt;&gt;"",IFERROR(INDEX(Expenses!B$3:B$999,SMALL(IF((Expenses!E$3:E$999="INR")*(Expenses!A$3:A$999=DATE(2026,4,1)),ROW(Expenses!A$3:A$999)-2),2)),""),IF(IFERROR(INDEX(Income!B$3:B$502,SMALL(IF((Income!D$3:D$502="INR")*(Income!A$3:A$502=DATE(2026,4,1)),ROW(Income!A$3:A$502)-2),2)),"")&lt;&gt;"",IFERROR(INDEX(Income!B$3:B$502,SMALL(IF((Income!D$3:D$502="INR")*(Income!A$3:A$502=DATE(2026,4,1)),ROW(Income!A$3:A$502)-2),2)),""),""))</f>
        <v/>
      </c>
      <c r="I70" s="153">
        <f t="array" ref="I70">IF(IFERROR(-INDEX(Expenses!D$3:D$999,SMALL(IF((Expenses!E$3:E$999="INR")*(Expenses!A$3:A$999=DATE(2026,4,2)),ROW(Expenses!A$3:A$999)-2),2)),0)+IFERROR(INDEX(Income!C$3:C$502,SMALL(IF((Income!D$3:D$502="INR")*(Income!A$3:A$502=DATE(2026,4,2)),ROW(Income!A$3:A$502)-2),2)),0)=0,"",IFERROR(-INDEX(Expenses!D$3:D$999,SMALL(IF((Expenses!E$3:E$999="INR")*(Expenses!A$3:A$999=DATE(2026,4,2)),ROW(Expenses!A$3:A$999)-2),2)),0)+IFERROR(INDEX(Income!C$3:C$502,SMALL(IF((Income!D$3:D$502="INR")*(Income!A$3:A$502=DATE(2026,4,2)),ROW(Income!A$3:A$502)-2),2)),0))</f>
        <v/>
      </c>
      <c r="J70" s="126">
        <f t="array" ref="J70">IF(IFERROR(INDEX(Expenses!B$3:B$999,SMALL(IF((Expenses!E$3:E$999="INR")*(Expenses!A$3:A$999=DATE(2026,4,2)),ROW(Expenses!A$3:A$999)-2),2)),"")&lt;&gt;"",IFERROR(INDEX(Expenses!B$3:B$999,SMALL(IF((Expenses!E$3:E$999="INR")*(Expenses!A$3:A$999=DATE(2026,4,2)),ROW(Expenses!A$3:A$999)-2),2)),""),IF(IFERROR(INDEX(Income!B$3:B$502,SMALL(IF((Income!D$3:D$502="INR")*(Income!A$3:A$502=DATE(2026,4,2)),ROW(Income!A$3:A$502)-2),2)),"")&lt;&gt;"",IFERROR(INDEX(Income!B$3:B$502,SMALL(IF((Income!D$3:D$502="INR")*(Income!A$3:A$502=DATE(2026,4,2)),ROW(Income!A$3:A$502)-2),2)),""),""))</f>
        <v/>
      </c>
      <c r="K70" s="153">
        <f t="array" ref="K70">IF(IFERROR(-INDEX(Expenses!D$3:D$999,SMALL(IF((Expenses!E$3:E$999="INR")*(Expenses!A$3:A$999=DATE(2026,4,3)),ROW(Expenses!A$3:A$999)-2),2)),0)+IFERROR(INDEX(Income!C$3:C$502,SMALL(IF((Income!D$3:D$502="INR")*(Income!A$3:A$502=DATE(2026,4,3)),ROW(Income!A$3:A$502)-2),2)),0)=0,"",IFERROR(-INDEX(Expenses!D$3:D$999,SMALL(IF((Expenses!E$3:E$999="INR")*(Expenses!A$3:A$999=DATE(2026,4,3)),ROW(Expenses!A$3:A$999)-2),2)),0)+IFERROR(INDEX(Income!C$3:C$502,SMALL(IF((Income!D$3:D$502="INR")*(Income!A$3:A$502=DATE(2026,4,3)),ROW(Income!A$3:A$502)-2),2)),0))</f>
        <v/>
      </c>
      <c r="L70" s="126">
        <f t="array" ref="L70">IF(IFERROR(INDEX(Expenses!B$3:B$999,SMALL(IF((Expenses!E$3:E$999="INR")*(Expenses!A$3:A$999=DATE(2026,4,3)),ROW(Expenses!A$3:A$999)-2),2)),"")&lt;&gt;"",IFERROR(INDEX(Expenses!B$3:B$999,SMALL(IF((Expenses!E$3:E$999="INR")*(Expenses!A$3:A$999=DATE(2026,4,3)),ROW(Expenses!A$3:A$999)-2),2)),""),IF(IFERROR(INDEX(Income!B$3:B$502,SMALL(IF((Income!D$3:D$502="INR")*(Income!A$3:A$502=DATE(2026,4,3)),ROW(Income!A$3:A$502)-2),2)),"")&lt;&gt;"",IFERROR(INDEX(Income!B$3:B$502,SMALL(IF((Income!D$3:D$502="INR")*(Income!A$3:A$502=DATE(2026,4,3)),ROW(Income!A$3:A$502)-2),2)),""),""))</f>
        <v/>
      </c>
      <c r="M70" s="153">
        <f t="array" ref="M70">IF(IFERROR(-INDEX(Expenses!D$3:D$999,SMALL(IF((Expenses!E$3:E$999="INR")*(Expenses!A$3:A$999=DATE(2026,4,4)),ROW(Expenses!A$3:A$999)-2),2)),0)+IFERROR(INDEX(Income!C$3:C$502,SMALL(IF((Income!D$3:D$502="INR")*(Income!A$3:A$502=DATE(2026,4,4)),ROW(Income!A$3:A$502)-2),2)),0)=0,"",IFERROR(-INDEX(Expenses!D$3:D$999,SMALL(IF((Expenses!E$3:E$999="INR")*(Expenses!A$3:A$999=DATE(2026,4,4)),ROW(Expenses!A$3:A$999)-2),2)),0)+IFERROR(INDEX(Income!C$3:C$502,SMALL(IF((Income!D$3:D$502="INR")*(Income!A$3:A$502=DATE(2026,4,4)),ROW(Income!A$3:A$502)-2),2)),0))</f>
        <v/>
      </c>
      <c r="N70" s="126">
        <f t="array" ref="N70">IF(IFERROR(INDEX(Expenses!B$3:B$999,SMALL(IF((Expenses!E$3:E$999="INR")*(Expenses!A$3:A$999=DATE(2026,4,4)),ROW(Expenses!A$3:A$999)-2),2)),"")&lt;&gt;"",IFERROR(INDEX(Expenses!B$3:B$999,SMALL(IF((Expenses!E$3:E$999="INR")*(Expenses!A$3:A$999=DATE(2026,4,4)),ROW(Expenses!A$3:A$999)-2),2)),""),IF(IFERROR(INDEX(Income!B$3:B$502,SMALL(IF((Income!D$3:D$502="INR")*(Income!A$3:A$502=DATE(2026,4,4)),ROW(Income!A$3:A$502)-2),2)),"")&lt;&gt;"",IFERROR(INDEX(Income!B$3:B$502,SMALL(IF((Income!D$3:D$502="INR")*(Income!A$3:A$502=DATE(2026,4,4)),ROW(Income!A$3:A$502)-2),2)),""),""))</f>
        <v/>
      </c>
      <c r="O70" s="153">
        <f t="array" ref="O70">IF(IFERROR(-INDEX(Expenses!D$3:D$999,SMALL(IF((Expenses!E$3:E$999="INR")*(Expenses!A$3:A$999=DATE(2026,4,5)),ROW(Expenses!A$3:A$999)-2),2)),0)+IFERROR(INDEX(Income!C$3:C$502,SMALL(IF((Income!D$3:D$502="INR")*(Income!A$3:A$502=DATE(2026,4,5)),ROW(Income!A$3:A$502)-2),2)),0)=0,"",IFERROR(-INDEX(Expenses!D$3:D$999,SMALL(IF((Expenses!E$3:E$999="INR")*(Expenses!A$3:A$999=DATE(2026,4,5)),ROW(Expenses!A$3:A$999)-2),2)),0)+IFERROR(INDEX(Income!C$3:C$502,SMALL(IF((Income!D$3:D$502="INR")*(Income!A$3:A$502=DATE(2026,4,5)),ROW(Income!A$3:A$502)-2),2)),0))</f>
        <v/>
      </c>
      <c r="P70" s="126">
        <f t="array" ref="P70">IF(IFERROR(INDEX(Expenses!B$3:B$999,SMALL(IF((Expenses!E$3:E$999="INR")*(Expenses!A$3:A$999=DATE(2026,4,5)),ROW(Expenses!A$3:A$999)-2),2)),"")&lt;&gt;"",IFERROR(INDEX(Expenses!B$3:B$999,SMALL(IF((Expenses!E$3:E$999="INR")*(Expenses!A$3:A$999=DATE(2026,4,5)),ROW(Expenses!A$3:A$999)-2),2)),""),IF(IFERROR(INDEX(Income!B$3:B$502,SMALL(IF((Income!D$3:D$502="INR")*(Income!A$3:A$502=DATE(2026,4,5)),ROW(Income!A$3:A$502)-2),2)),"")&lt;&gt;"",IFERROR(INDEX(Income!B$3:B$502,SMALL(IF((Income!D$3:D$502="INR")*(Income!A$3:A$502=DATE(2026,4,5)),ROW(Income!A$3:A$502)-2),2)),""),""))</f>
        <v/>
      </c>
      <c r="Q70" s="9" t="n"/>
      <c r="R70" s="9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68">
      <c r="A71" s="9" t="n"/>
      <c r="B71" s="9" t="n"/>
      <c r="C71" s="153">
        <f t="array" ref="C71">IF(IFERROR(-INDEX(Expenses!D$3:D$999,SMALL(IF((Expenses!E$3:E$999="INR")*(Expenses!A$3:A$999=DATE(2026,3,30)),ROW(Expenses!A$3:A$999)-2),3)),0)+IFERROR(INDEX(Income!C$3:C$502,SMALL(IF((Income!D$3:D$502="INR")*(Income!A$3:A$502=DATE(2026,3,30)),ROW(Income!A$3:A$502)-2),3)),0)=0,"",IFERROR(-INDEX(Expenses!D$3:D$999,SMALL(IF((Expenses!E$3:E$999="INR")*(Expenses!A$3:A$999=DATE(2026,3,30)),ROW(Expenses!A$3:A$999)-2),3)),0)+IFERROR(INDEX(Income!C$3:C$502,SMALL(IF((Income!D$3:D$502="INR")*(Income!A$3:A$502=DATE(2026,3,30)),ROW(Income!A$3:A$502)-2),3)),0))</f>
        <v/>
      </c>
      <c r="D71" s="126">
        <f t="array" ref="D71">IF(IFERROR(INDEX(Expenses!B$3:B$999,SMALL(IF((Expenses!E$3:E$999="INR")*(Expenses!A$3:A$999=DATE(2026,3,30)),ROW(Expenses!A$3:A$999)-2),3)),"")&lt;&gt;"",IFERROR(INDEX(Expenses!B$3:B$999,SMALL(IF((Expenses!E$3:E$999="INR")*(Expenses!A$3:A$999=DATE(2026,3,30)),ROW(Expenses!A$3:A$999)-2),3)),""),IF(IFERROR(INDEX(Income!B$3:B$502,SMALL(IF((Income!D$3:D$502="INR")*(Income!A$3:A$502=DATE(2026,3,30)),ROW(Income!A$3:A$502)-2),3)),"")&lt;&gt;"",IFERROR(INDEX(Income!B$3:B$502,SMALL(IF((Income!D$3:D$502="INR")*(Income!A$3:A$502=DATE(2026,3,30)),ROW(Income!A$3:A$502)-2),3)),""),""))</f>
        <v/>
      </c>
      <c r="E71" s="153">
        <f t="array" ref="E71">IF(IFERROR(-INDEX(Expenses!D$3:D$999,SMALL(IF((Expenses!E$3:E$999="INR")*(Expenses!A$3:A$999=DATE(2026,3,31)),ROW(Expenses!A$3:A$999)-2),3)),0)+IFERROR(INDEX(Income!C$3:C$502,SMALL(IF((Income!D$3:D$502="INR")*(Income!A$3:A$502=DATE(2026,3,31)),ROW(Income!A$3:A$502)-2),3)),0)=0,"",IFERROR(-INDEX(Expenses!D$3:D$999,SMALL(IF((Expenses!E$3:E$999="INR")*(Expenses!A$3:A$999=DATE(2026,3,31)),ROW(Expenses!A$3:A$999)-2),3)),0)+IFERROR(INDEX(Income!C$3:C$502,SMALL(IF((Income!D$3:D$502="INR")*(Income!A$3:A$502=DATE(2026,3,31)),ROW(Income!A$3:A$502)-2),3)),0))</f>
        <v/>
      </c>
      <c r="F71" s="126">
        <f t="array" ref="F71">IF(IFERROR(INDEX(Expenses!B$3:B$999,SMALL(IF((Expenses!E$3:E$999="INR")*(Expenses!A$3:A$999=DATE(2026,3,31)),ROW(Expenses!A$3:A$999)-2),3)),"")&lt;&gt;"",IFERROR(INDEX(Expenses!B$3:B$999,SMALL(IF((Expenses!E$3:E$999="INR")*(Expenses!A$3:A$999=DATE(2026,3,31)),ROW(Expenses!A$3:A$999)-2),3)),""),IF(IFERROR(INDEX(Income!B$3:B$502,SMALL(IF((Income!D$3:D$502="INR")*(Income!A$3:A$502=DATE(2026,3,31)),ROW(Income!A$3:A$502)-2),3)),"")&lt;&gt;"",IFERROR(INDEX(Income!B$3:B$502,SMALL(IF((Income!D$3:D$502="INR")*(Income!A$3:A$502=DATE(2026,3,31)),ROW(Income!A$3:A$502)-2),3)),""),""))</f>
        <v/>
      </c>
      <c r="G71" s="153">
        <f t="array" ref="G71">IF(IFERROR(-INDEX(Expenses!D$3:D$999,SMALL(IF((Expenses!E$3:E$999="INR")*(Expenses!A$3:A$999=DATE(2026,4,1)),ROW(Expenses!A$3:A$999)-2),3)),0)+IFERROR(INDEX(Income!C$3:C$502,SMALL(IF((Income!D$3:D$502="INR")*(Income!A$3:A$502=DATE(2026,4,1)),ROW(Income!A$3:A$502)-2),3)),0)=0,"",IFERROR(-INDEX(Expenses!D$3:D$999,SMALL(IF((Expenses!E$3:E$999="INR")*(Expenses!A$3:A$999=DATE(2026,4,1)),ROW(Expenses!A$3:A$999)-2),3)),0)+IFERROR(INDEX(Income!C$3:C$502,SMALL(IF((Income!D$3:D$502="INR")*(Income!A$3:A$502=DATE(2026,4,1)),ROW(Income!A$3:A$502)-2),3)),0))</f>
        <v/>
      </c>
      <c r="H71" s="126">
        <f t="array" ref="H71">IF(IFERROR(INDEX(Expenses!B$3:B$999,SMALL(IF((Expenses!E$3:E$999="INR")*(Expenses!A$3:A$999=DATE(2026,4,1)),ROW(Expenses!A$3:A$999)-2),3)),"")&lt;&gt;"",IFERROR(INDEX(Expenses!B$3:B$999,SMALL(IF((Expenses!E$3:E$999="INR")*(Expenses!A$3:A$999=DATE(2026,4,1)),ROW(Expenses!A$3:A$999)-2),3)),""),IF(IFERROR(INDEX(Income!B$3:B$502,SMALL(IF((Income!D$3:D$502="INR")*(Income!A$3:A$502=DATE(2026,4,1)),ROW(Income!A$3:A$502)-2),3)),"")&lt;&gt;"",IFERROR(INDEX(Income!B$3:B$502,SMALL(IF((Income!D$3:D$502="INR")*(Income!A$3:A$502=DATE(2026,4,1)),ROW(Income!A$3:A$502)-2),3)),""),""))</f>
        <v/>
      </c>
      <c r="I71" s="153">
        <f t="array" ref="I71">IF(IFERROR(-INDEX(Expenses!D$3:D$999,SMALL(IF((Expenses!E$3:E$999="INR")*(Expenses!A$3:A$999=DATE(2026,4,2)),ROW(Expenses!A$3:A$999)-2),3)),0)+IFERROR(INDEX(Income!C$3:C$502,SMALL(IF((Income!D$3:D$502="INR")*(Income!A$3:A$502=DATE(2026,4,2)),ROW(Income!A$3:A$502)-2),3)),0)=0,"",IFERROR(-INDEX(Expenses!D$3:D$999,SMALL(IF((Expenses!E$3:E$999="INR")*(Expenses!A$3:A$999=DATE(2026,4,2)),ROW(Expenses!A$3:A$999)-2),3)),0)+IFERROR(INDEX(Income!C$3:C$502,SMALL(IF((Income!D$3:D$502="INR")*(Income!A$3:A$502=DATE(2026,4,2)),ROW(Income!A$3:A$502)-2),3)),0))</f>
        <v/>
      </c>
      <c r="J71" s="126">
        <f t="array" ref="J71">IF(IFERROR(INDEX(Expenses!B$3:B$999,SMALL(IF((Expenses!E$3:E$999="INR")*(Expenses!A$3:A$999=DATE(2026,4,2)),ROW(Expenses!A$3:A$999)-2),3)),"")&lt;&gt;"",IFERROR(INDEX(Expenses!B$3:B$999,SMALL(IF((Expenses!E$3:E$999="INR")*(Expenses!A$3:A$999=DATE(2026,4,2)),ROW(Expenses!A$3:A$999)-2),3)),""),IF(IFERROR(INDEX(Income!B$3:B$502,SMALL(IF((Income!D$3:D$502="INR")*(Income!A$3:A$502=DATE(2026,4,2)),ROW(Income!A$3:A$502)-2),3)),"")&lt;&gt;"",IFERROR(INDEX(Income!B$3:B$502,SMALL(IF((Income!D$3:D$502="INR")*(Income!A$3:A$502=DATE(2026,4,2)),ROW(Income!A$3:A$502)-2),3)),""),""))</f>
        <v/>
      </c>
      <c r="K71" s="153">
        <f t="array" ref="K71">IF(IFERROR(-INDEX(Expenses!D$3:D$999,SMALL(IF((Expenses!E$3:E$999="INR")*(Expenses!A$3:A$999=DATE(2026,4,3)),ROW(Expenses!A$3:A$999)-2),3)),0)+IFERROR(INDEX(Income!C$3:C$502,SMALL(IF((Income!D$3:D$502="INR")*(Income!A$3:A$502=DATE(2026,4,3)),ROW(Income!A$3:A$502)-2),3)),0)=0,"",IFERROR(-INDEX(Expenses!D$3:D$999,SMALL(IF((Expenses!E$3:E$999="INR")*(Expenses!A$3:A$999=DATE(2026,4,3)),ROW(Expenses!A$3:A$999)-2),3)),0)+IFERROR(INDEX(Income!C$3:C$502,SMALL(IF((Income!D$3:D$502="INR")*(Income!A$3:A$502=DATE(2026,4,3)),ROW(Income!A$3:A$502)-2),3)),0))</f>
        <v/>
      </c>
      <c r="L71" s="126">
        <f t="array" ref="L71">IF(IFERROR(INDEX(Expenses!B$3:B$999,SMALL(IF((Expenses!E$3:E$999="INR")*(Expenses!A$3:A$999=DATE(2026,4,3)),ROW(Expenses!A$3:A$999)-2),3)),"")&lt;&gt;"",IFERROR(INDEX(Expenses!B$3:B$999,SMALL(IF((Expenses!E$3:E$999="INR")*(Expenses!A$3:A$999=DATE(2026,4,3)),ROW(Expenses!A$3:A$999)-2),3)),""),IF(IFERROR(INDEX(Income!B$3:B$502,SMALL(IF((Income!D$3:D$502="INR")*(Income!A$3:A$502=DATE(2026,4,3)),ROW(Income!A$3:A$502)-2),3)),"")&lt;&gt;"",IFERROR(INDEX(Income!B$3:B$502,SMALL(IF((Income!D$3:D$502="INR")*(Income!A$3:A$502=DATE(2026,4,3)),ROW(Income!A$3:A$502)-2),3)),""),""))</f>
        <v/>
      </c>
      <c r="M71" s="153">
        <f t="array" ref="M71">IF(IFERROR(-INDEX(Expenses!D$3:D$999,SMALL(IF((Expenses!E$3:E$999="INR")*(Expenses!A$3:A$999=DATE(2026,4,4)),ROW(Expenses!A$3:A$999)-2),3)),0)+IFERROR(INDEX(Income!C$3:C$502,SMALL(IF((Income!D$3:D$502="INR")*(Income!A$3:A$502=DATE(2026,4,4)),ROW(Income!A$3:A$502)-2),3)),0)=0,"",IFERROR(-INDEX(Expenses!D$3:D$999,SMALL(IF((Expenses!E$3:E$999="INR")*(Expenses!A$3:A$999=DATE(2026,4,4)),ROW(Expenses!A$3:A$999)-2),3)),0)+IFERROR(INDEX(Income!C$3:C$502,SMALL(IF((Income!D$3:D$502="INR")*(Income!A$3:A$502=DATE(2026,4,4)),ROW(Income!A$3:A$502)-2),3)),0))</f>
        <v/>
      </c>
      <c r="N71" s="126">
        <f t="array" ref="N71">IF(IFERROR(INDEX(Expenses!B$3:B$999,SMALL(IF((Expenses!E$3:E$999="INR")*(Expenses!A$3:A$999=DATE(2026,4,4)),ROW(Expenses!A$3:A$999)-2),3)),"")&lt;&gt;"",IFERROR(INDEX(Expenses!B$3:B$999,SMALL(IF((Expenses!E$3:E$999="INR")*(Expenses!A$3:A$999=DATE(2026,4,4)),ROW(Expenses!A$3:A$999)-2),3)),""),IF(IFERROR(INDEX(Income!B$3:B$502,SMALL(IF((Income!D$3:D$502="INR")*(Income!A$3:A$502=DATE(2026,4,4)),ROW(Income!A$3:A$502)-2),3)),"")&lt;&gt;"",IFERROR(INDEX(Income!B$3:B$502,SMALL(IF((Income!D$3:D$502="INR")*(Income!A$3:A$502=DATE(2026,4,4)),ROW(Income!A$3:A$502)-2),3)),""),""))</f>
        <v/>
      </c>
      <c r="O71" s="153">
        <f t="array" ref="O71">IF(IFERROR(-INDEX(Expenses!D$3:D$999,SMALL(IF((Expenses!E$3:E$999="INR")*(Expenses!A$3:A$999=DATE(2026,4,5)),ROW(Expenses!A$3:A$999)-2),3)),0)+IFERROR(INDEX(Income!C$3:C$502,SMALL(IF((Income!D$3:D$502="INR")*(Income!A$3:A$502=DATE(2026,4,5)),ROW(Income!A$3:A$502)-2),3)),0)=0,"",IFERROR(-INDEX(Expenses!D$3:D$999,SMALL(IF((Expenses!E$3:E$999="INR")*(Expenses!A$3:A$999=DATE(2026,4,5)),ROW(Expenses!A$3:A$999)-2),3)),0)+IFERROR(INDEX(Income!C$3:C$502,SMALL(IF((Income!D$3:D$502="INR")*(Income!A$3:A$502=DATE(2026,4,5)),ROW(Income!A$3:A$502)-2),3)),0))</f>
        <v/>
      </c>
      <c r="P71" s="126">
        <f t="array" ref="P71">IF(IFERROR(INDEX(Expenses!B$3:B$999,SMALL(IF((Expenses!E$3:E$999="INR")*(Expenses!A$3:A$999=DATE(2026,4,5)),ROW(Expenses!A$3:A$999)-2),3)),"")&lt;&gt;"",IFERROR(INDEX(Expenses!B$3:B$999,SMALL(IF((Expenses!E$3:E$999="INR")*(Expenses!A$3:A$999=DATE(2026,4,5)),ROW(Expenses!A$3:A$999)-2),3)),""),IF(IFERROR(INDEX(Income!B$3:B$502,SMALL(IF((Income!D$3:D$502="INR")*(Income!A$3:A$502=DATE(2026,4,5)),ROW(Income!A$3:A$502)-2),3)),"")&lt;&gt;"",IFERROR(INDEX(Income!B$3:B$502,SMALL(IF((Income!D$3:D$502="INR")*(Income!A$3:A$502=DATE(2026,4,5)),ROW(Income!A$3:A$502)-2),3)),""),""))</f>
        <v/>
      </c>
      <c r="Q71" s="9" t="n"/>
      <c r="R71" s="9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68">
      <c r="A72" s="9" t="n"/>
      <c r="B72" s="9" t="n"/>
      <c r="C72" s="153">
        <f t="array" ref="C72">IF(IFERROR(-INDEX(Expenses!D$3:D$999,SMALL(IF((Expenses!E$3:E$999="INR")*(Expenses!A$3:A$999=DATE(2026,3,30)),ROW(Expenses!A$3:A$999)-2),4)),0)+IFERROR(INDEX(Income!C$3:C$502,SMALL(IF((Income!D$3:D$502="INR")*(Income!A$3:A$502=DATE(2026,3,30)),ROW(Income!A$3:A$502)-2),4)),0)=0,"",IFERROR(-INDEX(Expenses!D$3:D$999,SMALL(IF((Expenses!E$3:E$999="INR")*(Expenses!A$3:A$999=DATE(2026,3,30)),ROW(Expenses!A$3:A$999)-2),4)),0)+IFERROR(INDEX(Income!C$3:C$502,SMALL(IF((Income!D$3:D$502="INR")*(Income!A$3:A$502=DATE(2026,3,30)),ROW(Income!A$3:A$502)-2),4)),0))</f>
        <v/>
      </c>
      <c r="D72" s="126">
        <f t="array" ref="D72">IF(IFERROR(INDEX(Expenses!B$3:B$999,SMALL(IF((Expenses!E$3:E$999="INR")*(Expenses!A$3:A$999=DATE(2026,3,30)),ROW(Expenses!A$3:A$999)-2),4)),"")&lt;&gt;"",IFERROR(INDEX(Expenses!B$3:B$999,SMALL(IF((Expenses!E$3:E$999="INR")*(Expenses!A$3:A$999=DATE(2026,3,30)),ROW(Expenses!A$3:A$999)-2),4)),""),IF(IFERROR(INDEX(Income!B$3:B$502,SMALL(IF((Income!D$3:D$502="INR")*(Income!A$3:A$502=DATE(2026,3,30)),ROW(Income!A$3:A$502)-2),4)),"")&lt;&gt;"",IFERROR(INDEX(Income!B$3:B$502,SMALL(IF((Income!D$3:D$502="INR")*(Income!A$3:A$502=DATE(2026,3,30)),ROW(Income!A$3:A$502)-2),4)),""),""))</f>
        <v/>
      </c>
      <c r="E72" s="153">
        <f t="array" ref="E72">IF(IFERROR(-INDEX(Expenses!D$3:D$999,SMALL(IF((Expenses!E$3:E$999="INR")*(Expenses!A$3:A$999=DATE(2026,3,31)),ROW(Expenses!A$3:A$999)-2),4)),0)+IFERROR(INDEX(Income!C$3:C$502,SMALL(IF((Income!D$3:D$502="INR")*(Income!A$3:A$502=DATE(2026,3,31)),ROW(Income!A$3:A$502)-2),4)),0)=0,"",IFERROR(-INDEX(Expenses!D$3:D$999,SMALL(IF((Expenses!E$3:E$999="INR")*(Expenses!A$3:A$999=DATE(2026,3,31)),ROW(Expenses!A$3:A$999)-2),4)),0)+IFERROR(INDEX(Income!C$3:C$502,SMALL(IF((Income!D$3:D$502="INR")*(Income!A$3:A$502=DATE(2026,3,31)),ROW(Income!A$3:A$502)-2),4)),0))</f>
        <v/>
      </c>
      <c r="F72" s="126">
        <f t="array" ref="F72">IF(IFERROR(INDEX(Expenses!B$3:B$999,SMALL(IF((Expenses!E$3:E$999="INR")*(Expenses!A$3:A$999=DATE(2026,3,31)),ROW(Expenses!A$3:A$999)-2),4)),"")&lt;&gt;"",IFERROR(INDEX(Expenses!B$3:B$999,SMALL(IF((Expenses!E$3:E$999="INR")*(Expenses!A$3:A$999=DATE(2026,3,31)),ROW(Expenses!A$3:A$999)-2),4)),""),IF(IFERROR(INDEX(Income!B$3:B$502,SMALL(IF((Income!D$3:D$502="INR")*(Income!A$3:A$502=DATE(2026,3,31)),ROW(Income!A$3:A$502)-2),4)),"")&lt;&gt;"",IFERROR(INDEX(Income!B$3:B$502,SMALL(IF((Income!D$3:D$502="INR")*(Income!A$3:A$502=DATE(2026,3,31)),ROW(Income!A$3:A$502)-2),4)),""),""))</f>
        <v/>
      </c>
      <c r="G72" s="153">
        <f t="array" ref="G72">IF(IFERROR(-INDEX(Expenses!D$3:D$999,SMALL(IF((Expenses!E$3:E$999="INR")*(Expenses!A$3:A$999=DATE(2026,4,1)),ROW(Expenses!A$3:A$999)-2),4)),0)+IFERROR(INDEX(Income!C$3:C$502,SMALL(IF((Income!D$3:D$502="INR")*(Income!A$3:A$502=DATE(2026,4,1)),ROW(Income!A$3:A$502)-2),4)),0)=0,"",IFERROR(-INDEX(Expenses!D$3:D$999,SMALL(IF((Expenses!E$3:E$999="INR")*(Expenses!A$3:A$999=DATE(2026,4,1)),ROW(Expenses!A$3:A$999)-2),4)),0)+IFERROR(INDEX(Income!C$3:C$502,SMALL(IF((Income!D$3:D$502="INR")*(Income!A$3:A$502=DATE(2026,4,1)),ROW(Income!A$3:A$502)-2),4)),0))</f>
        <v/>
      </c>
      <c r="H72" s="126">
        <f t="array" ref="H72">IF(IFERROR(INDEX(Expenses!B$3:B$999,SMALL(IF((Expenses!E$3:E$999="INR")*(Expenses!A$3:A$999=DATE(2026,4,1)),ROW(Expenses!A$3:A$999)-2),4)),"")&lt;&gt;"",IFERROR(INDEX(Expenses!B$3:B$999,SMALL(IF((Expenses!E$3:E$999="INR")*(Expenses!A$3:A$999=DATE(2026,4,1)),ROW(Expenses!A$3:A$999)-2),4)),""),IF(IFERROR(INDEX(Income!B$3:B$502,SMALL(IF((Income!D$3:D$502="INR")*(Income!A$3:A$502=DATE(2026,4,1)),ROW(Income!A$3:A$502)-2),4)),"")&lt;&gt;"",IFERROR(INDEX(Income!B$3:B$502,SMALL(IF((Income!D$3:D$502="INR")*(Income!A$3:A$502=DATE(2026,4,1)),ROW(Income!A$3:A$502)-2),4)),""),""))</f>
        <v/>
      </c>
      <c r="I72" s="153">
        <f t="array" ref="I72">IF(IFERROR(-INDEX(Expenses!D$3:D$999,SMALL(IF((Expenses!E$3:E$999="INR")*(Expenses!A$3:A$999=DATE(2026,4,2)),ROW(Expenses!A$3:A$999)-2),4)),0)+IFERROR(INDEX(Income!C$3:C$502,SMALL(IF((Income!D$3:D$502="INR")*(Income!A$3:A$502=DATE(2026,4,2)),ROW(Income!A$3:A$502)-2),4)),0)=0,"",IFERROR(-INDEX(Expenses!D$3:D$999,SMALL(IF((Expenses!E$3:E$999="INR")*(Expenses!A$3:A$999=DATE(2026,4,2)),ROW(Expenses!A$3:A$999)-2),4)),0)+IFERROR(INDEX(Income!C$3:C$502,SMALL(IF((Income!D$3:D$502="INR")*(Income!A$3:A$502=DATE(2026,4,2)),ROW(Income!A$3:A$502)-2),4)),0))</f>
        <v/>
      </c>
      <c r="J72" s="126">
        <f t="array" ref="J72">IF(IFERROR(INDEX(Expenses!B$3:B$999,SMALL(IF((Expenses!E$3:E$999="INR")*(Expenses!A$3:A$999=DATE(2026,4,2)),ROW(Expenses!A$3:A$999)-2),4)),"")&lt;&gt;"",IFERROR(INDEX(Expenses!B$3:B$999,SMALL(IF((Expenses!E$3:E$999="INR")*(Expenses!A$3:A$999=DATE(2026,4,2)),ROW(Expenses!A$3:A$999)-2),4)),""),IF(IFERROR(INDEX(Income!B$3:B$502,SMALL(IF((Income!D$3:D$502="INR")*(Income!A$3:A$502=DATE(2026,4,2)),ROW(Income!A$3:A$502)-2),4)),"")&lt;&gt;"",IFERROR(INDEX(Income!B$3:B$502,SMALL(IF((Income!D$3:D$502="INR")*(Income!A$3:A$502=DATE(2026,4,2)),ROW(Income!A$3:A$502)-2),4)),""),""))</f>
        <v/>
      </c>
      <c r="K72" s="153">
        <f t="array" ref="K72">IF(IFERROR(-INDEX(Expenses!D$3:D$999,SMALL(IF((Expenses!E$3:E$999="INR")*(Expenses!A$3:A$999=DATE(2026,4,3)),ROW(Expenses!A$3:A$999)-2),4)),0)+IFERROR(INDEX(Income!C$3:C$502,SMALL(IF((Income!D$3:D$502="INR")*(Income!A$3:A$502=DATE(2026,4,3)),ROW(Income!A$3:A$502)-2),4)),0)=0,"",IFERROR(-INDEX(Expenses!D$3:D$999,SMALL(IF((Expenses!E$3:E$999="INR")*(Expenses!A$3:A$999=DATE(2026,4,3)),ROW(Expenses!A$3:A$999)-2),4)),0)+IFERROR(INDEX(Income!C$3:C$502,SMALL(IF((Income!D$3:D$502="INR")*(Income!A$3:A$502=DATE(2026,4,3)),ROW(Income!A$3:A$502)-2),4)),0))</f>
        <v/>
      </c>
      <c r="L72" s="126">
        <f t="array" ref="L72">IF(IFERROR(INDEX(Expenses!B$3:B$999,SMALL(IF((Expenses!E$3:E$999="INR")*(Expenses!A$3:A$999=DATE(2026,4,3)),ROW(Expenses!A$3:A$999)-2),4)),"")&lt;&gt;"",IFERROR(INDEX(Expenses!B$3:B$999,SMALL(IF((Expenses!E$3:E$999="INR")*(Expenses!A$3:A$999=DATE(2026,4,3)),ROW(Expenses!A$3:A$999)-2),4)),""),IF(IFERROR(INDEX(Income!B$3:B$502,SMALL(IF((Income!D$3:D$502="INR")*(Income!A$3:A$502=DATE(2026,4,3)),ROW(Income!A$3:A$502)-2),4)),"")&lt;&gt;"",IFERROR(INDEX(Income!B$3:B$502,SMALL(IF((Income!D$3:D$502="INR")*(Income!A$3:A$502=DATE(2026,4,3)),ROW(Income!A$3:A$502)-2),4)),""),""))</f>
        <v/>
      </c>
      <c r="M72" s="153">
        <f t="array" ref="M72">IF(IFERROR(-INDEX(Expenses!D$3:D$999,SMALL(IF((Expenses!E$3:E$999="INR")*(Expenses!A$3:A$999=DATE(2026,4,4)),ROW(Expenses!A$3:A$999)-2),4)),0)+IFERROR(INDEX(Income!C$3:C$502,SMALL(IF((Income!D$3:D$502="INR")*(Income!A$3:A$502=DATE(2026,4,4)),ROW(Income!A$3:A$502)-2),4)),0)=0,"",IFERROR(-INDEX(Expenses!D$3:D$999,SMALL(IF((Expenses!E$3:E$999="INR")*(Expenses!A$3:A$999=DATE(2026,4,4)),ROW(Expenses!A$3:A$999)-2),4)),0)+IFERROR(INDEX(Income!C$3:C$502,SMALL(IF((Income!D$3:D$502="INR")*(Income!A$3:A$502=DATE(2026,4,4)),ROW(Income!A$3:A$502)-2),4)),0))</f>
        <v/>
      </c>
      <c r="N72" s="126">
        <f t="array" ref="N72">IF(IFERROR(INDEX(Expenses!B$3:B$999,SMALL(IF((Expenses!E$3:E$999="INR")*(Expenses!A$3:A$999=DATE(2026,4,4)),ROW(Expenses!A$3:A$999)-2),4)),"")&lt;&gt;"",IFERROR(INDEX(Expenses!B$3:B$999,SMALL(IF((Expenses!E$3:E$999="INR")*(Expenses!A$3:A$999=DATE(2026,4,4)),ROW(Expenses!A$3:A$999)-2),4)),""),IF(IFERROR(INDEX(Income!B$3:B$502,SMALL(IF((Income!D$3:D$502="INR")*(Income!A$3:A$502=DATE(2026,4,4)),ROW(Income!A$3:A$502)-2),4)),"")&lt;&gt;"",IFERROR(INDEX(Income!B$3:B$502,SMALL(IF((Income!D$3:D$502="INR")*(Income!A$3:A$502=DATE(2026,4,4)),ROW(Income!A$3:A$502)-2),4)),""),""))</f>
        <v/>
      </c>
      <c r="O72" s="153">
        <f t="array" ref="O72">IF(IFERROR(-INDEX(Expenses!D$3:D$999,SMALL(IF((Expenses!E$3:E$999="INR")*(Expenses!A$3:A$999=DATE(2026,4,5)),ROW(Expenses!A$3:A$999)-2),4)),0)+IFERROR(INDEX(Income!C$3:C$502,SMALL(IF((Income!D$3:D$502="INR")*(Income!A$3:A$502=DATE(2026,4,5)),ROW(Income!A$3:A$502)-2),4)),0)=0,"",IFERROR(-INDEX(Expenses!D$3:D$999,SMALL(IF((Expenses!E$3:E$999="INR")*(Expenses!A$3:A$999=DATE(2026,4,5)),ROW(Expenses!A$3:A$999)-2),4)),0)+IFERROR(INDEX(Income!C$3:C$502,SMALL(IF((Income!D$3:D$502="INR")*(Income!A$3:A$502=DATE(2026,4,5)),ROW(Income!A$3:A$502)-2),4)),0))</f>
        <v/>
      </c>
      <c r="P72" s="126">
        <f t="array" ref="P72">IF(IFERROR(INDEX(Expenses!B$3:B$999,SMALL(IF((Expenses!E$3:E$999="INR")*(Expenses!A$3:A$999=DATE(2026,4,5)),ROW(Expenses!A$3:A$999)-2),4)),"")&lt;&gt;"",IFERROR(INDEX(Expenses!B$3:B$999,SMALL(IF((Expenses!E$3:E$999="INR")*(Expenses!A$3:A$999=DATE(2026,4,5)),ROW(Expenses!A$3:A$999)-2),4)),""),IF(IFERROR(INDEX(Income!B$3:B$502,SMALL(IF((Income!D$3:D$502="INR")*(Income!A$3:A$502=DATE(2026,4,5)),ROW(Income!A$3:A$502)-2),4)),"")&lt;&gt;"",IFERROR(INDEX(Income!B$3:B$502,SMALL(IF((Income!D$3:D$502="INR")*(Income!A$3:A$502=DATE(2026,4,5)),ROW(Income!A$3:A$502)-2),4)),""),""))</f>
        <v/>
      </c>
      <c r="Q72" s="9" t="n"/>
      <c r="R72" s="9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68">
      <c r="A73" s="9" t="n"/>
      <c r="B73" s="9" t="n"/>
      <c r="C73" s="153">
        <f t="array" ref="C73">IF(IFERROR(-INDEX(Expenses!D$3:D$999,SMALL(IF((Expenses!E$3:E$999="INR")*(Expenses!A$3:A$999=DATE(2026,3,30)),ROW(Expenses!A$3:A$999)-2),5)),0)+IFERROR(INDEX(Income!C$3:C$502,SMALL(IF((Income!D$3:D$502="INR")*(Income!A$3:A$502=DATE(2026,3,30)),ROW(Income!A$3:A$502)-2),5)),0)=0,"",IFERROR(-INDEX(Expenses!D$3:D$999,SMALL(IF((Expenses!E$3:E$999="INR")*(Expenses!A$3:A$999=DATE(2026,3,30)),ROW(Expenses!A$3:A$999)-2),5)),0)+IFERROR(INDEX(Income!C$3:C$502,SMALL(IF((Income!D$3:D$502="INR")*(Income!A$3:A$502=DATE(2026,3,30)),ROW(Income!A$3:A$502)-2),5)),0))</f>
        <v/>
      </c>
      <c r="D73" s="126">
        <f t="array" ref="D73">IF(IFERROR(INDEX(Expenses!B$3:B$999,SMALL(IF((Expenses!E$3:E$999="INR")*(Expenses!A$3:A$999=DATE(2026,3,30)),ROW(Expenses!A$3:A$999)-2),5)),"")&lt;&gt;"",IFERROR(INDEX(Expenses!B$3:B$999,SMALL(IF((Expenses!E$3:E$999="INR")*(Expenses!A$3:A$999=DATE(2026,3,30)),ROW(Expenses!A$3:A$999)-2),5)),""),IF(IFERROR(INDEX(Income!B$3:B$502,SMALL(IF((Income!D$3:D$502="INR")*(Income!A$3:A$502=DATE(2026,3,30)),ROW(Income!A$3:A$502)-2),5)),"")&lt;&gt;"",IFERROR(INDEX(Income!B$3:B$502,SMALL(IF((Income!D$3:D$502="INR")*(Income!A$3:A$502=DATE(2026,3,30)),ROW(Income!A$3:A$502)-2),5)),""),""))</f>
        <v/>
      </c>
      <c r="E73" s="153">
        <f t="array" ref="E73">IF(IFERROR(-INDEX(Expenses!D$3:D$999,SMALL(IF((Expenses!E$3:E$999="INR")*(Expenses!A$3:A$999=DATE(2026,3,31)),ROW(Expenses!A$3:A$999)-2),5)),0)+IFERROR(INDEX(Income!C$3:C$502,SMALL(IF((Income!D$3:D$502="INR")*(Income!A$3:A$502=DATE(2026,3,31)),ROW(Income!A$3:A$502)-2),5)),0)=0,"",IFERROR(-INDEX(Expenses!D$3:D$999,SMALL(IF((Expenses!E$3:E$999="INR")*(Expenses!A$3:A$999=DATE(2026,3,31)),ROW(Expenses!A$3:A$999)-2),5)),0)+IFERROR(INDEX(Income!C$3:C$502,SMALL(IF((Income!D$3:D$502="INR")*(Income!A$3:A$502=DATE(2026,3,31)),ROW(Income!A$3:A$502)-2),5)),0))</f>
        <v/>
      </c>
      <c r="F73" s="126">
        <f t="array" ref="F73">IF(IFERROR(INDEX(Expenses!B$3:B$999,SMALL(IF((Expenses!E$3:E$999="INR")*(Expenses!A$3:A$999=DATE(2026,3,31)),ROW(Expenses!A$3:A$999)-2),5)),"")&lt;&gt;"",IFERROR(INDEX(Expenses!B$3:B$999,SMALL(IF((Expenses!E$3:E$999="INR")*(Expenses!A$3:A$999=DATE(2026,3,31)),ROW(Expenses!A$3:A$999)-2),5)),""),IF(IFERROR(INDEX(Income!B$3:B$502,SMALL(IF((Income!D$3:D$502="INR")*(Income!A$3:A$502=DATE(2026,3,31)),ROW(Income!A$3:A$502)-2),5)),"")&lt;&gt;"",IFERROR(INDEX(Income!B$3:B$502,SMALL(IF((Income!D$3:D$502="INR")*(Income!A$3:A$502=DATE(2026,3,31)),ROW(Income!A$3:A$502)-2),5)),""),""))</f>
        <v/>
      </c>
      <c r="G73" s="153">
        <f t="array" ref="G73">IF(IFERROR(-INDEX(Expenses!D$3:D$999,SMALL(IF((Expenses!E$3:E$999="INR")*(Expenses!A$3:A$999=DATE(2026,4,1)),ROW(Expenses!A$3:A$999)-2),5)),0)+IFERROR(INDEX(Income!C$3:C$502,SMALL(IF((Income!D$3:D$502="INR")*(Income!A$3:A$502=DATE(2026,4,1)),ROW(Income!A$3:A$502)-2),5)),0)=0,"",IFERROR(-INDEX(Expenses!D$3:D$999,SMALL(IF((Expenses!E$3:E$999="INR")*(Expenses!A$3:A$999=DATE(2026,4,1)),ROW(Expenses!A$3:A$999)-2),5)),0)+IFERROR(INDEX(Income!C$3:C$502,SMALL(IF((Income!D$3:D$502="INR")*(Income!A$3:A$502=DATE(2026,4,1)),ROW(Income!A$3:A$502)-2),5)),0))</f>
        <v/>
      </c>
      <c r="H73" s="126">
        <f t="array" ref="H73">IF(IFERROR(INDEX(Expenses!B$3:B$999,SMALL(IF((Expenses!E$3:E$999="INR")*(Expenses!A$3:A$999=DATE(2026,4,1)),ROW(Expenses!A$3:A$999)-2),5)),"")&lt;&gt;"",IFERROR(INDEX(Expenses!B$3:B$999,SMALL(IF((Expenses!E$3:E$999="INR")*(Expenses!A$3:A$999=DATE(2026,4,1)),ROW(Expenses!A$3:A$999)-2),5)),""),IF(IFERROR(INDEX(Income!B$3:B$502,SMALL(IF((Income!D$3:D$502="INR")*(Income!A$3:A$502=DATE(2026,4,1)),ROW(Income!A$3:A$502)-2),5)),"")&lt;&gt;"",IFERROR(INDEX(Income!B$3:B$502,SMALL(IF((Income!D$3:D$502="INR")*(Income!A$3:A$502=DATE(2026,4,1)),ROW(Income!A$3:A$502)-2),5)),""),""))</f>
        <v/>
      </c>
      <c r="I73" s="153">
        <f t="array" ref="I73">IF(IFERROR(-INDEX(Expenses!D$3:D$999,SMALL(IF((Expenses!E$3:E$999="INR")*(Expenses!A$3:A$999=DATE(2026,4,2)),ROW(Expenses!A$3:A$999)-2),5)),0)+IFERROR(INDEX(Income!C$3:C$502,SMALL(IF((Income!D$3:D$502="INR")*(Income!A$3:A$502=DATE(2026,4,2)),ROW(Income!A$3:A$502)-2),5)),0)=0,"",IFERROR(-INDEX(Expenses!D$3:D$999,SMALL(IF((Expenses!E$3:E$999="INR")*(Expenses!A$3:A$999=DATE(2026,4,2)),ROW(Expenses!A$3:A$999)-2),5)),0)+IFERROR(INDEX(Income!C$3:C$502,SMALL(IF((Income!D$3:D$502="INR")*(Income!A$3:A$502=DATE(2026,4,2)),ROW(Income!A$3:A$502)-2),5)),0))</f>
        <v/>
      </c>
      <c r="J73" s="126">
        <f t="array" ref="J73">IF(IFERROR(INDEX(Expenses!B$3:B$999,SMALL(IF((Expenses!E$3:E$999="INR")*(Expenses!A$3:A$999=DATE(2026,4,2)),ROW(Expenses!A$3:A$999)-2),5)),"")&lt;&gt;"",IFERROR(INDEX(Expenses!B$3:B$999,SMALL(IF((Expenses!E$3:E$999="INR")*(Expenses!A$3:A$999=DATE(2026,4,2)),ROW(Expenses!A$3:A$999)-2),5)),""),IF(IFERROR(INDEX(Income!B$3:B$502,SMALL(IF((Income!D$3:D$502="INR")*(Income!A$3:A$502=DATE(2026,4,2)),ROW(Income!A$3:A$502)-2),5)),"")&lt;&gt;"",IFERROR(INDEX(Income!B$3:B$502,SMALL(IF((Income!D$3:D$502="INR")*(Income!A$3:A$502=DATE(2026,4,2)),ROW(Income!A$3:A$502)-2),5)),""),""))</f>
        <v/>
      </c>
      <c r="K73" s="153">
        <f t="array" ref="K73">IF(IFERROR(-INDEX(Expenses!D$3:D$999,SMALL(IF((Expenses!E$3:E$999="INR")*(Expenses!A$3:A$999=DATE(2026,4,3)),ROW(Expenses!A$3:A$999)-2),5)),0)+IFERROR(INDEX(Income!C$3:C$502,SMALL(IF((Income!D$3:D$502="INR")*(Income!A$3:A$502=DATE(2026,4,3)),ROW(Income!A$3:A$502)-2),5)),0)=0,"",IFERROR(-INDEX(Expenses!D$3:D$999,SMALL(IF((Expenses!E$3:E$999="INR")*(Expenses!A$3:A$999=DATE(2026,4,3)),ROW(Expenses!A$3:A$999)-2),5)),0)+IFERROR(INDEX(Income!C$3:C$502,SMALL(IF((Income!D$3:D$502="INR")*(Income!A$3:A$502=DATE(2026,4,3)),ROW(Income!A$3:A$502)-2),5)),0))</f>
        <v/>
      </c>
      <c r="L73" s="126">
        <f t="array" ref="L73">IF(IFERROR(INDEX(Expenses!B$3:B$999,SMALL(IF((Expenses!E$3:E$999="INR")*(Expenses!A$3:A$999=DATE(2026,4,3)),ROW(Expenses!A$3:A$999)-2),5)),"")&lt;&gt;"",IFERROR(INDEX(Expenses!B$3:B$999,SMALL(IF((Expenses!E$3:E$999="INR")*(Expenses!A$3:A$999=DATE(2026,4,3)),ROW(Expenses!A$3:A$999)-2),5)),""),IF(IFERROR(INDEX(Income!B$3:B$502,SMALL(IF((Income!D$3:D$502="INR")*(Income!A$3:A$502=DATE(2026,4,3)),ROW(Income!A$3:A$502)-2),5)),"")&lt;&gt;"",IFERROR(INDEX(Income!B$3:B$502,SMALL(IF((Income!D$3:D$502="INR")*(Income!A$3:A$502=DATE(2026,4,3)),ROW(Income!A$3:A$502)-2),5)),""),""))</f>
        <v/>
      </c>
      <c r="M73" s="153">
        <f t="array" ref="M73">IF(IFERROR(-INDEX(Expenses!D$3:D$999,SMALL(IF((Expenses!E$3:E$999="INR")*(Expenses!A$3:A$999=DATE(2026,4,4)),ROW(Expenses!A$3:A$999)-2),5)),0)+IFERROR(INDEX(Income!C$3:C$502,SMALL(IF((Income!D$3:D$502="INR")*(Income!A$3:A$502=DATE(2026,4,4)),ROW(Income!A$3:A$502)-2),5)),0)=0,"",IFERROR(-INDEX(Expenses!D$3:D$999,SMALL(IF((Expenses!E$3:E$999="INR")*(Expenses!A$3:A$999=DATE(2026,4,4)),ROW(Expenses!A$3:A$999)-2),5)),0)+IFERROR(INDEX(Income!C$3:C$502,SMALL(IF((Income!D$3:D$502="INR")*(Income!A$3:A$502=DATE(2026,4,4)),ROW(Income!A$3:A$502)-2),5)),0))</f>
        <v/>
      </c>
      <c r="N73" s="126">
        <f t="array" ref="N73">IF(IFERROR(INDEX(Expenses!B$3:B$999,SMALL(IF((Expenses!E$3:E$999="INR")*(Expenses!A$3:A$999=DATE(2026,4,4)),ROW(Expenses!A$3:A$999)-2),5)),"")&lt;&gt;"",IFERROR(INDEX(Expenses!B$3:B$999,SMALL(IF((Expenses!E$3:E$999="INR")*(Expenses!A$3:A$999=DATE(2026,4,4)),ROW(Expenses!A$3:A$999)-2),5)),""),IF(IFERROR(INDEX(Income!B$3:B$502,SMALL(IF((Income!D$3:D$502="INR")*(Income!A$3:A$502=DATE(2026,4,4)),ROW(Income!A$3:A$502)-2),5)),"")&lt;&gt;"",IFERROR(INDEX(Income!B$3:B$502,SMALL(IF((Income!D$3:D$502="INR")*(Income!A$3:A$502=DATE(2026,4,4)),ROW(Income!A$3:A$502)-2),5)),""),""))</f>
        <v/>
      </c>
      <c r="O73" s="153">
        <f t="array" ref="O73">IF(IFERROR(-INDEX(Expenses!D$3:D$999,SMALL(IF((Expenses!E$3:E$999="INR")*(Expenses!A$3:A$999=DATE(2026,4,5)),ROW(Expenses!A$3:A$999)-2),5)),0)+IFERROR(INDEX(Income!C$3:C$502,SMALL(IF((Income!D$3:D$502="INR")*(Income!A$3:A$502=DATE(2026,4,5)),ROW(Income!A$3:A$502)-2),5)),0)=0,"",IFERROR(-INDEX(Expenses!D$3:D$999,SMALL(IF((Expenses!E$3:E$999="INR")*(Expenses!A$3:A$999=DATE(2026,4,5)),ROW(Expenses!A$3:A$999)-2),5)),0)+IFERROR(INDEX(Income!C$3:C$502,SMALL(IF((Income!D$3:D$502="INR")*(Income!A$3:A$502=DATE(2026,4,5)),ROW(Income!A$3:A$502)-2),5)),0))</f>
        <v/>
      </c>
      <c r="P73" s="126">
        <f t="array" ref="P73">IF(IFERROR(INDEX(Expenses!B$3:B$999,SMALL(IF((Expenses!E$3:E$999="INR")*(Expenses!A$3:A$999=DATE(2026,4,5)),ROW(Expenses!A$3:A$999)-2),5)),"")&lt;&gt;"",IFERROR(INDEX(Expenses!B$3:B$999,SMALL(IF((Expenses!E$3:E$999="INR")*(Expenses!A$3:A$999=DATE(2026,4,5)),ROW(Expenses!A$3:A$999)-2),5)),""),IF(IFERROR(INDEX(Income!B$3:B$502,SMALL(IF((Income!D$3:D$502="INR")*(Income!A$3:A$502=DATE(2026,4,5)),ROW(Income!A$3:A$502)-2),5)),"")&lt;&gt;"",IFERROR(INDEX(Income!B$3:B$502,SMALL(IF((Income!D$3:D$502="INR")*(Income!A$3:A$502=DATE(2026,4,5)),ROW(Income!A$3:A$502)-2),5)),""),""))</f>
        <v/>
      </c>
      <c r="Q73" s="9" t="n"/>
      <c r="R73" s="9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68">
      <c r="A74" s="151" t="n">
        <v>46118</v>
      </c>
      <c r="B74" s="103" t="n">
        <v>15</v>
      </c>
      <c r="C74" s="153">
        <f t="array" ref="C74">IF(IFERROR(-INDEX(Expenses!D$3:D$999,SMALL(IF((Expenses!E$3:E$999="INR")*(Expenses!A$3:A$999=DATE(2026,4,6)),ROW(Expenses!A$3:A$999)-2),1)),0)+IFERROR(INDEX(Income!C$3:C$502,SMALL(IF((Income!D$3:D$502="INR")*(Income!A$3:A$502=DATE(2026,4,6)),ROW(Income!A$3:A$502)-2),1)),0)=0,"",IFERROR(-INDEX(Expenses!D$3:D$999,SMALL(IF((Expenses!E$3:E$999="INR")*(Expenses!A$3:A$999=DATE(2026,4,6)),ROW(Expenses!A$3:A$999)-2),1)),0)+IFERROR(INDEX(Income!C$3:C$502,SMALL(IF((Income!D$3:D$502="INR")*(Income!A$3:A$502=DATE(2026,4,6)),ROW(Income!A$3:A$502)-2),1)),0))</f>
        <v/>
      </c>
      <c r="D74" s="126">
        <f t="array" ref="D74">IF(IFERROR(INDEX(Expenses!B$3:B$999,SMALL(IF((Expenses!E$3:E$999="INR")*(Expenses!A$3:A$999=DATE(2026,4,6)),ROW(Expenses!A$3:A$999)-2),1)),"")&lt;&gt;"",IFERROR(INDEX(Expenses!B$3:B$999,SMALL(IF((Expenses!E$3:E$999="INR")*(Expenses!A$3:A$999=DATE(2026,4,6)),ROW(Expenses!A$3:A$999)-2),1)),""),IF(IFERROR(INDEX(Income!B$3:B$502,SMALL(IF((Income!D$3:D$502="INR")*(Income!A$3:A$502=DATE(2026,4,6)),ROW(Income!A$3:A$502)-2),1)),"")&lt;&gt;"",IFERROR(INDEX(Income!B$3:B$502,SMALL(IF((Income!D$3:D$502="INR")*(Income!A$3:A$502=DATE(2026,4,6)),ROW(Income!A$3:A$502)-2),1)),""),""))</f>
        <v/>
      </c>
      <c r="E74" s="153">
        <f t="array" ref="E74">IF(IFERROR(-INDEX(Expenses!D$3:D$999,SMALL(IF((Expenses!E$3:E$999="INR")*(Expenses!A$3:A$999=DATE(2026,4,7)),ROW(Expenses!A$3:A$999)-2),1)),0)+IFERROR(INDEX(Income!C$3:C$502,SMALL(IF((Income!D$3:D$502="INR")*(Income!A$3:A$502=DATE(2026,4,7)),ROW(Income!A$3:A$502)-2),1)),0)=0,"",IFERROR(-INDEX(Expenses!D$3:D$999,SMALL(IF((Expenses!E$3:E$999="INR")*(Expenses!A$3:A$999=DATE(2026,4,7)),ROW(Expenses!A$3:A$999)-2),1)),0)+IFERROR(INDEX(Income!C$3:C$502,SMALL(IF((Income!D$3:D$502="INR")*(Income!A$3:A$502=DATE(2026,4,7)),ROW(Income!A$3:A$502)-2),1)),0))</f>
        <v/>
      </c>
      <c r="F74" s="126">
        <f t="array" ref="F74">IF(IFERROR(INDEX(Expenses!B$3:B$999,SMALL(IF((Expenses!E$3:E$999="INR")*(Expenses!A$3:A$999=DATE(2026,4,7)),ROW(Expenses!A$3:A$999)-2),1)),"")&lt;&gt;"",IFERROR(INDEX(Expenses!B$3:B$999,SMALL(IF((Expenses!E$3:E$999="INR")*(Expenses!A$3:A$999=DATE(2026,4,7)),ROW(Expenses!A$3:A$999)-2),1)),""),IF(IFERROR(INDEX(Income!B$3:B$502,SMALL(IF((Income!D$3:D$502="INR")*(Income!A$3:A$502=DATE(2026,4,7)),ROW(Income!A$3:A$502)-2),1)),"")&lt;&gt;"",IFERROR(INDEX(Income!B$3:B$502,SMALL(IF((Income!D$3:D$502="INR")*(Income!A$3:A$502=DATE(2026,4,7)),ROW(Income!A$3:A$502)-2),1)),""),""))</f>
        <v/>
      </c>
      <c r="G74" s="153">
        <f t="array" ref="G74">IF(IFERROR(-INDEX(Expenses!D$3:D$999,SMALL(IF((Expenses!E$3:E$999="INR")*(Expenses!A$3:A$999=DATE(2026,4,8)),ROW(Expenses!A$3:A$999)-2),1)),0)+IFERROR(INDEX(Income!C$3:C$502,SMALL(IF((Income!D$3:D$502="INR")*(Income!A$3:A$502=DATE(2026,4,8)),ROW(Income!A$3:A$502)-2),1)),0)=0,"",IFERROR(-INDEX(Expenses!D$3:D$999,SMALL(IF((Expenses!E$3:E$999="INR")*(Expenses!A$3:A$999=DATE(2026,4,8)),ROW(Expenses!A$3:A$999)-2),1)),0)+IFERROR(INDEX(Income!C$3:C$502,SMALL(IF((Income!D$3:D$502="INR")*(Income!A$3:A$502=DATE(2026,4,8)),ROW(Income!A$3:A$502)-2),1)),0))</f>
        <v/>
      </c>
      <c r="H74" s="126">
        <f t="array" ref="H74">IF(IFERROR(INDEX(Expenses!B$3:B$999,SMALL(IF((Expenses!E$3:E$999="INR")*(Expenses!A$3:A$999=DATE(2026,4,8)),ROW(Expenses!A$3:A$999)-2),1)),"")&lt;&gt;"",IFERROR(INDEX(Expenses!B$3:B$999,SMALL(IF((Expenses!E$3:E$999="INR")*(Expenses!A$3:A$999=DATE(2026,4,8)),ROW(Expenses!A$3:A$999)-2),1)),""),IF(IFERROR(INDEX(Income!B$3:B$502,SMALL(IF((Income!D$3:D$502="INR")*(Income!A$3:A$502=DATE(2026,4,8)),ROW(Income!A$3:A$502)-2),1)),"")&lt;&gt;"",IFERROR(INDEX(Income!B$3:B$502,SMALL(IF((Income!D$3:D$502="INR")*(Income!A$3:A$502=DATE(2026,4,8)),ROW(Income!A$3:A$502)-2),1)),""),""))</f>
        <v/>
      </c>
      <c r="I74" s="153">
        <f t="array" ref="I74">IF(IFERROR(-INDEX(Expenses!D$3:D$999,SMALL(IF((Expenses!E$3:E$999="INR")*(Expenses!A$3:A$999=DATE(2026,4,9)),ROW(Expenses!A$3:A$999)-2),1)),0)+IFERROR(INDEX(Income!C$3:C$502,SMALL(IF((Income!D$3:D$502="INR")*(Income!A$3:A$502=DATE(2026,4,9)),ROW(Income!A$3:A$502)-2),1)),0)=0,"",IFERROR(-INDEX(Expenses!D$3:D$999,SMALL(IF((Expenses!E$3:E$999="INR")*(Expenses!A$3:A$999=DATE(2026,4,9)),ROW(Expenses!A$3:A$999)-2),1)),0)+IFERROR(INDEX(Income!C$3:C$502,SMALL(IF((Income!D$3:D$502="INR")*(Income!A$3:A$502=DATE(2026,4,9)),ROW(Income!A$3:A$502)-2),1)),0))</f>
        <v/>
      </c>
      <c r="J74" s="126">
        <f t="array" ref="J74">IF(IFERROR(INDEX(Expenses!B$3:B$999,SMALL(IF((Expenses!E$3:E$999="INR")*(Expenses!A$3:A$999=DATE(2026,4,9)),ROW(Expenses!A$3:A$999)-2),1)),"")&lt;&gt;"",IFERROR(INDEX(Expenses!B$3:B$999,SMALL(IF((Expenses!E$3:E$999="INR")*(Expenses!A$3:A$999=DATE(2026,4,9)),ROW(Expenses!A$3:A$999)-2),1)),""),IF(IFERROR(INDEX(Income!B$3:B$502,SMALL(IF((Income!D$3:D$502="INR")*(Income!A$3:A$502=DATE(2026,4,9)),ROW(Income!A$3:A$502)-2),1)),"")&lt;&gt;"",IFERROR(INDEX(Income!B$3:B$502,SMALL(IF((Income!D$3:D$502="INR")*(Income!A$3:A$502=DATE(2026,4,9)),ROW(Income!A$3:A$502)-2),1)),""),""))</f>
        <v/>
      </c>
      <c r="K74" s="153">
        <f t="array" ref="K74">IF(IFERROR(-INDEX(Expenses!D$3:D$999,SMALL(IF((Expenses!E$3:E$999="INR")*(Expenses!A$3:A$999=DATE(2026,4,10)),ROW(Expenses!A$3:A$999)-2),1)),0)+IFERROR(INDEX(Income!C$3:C$502,SMALL(IF((Income!D$3:D$502="INR")*(Income!A$3:A$502=DATE(2026,4,10)),ROW(Income!A$3:A$502)-2),1)),0)=0,"",IFERROR(-INDEX(Expenses!D$3:D$999,SMALL(IF((Expenses!E$3:E$999="INR")*(Expenses!A$3:A$999=DATE(2026,4,10)),ROW(Expenses!A$3:A$999)-2),1)),0)+IFERROR(INDEX(Income!C$3:C$502,SMALL(IF((Income!D$3:D$502="INR")*(Income!A$3:A$502=DATE(2026,4,10)),ROW(Income!A$3:A$502)-2),1)),0))</f>
        <v/>
      </c>
      <c r="L74" s="126">
        <f t="array" ref="L74">IF(IFERROR(INDEX(Expenses!B$3:B$999,SMALL(IF((Expenses!E$3:E$999="INR")*(Expenses!A$3:A$999=DATE(2026,4,10)),ROW(Expenses!A$3:A$999)-2),1)),"")&lt;&gt;"",IFERROR(INDEX(Expenses!B$3:B$999,SMALL(IF((Expenses!E$3:E$999="INR")*(Expenses!A$3:A$999=DATE(2026,4,10)),ROW(Expenses!A$3:A$999)-2),1)),""),IF(IFERROR(INDEX(Income!B$3:B$502,SMALL(IF((Income!D$3:D$502="INR")*(Income!A$3:A$502=DATE(2026,4,10)),ROW(Income!A$3:A$502)-2),1)),"")&lt;&gt;"",IFERROR(INDEX(Income!B$3:B$502,SMALL(IF((Income!D$3:D$502="INR")*(Income!A$3:A$502=DATE(2026,4,10)),ROW(Income!A$3:A$502)-2),1)),""),""))</f>
        <v/>
      </c>
      <c r="M74" s="153">
        <f t="array" ref="M74">IF(IFERROR(-INDEX(Expenses!D$3:D$999,SMALL(IF((Expenses!E$3:E$999="INR")*(Expenses!A$3:A$999=DATE(2026,4,11)),ROW(Expenses!A$3:A$999)-2),1)),0)+IFERROR(INDEX(Income!C$3:C$502,SMALL(IF((Income!D$3:D$502="INR")*(Income!A$3:A$502=DATE(2026,4,11)),ROW(Income!A$3:A$502)-2),1)),0)=0,"",IFERROR(-INDEX(Expenses!D$3:D$999,SMALL(IF((Expenses!E$3:E$999="INR")*(Expenses!A$3:A$999=DATE(2026,4,11)),ROW(Expenses!A$3:A$999)-2),1)),0)+IFERROR(INDEX(Income!C$3:C$502,SMALL(IF((Income!D$3:D$502="INR")*(Income!A$3:A$502=DATE(2026,4,11)),ROW(Income!A$3:A$502)-2),1)),0))</f>
        <v/>
      </c>
      <c r="N74" s="126">
        <f t="array" ref="N74">IF(IFERROR(INDEX(Expenses!B$3:B$999,SMALL(IF((Expenses!E$3:E$999="INR")*(Expenses!A$3:A$999=DATE(2026,4,11)),ROW(Expenses!A$3:A$999)-2),1)),"")&lt;&gt;"",IFERROR(INDEX(Expenses!B$3:B$999,SMALL(IF((Expenses!E$3:E$999="INR")*(Expenses!A$3:A$999=DATE(2026,4,11)),ROW(Expenses!A$3:A$999)-2),1)),""),IF(IFERROR(INDEX(Income!B$3:B$502,SMALL(IF((Income!D$3:D$502="INR")*(Income!A$3:A$502=DATE(2026,4,11)),ROW(Income!A$3:A$502)-2),1)),"")&lt;&gt;"",IFERROR(INDEX(Income!B$3:B$502,SMALL(IF((Income!D$3:D$502="INR")*(Income!A$3:A$502=DATE(2026,4,11)),ROW(Income!A$3:A$502)-2),1)),""),""))</f>
        <v/>
      </c>
      <c r="O74" s="153">
        <f t="array" ref="O74">IF(IFERROR(-INDEX(Expenses!D$3:D$999,SMALL(IF((Expenses!E$3:E$999="INR")*(Expenses!A$3:A$999=DATE(2026,4,12)),ROW(Expenses!A$3:A$999)-2),1)),0)+IFERROR(INDEX(Income!C$3:C$502,SMALL(IF((Income!D$3:D$502="INR")*(Income!A$3:A$502=DATE(2026,4,12)),ROW(Income!A$3:A$502)-2),1)),0)=0,"",IFERROR(-INDEX(Expenses!D$3:D$999,SMALL(IF((Expenses!E$3:E$999="INR")*(Expenses!A$3:A$999=DATE(2026,4,12)),ROW(Expenses!A$3:A$999)-2),1)),0)+IFERROR(INDEX(Income!C$3:C$502,SMALL(IF((Income!D$3:D$502="INR")*(Income!A$3:A$502=DATE(2026,4,12)),ROW(Income!A$3:A$502)-2),1)),0))</f>
        <v/>
      </c>
      <c r="P74" s="126">
        <f t="array" ref="P74">IF(IFERROR(INDEX(Expenses!B$3:B$999,SMALL(IF((Expenses!E$3:E$999="INR")*(Expenses!A$3:A$999=DATE(2026,4,12)),ROW(Expenses!A$3:A$999)-2),1)),"")&lt;&gt;"",IFERROR(INDEX(Expenses!B$3:B$999,SMALL(IF((Expenses!E$3:E$999="INR")*(Expenses!A$3:A$999=DATE(2026,4,12)),ROW(Expenses!A$3:A$999)-2),1)),""),IF(IFERROR(INDEX(Income!B$3:B$502,SMALL(IF((Income!D$3:D$502="INR")*(Income!A$3:A$502=DATE(2026,4,12)),ROW(Income!A$3:A$502)-2),1)),"")&lt;&gt;"",IFERROR(INDEX(Income!B$3:B$502,SMALL(IF((Income!D$3:D$502="INR")*(Income!A$3:A$502=DATE(2026,4,12)),ROW(Income!A$3:A$502)-2),1)),""),""))</f>
        <v/>
      </c>
      <c r="Q74" s="103" t="n">
        <v>15</v>
      </c>
      <c r="R74" s="142">
        <f>SUM(C74:C78)+SUM(E74:E78)+SUM(G74:G78)+SUM(I74:I78)+SUM(K74:K78)+SUM(M74:M78)+SUM(O74:O78)</f>
        <v/>
      </c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68">
      <c r="A75" s="9" t="n"/>
      <c r="B75" s="9" t="n"/>
      <c r="C75" s="153">
        <f t="array" ref="C75">IF(IFERROR(-INDEX(Expenses!D$3:D$999,SMALL(IF((Expenses!E$3:E$999="INR")*(Expenses!A$3:A$999=DATE(2026,4,6)),ROW(Expenses!A$3:A$999)-2),2)),0)+IFERROR(INDEX(Income!C$3:C$502,SMALL(IF((Income!D$3:D$502="INR")*(Income!A$3:A$502=DATE(2026,4,6)),ROW(Income!A$3:A$502)-2),2)),0)=0,"",IFERROR(-INDEX(Expenses!D$3:D$999,SMALL(IF((Expenses!E$3:E$999="INR")*(Expenses!A$3:A$999=DATE(2026,4,6)),ROW(Expenses!A$3:A$999)-2),2)),0)+IFERROR(INDEX(Income!C$3:C$502,SMALL(IF((Income!D$3:D$502="INR")*(Income!A$3:A$502=DATE(2026,4,6)),ROW(Income!A$3:A$502)-2),2)),0))</f>
        <v/>
      </c>
      <c r="D75" s="126">
        <f t="array" ref="D75">IF(IFERROR(INDEX(Expenses!B$3:B$999,SMALL(IF((Expenses!E$3:E$999="INR")*(Expenses!A$3:A$999=DATE(2026,4,6)),ROW(Expenses!A$3:A$999)-2),2)),"")&lt;&gt;"",IFERROR(INDEX(Expenses!B$3:B$999,SMALL(IF((Expenses!E$3:E$999="INR")*(Expenses!A$3:A$999=DATE(2026,4,6)),ROW(Expenses!A$3:A$999)-2),2)),""),IF(IFERROR(INDEX(Income!B$3:B$502,SMALL(IF((Income!D$3:D$502="INR")*(Income!A$3:A$502=DATE(2026,4,6)),ROW(Income!A$3:A$502)-2),2)),"")&lt;&gt;"",IFERROR(INDEX(Income!B$3:B$502,SMALL(IF((Income!D$3:D$502="INR")*(Income!A$3:A$502=DATE(2026,4,6)),ROW(Income!A$3:A$502)-2),2)),""),""))</f>
        <v/>
      </c>
      <c r="E75" s="153">
        <f t="array" ref="E75">IF(IFERROR(-INDEX(Expenses!D$3:D$999,SMALL(IF((Expenses!E$3:E$999="INR")*(Expenses!A$3:A$999=DATE(2026,4,7)),ROW(Expenses!A$3:A$999)-2),2)),0)+IFERROR(INDEX(Income!C$3:C$502,SMALL(IF((Income!D$3:D$502="INR")*(Income!A$3:A$502=DATE(2026,4,7)),ROW(Income!A$3:A$502)-2),2)),0)=0,"",IFERROR(-INDEX(Expenses!D$3:D$999,SMALL(IF((Expenses!E$3:E$999="INR")*(Expenses!A$3:A$999=DATE(2026,4,7)),ROW(Expenses!A$3:A$999)-2),2)),0)+IFERROR(INDEX(Income!C$3:C$502,SMALL(IF((Income!D$3:D$502="INR")*(Income!A$3:A$502=DATE(2026,4,7)),ROW(Income!A$3:A$502)-2),2)),0))</f>
        <v/>
      </c>
      <c r="F75" s="126">
        <f t="array" ref="F75">IF(IFERROR(INDEX(Expenses!B$3:B$999,SMALL(IF((Expenses!E$3:E$999="INR")*(Expenses!A$3:A$999=DATE(2026,4,7)),ROW(Expenses!A$3:A$999)-2),2)),"")&lt;&gt;"",IFERROR(INDEX(Expenses!B$3:B$999,SMALL(IF((Expenses!E$3:E$999="INR")*(Expenses!A$3:A$999=DATE(2026,4,7)),ROW(Expenses!A$3:A$999)-2),2)),""),IF(IFERROR(INDEX(Income!B$3:B$502,SMALL(IF((Income!D$3:D$502="INR")*(Income!A$3:A$502=DATE(2026,4,7)),ROW(Income!A$3:A$502)-2),2)),"")&lt;&gt;"",IFERROR(INDEX(Income!B$3:B$502,SMALL(IF((Income!D$3:D$502="INR")*(Income!A$3:A$502=DATE(2026,4,7)),ROW(Income!A$3:A$502)-2),2)),""),""))</f>
        <v/>
      </c>
      <c r="G75" s="153">
        <f t="array" ref="G75">IF(IFERROR(-INDEX(Expenses!D$3:D$999,SMALL(IF((Expenses!E$3:E$999="INR")*(Expenses!A$3:A$999=DATE(2026,4,8)),ROW(Expenses!A$3:A$999)-2),2)),0)+IFERROR(INDEX(Income!C$3:C$502,SMALL(IF((Income!D$3:D$502="INR")*(Income!A$3:A$502=DATE(2026,4,8)),ROW(Income!A$3:A$502)-2),2)),0)=0,"",IFERROR(-INDEX(Expenses!D$3:D$999,SMALL(IF((Expenses!E$3:E$999="INR")*(Expenses!A$3:A$999=DATE(2026,4,8)),ROW(Expenses!A$3:A$999)-2),2)),0)+IFERROR(INDEX(Income!C$3:C$502,SMALL(IF((Income!D$3:D$502="INR")*(Income!A$3:A$502=DATE(2026,4,8)),ROW(Income!A$3:A$502)-2),2)),0))</f>
        <v/>
      </c>
      <c r="H75" s="126">
        <f t="array" ref="H75">IF(IFERROR(INDEX(Expenses!B$3:B$999,SMALL(IF((Expenses!E$3:E$999="INR")*(Expenses!A$3:A$999=DATE(2026,4,8)),ROW(Expenses!A$3:A$999)-2),2)),"")&lt;&gt;"",IFERROR(INDEX(Expenses!B$3:B$999,SMALL(IF((Expenses!E$3:E$999="INR")*(Expenses!A$3:A$999=DATE(2026,4,8)),ROW(Expenses!A$3:A$999)-2),2)),""),IF(IFERROR(INDEX(Income!B$3:B$502,SMALL(IF((Income!D$3:D$502="INR")*(Income!A$3:A$502=DATE(2026,4,8)),ROW(Income!A$3:A$502)-2),2)),"")&lt;&gt;"",IFERROR(INDEX(Income!B$3:B$502,SMALL(IF((Income!D$3:D$502="INR")*(Income!A$3:A$502=DATE(2026,4,8)),ROW(Income!A$3:A$502)-2),2)),""),""))</f>
        <v/>
      </c>
      <c r="I75" s="153">
        <f t="array" ref="I75">IF(IFERROR(-INDEX(Expenses!D$3:D$999,SMALL(IF((Expenses!E$3:E$999="INR")*(Expenses!A$3:A$999=DATE(2026,4,9)),ROW(Expenses!A$3:A$999)-2),2)),0)+IFERROR(INDEX(Income!C$3:C$502,SMALL(IF((Income!D$3:D$502="INR")*(Income!A$3:A$502=DATE(2026,4,9)),ROW(Income!A$3:A$502)-2),2)),0)=0,"",IFERROR(-INDEX(Expenses!D$3:D$999,SMALL(IF((Expenses!E$3:E$999="INR")*(Expenses!A$3:A$999=DATE(2026,4,9)),ROW(Expenses!A$3:A$999)-2),2)),0)+IFERROR(INDEX(Income!C$3:C$502,SMALL(IF((Income!D$3:D$502="INR")*(Income!A$3:A$502=DATE(2026,4,9)),ROW(Income!A$3:A$502)-2),2)),0))</f>
        <v/>
      </c>
      <c r="J75" s="126">
        <f t="array" ref="J75">IF(IFERROR(INDEX(Expenses!B$3:B$999,SMALL(IF((Expenses!E$3:E$999="INR")*(Expenses!A$3:A$999=DATE(2026,4,9)),ROW(Expenses!A$3:A$999)-2),2)),"")&lt;&gt;"",IFERROR(INDEX(Expenses!B$3:B$999,SMALL(IF((Expenses!E$3:E$999="INR")*(Expenses!A$3:A$999=DATE(2026,4,9)),ROW(Expenses!A$3:A$999)-2),2)),""),IF(IFERROR(INDEX(Income!B$3:B$502,SMALL(IF((Income!D$3:D$502="INR")*(Income!A$3:A$502=DATE(2026,4,9)),ROW(Income!A$3:A$502)-2),2)),"")&lt;&gt;"",IFERROR(INDEX(Income!B$3:B$502,SMALL(IF((Income!D$3:D$502="INR")*(Income!A$3:A$502=DATE(2026,4,9)),ROW(Income!A$3:A$502)-2),2)),""),""))</f>
        <v/>
      </c>
      <c r="K75" s="153">
        <f t="array" ref="K75">IF(IFERROR(-INDEX(Expenses!D$3:D$999,SMALL(IF((Expenses!E$3:E$999="INR")*(Expenses!A$3:A$999=DATE(2026,4,10)),ROW(Expenses!A$3:A$999)-2),2)),0)+IFERROR(INDEX(Income!C$3:C$502,SMALL(IF((Income!D$3:D$502="INR")*(Income!A$3:A$502=DATE(2026,4,10)),ROW(Income!A$3:A$502)-2),2)),0)=0,"",IFERROR(-INDEX(Expenses!D$3:D$999,SMALL(IF((Expenses!E$3:E$999="INR")*(Expenses!A$3:A$999=DATE(2026,4,10)),ROW(Expenses!A$3:A$999)-2),2)),0)+IFERROR(INDEX(Income!C$3:C$502,SMALL(IF((Income!D$3:D$502="INR")*(Income!A$3:A$502=DATE(2026,4,10)),ROW(Income!A$3:A$502)-2),2)),0))</f>
        <v/>
      </c>
      <c r="L75" s="126">
        <f t="array" ref="L75">IF(IFERROR(INDEX(Expenses!B$3:B$999,SMALL(IF((Expenses!E$3:E$999="INR")*(Expenses!A$3:A$999=DATE(2026,4,10)),ROW(Expenses!A$3:A$999)-2),2)),"")&lt;&gt;"",IFERROR(INDEX(Expenses!B$3:B$999,SMALL(IF((Expenses!E$3:E$999="INR")*(Expenses!A$3:A$999=DATE(2026,4,10)),ROW(Expenses!A$3:A$999)-2),2)),""),IF(IFERROR(INDEX(Income!B$3:B$502,SMALL(IF((Income!D$3:D$502="INR")*(Income!A$3:A$502=DATE(2026,4,10)),ROW(Income!A$3:A$502)-2),2)),"")&lt;&gt;"",IFERROR(INDEX(Income!B$3:B$502,SMALL(IF((Income!D$3:D$502="INR")*(Income!A$3:A$502=DATE(2026,4,10)),ROW(Income!A$3:A$502)-2),2)),""),""))</f>
        <v/>
      </c>
      <c r="M75" s="153">
        <f t="array" ref="M75">IF(IFERROR(-INDEX(Expenses!D$3:D$999,SMALL(IF((Expenses!E$3:E$999="INR")*(Expenses!A$3:A$999=DATE(2026,4,11)),ROW(Expenses!A$3:A$999)-2),2)),0)+IFERROR(INDEX(Income!C$3:C$502,SMALL(IF((Income!D$3:D$502="INR")*(Income!A$3:A$502=DATE(2026,4,11)),ROW(Income!A$3:A$502)-2),2)),0)=0,"",IFERROR(-INDEX(Expenses!D$3:D$999,SMALL(IF((Expenses!E$3:E$999="INR")*(Expenses!A$3:A$999=DATE(2026,4,11)),ROW(Expenses!A$3:A$999)-2),2)),0)+IFERROR(INDEX(Income!C$3:C$502,SMALL(IF((Income!D$3:D$502="INR")*(Income!A$3:A$502=DATE(2026,4,11)),ROW(Income!A$3:A$502)-2),2)),0))</f>
        <v/>
      </c>
      <c r="N75" s="126">
        <f t="array" ref="N75">IF(IFERROR(INDEX(Expenses!B$3:B$999,SMALL(IF((Expenses!E$3:E$999="INR")*(Expenses!A$3:A$999=DATE(2026,4,11)),ROW(Expenses!A$3:A$999)-2),2)),"")&lt;&gt;"",IFERROR(INDEX(Expenses!B$3:B$999,SMALL(IF((Expenses!E$3:E$999="INR")*(Expenses!A$3:A$999=DATE(2026,4,11)),ROW(Expenses!A$3:A$999)-2),2)),""),IF(IFERROR(INDEX(Income!B$3:B$502,SMALL(IF((Income!D$3:D$502="INR")*(Income!A$3:A$502=DATE(2026,4,11)),ROW(Income!A$3:A$502)-2),2)),"")&lt;&gt;"",IFERROR(INDEX(Income!B$3:B$502,SMALL(IF((Income!D$3:D$502="INR")*(Income!A$3:A$502=DATE(2026,4,11)),ROW(Income!A$3:A$502)-2),2)),""),""))</f>
        <v/>
      </c>
      <c r="O75" s="153">
        <f t="array" ref="O75">IF(IFERROR(-INDEX(Expenses!D$3:D$999,SMALL(IF((Expenses!E$3:E$999="INR")*(Expenses!A$3:A$999=DATE(2026,4,12)),ROW(Expenses!A$3:A$999)-2),2)),0)+IFERROR(INDEX(Income!C$3:C$502,SMALL(IF((Income!D$3:D$502="INR")*(Income!A$3:A$502=DATE(2026,4,12)),ROW(Income!A$3:A$502)-2),2)),0)=0,"",IFERROR(-INDEX(Expenses!D$3:D$999,SMALL(IF((Expenses!E$3:E$999="INR")*(Expenses!A$3:A$999=DATE(2026,4,12)),ROW(Expenses!A$3:A$999)-2),2)),0)+IFERROR(INDEX(Income!C$3:C$502,SMALL(IF((Income!D$3:D$502="INR")*(Income!A$3:A$502=DATE(2026,4,12)),ROW(Income!A$3:A$502)-2),2)),0))</f>
        <v/>
      </c>
      <c r="P75" s="126">
        <f t="array" ref="P75">IF(IFERROR(INDEX(Expenses!B$3:B$999,SMALL(IF((Expenses!E$3:E$999="INR")*(Expenses!A$3:A$999=DATE(2026,4,12)),ROW(Expenses!A$3:A$999)-2),2)),"")&lt;&gt;"",IFERROR(INDEX(Expenses!B$3:B$999,SMALL(IF((Expenses!E$3:E$999="INR")*(Expenses!A$3:A$999=DATE(2026,4,12)),ROW(Expenses!A$3:A$999)-2),2)),""),IF(IFERROR(INDEX(Income!B$3:B$502,SMALL(IF((Income!D$3:D$502="INR")*(Income!A$3:A$502=DATE(2026,4,12)),ROW(Income!A$3:A$502)-2),2)),"")&lt;&gt;"",IFERROR(INDEX(Income!B$3:B$502,SMALL(IF((Income!D$3:D$502="INR")*(Income!A$3:A$502=DATE(2026,4,12)),ROW(Income!A$3:A$502)-2),2)),""),""))</f>
        <v/>
      </c>
      <c r="Q75" s="9" t="n"/>
      <c r="R75" s="9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68">
      <c r="A76" s="9" t="n"/>
      <c r="B76" s="9" t="n"/>
      <c r="C76" s="153">
        <f t="array" ref="C76">IF(IFERROR(-INDEX(Expenses!D$3:D$999,SMALL(IF((Expenses!E$3:E$999="INR")*(Expenses!A$3:A$999=DATE(2026,4,6)),ROW(Expenses!A$3:A$999)-2),3)),0)+IFERROR(INDEX(Income!C$3:C$502,SMALL(IF((Income!D$3:D$502="INR")*(Income!A$3:A$502=DATE(2026,4,6)),ROW(Income!A$3:A$502)-2),3)),0)=0,"",IFERROR(-INDEX(Expenses!D$3:D$999,SMALL(IF((Expenses!E$3:E$999="INR")*(Expenses!A$3:A$999=DATE(2026,4,6)),ROW(Expenses!A$3:A$999)-2),3)),0)+IFERROR(INDEX(Income!C$3:C$502,SMALL(IF((Income!D$3:D$502="INR")*(Income!A$3:A$502=DATE(2026,4,6)),ROW(Income!A$3:A$502)-2),3)),0))</f>
        <v/>
      </c>
      <c r="D76" s="126">
        <f t="array" ref="D76">IF(IFERROR(INDEX(Expenses!B$3:B$999,SMALL(IF((Expenses!E$3:E$999="INR")*(Expenses!A$3:A$999=DATE(2026,4,6)),ROW(Expenses!A$3:A$999)-2),3)),"")&lt;&gt;"",IFERROR(INDEX(Expenses!B$3:B$999,SMALL(IF((Expenses!E$3:E$999="INR")*(Expenses!A$3:A$999=DATE(2026,4,6)),ROW(Expenses!A$3:A$999)-2),3)),""),IF(IFERROR(INDEX(Income!B$3:B$502,SMALL(IF((Income!D$3:D$502="INR")*(Income!A$3:A$502=DATE(2026,4,6)),ROW(Income!A$3:A$502)-2),3)),"")&lt;&gt;"",IFERROR(INDEX(Income!B$3:B$502,SMALL(IF((Income!D$3:D$502="INR")*(Income!A$3:A$502=DATE(2026,4,6)),ROW(Income!A$3:A$502)-2),3)),""),""))</f>
        <v/>
      </c>
      <c r="E76" s="153">
        <f t="array" ref="E76">IF(IFERROR(-INDEX(Expenses!D$3:D$999,SMALL(IF((Expenses!E$3:E$999="INR")*(Expenses!A$3:A$999=DATE(2026,4,7)),ROW(Expenses!A$3:A$999)-2),3)),0)+IFERROR(INDEX(Income!C$3:C$502,SMALL(IF((Income!D$3:D$502="INR")*(Income!A$3:A$502=DATE(2026,4,7)),ROW(Income!A$3:A$502)-2),3)),0)=0,"",IFERROR(-INDEX(Expenses!D$3:D$999,SMALL(IF((Expenses!E$3:E$999="INR")*(Expenses!A$3:A$999=DATE(2026,4,7)),ROW(Expenses!A$3:A$999)-2),3)),0)+IFERROR(INDEX(Income!C$3:C$502,SMALL(IF((Income!D$3:D$502="INR")*(Income!A$3:A$502=DATE(2026,4,7)),ROW(Income!A$3:A$502)-2),3)),0))</f>
        <v/>
      </c>
      <c r="F76" s="126">
        <f t="array" ref="F76">IF(IFERROR(INDEX(Expenses!B$3:B$999,SMALL(IF((Expenses!E$3:E$999="INR")*(Expenses!A$3:A$999=DATE(2026,4,7)),ROW(Expenses!A$3:A$999)-2),3)),"")&lt;&gt;"",IFERROR(INDEX(Expenses!B$3:B$999,SMALL(IF((Expenses!E$3:E$999="INR")*(Expenses!A$3:A$999=DATE(2026,4,7)),ROW(Expenses!A$3:A$999)-2),3)),""),IF(IFERROR(INDEX(Income!B$3:B$502,SMALL(IF((Income!D$3:D$502="INR")*(Income!A$3:A$502=DATE(2026,4,7)),ROW(Income!A$3:A$502)-2),3)),"")&lt;&gt;"",IFERROR(INDEX(Income!B$3:B$502,SMALL(IF((Income!D$3:D$502="INR")*(Income!A$3:A$502=DATE(2026,4,7)),ROW(Income!A$3:A$502)-2),3)),""),""))</f>
        <v/>
      </c>
      <c r="G76" s="153">
        <f t="array" ref="G76">IF(IFERROR(-INDEX(Expenses!D$3:D$999,SMALL(IF((Expenses!E$3:E$999="INR")*(Expenses!A$3:A$999=DATE(2026,4,8)),ROW(Expenses!A$3:A$999)-2),3)),0)+IFERROR(INDEX(Income!C$3:C$502,SMALL(IF((Income!D$3:D$502="INR")*(Income!A$3:A$502=DATE(2026,4,8)),ROW(Income!A$3:A$502)-2),3)),0)=0,"",IFERROR(-INDEX(Expenses!D$3:D$999,SMALL(IF((Expenses!E$3:E$999="INR")*(Expenses!A$3:A$999=DATE(2026,4,8)),ROW(Expenses!A$3:A$999)-2),3)),0)+IFERROR(INDEX(Income!C$3:C$502,SMALL(IF((Income!D$3:D$502="INR")*(Income!A$3:A$502=DATE(2026,4,8)),ROW(Income!A$3:A$502)-2),3)),0))</f>
        <v/>
      </c>
      <c r="H76" s="126">
        <f t="array" ref="H76">IF(IFERROR(INDEX(Expenses!B$3:B$999,SMALL(IF((Expenses!E$3:E$999="INR")*(Expenses!A$3:A$999=DATE(2026,4,8)),ROW(Expenses!A$3:A$999)-2),3)),"")&lt;&gt;"",IFERROR(INDEX(Expenses!B$3:B$999,SMALL(IF((Expenses!E$3:E$999="INR")*(Expenses!A$3:A$999=DATE(2026,4,8)),ROW(Expenses!A$3:A$999)-2),3)),""),IF(IFERROR(INDEX(Income!B$3:B$502,SMALL(IF((Income!D$3:D$502="INR")*(Income!A$3:A$502=DATE(2026,4,8)),ROW(Income!A$3:A$502)-2),3)),"")&lt;&gt;"",IFERROR(INDEX(Income!B$3:B$502,SMALL(IF((Income!D$3:D$502="INR")*(Income!A$3:A$502=DATE(2026,4,8)),ROW(Income!A$3:A$502)-2),3)),""),""))</f>
        <v/>
      </c>
      <c r="I76" s="153">
        <f t="array" ref="I76">IF(IFERROR(-INDEX(Expenses!D$3:D$999,SMALL(IF((Expenses!E$3:E$999="INR")*(Expenses!A$3:A$999=DATE(2026,4,9)),ROW(Expenses!A$3:A$999)-2),3)),0)+IFERROR(INDEX(Income!C$3:C$502,SMALL(IF((Income!D$3:D$502="INR")*(Income!A$3:A$502=DATE(2026,4,9)),ROW(Income!A$3:A$502)-2),3)),0)=0,"",IFERROR(-INDEX(Expenses!D$3:D$999,SMALL(IF((Expenses!E$3:E$999="INR")*(Expenses!A$3:A$999=DATE(2026,4,9)),ROW(Expenses!A$3:A$999)-2),3)),0)+IFERROR(INDEX(Income!C$3:C$502,SMALL(IF((Income!D$3:D$502="INR")*(Income!A$3:A$502=DATE(2026,4,9)),ROW(Income!A$3:A$502)-2),3)),0))</f>
        <v/>
      </c>
      <c r="J76" s="126">
        <f t="array" ref="J76">IF(IFERROR(INDEX(Expenses!B$3:B$999,SMALL(IF((Expenses!E$3:E$999="INR")*(Expenses!A$3:A$999=DATE(2026,4,9)),ROW(Expenses!A$3:A$999)-2),3)),"")&lt;&gt;"",IFERROR(INDEX(Expenses!B$3:B$999,SMALL(IF((Expenses!E$3:E$999="INR")*(Expenses!A$3:A$999=DATE(2026,4,9)),ROW(Expenses!A$3:A$999)-2),3)),""),IF(IFERROR(INDEX(Income!B$3:B$502,SMALL(IF((Income!D$3:D$502="INR")*(Income!A$3:A$502=DATE(2026,4,9)),ROW(Income!A$3:A$502)-2),3)),"")&lt;&gt;"",IFERROR(INDEX(Income!B$3:B$502,SMALL(IF((Income!D$3:D$502="INR")*(Income!A$3:A$502=DATE(2026,4,9)),ROW(Income!A$3:A$502)-2),3)),""),""))</f>
        <v/>
      </c>
      <c r="K76" s="153">
        <f t="array" ref="K76">IF(IFERROR(-INDEX(Expenses!D$3:D$999,SMALL(IF((Expenses!E$3:E$999="INR")*(Expenses!A$3:A$999=DATE(2026,4,10)),ROW(Expenses!A$3:A$999)-2),3)),0)+IFERROR(INDEX(Income!C$3:C$502,SMALL(IF((Income!D$3:D$502="INR")*(Income!A$3:A$502=DATE(2026,4,10)),ROW(Income!A$3:A$502)-2),3)),0)=0,"",IFERROR(-INDEX(Expenses!D$3:D$999,SMALL(IF((Expenses!E$3:E$999="INR")*(Expenses!A$3:A$999=DATE(2026,4,10)),ROW(Expenses!A$3:A$999)-2),3)),0)+IFERROR(INDEX(Income!C$3:C$502,SMALL(IF((Income!D$3:D$502="INR")*(Income!A$3:A$502=DATE(2026,4,10)),ROW(Income!A$3:A$502)-2),3)),0))</f>
        <v/>
      </c>
      <c r="L76" s="126">
        <f t="array" ref="L76">IF(IFERROR(INDEX(Expenses!B$3:B$999,SMALL(IF((Expenses!E$3:E$999="INR")*(Expenses!A$3:A$999=DATE(2026,4,10)),ROW(Expenses!A$3:A$999)-2),3)),"")&lt;&gt;"",IFERROR(INDEX(Expenses!B$3:B$999,SMALL(IF((Expenses!E$3:E$999="INR")*(Expenses!A$3:A$999=DATE(2026,4,10)),ROW(Expenses!A$3:A$999)-2),3)),""),IF(IFERROR(INDEX(Income!B$3:B$502,SMALL(IF((Income!D$3:D$502="INR")*(Income!A$3:A$502=DATE(2026,4,10)),ROW(Income!A$3:A$502)-2),3)),"")&lt;&gt;"",IFERROR(INDEX(Income!B$3:B$502,SMALL(IF((Income!D$3:D$502="INR")*(Income!A$3:A$502=DATE(2026,4,10)),ROW(Income!A$3:A$502)-2),3)),""),""))</f>
        <v/>
      </c>
      <c r="M76" s="153">
        <f t="array" ref="M76">IF(IFERROR(-INDEX(Expenses!D$3:D$999,SMALL(IF((Expenses!E$3:E$999="INR")*(Expenses!A$3:A$999=DATE(2026,4,11)),ROW(Expenses!A$3:A$999)-2),3)),0)+IFERROR(INDEX(Income!C$3:C$502,SMALL(IF((Income!D$3:D$502="INR")*(Income!A$3:A$502=DATE(2026,4,11)),ROW(Income!A$3:A$502)-2),3)),0)=0,"",IFERROR(-INDEX(Expenses!D$3:D$999,SMALL(IF((Expenses!E$3:E$999="INR")*(Expenses!A$3:A$999=DATE(2026,4,11)),ROW(Expenses!A$3:A$999)-2),3)),0)+IFERROR(INDEX(Income!C$3:C$502,SMALL(IF((Income!D$3:D$502="INR")*(Income!A$3:A$502=DATE(2026,4,11)),ROW(Income!A$3:A$502)-2),3)),0))</f>
        <v/>
      </c>
      <c r="N76" s="126">
        <f t="array" ref="N76">IF(IFERROR(INDEX(Expenses!B$3:B$999,SMALL(IF((Expenses!E$3:E$999="INR")*(Expenses!A$3:A$999=DATE(2026,4,11)),ROW(Expenses!A$3:A$999)-2),3)),"")&lt;&gt;"",IFERROR(INDEX(Expenses!B$3:B$999,SMALL(IF((Expenses!E$3:E$999="INR")*(Expenses!A$3:A$999=DATE(2026,4,11)),ROW(Expenses!A$3:A$999)-2),3)),""),IF(IFERROR(INDEX(Income!B$3:B$502,SMALL(IF((Income!D$3:D$502="INR")*(Income!A$3:A$502=DATE(2026,4,11)),ROW(Income!A$3:A$502)-2),3)),"")&lt;&gt;"",IFERROR(INDEX(Income!B$3:B$502,SMALL(IF((Income!D$3:D$502="INR")*(Income!A$3:A$502=DATE(2026,4,11)),ROW(Income!A$3:A$502)-2),3)),""),""))</f>
        <v/>
      </c>
      <c r="O76" s="153">
        <f t="array" ref="O76">IF(IFERROR(-INDEX(Expenses!D$3:D$999,SMALL(IF((Expenses!E$3:E$999="INR")*(Expenses!A$3:A$999=DATE(2026,4,12)),ROW(Expenses!A$3:A$999)-2),3)),0)+IFERROR(INDEX(Income!C$3:C$502,SMALL(IF((Income!D$3:D$502="INR")*(Income!A$3:A$502=DATE(2026,4,12)),ROW(Income!A$3:A$502)-2),3)),0)=0,"",IFERROR(-INDEX(Expenses!D$3:D$999,SMALL(IF((Expenses!E$3:E$999="INR")*(Expenses!A$3:A$999=DATE(2026,4,12)),ROW(Expenses!A$3:A$999)-2),3)),0)+IFERROR(INDEX(Income!C$3:C$502,SMALL(IF((Income!D$3:D$502="INR")*(Income!A$3:A$502=DATE(2026,4,12)),ROW(Income!A$3:A$502)-2),3)),0))</f>
        <v/>
      </c>
      <c r="P76" s="126">
        <f t="array" ref="P76">IF(IFERROR(INDEX(Expenses!B$3:B$999,SMALL(IF((Expenses!E$3:E$999="INR")*(Expenses!A$3:A$999=DATE(2026,4,12)),ROW(Expenses!A$3:A$999)-2),3)),"")&lt;&gt;"",IFERROR(INDEX(Expenses!B$3:B$999,SMALL(IF((Expenses!E$3:E$999="INR")*(Expenses!A$3:A$999=DATE(2026,4,12)),ROW(Expenses!A$3:A$999)-2),3)),""),IF(IFERROR(INDEX(Income!B$3:B$502,SMALL(IF((Income!D$3:D$502="INR")*(Income!A$3:A$502=DATE(2026,4,12)),ROW(Income!A$3:A$502)-2),3)),"")&lt;&gt;"",IFERROR(INDEX(Income!B$3:B$502,SMALL(IF((Income!D$3:D$502="INR")*(Income!A$3:A$502=DATE(2026,4,12)),ROW(Income!A$3:A$502)-2),3)),""),""))</f>
        <v/>
      </c>
      <c r="Q76" s="9" t="n"/>
      <c r="R76" s="9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68">
      <c r="A77" s="9" t="n"/>
      <c r="B77" s="9" t="n"/>
      <c r="C77" s="153">
        <f t="array" ref="C77">IF(IFERROR(-INDEX(Expenses!D$3:D$999,SMALL(IF((Expenses!E$3:E$999="INR")*(Expenses!A$3:A$999=DATE(2026,4,6)),ROW(Expenses!A$3:A$999)-2),4)),0)+IFERROR(INDEX(Income!C$3:C$502,SMALL(IF((Income!D$3:D$502="INR")*(Income!A$3:A$502=DATE(2026,4,6)),ROW(Income!A$3:A$502)-2),4)),0)=0,"",IFERROR(-INDEX(Expenses!D$3:D$999,SMALL(IF((Expenses!E$3:E$999="INR")*(Expenses!A$3:A$999=DATE(2026,4,6)),ROW(Expenses!A$3:A$999)-2),4)),0)+IFERROR(INDEX(Income!C$3:C$502,SMALL(IF((Income!D$3:D$502="INR")*(Income!A$3:A$502=DATE(2026,4,6)),ROW(Income!A$3:A$502)-2),4)),0))</f>
        <v/>
      </c>
      <c r="D77" s="126">
        <f t="array" ref="D77">IF(IFERROR(INDEX(Expenses!B$3:B$999,SMALL(IF((Expenses!E$3:E$999="INR")*(Expenses!A$3:A$999=DATE(2026,4,6)),ROW(Expenses!A$3:A$999)-2),4)),"")&lt;&gt;"",IFERROR(INDEX(Expenses!B$3:B$999,SMALL(IF((Expenses!E$3:E$999="INR")*(Expenses!A$3:A$999=DATE(2026,4,6)),ROW(Expenses!A$3:A$999)-2),4)),""),IF(IFERROR(INDEX(Income!B$3:B$502,SMALL(IF((Income!D$3:D$502="INR")*(Income!A$3:A$502=DATE(2026,4,6)),ROW(Income!A$3:A$502)-2),4)),"")&lt;&gt;"",IFERROR(INDEX(Income!B$3:B$502,SMALL(IF((Income!D$3:D$502="INR")*(Income!A$3:A$502=DATE(2026,4,6)),ROW(Income!A$3:A$502)-2),4)),""),""))</f>
        <v/>
      </c>
      <c r="E77" s="153">
        <f t="array" ref="E77">IF(IFERROR(-INDEX(Expenses!D$3:D$999,SMALL(IF((Expenses!E$3:E$999="INR")*(Expenses!A$3:A$999=DATE(2026,4,7)),ROW(Expenses!A$3:A$999)-2),4)),0)+IFERROR(INDEX(Income!C$3:C$502,SMALL(IF((Income!D$3:D$502="INR")*(Income!A$3:A$502=DATE(2026,4,7)),ROW(Income!A$3:A$502)-2),4)),0)=0,"",IFERROR(-INDEX(Expenses!D$3:D$999,SMALL(IF((Expenses!E$3:E$999="INR")*(Expenses!A$3:A$999=DATE(2026,4,7)),ROW(Expenses!A$3:A$999)-2),4)),0)+IFERROR(INDEX(Income!C$3:C$502,SMALL(IF((Income!D$3:D$502="INR")*(Income!A$3:A$502=DATE(2026,4,7)),ROW(Income!A$3:A$502)-2),4)),0))</f>
        <v/>
      </c>
      <c r="F77" s="126">
        <f t="array" ref="F77">IF(IFERROR(INDEX(Expenses!B$3:B$999,SMALL(IF((Expenses!E$3:E$999="INR")*(Expenses!A$3:A$999=DATE(2026,4,7)),ROW(Expenses!A$3:A$999)-2),4)),"")&lt;&gt;"",IFERROR(INDEX(Expenses!B$3:B$999,SMALL(IF((Expenses!E$3:E$999="INR")*(Expenses!A$3:A$999=DATE(2026,4,7)),ROW(Expenses!A$3:A$999)-2),4)),""),IF(IFERROR(INDEX(Income!B$3:B$502,SMALL(IF((Income!D$3:D$502="INR")*(Income!A$3:A$502=DATE(2026,4,7)),ROW(Income!A$3:A$502)-2),4)),"")&lt;&gt;"",IFERROR(INDEX(Income!B$3:B$502,SMALL(IF((Income!D$3:D$502="INR")*(Income!A$3:A$502=DATE(2026,4,7)),ROW(Income!A$3:A$502)-2),4)),""),""))</f>
        <v/>
      </c>
      <c r="G77" s="153">
        <f t="array" ref="G77">IF(IFERROR(-INDEX(Expenses!D$3:D$999,SMALL(IF((Expenses!E$3:E$999="INR")*(Expenses!A$3:A$999=DATE(2026,4,8)),ROW(Expenses!A$3:A$999)-2),4)),0)+IFERROR(INDEX(Income!C$3:C$502,SMALL(IF((Income!D$3:D$502="INR")*(Income!A$3:A$502=DATE(2026,4,8)),ROW(Income!A$3:A$502)-2),4)),0)=0,"",IFERROR(-INDEX(Expenses!D$3:D$999,SMALL(IF((Expenses!E$3:E$999="INR")*(Expenses!A$3:A$999=DATE(2026,4,8)),ROW(Expenses!A$3:A$999)-2),4)),0)+IFERROR(INDEX(Income!C$3:C$502,SMALL(IF((Income!D$3:D$502="INR")*(Income!A$3:A$502=DATE(2026,4,8)),ROW(Income!A$3:A$502)-2),4)),0))</f>
        <v/>
      </c>
      <c r="H77" s="126">
        <f t="array" ref="H77">IF(IFERROR(INDEX(Expenses!B$3:B$999,SMALL(IF((Expenses!E$3:E$999="INR")*(Expenses!A$3:A$999=DATE(2026,4,8)),ROW(Expenses!A$3:A$999)-2),4)),"")&lt;&gt;"",IFERROR(INDEX(Expenses!B$3:B$999,SMALL(IF((Expenses!E$3:E$999="INR")*(Expenses!A$3:A$999=DATE(2026,4,8)),ROW(Expenses!A$3:A$999)-2),4)),""),IF(IFERROR(INDEX(Income!B$3:B$502,SMALL(IF((Income!D$3:D$502="INR")*(Income!A$3:A$502=DATE(2026,4,8)),ROW(Income!A$3:A$502)-2),4)),"")&lt;&gt;"",IFERROR(INDEX(Income!B$3:B$502,SMALL(IF((Income!D$3:D$502="INR")*(Income!A$3:A$502=DATE(2026,4,8)),ROW(Income!A$3:A$502)-2),4)),""),""))</f>
        <v/>
      </c>
      <c r="I77" s="153">
        <f t="array" ref="I77">IF(IFERROR(-INDEX(Expenses!D$3:D$999,SMALL(IF((Expenses!E$3:E$999="INR")*(Expenses!A$3:A$999=DATE(2026,4,9)),ROW(Expenses!A$3:A$999)-2),4)),0)+IFERROR(INDEX(Income!C$3:C$502,SMALL(IF((Income!D$3:D$502="INR")*(Income!A$3:A$502=DATE(2026,4,9)),ROW(Income!A$3:A$502)-2),4)),0)=0,"",IFERROR(-INDEX(Expenses!D$3:D$999,SMALL(IF((Expenses!E$3:E$999="INR")*(Expenses!A$3:A$999=DATE(2026,4,9)),ROW(Expenses!A$3:A$999)-2),4)),0)+IFERROR(INDEX(Income!C$3:C$502,SMALL(IF((Income!D$3:D$502="INR")*(Income!A$3:A$502=DATE(2026,4,9)),ROW(Income!A$3:A$502)-2),4)),0))</f>
        <v/>
      </c>
      <c r="J77" s="126">
        <f t="array" ref="J77">IF(IFERROR(INDEX(Expenses!B$3:B$999,SMALL(IF((Expenses!E$3:E$999="INR")*(Expenses!A$3:A$999=DATE(2026,4,9)),ROW(Expenses!A$3:A$999)-2),4)),"")&lt;&gt;"",IFERROR(INDEX(Expenses!B$3:B$999,SMALL(IF((Expenses!E$3:E$999="INR")*(Expenses!A$3:A$999=DATE(2026,4,9)),ROW(Expenses!A$3:A$999)-2),4)),""),IF(IFERROR(INDEX(Income!B$3:B$502,SMALL(IF((Income!D$3:D$502="INR")*(Income!A$3:A$502=DATE(2026,4,9)),ROW(Income!A$3:A$502)-2),4)),"")&lt;&gt;"",IFERROR(INDEX(Income!B$3:B$502,SMALL(IF((Income!D$3:D$502="INR")*(Income!A$3:A$502=DATE(2026,4,9)),ROW(Income!A$3:A$502)-2),4)),""),""))</f>
        <v/>
      </c>
      <c r="K77" s="153">
        <f t="array" ref="K77">IF(IFERROR(-INDEX(Expenses!D$3:D$999,SMALL(IF((Expenses!E$3:E$999="INR")*(Expenses!A$3:A$999=DATE(2026,4,10)),ROW(Expenses!A$3:A$999)-2),4)),0)+IFERROR(INDEX(Income!C$3:C$502,SMALL(IF((Income!D$3:D$502="INR")*(Income!A$3:A$502=DATE(2026,4,10)),ROW(Income!A$3:A$502)-2),4)),0)=0,"",IFERROR(-INDEX(Expenses!D$3:D$999,SMALL(IF((Expenses!E$3:E$999="INR")*(Expenses!A$3:A$999=DATE(2026,4,10)),ROW(Expenses!A$3:A$999)-2),4)),0)+IFERROR(INDEX(Income!C$3:C$502,SMALL(IF((Income!D$3:D$502="INR")*(Income!A$3:A$502=DATE(2026,4,10)),ROW(Income!A$3:A$502)-2),4)),0))</f>
        <v/>
      </c>
      <c r="L77" s="126">
        <f t="array" ref="L77">IF(IFERROR(INDEX(Expenses!B$3:B$999,SMALL(IF((Expenses!E$3:E$999="INR")*(Expenses!A$3:A$999=DATE(2026,4,10)),ROW(Expenses!A$3:A$999)-2),4)),"")&lt;&gt;"",IFERROR(INDEX(Expenses!B$3:B$999,SMALL(IF((Expenses!E$3:E$999="INR")*(Expenses!A$3:A$999=DATE(2026,4,10)),ROW(Expenses!A$3:A$999)-2),4)),""),IF(IFERROR(INDEX(Income!B$3:B$502,SMALL(IF((Income!D$3:D$502="INR")*(Income!A$3:A$502=DATE(2026,4,10)),ROW(Income!A$3:A$502)-2),4)),"")&lt;&gt;"",IFERROR(INDEX(Income!B$3:B$502,SMALL(IF((Income!D$3:D$502="INR")*(Income!A$3:A$502=DATE(2026,4,10)),ROW(Income!A$3:A$502)-2),4)),""),""))</f>
        <v/>
      </c>
      <c r="M77" s="153">
        <f t="array" ref="M77">IF(IFERROR(-INDEX(Expenses!D$3:D$999,SMALL(IF((Expenses!E$3:E$999="INR")*(Expenses!A$3:A$999=DATE(2026,4,11)),ROW(Expenses!A$3:A$999)-2),4)),0)+IFERROR(INDEX(Income!C$3:C$502,SMALL(IF((Income!D$3:D$502="INR")*(Income!A$3:A$502=DATE(2026,4,11)),ROW(Income!A$3:A$502)-2),4)),0)=0,"",IFERROR(-INDEX(Expenses!D$3:D$999,SMALL(IF((Expenses!E$3:E$999="INR")*(Expenses!A$3:A$999=DATE(2026,4,11)),ROW(Expenses!A$3:A$999)-2),4)),0)+IFERROR(INDEX(Income!C$3:C$502,SMALL(IF((Income!D$3:D$502="INR")*(Income!A$3:A$502=DATE(2026,4,11)),ROW(Income!A$3:A$502)-2),4)),0))</f>
        <v/>
      </c>
      <c r="N77" s="126">
        <f t="array" ref="N77">IF(IFERROR(INDEX(Expenses!B$3:B$999,SMALL(IF((Expenses!E$3:E$999="INR")*(Expenses!A$3:A$999=DATE(2026,4,11)),ROW(Expenses!A$3:A$999)-2),4)),"")&lt;&gt;"",IFERROR(INDEX(Expenses!B$3:B$999,SMALL(IF((Expenses!E$3:E$999="INR")*(Expenses!A$3:A$999=DATE(2026,4,11)),ROW(Expenses!A$3:A$999)-2),4)),""),IF(IFERROR(INDEX(Income!B$3:B$502,SMALL(IF((Income!D$3:D$502="INR")*(Income!A$3:A$502=DATE(2026,4,11)),ROW(Income!A$3:A$502)-2),4)),"")&lt;&gt;"",IFERROR(INDEX(Income!B$3:B$502,SMALL(IF((Income!D$3:D$502="INR")*(Income!A$3:A$502=DATE(2026,4,11)),ROW(Income!A$3:A$502)-2),4)),""),""))</f>
        <v/>
      </c>
      <c r="O77" s="153">
        <f t="array" ref="O77">IF(IFERROR(-INDEX(Expenses!D$3:D$999,SMALL(IF((Expenses!E$3:E$999="INR")*(Expenses!A$3:A$999=DATE(2026,4,12)),ROW(Expenses!A$3:A$999)-2),4)),0)+IFERROR(INDEX(Income!C$3:C$502,SMALL(IF((Income!D$3:D$502="INR")*(Income!A$3:A$502=DATE(2026,4,12)),ROW(Income!A$3:A$502)-2),4)),0)=0,"",IFERROR(-INDEX(Expenses!D$3:D$999,SMALL(IF((Expenses!E$3:E$999="INR")*(Expenses!A$3:A$999=DATE(2026,4,12)),ROW(Expenses!A$3:A$999)-2),4)),0)+IFERROR(INDEX(Income!C$3:C$502,SMALL(IF((Income!D$3:D$502="INR")*(Income!A$3:A$502=DATE(2026,4,12)),ROW(Income!A$3:A$502)-2),4)),0))</f>
        <v/>
      </c>
      <c r="P77" s="126">
        <f t="array" ref="P77">IF(IFERROR(INDEX(Expenses!B$3:B$999,SMALL(IF((Expenses!E$3:E$999="INR")*(Expenses!A$3:A$999=DATE(2026,4,12)),ROW(Expenses!A$3:A$999)-2),4)),"")&lt;&gt;"",IFERROR(INDEX(Expenses!B$3:B$999,SMALL(IF((Expenses!E$3:E$999="INR")*(Expenses!A$3:A$999=DATE(2026,4,12)),ROW(Expenses!A$3:A$999)-2),4)),""),IF(IFERROR(INDEX(Income!B$3:B$502,SMALL(IF((Income!D$3:D$502="INR")*(Income!A$3:A$502=DATE(2026,4,12)),ROW(Income!A$3:A$502)-2),4)),"")&lt;&gt;"",IFERROR(INDEX(Income!B$3:B$502,SMALL(IF((Income!D$3:D$502="INR")*(Income!A$3:A$502=DATE(2026,4,12)),ROW(Income!A$3:A$502)-2),4)),""),""))</f>
        <v/>
      </c>
      <c r="Q77" s="9" t="n"/>
      <c r="R77" s="9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68">
      <c r="A78" s="9" t="n"/>
      <c r="B78" s="9" t="n"/>
      <c r="C78" s="153">
        <f t="array" ref="C78">IF(IFERROR(-INDEX(Expenses!D$3:D$999,SMALL(IF((Expenses!E$3:E$999="INR")*(Expenses!A$3:A$999=DATE(2026,4,6)),ROW(Expenses!A$3:A$999)-2),5)),0)+IFERROR(INDEX(Income!C$3:C$502,SMALL(IF((Income!D$3:D$502="INR")*(Income!A$3:A$502=DATE(2026,4,6)),ROW(Income!A$3:A$502)-2),5)),0)=0,"",IFERROR(-INDEX(Expenses!D$3:D$999,SMALL(IF((Expenses!E$3:E$999="INR")*(Expenses!A$3:A$999=DATE(2026,4,6)),ROW(Expenses!A$3:A$999)-2),5)),0)+IFERROR(INDEX(Income!C$3:C$502,SMALL(IF((Income!D$3:D$502="INR")*(Income!A$3:A$502=DATE(2026,4,6)),ROW(Income!A$3:A$502)-2),5)),0))</f>
        <v/>
      </c>
      <c r="D78" s="126">
        <f t="array" ref="D78">IF(IFERROR(INDEX(Expenses!B$3:B$999,SMALL(IF((Expenses!E$3:E$999="INR")*(Expenses!A$3:A$999=DATE(2026,4,6)),ROW(Expenses!A$3:A$999)-2),5)),"")&lt;&gt;"",IFERROR(INDEX(Expenses!B$3:B$999,SMALL(IF((Expenses!E$3:E$999="INR")*(Expenses!A$3:A$999=DATE(2026,4,6)),ROW(Expenses!A$3:A$999)-2),5)),""),IF(IFERROR(INDEX(Income!B$3:B$502,SMALL(IF((Income!D$3:D$502="INR")*(Income!A$3:A$502=DATE(2026,4,6)),ROW(Income!A$3:A$502)-2),5)),"")&lt;&gt;"",IFERROR(INDEX(Income!B$3:B$502,SMALL(IF((Income!D$3:D$502="INR")*(Income!A$3:A$502=DATE(2026,4,6)),ROW(Income!A$3:A$502)-2),5)),""),""))</f>
        <v/>
      </c>
      <c r="E78" s="153">
        <f t="array" ref="E78">IF(IFERROR(-INDEX(Expenses!D$3:D$999,SMALL(IF((Expenses!E$3:E$999="INR")*(Expenses!A$3:A$999=DATE(2026,4,7)),ROW(Expenses!A$3:A$999)-2),5)),0)+IFERROR(INDEX(Income!C$3:C$502,SMALL(IF((Income!D$3:D$502="INR")*(Income!A$3:A$502=DATE(2026,4,7)),ROW(Income!A$3:A$502)-2),5)),0)=0,"",IFERROR(-INDEX(Expenses!D$3:D$999,SMALL(IF((Expenses!E$3:E$999="INR")*(Expenses!A$3:A$999=DATE(2026,4,7)),ROW(Expenses!A$3:A$999)-2),5)),0)+IFERROR(INDEX(Income!C$3:C$502,SMALL(IF((Income!D$3:D$502="INR")*(Income!A$3:A$502=DATE(2026,4,7)),ROW(Income!A$3:A$502)-2),5)),0))</f>
        <v/>
      </c>
      <c r="F78" s="126">
        <f t="array" ref="F78">IF(IFERROR(INDEX(Expenses!B$3:B$999,SMALL(IF((Expenses!E$3:E$999="INR")*(Expenses!A$3:A$999=DATE(2026,4,7)),ROW(Expenses!A$3:A$999)-2),5)),"")&lt;&gt;"",IFERROR(INDEX(Expenses!B$3:B$999,SMALL(IF((Expenses!E$3:E$999="INR")*(Expenses!A$3:A$999=DATE(2026,4,7)),ROW(Expenses!A$3:A$999)-2),5)),""),IF(IFERROR(INDEX(Income!B$3:B$502,SMALL(IF((Income!D$3:D$502="INR")*(Income!A$3:A$502=DATE(2026,4,7)),ROW(Income!A$3:A$502)-2),5)),"")&lt;&gt;"",IFERROR(INDEX(Income!B$3:B$502,SMALL(IF((Income!D$3:D$502="INR")*(Income!A$3:A$502=DATE(2026,4,7)),ROW(Income!A$3:A$502)-2),5)),""),""))</f>
        <v/>
      </c>
      <c r="G78" s="153">
        <f t="array" ref="G78">IF(IFERROR(-INDEX(Expenses!D$3:D$999,SMALL(IF((Expenses!E$3:E$999="INR")*(Expenses!A$3:A$999=DATE(2026,4,8)),ROW(Expenses!A$3:A$999)-2),5)),0)+IFERROR(INDEX(Income!C$3:C$502,SMALL(IF((Income!D$3:D$502="INR")*(Income!A$3:A$502=DATE(2026,4,8)),ROW(Income!A$3:A$502)-2),5)),0)=0,"",IFERROR(-INDEX(Expenses!D$3:D$999,SMALL(IF((Expenses!E$3:E$999="INR")*(Expenses!A$3:A$999=DATE(2026,4,8)),ROW(Expenses!A$3:A$999)-2),5)),0)+IFERROR(INDEX(Income!C$3:C$502,SMALL(IF((Income!D$3:D$502="INR")*(Income!A$3:A$502=DATE(2026,4,8)),ROW(Income!A$3:A$502)-2),5)),0))</f>
        <v/>
      </c>
      <c r="H78" s="126">
        <f t="array" ref="H78">IF(IFERROR(INDEX(Expenses!B$3:B$999,SMALL(IF((Expenses!E$3:E$999="INR")*(Expenses!A$3:A$999=DATE(2026,4,8)),ROW(Expenses!A$3:A$999)-2),5)),"")&lt;&gt;"",IFERROR(INDEX(Expenses!B$3:B$999,SMALL(IF((Expenses!E$3:E$999="INR")*(Expenses!A$3:A$999=DATE(2026,4,8)),ROW(Expenses!A$3:A$999)-2),5)),""),IF(IFERROR(INDEX(Income!B$3:B$502,SMALL(IF((Income!D$3:D$502="INR")*(Income!A$3:A$502=DATE(2026,4,8)),ROW(Income!A$3:A$502)-2),5)),"")&lt;&gt;"",IFERROR(INDEX(Income!B$3:B$502,SMALL(IF((Income!D$3:D$502="INR")*(Income!A$3:A$502=DATE(2026,4,8)),ROW(Income!A$3:A$502)-2),5)),""),""))</f>
        <v/>
      </c>
      <c r="I78" s="153">
        <f t="array" ref="I78">IF(IFERROR(-INDEX(Expenses!D$3:D$999,SMALL(IF((Expenses!E$3:E$999="INR")*(Expenses!A$3:A$999=DATE(2026,4,9)),ROW(Expenses!A$3:A$999)-2),5)),0)+IFERROR(INDEX(Income!C$3:C$502,SMALL(IF((Income!D$3:D$502="INR")*(Income!A$3:A$502=DATE(2026,4,9)),ROW(Income!A$3:A$502)-2),5)),0)=0,"",IFERROR(-INDEX(Expenses!D$3:D$999,SMALL(IF((Expenses!E$3:E$999="INR")*(Expenses!A$3:A$999=DATE(2026,4,9)),ROW(Expenses!A$3:A$999)-2),5)),0)+IFERROR(INDEX(Income!C$3:C$502,SMALL(IF((Income!D$3:D$502="INR")*(Income!A$3:A$502=DATE(2026,4,9)),ROW(Income!A$3:A$502)-2),5)),0))</f>
        <v/>
      </c>
      <c r="J78" s="126">
        <f t="array" ref="J78">IF(IFERROR(INDEX(Expenses!B$3:B$999,SMALL(IF((Expenses!E$3:E$999="INR")*(Expenses!A$3:A$999=DATE(2026,4,9)),ROW(Expenses!A$3:A$999)-2),5)),"")&lt;&gt;"",IFERROR(INDEX(Expenses!B$3:B$999,SMALL(IF((Expenses!E$3:E$999="INR")*(Expenses!A$3:A$999=DATE(2026,4,9)),ROW(Expenses!A$3:A$999)-2),5)),""),IF(IFERROR(INDEX(Income!B$3:B$502,SMALL(IF((Income!D$3:D$502="INR")*(Income!A$3:A$502=DATE(2026,4,9)),ROW(Income!A$3:A$502)-2),5)),"")&lt;&gt;"",IFERROR(INDEX(Income!B$3:B$502,SMALL(IF((Income!D$3:D$502="INR")*(Income!A$3:A$502=DATE(2026,4,9)),ROW(Income!A$3:A$502)-2),5)),""),""))</f>
        <v/>
      </c>
      <c r="K78" s="153">
        <f t="array" ref="K78">IF(IFERROR(-INDEX(Expenses!D$3:D$999,SMALL(IF((Expenses!E$3:E$999="INR")*(Expenses!A$3:A$999=DATE(2026,4,10)),ROW(Expenses!A$3:A$999)-2),5)),0)+IFERROR(INDEX(Income!C$3:C$502,SMALL(IF((Income!D$3:D$502="INR")*(Income!A$3:A$502=DATE(2026,4,10)),ROW(Income!A$3:A$502)-2),5)),0)=0,"",IFERROR(-INDEX(Expenses!D$3:D$999,SMALL(IF((Expenses!E$3:E$999="INR")*(Expenses!A$3:A$999=DATE(2026,4,10)),ROW(Expenses!A$3:A$999)-2),5)),0)+IFERROR(INDEX(Income!C$3:C$502,SMALL(IF((Income!D$3:D$502="INR")*(Income!A$3:A$502=DATE(2026,4,10)),ROW(Income!A$3:A$502)-2),5)),0))</f>
        <v/>
      </c>
      <c r="L78" s="126">
        <f t="array" ref="L78">IF(IFERROR(INDEX(Expenses!B$3:B$999,SMALL(IF((Expenses!E$3:E$999="INR")*(Expenses!A$3:A$999=DATE(2026,4,10)),ROW(Expenses!A$3:A$999)-2),5)),"")&lt;&gt;"",IFERROR(INDEX(Expenses!B$3:B$999,SMALL(IF((Expenses!E$3:E$999="INR")*(Expenses!A$3:A$999=DATE(2026,4,10)),ROW(Expenses!A$3:A$999)-2),5)),""),IF(IFERROR(INDEX(Income!B$3:B$502,SMALL(IF((Income!D$3:D$502="INR")*(Income!A$3:A$502=DATE(2026,4,10)),ROW(Income!A$3:A$502)-2),5)),"")&lt;&gt;"",IFERROR(INDEX(Income!B$3:B$502,SMALL(IF((Income!D$3:D$502="INR")*(Income!A$3:A$502=DATE(2026,4,10)),ROW(Income!A$3:A$502)-2),5)),""),""))</f>
        <v/>
      </c>
      <c r="M78" s="153">
        <f t="array" ref="M78">IF(IFERROR(-INDEX(Expenses!D$3:D$999,SMALL(IF((Expenses!E$3:E$999="INR")*(Expenses!A$3:A$999=DATE(2026,4,11)),ROW(Expenses!A$3:A$999)-2),5)),0)+IFERROR(INDEX(Income!C$3:C$502,SMALL(IF((Income!D$3:D$502="INR")*(Income!A$3:A$502=DATE(2026,4,11)),ROW(Income!A$3:A$502)-2),5)),0)=0,"",IFERROR(-INDEX(Expenses!D$3:D$999,SMALL(IF((Expenses!E$3:E$999="INR")*(Expenses!A$3:A$999=DATE(2026,4,11)),ROW(Expenses!A$3:A$999)-2),5)),0)+IFERROR(INDEX(Income!C$3:C$502,SMALL(IF((Income!D$3:D$502="INR")*(Income!A$3:A$502=DATE(2026,4,11)),ROW(Income!A$3:A$502)-2),5)),0))</f>
        <v/>
      </c>
      <c r="N78" s="126">
        <f t="array" ref="N78">IF(IFERROR(INDEX(Expenses!B$3:B$999,SMALL(IF((Expenses!E$3:E$999="INR")*(Expenses!A$3:A$999=DATE(2026,4,11)),ROW(Expenses!A$3:A$999)-2),5)),"")&lt;&gt;"",IFERROR(INDEX(Expenses!B$3:B$999,SMALL(IF((Expenses!E$3:E$999="INR")*(Expenses!A$3:A$999=DATE(2026,4,11)),ROW(Expenses!A$3:A$999)-2),5)),""),IF(IFERROR(INDEX(Income!B$3:B$502,SMALL(IF((Income!D$3:D$502="INR")*(Income!A$3:A$502=DATE(2026,4,11)),ROW(Income!A$3:A$502)-2),5)),"")&lt;&gt;"",IFERROR(INDEX(Income!B$3:B$502,SMALL(IF((Income!D$3:D$502="INR")*(Income!A$3:A$502=DATE(2026,4,11)),ROW(Income!A$3:A$502)-2),5)),""),""))</f>
        <v/>
      </c>
      <c r="O78" s="153">
        <f t="array" ref="O78">IF(IFERROR(-INDEX(Expenses!D$3:D$999,SMALL(IF((Expenses!E$3:E$999="INR")*(Expenses!A$3:A$999=DATE(2026,4,12)),ROW(Expenses!A$3:A$999)-2),5)),0)+IFERROR(INDEX(Income!C$3:C$502,SMALL(IF((Income!D$3:D$502="INR")*(Income!A$3:A$502=DATE(2026,4,12)),ROW(Income!A$3:A$502)-2),5)),0)=0,"",IFERROR(-INDEX(Expenses!D$3:D$999,SMALL(IF((Expenses!E$3:E$999="INR")*(Expenses!A$3:A$999=DATE(2026,4,12)),ROW(Expenses!A$3:A$999)-2),5)),0)+IFERROR(INDEX(Income!C$3:C$502,SMALL(IF((Income!D$3:D$502="INR")*(Income!A$3:A$502=DATE(2026,4,12)),ROW(Income!A$3:A$502)-2),5)),0))</f>
        <v/>
      </c>
      <c r="P78" s="126">
        <f t="array" ref="P78">IF(IFERROR(INDEX(Expenses!B$3:B$999,SMALL(IF((Expenses!E$3:E$999="INR")*(Expenses!A$3:A$999=DATE(2026,4,12)),ROW(Expenses!A$3:A$999)-2),5)),"")&lt;&gt;"",IFERROR(INDEX(Expenses!B$3:B$999,SMALL(IF((Expenses!E$3:E$999="INR")*(Expenses!A$3:A$999=DATE(2026,4,12)),ROW(Expenses!A$3:A$999)-2),5)),""),IF(IFERROR(INDEX(Income!B$3:B$502,SMALL(IF((Income!D$3:D$502="INR")*(Income!A$3:A$502=DATE(2026,4,12)),ROW(Income!A$3:A$502)-2),5)),"")&lt;&gt;"",IFERROR(INDEX(Income!B$3:B$502,SMALL(IF((Income!D$3:D$502="INR")*(Income!A$3:A$502=DATE(2026,4,12)),ROW(Income!A$3:A$502)-2),5)),""),""))</f>
        <v/>
      </c>
      <c r="Q78" s="9" t="n"/>
      <c r="R78" s="9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68">
      <c r="A79" s="151" t="n">
        <v>46125</v>
      </c>
      <c r="B79" s="103" t="n">
        <v>16</v>
      </c>
      <c r="C79" s="153">
        <f t="array" ref="C79">IF(IFERROR(-INDEX(Expenses!D$3:D$999,SMALL(IF((Expenses!E$3:E$999="INR")*(Expenses!A$3:A$999=DATE(2026,4,13)),ROW(Expenses!A$3:A$999)-2),1)),0)+IFERROR(INDEX(Income!C$3:C$502,SMALL(IF((Income!D$3:D$502="INR")*(Income!A$3:A$502=DATE(2026,4,13)),ROW(Income!A$3:A$502)-2),1)),0)=0,"",IFERROR(-INDEX(Expenses!D$3:D$999,SMALL(IF((Expenses!E$3:E$999="INR")*(Expenses!A$3:A$999=DATE(2026,4,13)),ROW(Expenses!A$3:A$999)-2),1)),0)+IFERROR(INDEX(Income!C$3:C$502,SMALL(IF((Income!D$3:D$502="INR")*(Income!A$3:A$502=DATE(2026,4,13)),ROW(Income!A$3:A$502)-2),1)),0))</f>
        <v/>
      </c>
      <c r="D79" s="126">
        <f t="array" ref="D79">IF(IFERROR(INDEX(Expenses!B$3:B$999,SMALL(IF((Expenses!E$3:E$999="INR")*(Expenses!A$3:A$999=DATE(2026,4,13)),ROW(Expenses!A$3:A$999)-2),1)),"")&lt;&gt;"",IFERROR(INDEX(Expenses!B$3:B$999,SMALL(IF((Expenses!E$3:E$999="INR")*(Expenses!A$3:A$999=DATE(2026,4,13)),ROW(Expenses!A$3:A$999)-2),1)),""),IF(IFERROR(INDEX(Income!B$3:B$502,SMALL(IF((Income!D$3:D$502="INR")*(Income!A$3:A$502=DATE(2026,4,13)),ROW(Income!A$3:A$502)-2),1)),"")&lt;&gt;"",IFERROR(INDEX(Income!B$3:B$502,SMALL(IF((Income!D$3:D$502="INR")*(Income!A$3:A$502=DATE(2026,4,13)),ROW(Income!A$3:A$502)-2),1)),""),""))</f>
        <v/>
      </c>
      <c r="E79" s="153">
        <f t="array" ref="E79">IF(IFERROR(-INDEX(Expenses!D$3:D$999,SMALL(IF((Expenses!E$3:E$999="INR")*(Expenses!A$3:A$999=DATE(2026,4,14)),ROW(Expenses!A$3:A$999)-2),1)),0)+IFERROR(INDEX(Income!C$3:C$502,SMALL(IF((Income!D$3:D$502="INR")*(Income!A$3:A$502=DATE(2026,4,14)),ROW(Income!A$3:A$502)-2),1)),0)=0,"",IFERROR(-INDEX(Expenses!D$3:D$999,SMALL(IF((Expenses!E$3:E$999="INR")*(Expenses!A$3:A$999=DATE(2026,4,14)),ROW(Expenses!A$3:A$999)-2),1)),0)+IFERROR(INDEX(Income!C$3:C$502,SMALL(IF((Income!D$3:D$502="INR")*(Income!A$3:A$502=DATE(2026,4,14)),ROW(Income!A$3:A$502)-2),1)),0))</f>
        <v/>
      </c>
      <c r="F79" s="126">
        <f t="array" ref="F79">IF(IFERROR(INDEX(Expenses!B$3:B$999,SMALL(IF((Expenses!E$3:E$999="INR")*(Expenses!A$3:A$999=DATE(2026,4,14)),ROW(Expenses!A$3:A$999)-2),1)),"")&lt;&gt;"",IFERROR(INDEX(Expenses!B$3:B$999,SMALL(IF((Expenses!E$3:E$999="INR")*(Expenses!A$3:A$999=DATE(2026,4,14)),ROW(Expenses!A$3:A$999)-2),1)),""),IF(IFERROR(INDEX(Income!B$3:B$502,SMALL(IF((Income!D$3:D$502="INR")*(Income!A$3:A$502=DATE(2026,4,14)),ROW(Income!A$3:A$502)-2),1)),"")&lt;&gt;"",IFERROR(INDEX(Income!B$3:B$502,SMALL(IF((Income!D$3:D$502="INR")*(Income!A$3:A$502=DATE(2026,4,14)),ROW(Income!A$3:A$502)-2),1)),""),""))</f>
        <v/>
      </c>
      <c r="G79" s="153">
        <f t="array" ref="G79">IF(IFERROR(-INDEX(Expenses!D$3:D$999,SMALL(IF((Expenses!E$3:E$999="INR")*(Expenses!A$3:A$999=DATE(2026,4,15)),ROW(Expenses!A$3:A$999)-2),1)),0)+IFERROR(INDEX(Income!C$3:C$502,SMALL(IF((Income!D$3:D$502="INR")*(Income!A$3:A$502=DATE(2026,4,15)),ROW(Income!A$3:A$502)-2),1)),0)=0,"",IFERROR(-INDEX(Expenses!D$3:D$999,SMALL(IF((Expenses!E$3:E$999="INR")*(Expenses!A$3:A$999=DATE(2026,4,15)),ROW(Expenses!A$3:A$999)-2),1)),0)+IFERROR(INDEX(Income!C$3:C$502,SMALL(IF((Income!D$3:D$502="INR")*(Income!A$3:A$502=DATE(2026,4,15)),ROW(Income!A$3:A$502)-2),1)),0))</f>
        <v/>
      </c>
      <c r="H79" s="126">
        <f t="array" ref="H79">IF(IFERROR(INDEX(Expenses!B$3:B$999,SMALL(IF((Expenses!E$3:E$999="INR")*(Expenses!A$3:A$999=DATE(2026,4,15)),ROW(Expenses!A$3:A$999)-2),1)),"")&lt;&gt;"",IFERROR(INDEX(Expenses!B$3:B$999,SMALL(IF((Expenses!E$3:E$999="INR")*(Expenses!A$3:A$999=DATE(2026,4,15)),ROW(Expenses!A$3:A$999)-2),1)),""),IF(IFERROR(INDEX(Income!B$3:B$502,SMALL(IF((Income!D$3:D$502="INR")*(Income!A$3:A$502=DATE(2026,4,15)),ROW(Income!A$3:A$502)-2),1)),"")&lt;&gt;"",IFERROR(INDEX(Income!B$3:B$502,SMALL(IF((Income!D$3:D$502="INR")*(Income!A$3:A$502=DATE(2026,4,15)),ROW(Income!A$3:A$502)-2),1)),""),""))</f>
        <v/>
      </c>
      <c r="I79" s="153">
        <f t="array" ref="I79">IF(IFERROR(-INDEX(Expenses!D$3:D$999,SMALL(IF((Expenses!E$3:E$999="INR")*(Expenses!A$3:A$999=DATE(2026,4,16)),ROW(Expenses!A$3:A$999)-2),1)),0)+IFERROR(INDEX(Income!C$3:C$502,SMALL(IF((Income!D$3:D$502="INR")*(Income!A$3:A$502=DATE(2026,4,16)),ROW(Income!A$3:A$502)-2),1)),0)=0,"",IFERROR(-INDEX(Expenses!D$3:D$999,SMALL(IF((Expenses!E$3:E$999="INR")*(Expenses!A$3:A$999=DATE(2026,4,16)),ROW(Expenses!A$3:A$999)-2),1)),0)+IFERROR(INDEX(Income!C$3:C$502,SMALL(IF((Income!D$3:D$502="INR")*(Income!A$3:A$502=DATE(2026,4,16)),ROW(Income!A$3:A$502)-2),1)),0))</f>
        <v/>
      </c>
      <c r="J79" s="126">
        <f t="array" ref="J79">IF(IFERROR(INDEX(Expenses!B$3:B$999,SMALL(IF((Expenses!E$3:E$999="INR")*(Expenses!A$3:A$999=DATE(2026,4,16)),ROW(Expenses!A$3:A$999)-2),1)),"")&lt;&gt;"",IFERROR(INDEX(Expenses!B$3:B$999,SMALL(IF((Expenses!E$3:E$999="INR")*(Expenses!A$3:A$999=DATE(2026,4,16)),ROW(Expenses!A$3:A$999)-2),1)),""),IF(IFERROR(INDEX(Income!B$3:B$502,SMALL(IF((Income!D$3:D$502="INR")*(Income!A$3:A$502=DATE(2026,4,16)),ROW(Income!A$3:A$502)-2),1)),"")&lt;&gt;"",IFERROR(INDEX(Income!B$3:B$502,SMALL(IF((Income!D$3:D$502="INR")*(Income!A$3:A$502=DATE(2026,4,16)),ROW(Income!A$3:A$502)-2),1)),""),""))</f>
        <v/>
      </c>
      <c r="K79" s="153">
        <f t="array" ref="K79">IF(IFERROR(-INDEX(Expenses!D$3:D$999,SMALL(IF((Expenses!E$3:E$999="INR")*(Expenses!A$3:A$999=DATE(2026,4,17)),ROW(Expenses!A$3:A$999)-2),1)),0)+IFERROR(INDEX(Income!C$3:C$502,SMALL(IF((Income!D$3:D$502="INR")*(Income!A$3:A$502=DATE(2026,4,17)),ROW(Income!A$3:A$502)-2),1)),0)=0,"",IFERROR(-INDEX(Expenses!D$3:D$999,SMALL(IF((Expenses!E$3:E$999="INR")*(Expenses!A$3:A$999=DATE(2026,4,17)),ROW(Expenses!A$3:A$999)-2),1)),0)+IFERROR(INDEX(Income!C$3:C$502,SMALL(IF((Income!D$3:D$502="INR")*(Income!A$3:A$502=DATE(2026,4,17)),ROW(Income!A$3:A$502)-2),1)),0))</f>
        <v/>
      </c>
      <c r="L79" s="126">
        <f t="array" ref="L79">IF(IFERROR(INDEX(Expenses!B$3:B$999,SMALL(IF((Expenses!E$3:E$999="INR")*(Expenses!A$3:A$999=DATE(2026,4,17)),ROW(Expenses!A$3:A$999)-2),1)),"")&lt;&gt;"",IFERROR(INDEX(Expenses!B$3:B$999,SMALL(IF((Expenses!E$3:E$999="INR")*(Expenses!A$3:A$999=DATE(2026,4,17)),ROW(Expenses!A$3:A$999)-2),1)),""),IF(IFERROR(INDEX(Income!B$3:B$502,SMALL(IF((Income!D$3:D$502="INR")*(Income!A$3:A$502=DATE(2026,4,17)),ROW(Income!A$3:A$502)-2),1)),"")&lt;&gt;"",IFERROR(INDEX(Income!B$3:B$502,SMALL(IF((Income!D$3:D$502="INR")*(Income!A$3:A$502=DATE(2026,4,17)),ROW(Income!A$3:A$502)-2),1)),""),""))</f>
        <v/>
      </c>
      <c r="M79" s="153">
        <f t="array" ref="M79">IF(IFERROR(-INDEX(Expenses!D$3:D$999,SMALL(IF((Expenses!E$3:E$999="INR")*(Expenses!A$3:A$999=DATE(2026,4,18)),ROW(Expenses!A$3:A$999)-2),1)),0)+IFERROR(INDEX(Income!C$3:C$502,SMALL(IF((Income!D$3:D$502="INR")*(Income!A$3:A$502=DATE(2026,4,18)),ROW(Income!A$3:A$502)-2),1)),0)=0,"",IFERROR(-INDEX(Expenses!D$3:D$999,SMALL(IF((Expenses!E$3:E$999="INR")*(Expenses!A$3:A$999=DATE(2026,4,18)),ROW(Expenses!A$3:A$999)-2),1)),0)+IFERROR(INDEX(Income!C$3:C$502,SMALL(IF((Income!D$3:D$502="INR")*(Income!A$3:A$502=DATE(2026,4,18)),ROW(Income!A$3:A$502)-2),1)),0))</f>
        <v/>
      </c>
      <c r="N79" s="126">
        <f t="array" ref="N79">IF(IFERROR(INDEX(Expenses!B$3:B$999,SMALL(IF((Expenses!E$3:E$999="INR")*(Expenses!A$3:A$999=DATE(2026,4,18)),ROW(Expenses!A$3:A$999)-2),1)),"")&lt;&gt;"",IFERROR(INDEX(Expenses!B$3:B$999,SMALL(IF((Expenses!E$3:E$999="INR")*(Expenses!A$3:A$999=DATE(2026,4,18)),ROW(Expenses!A$3:A$999)-2),1)),""),IF(IFERROR(INDEX(Income!B$3:B$502,SMALL(IF((Income!D$3:D$502="INR")*(Income!A$3:A$502=DATE(2026,4,18)),ROW(Income!A$3:A$502)-2),1)),"")&lt;&gt;"",IFERROR(INDEX(Income!B$3:B$502,SMALL(IF((Income!D$3:D$502="INR")*(Income!A$3:A$502=DATE(2026,4,18)),ROW(Income!A$3:A$502)-2),1)),""),""))</f>
        <v/>
      </c>
      <c r="O79" s="153">
        <f t="array" ref="O79">IF(IFERROR(-INDEX(Expenses!D$3:D$999,SMALL(IF((Expenses!E$3:E$999="INR")*(Expenses!A$3:A$999=DATE(2026,4,19)),ROW(Expenses!A$3:A$999)-2),1)),0)+IFERROR(INDEX(Income!C$3:C$502,SMALL(IF((Income!D$3:D$502="INR")*(Income!A$3:A$502=DATE(2026,4,19)),ROW(Income!A$3:A$502)-2),1)),0)=0,"",IFERROR(-INDEX(Expenses!D$3:D$999,SMALL(IF((Expenses!E$3:E$999="INR")*(Expenses!A$3:A$999=DATE(2026,4,19)),ROW(Expenses!A$3:A$999)-2),1)),0)+IFERROR(INDEX(Income!C$3:C$502,SMALL(IF((Income!D$3:D$502="INR")*(Income!A$3:A$502=DATE(2026,4,19)),ROW(Income!A$3:A$502)-2),1)),0))</f>
        <v/>
      </c>
      <c r="P79" s="126">
        <f t="array" ref="P79">IF(IFERROR(INDEX(Expenses!B$3:B$999,SMALL(IF((Expenses!E$3:E$999="INR")*(Expenses!A$3:A$999=DATE(2026,4,19)),ROW(Expenses!A$3:A$999)-2),1)),"")&lt;&gt;"",IFERROR(INDEX(Expenses!B$3:B$999,SMALL(IF((Expenses!E$3:E$999="INR")*(Expenses!A$3:A$999=DATE(2026,4,19)),ROW(Expenses!A$3:A$999)-2),1)),""),IF(IFERROR(INDEX(Income!B$3:B$502,SMALL(IF((Income!D$3:D$502="INR")*(Income!A$3:A$502=DATE(2026,4,19)),ROW(Income!A$3:A$502)-2),1)),"")&lt;&gt;"",IFERROR(INDEX(Income!B$3:B$502,SMALL(IF((Income!D$3:D$502="INR")*(Income!A$3:A$502=DATE(2026,4,19)),ROW(Income!A$3:A$502)-2),1)),""),""))</f>
        <v/>
      </c>
      <c r="Q79" s="103" t="n">
        <v>16</v>
      </c>
      <c r="R79" s="142">
        <f>SUM(C79:C83)+SUM(E79:E83)+SUM(G79:G83)+SUM(I79:I83)+SUM(K79:K83)+SUM(M79:M83)+SUM(O79:O83)</f>
        <v/>
      </c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68">
      <c r="A80" s="9" t="n"/>
      <c r="B80" s="9" t="n"/>
      <c r="C80" s="153">
        <f t="array" ref="C80">IF(IFERROR(-INDEX(Expenses!D$3:D$999,SMALL(IF((Expenses!E$3:E$999="INR")*(Expenses!A$3:A$999=DATE(2026,4,13)),ROW(Expenses!A$3:A$999)-2),2)),0)+IFERROR(INDEX(Income!C$3:C$502,SMALL(IF((Income!D$3:D$502="INR")*(Income!A$3:A$502=DATE(2026,4,13)),ROW(Income!A$3:A$502)-2),2)),0)=0,"",IFERROR(-INDEX(Expenses!D$3:D$999,SMALL(IF((Expenses!E$3:E$999="INR")*(Expenses!A$3:A$999=DATE(2026,4,13)),ROW(Expenses!A$3:A$999)-2),2)),0)+IFERROR(INDEX(Income!C$3:C$502,SMALL(IF((Income!D$3:D$502="INR")*(Income!A$3:A$502=DATE(2026,4,13)),ROW(Income!A$3:A$502)-2),2)),0))</f>
        <v/>
      </c>
      <c r="D80" s="126">
        <f t="array" ref="D80">IF(IFERROR(INDEX(Expenses!B$3:B$999,SMALL(IF((Expenses!E$3:E$999="INR")*(Expenses!A$3:A$999=DATE(2026,4,13)),ROW(Expenses!A$3:A$999)-2),2)),"")&lt;&gt;"",IFERROR(INDEX(Expenses!B$3:B$999,SMALL(IF((Expenses!E$3:E$999="INR")*(Expenses!A$3:A$999=DATE(2026,4,13)),ROW(Expenses!A$3:A$999)-2),2)),""),IF(IFERROR(INDEX(Income!B$3:B$502,SMALL(IF((Income!D$3:D$502="INR")*(Income!A$3:A$502=DATE(2026,4,13)),ROW(Income!A$3:A$502)-2),2)),"")&lt;&gt;"",IFERROR(INDEX(Income!B$3:B$502,SMALL(IF((Income!D$3:D$502="INR")*(Income!A$3:A$502=DATE(2026,4,13)),ROW(Income!A$3:A$502)-2),2)),""),""))</f>
        <v/>
      </c>
      <c r="E80" s="153">
        <f t="array" ref="E80">IF(IFERROR(-INDEX(Expenses!D$3:D$999,SMALL(IF((Expenses!E$3:E$999="INR")*(Expenses!A$3:A$999=DATE(2026,4,14)),ROW(Expenses!A$3:A$999)-2),2)),0)+IFERROR(INDEX(Income!C$3:C$502,SMALL(IF((Income!D$3:D$502="INR")*(Income!A$3:A$502=DATE(2026,4,14)),ROW(Income!A$3:A$502)-2),2)),0)=0,"",IFERROR(-INDEX(Expenses!D$3:D$999,SMALL(IF((Expenses!E$3:E$999="INR")*(Expenses!A$3:A$999=DATE(2026,4,14)),ROW(Expenses!A$3:A$999)-2),2)),0)+IFERROR(INDEX(Income!C$3:C$502,SMALL(IF((Income!D$3:D$502="INR")*(Income!A$3:A$502=DATE(2026,4,14)),ROW(Income!A$3:A$502)-2),2)),0))</f>
        <v/>
      </c>
      <c r="F80" s="126">
        <f t="array" ref="F80">IF(IFERROR(INDEX(Expenses!B$3:B$999,SMALL(IF((Expenses!E$3:E$999="INR")*(Expenses!A$3:A$999=DATE(2026,4,14)),ROW(Expenses!A$3:A$999)-2),2)),"")&lt;&gt;"",IFERROR(INDEX(Expenses!B$3:B$999,SMALL(IF((Expenses!E$3:E$999="INR")*(Expenses!A$3:A$999=DATE(2026,4,14)),ROW(Expenses!A$3:A$999)-2),2)),""),IF(IFERROR(INDEX(Income!B$3:B$502,SMALL(IF((Income!D$3:D$502="INR")*(Income!A$3:A$502=DATE(2026,4,14)),ROW(Income!A$3:A$502)-2),2)),"")&lt;&gt;"",IFERROR(INDEX(Income!B$3:B$502,SMALL(IF((Income!D$3:D$502="INR")*(Income!A$3:A$502=DATE(2026,4,14)),ROW(Income!A$3:A$502)-2),2)),""),""))</f>
        <v/>
      </c>
      <c r="G80" s="153">
        <f t="array" ref="G80">IF(IFERROR(-INDEX(Expenses!D$3:D$999,SMALL(IF((Expenses!E$3:E$999="INR")*(Expenses!A$3:A$999=DATE(2026,4,15)),ROW(Expenses!A$3:A$999)-2),2)),0)+IFERROR(INDEX(Income!C$3:C$502,SMALL(IF((Income!D$3:D$502="INR")*(Income!A$3:A$502=DATE(2026,4,15)),ROW(Income!A$3:A$502)-2),2)),0)=0,"",IFERROR(-INDEX(Expenses!D$3:D$999,SMALL(IF((Expenses!E$3:E$999="INR")*(Expenses!A$3:A$999=DATE(2026,4,15)),ROW(Expenses!A$3:A$999)-2),2)),0)+IFERROR(INDEX(Income!C$3:C$502,SMALL(IF((Income!D$3:D$502="INR")*(Income!A$3:A$502=DATE(2026,4,15)),ROW(Income!A$3:A$502)-2),2)),0))</f>
        <v/>
      </c>
      <c r="H80" s="126">
        <f t="array" ref="H80">IF(IFERROR(INDEX(Expenses!B$3:B$999,SMALL(IF((Expenses!E$3:E$999="INR")*(Expenses!A$3:A$999=DATE(2026,4,15)),ROW(Expenses!A$3:A$999)-2),2)),"")&lt;&gt;"",IFERROR(INDEX(Expenses!B$3:B$999,SMALL(IF((Expenses!E$3:E$999="INR")*(Expenses!A$3:A$999=DATE(2026,4,15)),ROW(Expenses!A$3:A$999)-2),2)),""),IF(IFERROR(INDEX(Income!B$3:B$502,SMALL(IF((Income!D$3:D$502="INR")*(Income!A$3:A$502=DATE(2026,4,15)),ROW(Income!A$3:A$502)-2),2)),"")&lt;&gt;"",IFERROR(INDEX(Income!B$3:B$502,SMALL(IF((Income!D$3:D$502="INR")*(Income!A$3:A$502=DATE(2026,4,15)),ROW(Income!A$3:A$502)-2),2)),""),""))</f>
        <v/>
      </c>
      <c r="I80" s="153">
        <f t="array" ref="I80">IF(IFERROR(-INDEX(Expenses!D$3:D$999,SMALL(IF((Expenses!E$3:E$999="INR")*(Expenses!A$3:A$999=DATE(2026,4,16)),ROW(Expenses!A$3:A$999)-2),2)),0)+IFERROR(INDEX(Income!C$3:C$502,SMALL(IF((Income!D$3:D$502="INR")*(Income!A$3:A$502=DATE(2026,4,16)),ROW(Income!A$3:A$502)-2),2)),0)=0,"",IFERROR(-INDEX(Expenses!D$3:D$999,SMALL(IF((Expenses!E$3:E$999="INR")*(Expenses!A$3:A$999=DATE(2026,4,16)),ROW(Expenses!A$3:A$999)-2),2)),0)+IFERROR(INDEX(Income!C$3:C$502,SMALL(IF((Income!D$3:D$502="INR")*(Income!A$3:A$502=DATE(2026,4,16)),ROW(Income!A$3:A$502)-2),2)),0))</f>
        <v/>
      </c>
      <c r="J80" s="126">
        <f t="array" ref="J80">IF(IFERROR(INDEX(Expenses!B$3:B$999,SMALL(IF((Expenses!E$3:E$999="INR")*(Expenses!A$3:A$999=DATE(2026,4,16)),ROW(Expenses!A$3:A$999)-2),2)),"")&lt;&gt;"",IFERROR(INDEX(Expenses!B$3:B$999,SMALL(IF((Expenses!E$3:E$999="INR")*(Expenses!A$3:A$999=DATE(2026,4,16)),ROW(Expenses!A$3:A$999)-2),2)),""),IF(IFERROR(INDEX(Income!B$3:B$502,SMALL(IF((Income!D$3:D$502="INR")*(Income!A$3:A$502=DATE(2026,4,16)),ROW(Income!A$3:A$502)-2),2)),"")&lt;&gt;"",IFERROR(INDEX(Income!B$3:B$502,SMALL(IF((Income!D$3:D$502="INR")*(Income!A$3:A$502=DATE(2026,4,16)),ROW(Income!A$3:A$502)-2),2)),""),""))</f>
        <v/>
      </c>
      <c r="K80" s="153">
        <f t="array" ref="K80">IF(IFERROR(-INDEX(Expenses!D$3:D$999,SMALL(IF((Expenses!E$3:E$999="INR")*(Expenses!A$3:A$999=DATE(2026,4,17)),ROW(Expenses!A$3:A$999)-2),2)),0)+IFERROR(INDEX(Income!C$3:C$502,SMALL(IF((Income!D$3:D$502="INR")*(Income!A$3:A$502=DATE(2026,4,17)),ROW(Income!A$3:A$502)-2),2)),0)=0,"",IFERROR(-INDEX(Expenses!D$3:D$999,SMALL(IF((Expenses!E$3:E$999="INR")*(Expenses!A$3:A$999=DATE(2026,4,17)),ROW(Expenses!A$3:A$999)-2),2)),0)+IFERROR(INDEX(Income!C$3:C$502,SMALL(IF((Income!D$3:D$502="INR")*(Income!A$3:A$502=DATE(2026,4,17)),ROW(Income!A$3:A$502)-2),2)),0))</f>
        <v/>
      </c>
      <c r="L80" s="126">
        <f t="array" ref="L80">IF(IFERROR(INDEX(Expenses!B$3:B$999,SMALL(IF((Expenses!E$3:E$999="INR")*(Expenses!A$3:A$999=DATE(2026,4,17)),ROW(Expenses!A$3:A$999)-2),2)),"")&lt;&gt;"",IFERROR(INDEX(Expenses!B$3:B$999,SMALL(IF((Expenses!E$3:E$999="INR")*(Expenses!A$3:A$999=DATE(2026,4,17)),ROW(Expenses!A$3:A$999)-2),2)),""),IF(IFERROR(INDEX(Income!B$3:B$502,SMALL(IF((Income!D$3:D$502="INR")*(Income!A$3:A$502=DATE(2026,4,17)),ROW(Income!A$3:A$502)-2),2)),"")&lt;&gt;"",IFERROR(INDEX(Income!B$3:B$502,SMALL(IF((Income!D$3:D$502="INR")*(Income!A$3:A$502=DATE(2026,4,17)),ROW(Income!A$3:A$502)-2),2)),""),""))</f>
        <v/>
      </c>
      <c r="M80" s="153">
        <f t="array" ref="M80">IF(IFERROR(-INDEX(Expenses!D$3:D$999,SMALL(IF((Expenses!E$3:E$999="INR")*(Expenses!A$3:A$999=DATE(2026,4,18)),ROW(Expenses!A$3:A$999)-2),2)),0)+IFERROR(INDEX(Income!C$3:C$502,SMALL(IF((Income!D$3:D$502="INR")*(Income!A$3:A$502=DATE(2026,4,18)),ROW(Income!A$3:A$502)-2),2)),0)=0,"",IFERROR(-INDEX(Expenses!D$3:D$999,SMALL(IF((Expenses!E$3:E$999="INR")*(Expenses!A$3:A$999=DATE(2026,4,18)),ROW(Expenses!A$3:A$999)-2),2)),0)+IFERROR(INDEX(Income!C$3:C$502,SMALL(IF((Income!D$3:D$502="INR")*(Income!A$3:A$502=DATE(2026,4,18)),ROW(Income!A$3:A$502)-2),2)),0))</f>
        <v/>
      </c>
      <c r="N80" s="126">
        <f t="array" ref="N80">IF(IFERROR(INDEX(Expenses!B$3:B$999,SMALL(IF((Expenses!E$3:E$999="INR")*(Expenses!A$3:A$999=DATE(2026,4,18)),ROW(Expenses!A$3:A$999)-2),2)),"")&lt;&gt;"",IFERROR(INDEX(Expenses!B$3:B$999,SMALL(IF((Expenses!E$3:E$999="INR")*(Expenses!A$3:A$999=DATE(2026,4,18)),ROW(Expenses!A$3:A$999)-2),2)),""),IF(IFERROR(INDEX(Income!B$3:B$502,SMALL(IF((Income!D$3:D$502="INR")*(Income!A$3:A$502=DATE(2026,4,18)),ROW(Income!A$3:A$502)-2),2)),"")&lt;&gt;"",IFERROR(INDEX(Income!B$3:B$502,SMALL(IF((Income!D$3:D$502="INR")*(Income!A$3:A$502=DATE(2026,4,18)),ROW(Income!A$3:A$502)-2),2)),""),""))</f>
        <v/>
      </c>
      <c r="O80" s="153">
        <f t="array" ref="O80">IF(IFERROR(-INDEX(Expenses!D$3:D$999,SMALL(IF((Expenses!E$3:E$999="INR")*(Expenses!A$3:A$999=DATE(2026,4,19)),ROW(Expenses!A$3:A$999)-2),2)),0)+IFERROR(INDEX(Income!C$3:C$502,SMALL(IF((Income!D$3:D$502="INR")*(Income!A$3:A$502=DATE(2026,4,19)),ROW(Income!A$3:A$502)-2),2)),0)=0,"",IFERROR(-INDEX(Expenses!D$3:D$999,SMALL(IF((Expenses!E$3:E$999="INR")*(Expenses!A$3:A$999=DATE(2026,4,19)),ROW(Expenses!A$3:A$999)-2),2)),0)+IFERROR(INDEX(Income!C$3:C$502,SMALL(IF((Income!D$3:D$502="INR")*(Income!A$3:A$502=DATE(2026,4,19)),ROW(Income!A$3:A$502)-2),2)),0))</f>
        <v/>
      </c>
      <c r="P80" s="126">
        <f t="array" ref="P80">IF(IFERROR(INDEX(Expenses!B$3:B$999,SMALL(IF((Expenses!E$3:E$999="INR")*(Expenses!A$3:A$999=DATE(2026,4,19)),ROW(Expenses!A$3:A$999)-2),2)),"")&lt;&gt;"",IFERROR(INDEX(Expenses!B$3:B$999,SMALL(IF((Expenses!E$3:E$999="INR")*(Expenses!A$3:A$999=DATE(2026,4,19)),ROW(Expenses!A$3:A$999)-2),2)),""),IF(IFERROR(INDEX(Income!B$3:B$502,SMALL(IF((Income!D$3:D$502="INR")*(Income!A$3:A$502=DATE(2026,4,19)),ROW(Income!A$3:A$502)-2),2)),"")&lt;&gt;"",IFERROR(INDEX(Income!B$3:B$502,SMALL(IF((Income!D$3:D$502="INR")*(Income!A$3:A$502=DATE(2026,4,19)),ROW(Income!A$3:A$502)-2),2)),""),""))</f>
        <v/>
      </c>
      <c r="Q80" s="9" t="n"/>
      <c r="R80" s="9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68">
      <c r="A81" s="9" t="n"/>
      <c r="B81" s="9" t="n"/>
      <c r="C81" s="153">
        <f t="array" ref="C81">IF(IFERROR(-INDEX(Expenses!D$3:D$999,SMALL(IF((Expenses!E$3:E$999="INR")*(Expenses!A$3:A$999=DATE(2026,4,13)),ROW(Expenses!A$3:A$999)-2),3)),0)+IFERROR(INDEX(Income!C$3:C$502,SMALL(IF((Income!D$3:D$502="INR")*(Income!A$3:A$502=DATE(2026,4,13)),ROW(Income!A$3:A$502)-2),3)),0)=0,"",IFERROR(-INDEX(Expenses!D$3:D$999,SMALL(IF((Expenses!E$3:E$999="INR")*(Expenses!A$3:A$999=DATE(2026,4,13)),ROW(Expenses!A$3:A$999)-2),3)),0)+IFERROR(INDEX(Income!C$3:C$502,SMALL(IF((Income!D$3:D$502="INR")*(Income!A$3:A$502=DATE(2026,4,13)),ROW(Income!A$3:A$502)-2),3)),0))</f>
        <v/>
      </c>
      <c r="D81" s="126">
        <f t="array" ref="D81">IF(IFERROR(INDEX(Expenses!B$3:B$999,SMALL(IF((Expenses!E$3:E$999="INR")*(Expenses!A$3:A$999=DATE(2026,4,13)),ROW(Expenses!A$3:A$999)-2),3)),"")&lt;&gt;"",IFERROR(INDEX(Expenses!B$3:B$999,SMALL(IF((Expenses!E$3:E$999="INR")*(Expenses!A$3:A$999=DATE(2026,4,13)),ROW(Expenses!A$3:A$999)-2),3)),""),IF(IFERROR(INDEX(Income!B$3:B$502,SMALL(IF((Income!D$3:D$502="INR")*(Income!A$3:A$502=DATE(2026,4,13)),ROW(Income!A$3:A$502)-2),3)),"")&lt;&gt;"",IFERROR(INDEX(Income!B$3:B$502,SMALL(IF((Income!D$3:D$502="INR")*(Income!A$3:A$502=DATE(2026,4,13)),ROW(Income!A$3:A$502)-2),3)),""),""))</f>
        <v/>
      </c>
      <c r="E81" s="153">
        <f t="array" ref="E81">IF(IFERROR(-INDEX(Expenses!D$3:D$999,SMALL(IF((Expenses!E$3:E$999="INR")*(Expenses!A$3:A$999=DATE(2026,4,14)),ROW(Expenses!A$3:A$999)-2),3)),0)+IFERROR(INDEX(Income!C$3:C$502,SMALL(IF((Income!D$3:D$502="INR")*(Income!A$3:A$502=DATE(2026,4,14)),ROW(Income!A$3:A$502)-2),3)),0)=0,"",IFERROR(-INDEX(Expenses!D$3:D$999,SMALL(IF((Expenses!E$3:E$999="INR")*(Expenses!A$3:A$999=DATE(2026,4,14)),ROW(Expenses!A$3:A$999)-2),3)),0)+IFERROR(INDEX(Income!C$3:C$502,SMALL(IF((Income!D$3:D$502="INR")*(Income!A$3:A$502=DATE(2026,4,14)),ROW(Income!A$3:A$502)-2),3)),0))</f>
        <v/>
      </c>
      <c r="F81" s="126">
        <f t="array" ref="F81">IF(IFERROR(INDEX(Expenses!B$3:B$999,SMALL(IF((Expenses!E$3:E$999="INR")*(Expenses!A$3:A$999=DATE(2026,4,14)),ROW(Expenses!A$3:A$999)-2),3)),"")&lt;&gt;"",IFERROR(INDEX(Expenses!B$3:B$999,SMALL(IF((Expenses!E$3:E$999="INR")*(Expenses!A$3:A$999=DATE(2026,4,14)),ROW(Expenses!A$3:A$999)-2),3)),""),IF(IFERROR(INDEX(Income!B$3:B$502,SMALL(IF((Income!D$3:D$502="INR")*(Income!A$3:A$502=DATE(2026,4,14)),ROW(Income!A$3:A$502)-2),3)),"")&lt;&gt;"",IFERROR(INDEX(Income!B$3:B$502,SMALL(IF((Income!D$3:D$502="INR")*(Income!A$3:A$502=DATE(2026,4,14)),ROW(Income!A$3:A$502)-2),3)),""),""))</f>
        <v/>
      </c>
      <c r="G81" s="153">
        <f t="array" ref="G81">IF(IFERROR(-INDEX(Expenses!D$3:D$999,SMALL(IF((Expenses!E$3:E$999="INR")*(Expenses!A$3:A$999=DATE(2026,4,15)),ROW(Expenses!A$3:A$999)-2),3)),0)+IFERROR(INDEX(Income!C$3:C$502,SMALL(IF((Income!D$3:D$502="INR")*(Income!A$3:A$502=DATE(2026,4,15)),ROW(Income!A$3:A$502)-2),3)),0)=0,"",IFERROR(-INDEX(Expenses!D$3:D$999,SMALL(IF((Expenses!E$3:E$999="INR")*(Expenses!A$3:A$999=DATE(2026,4,15)),ROW(Expenses!A$3:A$999)-2),3)),0)+IFERROR(INDEX(Income!C$3:C$502,SMALL(IF((Income!D$3:D$502="INR")*(Income!A$3:A$502=DATE(2026,4,15)),ROW(Income!A$3:A$502)-2),3)),0))</f>
        <v/>
      </c>
      <c r="H81" s="126">
        <f t="array" ref="H81">IF(IFERROR(INDEX(Expenses!B$3:B$999,SMALL(IF((Expenses!E$3:E$999="INR")*(Expenses!A$3:A$999=DATE(2026,4,15)),ROW(Expenses!A$3:A$999)-2),3)),"")&lt;&gt;"",IFERROR(INDEX(Expenses!B$3:B$999,SMALL(IF((Expenses!E$3:E$999="INR")*(Expenses!A$3:A$999=DATE(2026,4,15)),ROW(Expenses!A$3:A$999)-2),3)),""),IF(IFERROR(INDEX(Income!B$3:B$502,SMALL(IF((Income!D$3:D$502="INR")*(Income!A$3:A$502=DATE(2026,4,15)),ROW(Income!A$3:A$502)-2),3)),"")&lt;&gt;"",IFERROR(INDEX(Income!B$3:B$502,SMALL(IF((Income!D$3:D$502="INR")*(Income!A$3:A$502=DATE(2026,4,15)),ROW(Income!A$3:A$502)-2),3)),""),""))</f>
        <v/>
      </c>
      <c r="I81" s="153">
        <f t="array" ref="I81">IF(IFERROR(-INDEX(Expenses!D$3:D$999,SMALL(IF((Expenses!E$3:E$999="INR")*(Expenses!A$3:A$999=DATE(2026,4,16)),ROW(Expenses!A$3:A$999)-2),3)),0)+IFERROR(INDEX(Income!C$3:C$502,SMALL(IF((Income!D$3:D$502="INR")*(Income!A$3:A$502=DATE(2026,4,16)),ROW(Income!A$3:A$502)-2),3)),0)=0,"",IFERROR(-INDEX(Expenses!D$3:D$999,SMALL(IF((Expenses!E$3:E$999="INR")*(Expenses!A$3:A$999=DATE(2026,4,16)),ROW(Expenses!A$3:A$999)-2),3)),0)+IFERROR(INDEX(Income!C$3:C$502,SMALL(IF((Income!D$3:D$502="INR")*(Income!A$3:A$502=DATE(2026,4,16)),ROW(Income!A$3:A$502)-2),3)),0))</f>
        <v/>
      </c>
      <c r="J81" s="126">
        <f t="array" ref="J81">IF(IFERROR(INDEX(Expenses!B$3:B$999,SMALL(IF((Expenses!E$3:E$999="INR")*(Expenses!A$3:A$999=DATE(2026,4,16)),ROW(Expenses!A$3:A$999)-2),3)),"")&lt;&gt;"",IFERROR(INDEX(Expenses!B$3:B$999,SMALL(IF((Expenses!E$3:E$999="INR")*(Expenses!A$3:A$999=DATE(2026,4,16)),ROW(Expenses!A$3:A$999)-2),3)),""),IF(IFERROR(INDEX(Income!B$3:B$502,SMALL(IF((Income!D$3:D$502="INR")*(Income!A$3:A$502=DATE(2026,4,16)),ROW(Income!A$3:A$502)-2),3)),"")&lt;&gt;"",IFERROR(INDEX(Income!B$3:B$502,SMALL(IF((Income!D$3:D$502="INR")*(Income!A$3:A$502=DATE(2026,4,16)),ROW(Income!A$3:A$502)-2),3)),""),""))</f>
        <v/>
      </c>
      <c r="K81" s="153">
        <f t="array" ref="K81">IF(IFERROR(-INDEX(Expenses!D$3:D$999,SMALL(IF((Expenses!E$3:E$999="INR")*(Expenses!A$3:A$999=DATE(2026,4,17)),ROW(Expenses!A$3:A$999)-2),3)),0)+IFERROR(INDEX(Income!C$3:C$502,SMALL(IF((Income!D$3:D$502="INR")*(Income!A$3:A$502=DATE(2026,4,17)),ROW(Income!A$3:A$502)-2),3)),0)=0,"",IFERROR(-INDEX(Expenses!D$3:D$999,SMALL(IF((Expenses!E$3:E$999="INR")*(Expenses!A$3:A$999=DATE(2026,4,17)),ROW(Expenses!A$3:A$999)-2),3)),0)+IFERROR(INDEX(Income!C$3:C$502,SMALL(IF((Income!D$3:D$502="INR")*(Income!A$3:A$502=DATE(2026,4,17)),ROW(Income!A$3:A$502)-2),3)),0))</f>
        <v/>
      </c>
      <c r="L81" s="126">
        <f t="array" ref="L81">IF(IFERROR(INDEX(Expenses!B$3:B$999,SMALL(IF((Expenses!E$3:E$999="INR")*(Expenses!A$3:A$999=DATE(2026,4,17)),ROW(Expenses!A$3:A$999)-2),3)),"")&lt;&gt;"",IFERROR(INDEX(Expenses!B$3:B$999,SMALL(IF((Expenses!E$3:E$999="INR")*(Expenses!A$3:A$999=DATE(2026,4,17)),ROW(Expenses!A$3:A$999)-2),3)),""),IF(IFERROR(INDEX(Income!B$3:B$502,SMALL(IF((Income!D$3:D$502="INR")*(Income!A$3:A$502=DATE(2026,4,17)),ROW(Income!A$3:A$502)-2),3)),"")&lt;&gt;"",IFERROR(INDEX(Income!B$3:B$502,SMALL(IF((Income!D$3:D$502="INR")*(Income!A$3:A$502=DATE(2026,4,17)),ROW(Income!A$3:A$502)-2),3)),""),""))</f>
        <v/>
      </c>
      <c r="M81" s="153">
        <f t="array" ref="M81">IF(IFERROR(-INDEX(Expenses!D$3:D$999,SMALL(IF((Expenses!E$3:E$999="INR")*(Expenses!A$3:A$999=DATE(2026,4,18)),ROW(Expenses!A$3:A$999)-2),3)),0)+IFERROR(INDEX(Income!C$3:C$502,SMALL(IF((Income!D$3:D$502="INR")*(Income!A$3:A$502=DATE(2026,4,18)),ROW(Income!A$3:A$502)-2),3)),0)=0,"",IFERROR(-INDEX(Expenses!D$3:D$999,SMALL(IF((Expenses!E$3:E$999="INR")*(Expenses!A$3:A$999=DATE(2026,4,18)),ROW(Expenses!A$3:A$999)-2),3)),0)+IFERROR(INDEX(Income!C$3:C$502,SMALL(IF((Income!D$3:D$502="INR")*(Income!A$3:A$502=DATE(2026,4,18)),ROW(Income!A$3:A$502)-2),3)),0))</f>
        <v/>
      </c>
      <c r="N81" s="126">
        <f t="array" ref="N81">IF(IFERROR(INDEX(Expenses!B$3:B$999,SMALL(IF((Expenses!E$3:E$999="INR")*(Expenses!A$3:A$999=DATE(2026,4,18)),ROW(Expenses!A$3:A$999)-2),3)),"")&lt;&gt;"",IFERROR(INDEX(Expenses!B$3:B$999,SMALL(IF((Expenses!E$3:E$999="INR")*(Expenses!A$3:A$999=DATE(2026,4,18)),ROW(Expenses!A$3:A$999)-2),3)),""),IF(IFERROR(INDEX(Income!B$3:B$502,SMALL(IF((Income!D$3:D$502="INR")*(Income!A$3:A$502=DATE(2026,4,18)),ROW(Income!A$3:A$502)-2),3)),"")&lt;&gt;"",IFERROR(INDEX(Income!B$3:B$502,SMALL(IF((Income!D$3:D$502="INR")*(Income!A$3:A$502=DATE(2026,4,18)),ROW(Income!A$3:A$502)-2),3)),""),""))</f>
        <v/>
      </c>
      <c r="O81" s="153">
        <f t="array" ref="O81">IF(IFERROR(-INDEX(Expenses!D$3:D$999,SMALL(IF((Expenses!E$3:E$999="INR")*(Expenses!A$3:A$999=DATE(2026,4,19)),ROW(Expenses!A$3:A$999)-2),3)),0)+IFERROR(INDEX(Income!C$3:C$502,SMALL(IF((Income!D$3:D$502="INR")*(Income!A$3:A$502=DATE(2026,4,19)),ROW(Income!A$3:A$502)-2),3)),0)=0,"",IFERROR(-INDEX(Expenses!D$3:D$999,SMALL(IF((Expenses!E$3:E$999="INR")*(Expenses!A$3:A$999=DATE(2026,4,19)),ROW(Expenses!A$3:A$999)-2),3)),0)+IFERROR(INDEX(Income!C$3:C$502,SMALL(IF((Income!D$3:D$502="INR")*(Income!A$3:A$502=DATE(2026,4,19)),ROW(Income!A$3:A$502)-2),3)),0))</f>
        <v/>
      </c>
      <c r="P81" s="126">
        <f t="array" ref="P81">IF(IFERROR(INDEX(Expenses!B$3:B$999,SMALL(IF((Expenses!E$3:E$999="INR")*(Expenses!A$3:A$999=DATE(2026,4,19)),ROW(Expenses!A$3:A$999)-2),3)),"")&lt;&gt;"",IFERROR(INDEX(Expenses!B$3:B$999,SMALL(IF((Expenses!E$3:E$999="INR")*(Expenses!A$3:A$999=DATE(2026,4,19)),ROW(Expenses!A$3:A$999)-2),3)),""),IF(IFERROR(INDEX(Income!B$3:B$502,SMALL(IF((Income!D$3:D$502="INR")*(Income!A$3:A$502=DATE(2026,4,19)),ROW(Income!A$3:A$502)-2),3)),"")&lt;&gt;"",IFERROR(INDEX(Income!B$3:B$502,SMALL(IF((Income!D$3:D$502="INR")*(Income!A$3:A$502=DATE(2026,4,19)),ROW(Income!A$3:A$502)-2),3)),""),""))</f>
        <v/>
      </c>
      <c r="Q81" s="9" t="n"/>
      <c r="R81" s="9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68">
      <c r="A82" s="9" t="n"/>
      <c r="B82" s="9" t="n"/>
      <c r="C82" s="153">
        <f t="array" ref="C82">IF(IFERROR(-INDEX(Expenses!D$3:D$999,SMALL(IF((Expenses!E$3:E$999="INR")*(Expenses!A$3:A$999=DATE(2026,4,13)),ROW(Expenses!A$3:A$999)-2),4)),0)+IFERROR(INDEX(Income!C$3:C$502,SMALL(IF((Income!D$3:D$502="INR")*(Income!A$3:A$502=DATE(2026,4,13)),ROW(Income!A$3:A$502)-2),4)),0)=0,"",IFERROR(-INDEX(Expenses!D$3:D$999,SMALL(IF((Expenses!E$3:E$999="INR")*(Expenses!A$3:A$999=DATE(2026,4,13)),ROW(Expenses!A$3:A$999)-2),4)),0)+IFERROR(INDEX(Income!C$3:C$502,SMALL(IF((Income!D$3:D$502="INR")*(Income!A$3:A$502=DATE(2026,4,13)),ROW(Income!A$3:A$502)-2),4)),0))</f>
        <v/>
      </c>
      <c r="D82" s="126">
        <f t="array" ref="D82">IF(IFERROR(INDEX(Expenses!B$3:B$999,SMALL(IF((Expenses!E$3:E$999="INR")*(Expenses!A$3:A$999=DATE(2026,4,13)),ROW(Expenses!A$3:A$999)-2),4)),"")&lt;&gt;"",IFERROR(INDEX(Expenses!B$3:B$999,SMALL(IF((Expenses!E$3:E$999="INR")*(Expenses!A$3:A$999=DATE(2026,4,13)),ROW(Expenses!A$3:A$999)-2),4)),""),IF(IFERROR(INDEX(Income!B$3:B$502,SMALL(IF((Income!D$3:D$502="INR")*(Income!A$3:A$502=DATE(2026,4,13)),ROW(Income!A$3:A$502)-2),4)),"")&lt;&gt;"",IFERROR(INDEX(Income!B$3:B$502,SMALL(IF((Income!D$3:D$502="INR")*(Income!A$3:A$502=DATE(2026,4,13)),ROW(Income!A$3:A$502)-2),4)),""),""))</f>
        <v/>
      </c>
      <c r="E82" s="153">
        <f t="array" ref="E82">IF(IFERROR(-INDEX(Expenses!D$3:D$999,SMALL(IF((Expenses!E$3:E$999="INR")*(Expenses!A$3:A$999=DATE(2026,4,14)),ROW(Expenses!A$3:A$999)-2),4)),0)+IFERROR(INDEX(Income!C$3:C$502,SMALL(IF((Income!D$3:D$502="INR")*(Income!A$3:A$502=DATE(2026,4,14)),ROW(Income!A$3:A$502)-2),4)),0)=0,"",IFERROR(-INDEX(Expenses!D$3:D$999,SMALL(IF((Expenses!E$3:E$999="INR")*(Expenses!A$3:A$999=DATE(2026,4,14)),ROW(Expenses!A$3:A$999)-2),4)),0)+IFERROR(INDEX(Income!C$3:C$502,SMALL(IF((Income!D$3:D$502="INR")*(Income!A$3:A$502=DATE(2026,4,14)),ROW(Income!A$3:A$502)-2),4)),0))</f>
        <v/>
      </c>
      <c r="F82" s="126">
        <f t="array" ref="F82">IF(IFERROR(INDEX(Expenses!B$3:B$999,SMALL(IF((Expenses!E$3:E$999="INR")*(Expenses!A$3:A$999=DATE(2026,4,14)),ROW(Expenses!A$3:A$999)-2),4)),"")&lt;&gt;"",IFERROR(INDEX(Expenses!B$3:B$999,SMALL(IF((Expenses!E$3:E$999="INR")*(Expenses!A$3:A$999=DATE(2026,4,14)),ROW(Expenses!A$3:A$999)-2),4)),""),IF(IFERROR(INDEX(Income!B$3:B$502,SMALL(IF((Income!D$3:D$502="INR")*(Income!A$3:A$502=DATE(2026,4,14)),ROW(Income!A$3:A$502)-2),4)),"")&lt;&gt;"",IFERROR(INDEX(Income!B$3:B$502,SMALL(IF((Income!D$3:D$502="INR")*(Income!A$3:A$502=DATE(2026,4,14)),ROW(Income!A$3:A$502)-2),4)),""),""))</f>
        <v/>
      </c>
      <c r="G82" s="153">
        <f t="array" ref="G82">IF(IFERROR(-INDEX(Expenses!D$3:D$999,SMALL(IF((Expenses!E$3:E$999="INR")*(Expenses!A$3:A$999=DATE(2026,4,15)),ROW(Expenses!A$3:A$999)-2),4)),0)+IFERROR(INDEX(Income!C$3:C$502,SMALL(IF((Income!D$3:D$502="INR")*(Income!A$3:A$502=DATE(2026,4,15)),ROW(Income!A$3:A$502)-2),4)),0)=0,"",IFERROR(-INDEX(Expenses!D$3:D$999,SMALL(IF((Expenses!E$3:E$999="INR")*(Expenses!A$3:A$999=DATE(2026,4,15)),ROW(Expenses!A$3:A$999)-2),4)),0)+IFERROR(INDEX(Income!C$3:C$502,SMALL(IF((Income!D$3:D$502="INR")*(Income!A$3:A$502=DATE(2026,4,15)),ROW(Income!A$3:A$502)-2),4)),0))</f>
        <v/>
      </c>
      <c r="H82" s="126">
        <f t="array" ref="H82">IF(IFERROR(INDEX(Expenses!B$3:B$999,SMALL(IF((Expenses!E$3:E$999="INR")*(Expenses!A$3:A$999=DATE(2026,4,15)),ROW(Expenses!A$3:A$999)-2),4)),"")&lt;&gt;"",IFERROR(INDEX(Expenses!B$3:B$999,SMALL(IF((Expenses!E$3:E$999="INR")*(Expenses!A$3:A$999=DATE(2026,4,15)),ROW(Expenses!A$3:A$999)-2),4)),""),IF(IFERROR(INDEX(Income!B$3:B$502,SMALL(IF((Income!D$3:D$502="INR")*(Income!A$3:A$502=DATE(2026,4,15)),ROW(Income!A$3:A$502)-2),4)),"")&lt;&gt;"",IFERROR(INDEX(Income!B$3:B$502,SMALL(IF((Income!D$3:D$502="INR")*(Income!A$3:A$502=DATE(2026,4,15)),ROW(Income!A$3:A$502)-2),4)),""),""))</f>
        <v/>
      </c>
      <c r="I82" s="153">
        <f t="array" ref="I82">IF(IFERROR(-INDEX(Expenses!D$3:D$999,SMALL(IF((Expenses!E$3:E$999="INR")*(Expenses!A$3:A$999=DATE(2026,4,16)),ROW(Expenses!A$3:A$999)-2),4)),0)+IFERROR(INDEX(Income!C$3:C$502,SMALL(IF((Income!D$3:D$502="INR")*(Income!A$3:A$502=DATE(2026,4,16)),ROW(Income!A$3:A$502)-2),4)),0)=0,"",IFERROR(-INDEX(Expenses!D$3:D$999,SMALL(IF((Expenses!E$3:E$999="INR")*(Expenses!A$3:A$999=DATE(2026,4,16)),ROW(Expenses!A$3:A$999)-2),4)),0)+IFERROR(INDEX(Income!C$3:C$502,SMALL(IF((Income!D$3:D$502="INR")*(Income!A$3:A$502=DATE(2026,4,16)),ROW(Income!A$3:A$502)-2),4)),0))</f>
        <v/>
      </c>
      <c r="J82" s="126">
        <f t="array" ref="J82">IF(IFERROR(INDEX(Expenses!B$3:B$999,SMALL(IF((Expenses!E$3:E$999="INR")*(Expenses!A$3:A$999=DATE(2026,4,16)),ROW(Expenses!A$3:A$999)-2),4)),"")&lt;&gt;"",IFERROR(INDEX(Expenses!B$3:B$999,SMALL(IF((Expenses!E$3:E$999="INR")*(Expenses!A$3:A$999=DATE(2026,4,16)),ROW(Expenses!A$3:A$999)-2),4)),""),IF(IFERROR(INDEX(Income!B$3:B$502,SMALL(IF((Income!D$3:D$502="INR")*(Income!A$3:A$502=DATE(2026,4,16)),ROW(Income!A$3:A$502)-2),4)),"")&lt;&gt;"",IFERROR(INDEX(Income!B$3:B$502,SMALL(IF((Income!D$3:D$502="INR")*(Income!A$3:A$502=DATE(2026,4,16)),ROW(Income!A$3:A$502)-2),4)),""),""))</f>
        <v/>
      </c>
      <c r="K82" s="153">
        <f t="array" ref="K82">IF(IFERROR(-INDEX(Expenses!D$3:D$999,SMALL(IF((Expenses!E$3:E$999="INR")*(Expenses!A$3:A$999=DATE(2026,4,17)),ROW(Expenses!A$3:A$999)-2),4)),0)+IFERROR(INDEX(Income!C$3:C$502,SMALL(IF((Income!D$3:D$502="INR")*(Income!A$3:A$502=DATE(2026,4,17)),ROW(Income!A$3:A$502)-2),4)),0)=0,"",IFERROR(-INDEX(Expenses!D$3:D$999,SMALL(IF((Expenses!E$3:E$999="INR")*(Expenses!A$3:A$999=DATE(2026,4,17)),ROW(Expenses!A$3:A$999)-2),4)),0)+IFERROR(INDEX(Income!C$3:C$502,SMALL(IF((Income!D$3:D$502="INR")*(Income!A$3:A$502=DATE(2026,4,17)),ROW(Income!A$3:A$502)-2),4)),0))</f>
        <v/>
      </c>
      <c r="L82" s="126">
        <f t="array" ref="L82">IF(IFERROR(INDEX(Expenses!B$3:B$999,SMALL(IF((Expenses!E$3:E$999="INR")*(Expenses!A$3:A$999=DATE(2026,4,17)),ROW(Expenses!A$3:A$999)-2),4)),"")&lt;&gt;"",IFERROR(INDEX(Expenses!B$3:B$999,SMALL(IF((Expenses!E$3:E$999="INR")*(Expenses!A$3:A$999=DATE(2026,4,17)),ROW(Expenses!A$3:A$999)-2),4)),""),IF(IFERROR(INDEX(Income!B$3:B$502,SMALL(IF((Income!D$3:D$502="INR")*(Income!A$3:A$502=DATE(2026,4,17)),ROW(Income!A$3:A$502)-2),4)),"")&lt;&gt;"",IFERROR(INDEX(Income!B$3:B$502,SMALL(IF((Income!D$3:D$502="INR")*(Income!A$3:A$502=DATE(2026,4,17)),ROW(Income!A$3:A$502)-2),4)),""),""))</f>
        <v/>
      </c>
      <c r="M82" s="153">
        <f t="array" ref="M82">IF(IFERROR(-INDEX(Expenses!D$3:D$999,SMALL(IF((Expenses!E$3:E$999="INR")*(Expenses!A$3:A$999=DATE(2026,4,18)),ROW(Expenses!A$3:A$999)-2),4)),0)+IFERROR(INDEX(Income!C$3:C$502,SMALL(IF((Income!D$3:D$502="INR")*(Income!A$3:A$502=DATE(2026,4,18)),ROW(Income!A$3:A$502)-2),4)),0)=0,"",IFERROR(-INDEX(Expenses!D$3:D$999,SMALL(IF((Expenses!E$3:E$999="INR")*(Expenses!A$3:A$999=DATE(2026,4,18)),ROW(Expenses!A$3:A$999)-2),4)),0)+IFERROR(INDEX(Income!C$3:C$502,SMALL(IF((Income!D$3:D$502="INR")*(Income!A$3:A$502=DATE(2026,4,18)),ROW(Income!A$3:A$502)-2),4)),0))</f>
        <v/>
      </c>
      <c r="N82" s="126">
        <f t="array" ref="N82">IF(IFERROR(INDEX(Expenses!B$3:B$999,SMALL(IF((Expenses!E$3:E$999="INR")*(Expenses!A$3:A$999=DATE(2026,4,18)),ROW(Expenses!A$3:A$999)-2),4)),"")&lt;&gt;"",IFERROR(INDEX(Expenses!B$3:B$999,SMALL(IF((Expenses!E$3:E$999="INR")*(Expenses!A$3:A$999=DATE(2026,4,18)),ROW(Expenses!A$3:A$999)-2),4)),""),IF(IFERROR(INDEX(Income!B$3:B$502,SMALL(IF((Income!D$3:D$502="INR")*(Income!A$3:A$502=DATE(2026,4,18)),ROW(Income!A$3:A$502)-2),4)),"")&lt;&gt;"",IFERROR(INDEX(Income!B$3:B$502,SMALL(IF((Income!D$3:D$502="INR")*(Income!A$3:A$502=DATE(2026,4,18)),ROW(Income!A$3:A$502)-2),4)),""),""))</f>
        <v/>
      </c>
      <c r="O82" s="153">
        <f t="array" ref="O82">IF(IFERROR(-INDEX(Expenses!D$3:D$999,SMALL(IF((Expenses!E$3:E$999="INR")*(Expenses!A$3:A$999=DATE(2026,4,19)),ROW(Expenses!A$3:A$999)-2),4)),0)+IFERROR(INDEX(Income!C$3:C$502,SMALL(IF((Income!D$3:D$502="INR")*(Income!A$3:A$502=DATE(2026,4,19)),ROW(Income!A$3:A$502)-2),4)),0)=0,"",IFERROR(-INDEX(Expenses!D$3:D$999,SMALL(IF((Expenses!E$3:E$999="INR")*(Expenses!A$3:A$999=DATE(2026,4,19)),ROW(Expenses!A$3:A$999)-2),4)),0)+IFERROR(INDEX(Income!C$3:C$502,SMALL(IF((Income!D$3:D$502="INR")*(Income!A$3:A$502=DATE(2026,4,19)),ROW(Income!A$3:A$502)-2),4)),0))</f>
        <v/>
      </c>
      <c r="P82" s="126">
        <f t="array" ref="P82">IF(IFERROR(INDEX(Expenses!B$3:B$999,SMALL(IF((Expenses!E$3:E$999="INR")*(Expenses!A$3:A$999=DATE(2026,4,19)),ROW(Expenses!A$3:A$999)-2),4)),"")&lt;&gt;"",IFERROR(INDEX(Expenses!B$3:B$999,SMALL(IF((Expenses!E$3:E$999="INR")*(Expenses!A$3:A$999=DATE(2026,4,19)),ROW(Expenses!A$3:A$999)-2),4)),""),IF(IFERROR(INDEX(Income!B$3:B$502,SMALL(IF((Income!D$3:D$502="INR")*(Income!A$3:A$502=DATE(2026,4,19)),ROW(Income!A$3:A$502)-2),4)),"")&lt;&gt;"",IFERROR(INDEX(Income!B$3:B$502,SMALL(IF((Income!D$3:D$502="INR")*(Income!A$3:A$502=DATE(2026,4,19)),ROW(Income!A$3:A$502)-2),4)),""),""))</f>
        <v/>
      </c>
      <c r="Q82" s="9" t="n"/>
      <c r="R82" s="9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68">
      <c r="A83" s="9" t="n"/>
      <c r="B83" s="9" t="n"/>
      <c r="C83" s="153">
        <f t="array" ref="C83">IF(IFERROR(-INDEX(Expenses!D$3:D$999,SMALL(IF((Expenses!E$3:E$999="INR")*(Expenses!A$3:A$999=DATE(2026,4,13)),ROW(Expenses!A$3:A$999)-2),5)),0)+IFERROR(INDEX(Income!C$3:C$502,SMALL(IF((Income!D$3:D$502="INR")*(Income!A$3:A$502=DATE(2026,4,13)),ROW(Income!A$3:A$502)-2),5)),0)=0,"",IFERROR(-INDEX(Expenses!D$3:D$999,SMALL(IF((Expenses!E$3:E$999="INR")*(Expenses!A$3:A$999=DATE(2026,4,13)),ROW(Expenses!A$3:A$999)-2),5)),0)+IFERROR(INDEX(Income!C$3:C$502,SMALL(IF((Income!D$3:D$502="INR")*(Income!A$3:A$502=DATE(2026,4,13)),ROW(Income!A$3:A$502)-2),5)),0))</f>
        <v/>
      </c>
      <c r="D83" s="126">
        <f t="array" ref="D83">IF(IFERROR(INDEX(Expenses!B$3:B$999,SMALL(IF((Expenses!E$3:E$999="INR")*(Expenses!A$3:A$999=DATE(2026,4,13)),ROW(Expenses!A$3:A$999)-2),5)),"")&lt;&gt;"",IFERROR(INDEX(Expenses!B$3:B$999,SMALL(IF((Expenses!E$3:E$999="INR")*(Expenses!A$3:A$999=DATE(2026,4,13)),ROW(Expenses!A$3:A$999)-2),5)),""),IF(IFERROR(INDEX(Income!B$3:B$502,SMALL(IF((Income!D$3:D$502="INR")*(Income!A$3:A$502=DATE(2026,4,13)),ROW(Income!A$3:A$502)-2),5)),"")&lt;&gt;"",IFERROR(INDEX(Income!B$3:B$502,SMALL(IF((Income!D$3:D$502="INR")*(Income!A$3:A$502=DATE(2026,4,13)),ROW(Income!A$3:A$502)-2),5)),""),""))</f>
        <v/>
      </c>
      <c r="E83" s="153">
        <f t="array" ref="E83">IF(IFERROR(-INDEX(Expenses!D$3:D$999,SMALL(IF((Expenses!E$3:E$999="INR")*(Expenses!A$3:A$999=DATE(2026,4,14)),ROW(Expenses!A$3:A$999)-2),5)),0)+IFERROR(INDEX(Income!C$3:C$502,SMALL(IF((Income!D$3:D$502="INR")*(Income!A$3:A$502=DATE(2026,4,14)),ROW(Income!A$3:A$502)-2),5)),0)=0,"",IFERROR(-INDEX(Expenses!D$3:D$999,SMALL(IF((Expenses!E$3:E$999="INR")*(Expenses!A$3:A$999=DATE(2026,4,14)),ROW(Expenses!A$3:A$999)-2),5)),0)+IFERROR(INDEX(Income!C$3:C$502,SMALL(IF((Income!D$3:D$502="INR")*(Income!A$3:A$502=DATE(2026,4,14)),ROW(Income!A$3:A$502)-2),5)),0))</f>
        <v/>
      </c>
      <c r="F83" s="126">
        <f t="array" ref="F83">IF(IFERROR(INDEX(Expenses!B$3:B$999,SMALL(IF((Expenses!E$3:E$999="INR")*(Expenses!A$3:A$999=DATE(2026,4,14)),ROW(Expenses!A$3:A$999)-2),5)),"")&lt;&gt;"",IFERROR(INDEX(Expenses!B$3:B$999,SMALL(IF((Expenses!E$3:E$999="INR")*(Expenses!A$3:A$999=DATE(2026,4,14)),ROW(Expenses!A$3:A$999)-2),5)),""),IF(IFERROR(INDEX(Income!B$3:B$502,SMALL(IF((Income!D$3:D$502="INR")*(Income!A$3:A$502=DATE(2026,4,14)),ROW(Income!A$3:A$502)-2),5)),"")&lt;&gt;"",IFERROR(INDEX(Income!B$3:B$502,SMALL(IF((Income!D$3:D$502="INR")*(Income!A$3:A$502=DATE(2026,4,14)),ROW(Income!A$3:A$502)-2),5)),""),""))</f>
        <v/>
      </c>
      <c r="G83" s="153">
        <f t="array" ref="G83">IF(IFERROR(-INDEX(Expenses!D$3:D$999,SMALL(IF((Expenses!E$3:E$999="INR")*(Expenses!A$3:A$999=DATE(2026,4,15)),ROW(Expenses!A$3:A$999)-2),5)),0)+IFERROR(INDEX(Income!C$3:C$502,SMALL(IF((Income!D$3:D$502="INR")*(Income!A$3:A$502=DATE(2026,4,15)),ROW(Income!A$3:A$502)-2),5)),0)=0,"",IFERROR(-INDEX(Expenses!D$3:D$999,SMALL(IF((Expenses!E$3:E$999="INR")*(Expenses!A$3:A$999=DATE(2026,4,15)),ROW(Expenses!A$3:A$999)-2),5)),0)+IFERROR(INDEX(Income!C$3:C$502,SMALL(IF((Income!D$3:D$502="INR")*(Income!A$3:A$502=DATE(2026,4,15)),ROW(Income!A$3:A$502)-2),5)),0))</f>
        <v/>
      </c>
      <c r="H83" s="126">
        <f t="array" ref="H83">IF(IFERROR(INDEX(Expenses!B$3:B$999,SMALL(IF((Expenses!E$3:E$999="INR")*(Expenses!A$3:A$999=DATE(2026,4,15)),ROW(Expenses!A$3:A$999)-2),5)),"")&lt;&gt;"",IFERROR(INDEX(Expenses!B$3:B$999,SMALL(IF((Expenses!E$3:E$999="INR")*(Expenses!A$3:A$999=DATE(2026,4,15)),ROW(Expenses!A$3:A$999)-2),5)),""),IF(IFERROR(INDEX(Income!B$3:B$502,SMALL(IF((Income!D$3:D$502="INR")*(Income!A$3:A$502=DATE(2026,4,15)),ROW(Income!A$3:A$502)-2),5)),"")&lt;&gt;"",IFERROR(INDEX(Income!B$3:B$502,SMALL(IF((Income!D$3:D$502="INR")*(Income!A$3:A$502=DATE(2026,4,15)),ROW(Income!A$3:A$502)-2),5)),""),""))</f>
        <v/>
      </c>
      <c r="I83" s="153">
        <f t="array" ref="I83">IF(IFERROR(-INDEX(Expenses!D$3:D$999,SMALL(IF((Expenses!E$3:E$999="INR")*(Expenses!A$3:A$999=DATE(2026,4,16)),ROW(Expenses!A$3:A$999)-2),5)),0)+IFERROR(INDEX(Income!C$3:C$502,SMALL(IF((Income!D$3:D$502="INR")*(Income!A$3:A$502=DATE(2026,4,16)),ROW(Income!A$3:A$502)-2),5)),0)=0,"",IFERROR(-INDEX(Expenses!D$3:D$999,SMALL(IF((Expenses!E$3:E$999="INR")*(Expenses!A$3:A$999=DATE(2026,4,16)),ROW(Expenses!A$3:A$999)-2),5)),0)+IFERROR(INDEX(Income!C$3:C$502,SMALL(IF((Income!D$3:D$502="INR")*(Income!A$3:A$502=DATE(2026,4,16)),ROW(Income!A$3:A$502)-2),5)),0))</f>
        <v/>
      </c>
      <c r="J83" s="126">
        <f t="array" ref="J83">IF(IFERROR(INDEX(Expenses!B$3:B$999,SMALL(IF((Expenses!E$3:E$999="INR")*(Expenses!A$3:A$999=DATE(2026,4,16)),ROW(Expenses!A$3:A$999)-2),5)),"")&lt;&gt;"",IFERROR(INDEX(Expenses!B$3:B$999,SMALL(IF((Expenses!E$3:E$999="INR")*(Expenses!A$3:A$999=DATE(2026,4,16)),ROW(Expenses!A$3:A$999)-2),5)),""),IF(IFERROR(INDEX(Income!B$3:B$502,SMALL(IF((Income!D$3:D$502="INR")*(Income!A$3:A$502=DATE(2026,4,16)),ROW(Income!A$3:A$502)-2),5)),"")&lt;&gt;"",IFERROR(INDEX(Income!B$3:B$502,SMALL(IF((Income!D$3:D$502="INR")*(Income!A$3:A$502=DATE(2026,4,16)),ROW(Income!A$3:A$502)-2),5)),""),""))</f>
        <v/>
      </c>
      <c r="K83" s="153">
        <f t="array" ref="K83">IF(IFERROR(-INDEX(Expenses!D$3:D$999,SMALL(IF((Expenses!E$3:E$999="INR")*(Expenses!A$3:A$999=DATE(2026,4,17)),ROW(Expenses!A$3:A$999)-2),5)),0)+IFERROR(INDEX(Income!C$3:C$502,SMALL(IF((Income!D$3:D$502="INR")*(Income!A$3:A$502=DATE(2026,4,17)),ROW(Income!A$3:A$502)-2),5)),0)=0,"",IFERROR(-INDEX(Expenses!D$3:D$999,SMALL(IF((Expenses!E$3:E$999="INR")*(Expenses!A$3:A$999=DATE(2026,4,17)),ROW(Expenses!A$3:A$999)-2),5)),0)+IFERROR(INDEX(Income!C$3:C$502,SMALL(IF((Income!D$3:D$502="INR")*(Income!A$3:A$502=DATE(2026,4,17)),ROW(Income!A$3:A$502)-2),5)),0))</f>
        <v/>
      </c>
      <c r="L83" s="126">
        <f t="array" ref="L83">IF(IFERROR(INDEX(Expenses!B$3:B$999,SMALL(IF((Expenses!E$3:E$999="INR")*(Expenses!A$3:A$999=DATE(2026,4,17)),ROW(Expenses!A$3:A$999)-2),5)),"")&lt;&gt;"",IFERROR(INDEX(Expenses!B$3:B$999,SMALL(IF((Expenses!E$3:E$999="INR")*(Expenses!A$3:A$999=DATE(2026,4,17)),ROW(Expenses!A$3:A$999)-2),5)),""),IF(IFERROR(INDEX(Income!B$3:B$502,SMALL(IF((Income!D$3:D$502="INR")*(Income!A$3:A$502=DATE(2026,4,17)),ROW(Income!A$3:A$502)-2),5)),"")&lt;&gt;"",IFERROR(INDEX(Income!B$3:B$502,SMALL(IF((Income!D$3:D$502="INR")*(Income!A$3:A$502=DATE(2026,4,17)),ROW(Income!A$3:A$502)-2),5)),""),""))</f>
        <v/>
      </c>
      <c r="M83" s="153">
        <f t="array" ref="M83">IF(IFERROR(-INDEX(Expenses!D$3:D$999,SMALL(IF((Expenses!E$3:E$999="INR")*(Expenses!A$3:A$999=DATE(2026,4,18)),ROW(Expenses!A$3:A$999)-2),5)),0)+IFERROR(INDEX(Income!C$3:C$502,SMALL(IF((Income!D$3:D$502="INR")*(Income!A$3:A$502=DATE(2026,4,18)),ROW(Income!A$3:A$502)-2),5)),0)=0,"",IFERROR(-INDEX(Expenses!D$3:D$999,SMALL(IF((Expenses!E$3:E$999="INR")*(Expenses!A$3:A$999=DATE(2026,4,18)),ROW(Expenses!A$3:A$999)-2),5)),0)+IFERROR(INDEX(Income!C$3:C$502,SMALL(IF((Income!D$3:D$502="INR")*(Income!A$3:A$502=DATE(2026,4,18)),ROW(Income!A$3:A$502)-2),5)),0))</f>
        <v/>
      </c>
      <c r="N83" s="126">
        <f t="array" ref="N83">IF(IFERROR(INDEX(Expenses!B$3:B$999,SMALL(IF((Expenses!E$3:E$999="INR")*(Expenses!A$3:A$999=DATE(2026,4,18)),ROW(Expenses!A$3:A$999)-2),5)),"")&lt;&gt;"",IFERROR(INDEX(Expenses!B$3:B$999,SMALL(IF((Expenses!E$3:E$999="INR")*(Expenses!A$3:A$999=DATE(2026,4,18)),ROW(Expenses!A$3:A$999)-2),5)),""),IF(IFERROR(INDEX(Income!B$3:B$502,SMALL(IF((Income!D$3:D$502="INR")*(Income!A$3:A$502=DATE(2026,4,18)),ROW(Income!A$3:A$502)-2),5)),"")&lt;&gt;"",IFERROR(INDEX(Income!B$3:B$502,SMALL(IF((Income!D$3:D$502="INR")*(Income!A$3:A$502=DATE(2026,4,18)),ROW(Income!A$3:A$502)-2),5)),""),""))</f>
        <v/>
      </c>
      <c r="O83" s="153">
        <f t="array" ref="O83">IF(IFERROR(-INDEX(Expenses!D$3:D$999,SMALL(IF((Expenses!E$3:E$999="INR")*(Expenses!A$3:A$999=DATE(2026,4,19)),ROW(Expenses!A$3:A$999)-2),5)),0)+IFERROR(INDEX(Income!C$3:C$502,SMALL(IF((Income!D$3:D$502="INR")*(Income!A$3:A$502=DATE(2026,4,19)),ROW(Income!A$3:A$502)-2),5)),0)=0,"",IFERROR(-INDEX(Expenses!D$3:D$999,SMALL(IF((Expenses!E$3:E$999="INR")*(Expenses!A$3:A$999=DATE(2026,4,19)),ROW(Expenses!A$3:A$999)-2),5)),0)+IFERROR(INDEX(Income!C$3:C$502,SMALL(IF((Income!D$3:D$502="INR")*(Income!A$3:A$502=DATE(2026,4,19)),ROW(Income!A$3:A$502)-2),5)),0))</f>
        <v/>
      </c>
      <c r="P83" s="126">
        <f t="array" ref="P83">IF(IFERROR(INDEX(Expenses!B$3:B$999,SMALL(IF((Expenses!E$3:E$999="INR")*(Expenses!A$3:A$999=DATE(2026,4,19)),ROW(Expenses!A$3:A$999)-2),5)),"")&lt;&gt;"",IFERROR(INDEX(Expenses!B$3:B$999,SMALL(IF((Expenses!E$3:E$999="INR")*(Expenses!A$3:A$999=DATE(2026,4,19)),ROW(Expenses!A$3:A$999)-2),5)),""),IF(IFERROR(INDEX(Income!B$3:B$502,SMALL(IF((Income!D$3:D$502="INR")*(Income!A$3:A$502=DATE(2026,4,19)),ROW(Income!A$3:A$502)-2),5)),"")&lt;&gt;"",IFERROR(INDEX(Income!B$3:B$502,SMALL(IF((Income!D$3:D$502="INR")*(Income!A$3:A$502=DATE(2026,4,19)),ROW(Income!A$3:A$502)-2),5)),""),""))</f>
        <v/>
      </c>
      <c r="Q83" s="9" t="n"/>
      <c r="R83" s="9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68">
      <c r="A84" s="151" t="n">
        <v>46132</v>
      </c>
      <c r="B84" s="103" t="n">
        <v>17</v>
      </c>
      <c r="C84" s="153">
        <f t="array" ref="C84">IF(IFERROR(-INDEX(Expenses!D$3:D$999,SMALL(IF((Expenses!E$3:E$999="INR")*(Expenses!A$3:A$999=DATE(2026,4,20)),ROW(Expenses!A$3:A$999)-2),1)),0)+IFERROR(INDEX(Income!C$3:C$502,SMALL(IF((Income!D$3:D$502="INR")*(Income!A$3:A$502=DATE(2026,4,20)),ROW(Income!A$3:A$502)-2),1)),0)=0,"",IFERROR(-INDEX(Expenses!D$3:D$999,SMALL(IF((Expenses!E$3:E$999="INR")*(Expenses!A$3:A$999=DATE(2026,4,20)),ROW(Expenses!A$3:A$999)-2),1)),0)+IFERROR(INDEX(Income!C$3:C$502,SMALL(IF((Income!D$3:D$502="INR")*(Income!A$3:A$502=DATE(2026,4,20)),ROW(Income!A$3:A$502)-2),1)),0))</f>
        <v/>
      </c>
      <c r="D84" s="126">
        <f t="array" ref="D84">IF(IFERROR(INDEX(Expenses!B$3:B$999,SMALL(IF((Expenses!E$3:E$999="INR")*(Expenses!A$3:A$999=DATE(2026,4,20)),ROW(Expenses!A$3:A$999)-2),1)),"")&lt;&gt;"",IFERROR(INDEX(Expenses!B$3:B$999,SMALL(IF((Expenses!E$3:E$999="INR")*(Expenses!A$3:A$999=DATE(2026,4,20)),ROW(Expenses!A$3:A$999)-2),1)),""),IF(IFERROR(INDEX(Income!B$3:B$502,SMALL(IF((Income!D$3:D$502="INR")*(Income!A$3:A$502=DATE(2026,4,20)),ROW(Income!A$3:A$502)-2),1)),"")&lt;&gt;"",IFERROR(INDEX(Income!B$3:B$502,SMALL(IF((Income!D$3:D$502="INR")*(Income!A$3:A$502=DATE(2026,4,20)),ROW(Income!A$3:A$502)-2),1)),""),""))</f>
        <v/>
      </c>
      <c r="E84" s="153">
        <f t="array" ref="E84">IF(IFERROR(-INDEX(Expenses!D$3:D$999,SMALL(IF((Expenses!E$3:E$999="INR")*(Expenses!A$3:A$999=DATE(2026,4,21)),ROW(Expenses!A$3:A$999)-2),1)),0)+IFERROR(INDEX(Income!C$3:C$502,SMALL(IF((Income!D$3:D$502="INR")*(Income!A$3:A$502=DATE(2026,4,21)),ROW(Income!A$3:A$502)-2),1)),0)=0,"",IFERROR(-INDEX(Expenses!D$3:D$999,SMALL(IF((Expenses!E$3:E$999="INR")*(Expenses!A$3:A$999=DATE(2026,4,21)),ROW(Expenses!A$3:A$999)-2),1)),0)+IFERROR(INDEX(Income!C$3:C$502,SMALL(IF((Income!D$3:D$502="INR")*(Income!A$3:A$502=DATE(2026,4,21)),ROW(Income!A$3:A$502)-2),1)),0))</f>
        <v/>
      </c>
      <c r="F84" s="126">
        <f t="array" ref="F84">IF(IFERROR(INDEX(Expenses!B$3:B$999,SMALL(IF((Expenses!E$3:E$999="INR")*(Expenses!A$3:A$999=DATE(2026,4,21)),ROW(Expenses!A$3:A$999)-2),1)),"")&lt;&gt;"",IFERROR(INDEX(Expenses!B$3:B$999,SMALL(IF((Expenses!E$3:E$999="INR")*(Expenses!A$3:A$999=DATE(2026,4,21)),ROW(Expenses!A$3:A$999)-2),1)),""),IF(IFERROR(INDEX(Income!B$3:B$502,SMALL(IF((Income!D$3:D$502="INR")*(Income!A$3:A$502=DATE(2026,4,21)),ROW(Income!A$3:A$502)-2),1)),"")&lt;&gt;"",IFERROR(INDEX(Income!B$3:B$502,SMALL(IF((Income!D$3:D$502="INR")*(Income!A$3:A$502=DATE(2026,4,21)),ROW(Income!A$3:A$502)-2),1)),""),""))</f>
        <v/>
      </c>
      <c r="G84" s="153">
        <f t="array" ref="G84">IF(IFERROR(-INDEX(Expenses!D$3:D$999,SMALL(IF((Expenses!E$3:E$999="INR")*(Expenses!A$3:A$999=DATE(2026,4,22)),ROW(Expenses!A$3:A$999)-2),1)),0)+IFERROR(INDEX(Income!C$3:C$502,SMALL(IF((Income!D$3:D$502="INR")*(Income!A$3:A$502=DATE(2026,4,22)),ROW(Income!A$3:A$502)-2),1)),0)=0,"",IFERROR(-INDEX(Expenses!D$3:D$999,SMALL(IF((Expenses!E$3:E$999="INR")*(Expenses!A$3:A$999=DATE(2026,4,22)),ROW(Expenses!A$3:A$999)-2),1)),0)+IFERROR(INDEX(Income!C$3:C$502,SMALL(IF((Income!D$3:D$502="INR")*(Income!A$3:A$502=DATE(2026,4,22)),ROW(Income!A$3:A$502)-2),1)),0))</f>
        <v/>
      </c>
      <c r="H84" s="126">
        <f t="array" ref="H84">IF(IFERROR(INDEX(Expenses!B$3:B$999,SMALL(IF((Expenses!E$3:E$999="INR")*(Expenses!A$3:A$999=DATE(2026,4,22)),ROW(Expenses!A$3:A$999)-2),1)),"")&lt;&gt;"",IFERROR(INDEX(Expenses!B$3:B$999,SMALL(IF((Expenses!E$3:E$999="INR")*(Expenses!A$3:A$999=DATE(2026,4,22)),ROW(Expenses!A$3:A$999)-2),1)),""),IF(IFERROR(INDEX(Income!B$3:B$502,SMALL(IF((Income!D$3:D$502="INR")*(Income!A$3:A$502=DATE(2026,4,22)),ROW(Income!A$3:A$502)-2),1)),"")&lt;&gt;"",IFERROR(INDEX(Income!B$3:B$502,SMALL(IF((Income!D$3:D$502="INR")*(Income!A$3:A$502=DATE(2026,4,22)),ROW(Income!A$3:A$502)-2),1)),""),""))</f>
        <v/>
      </c>
      <c r="I84" s="153">
        <f t="array" ref="I84">IF(IFERROR(-INDEX(Expenses!D$3:D$999,SMALL(IF((Expenses!E$3:E$999="INR")*(Expenses!A$3:A$999=DATE(2026,4,23)),ROW(Expenses!A$3:A$999)-2),1)),0)+IFERROR(INDEX(Income!C$3:C$502,SMALL(IF((Income!D$3:D$502="INR")*(Income!A$3:A$502=DATE(2026,4,23)),ROW(Income!A$3:A$502)-2),1)),0)=0,"",IFERROR(-INDEX(Expenses!D$3:D$999,SMALL(IF((Expenses!E$3:E$999="INR")*(Expenses!A$3:A$999=DATE(2026,4,23)),ROW(Expenses!A$3:A$999)-2),1)),0)+IFERROR(INDEX(Income!C$3:C$502,SMALL(IF((Income!D$3:D$502="INR")*(Income!A$3:A$502=DATE(2026,4,23)),ROW(Income!A$3:A$502)-2),1)),0))</f>
        <v/>
      </c>
      <c r="J84" s="126">
        <f t="array" ref="J84">IF(IFERROR(INDEX(Expenses!B$3:B$999,SMALL(IF((Expenses!E$3:E$999="INR")*(Expenses!A$3:A$999=DATE(2026,4,23)),ROW(Expenses!A$3:A$999)-2),1)),"")&lt;&gt;"",IFERROR(INDEX(Expenses!B$3:B$999,SMALL(IF((Expenses!E$3:E$999="INR")*(Expenses!A$3:A$999=DATE(2026,4,23)),ROW(Expenses!A$3:A$999)-2),1)),""),IF(IFERROR(INDEX(Income!B$3:B$502,SMALL(IF((Income!D$3:D$502="INR")*(Income!A$3:A$502=DATE(2026,4,23)),ROW(Income!A$3:A$502)-2),1)),"")&lt;&gt;"",IFERROR(INDEX(Income!B$3:B$502,SMALL(IF((Income!D$3:D$502="INR")*(Income!A$3:A$502=DATE(2026,4,23)),ROW(Income!A$3:A$502)-2),1)),""),""))</f>
        <v/>
      </c>
      <c r="K84" s="153">
        <f t="array" ref="K84">IF(IFERROR(-INDEX(Expenses!D$3:D$999,SMALL(IF((Expenses!E$3:E$999="INR")*(Expenses!A$3:A$999=DATE(2026,4,24)),ROW(Expenses!A$3:A$999)-2),1)),0)+IFERROR(INDEX(Income!C$3:C$502,SMALL(IF((Income!D$3:D$502="INR")*(Income!A$3:A$502=DATE(2026,4,24)),ROW(Income!A$3:A$502)-2),1)),0)=0,"",IFERROR(-INDEX(Expenses!D$3:D$999,SMALL(IF((Expenses!E$3:E$999="INR")*(Expenses!A$3:A$999=DATE(2026,4,24)),ROW(Expenses!A$3:A$999)-2),1)),0)+IFERROR(INDEX(Income!C$3:C$502,SMALL(IF((Income!D$3:D$502="INR")*(Income!A$3:A$502=DATE(2026,4,24)),ROW(Income!A$3:A$502)-2),1)),0))</f>
        <v/>
      </c>
      <c r="L84" s="126">
        <f t="array" ref="L84">IF(IFERROR(INDEX(Expenses!B$3:B$999,SMALL(IF((Expenses!E$3:E$999="INR")*(Expenses!A$3:A$999=DATE(2026,4,24)),ROW(Expenses!A$3:A$999)-2),1)),"")&lt;&gt;"",IFERROR(INDEX(Expenses!B$3:B$999,SMALL(IF((Expenses!E$3:E$999="INR")*(Expenses!A$3:A$999=DATE(2026,4,24)),ROW(Expenses!A$3:A$999)-2),1)),""),IF(IFERROR(INDEX(Income!B$3:B$502,SMALL(IF((Income!D$3:D$502="INR")*(Income!A$3:A$502=DATE(2026,4,24)),ROW(Income!A$3:A$502)-2),1)),"")&lt;&gt;"",IFERROR(INDEX(Income!B$3:B$502,SMALL(IF((Income!D$3:D$502="INR")*(Income!A$3:A$502=DATE(2026,4,24)),ROW(Income!A$3:A$502)-2),1)),""),""))</f>
        <v/>
      </c>
      <c r="M84" s="153">
        <f t="array" ref="M84">IF(IFERROR(-INDEX(Expenses!D$3:D$999,SMALL(IF((Expenses!E$3:E$999="INR")*(Expenses!A$3:A$999=DATE(2026,4,25)),ROW(Expenses!A$3:A$999)-2),1)),0)+IFERROR(INDEX(Income!C$3:C$502,SMALL(IF((Income!D$3:D$502="INR")*(Income!A$3:A$502=DATE(2026,4,25)),ROW(Income!A$3:A$502)-2),1)),0)=0,"",IFERROR(-INDEX(Expenses!D$3:D$999,SMALL(IF((Expenses!E$3:E$999="INR")*(Expenses!A$3:A$999=DATE(2026,4,25)),ROW(Expenses!A$3:A$999)-2),1)),0)+IFERROR(INDEX(Income!C$3:C$502,SMALL(IF((Income!D$3:D$502="INR")*(Income!A$3:A$502=DATE(2026,4,25)),ROW(Income!A$3:A$502)-2),1)),0))</f>
        <v/>
      </c>
      <c r="N84" s="126">
        <f t="array" ref="N84">IF(IFERROR(INDEX(Expenses!B$3:B$999,SMALL(IF((Expenses!E$3:E$999="INR")*(Expenses!A$3:A$999=DATE(2026,4,25)),ROW(Expenses!A$3:A$999)-2),1)),"")&lt;&gt;"",IFERROR(INDEX(Expenses!B$3:B$999,SMALL(IF((Expenses!E$3:E$999="INR")*(Expenses!A$3:A$999=DATE(2026,4,25)),ROW(Expenses!A$3:A$999)-2),1)),""),IF(IFERROR(INDEX(Income!B$3:B$502,SMALL(IF((Income!D$3:D$502="INR")*(Income!A$3:A$502=DATE(2026,4,25)),ROW(Income!A$3:A$502)-2),1)),"")&lt;&gt;"",IFERROR(INDEX(Income!B$3:B$502,SMALL(IF((Income!D$3:D$502="INR")*(Income!A$3:A$502=DATE(2026,4,25)),ROW(Income!A$3:A$502)-2),1)),""),""))</f>
        <v/>
      </c>
      <c r="O84" s="153">
        <f t="array" ref="O84">IF(IFERROR(-INDEX(Expenses!D$3:D$999,SMALL(IF((Expenses!E$3:E$999="INR")*(Expenses!A$3:A$999=DATE(2026,4,26)),ROW(Expenses!A$3:A$999)-2),1)),0)+IFERROR(INDEX(Income!C$3:C$502,SMALL(IF((Income!D$3:D$502="INR")*(Income!A$3:A$502=DATE(2026,4,26)),ROW(Income!A$3:A$502)-2),1)),0)=0,"",IFERROR(-INDEX(Expenses!D$3:D$999,SMALL(IF((Expenses!E$3:E$999="INR")*(Expenses!A$3:A$999=DATE(2026,4,26)),ROW(Expenses!A$3:A$999)-2),1)),0)+IFERROR(INDEX(Income!C$3:C$502,SMALL(IF((Income!D$3:D$502="INR")*(Income!A$3:A$502=DATE(2026,4,26)),ROW(Income!A$3:A$502)-2),1)),0))</f>
        <v/>
      </c>
      <c r="P84" s="126">
        <f t="array" ref="P84">IF(IFERROR(INDEX(Expenses!B$3:B$999,SMALL(IF((Expenses!E$3:E$999="INR")*(Expenses!A$3:A$999=DATE(2026,4,26)),ROW(Expenses!A$3:A$999)-2),1)),"")&lt;&gt;"",IFERROR(INDEX(Expenses!B$3:B$999,SMALL(IF((Expenses!E$3:E$999="INR")*(Expenses!A$3:A$999=DATE(2026,4,26)),ROW(Expenses!A$3:A$999)-2),1)),""),IF(IFERROR(INDEX(Income!B$3:B$502,SMALL(IF((Income!D$3:D$502="INR")*(Income!A$3:A$502=DATE(2026,4,26)),ROW(Income!A$3:A$502)-2),1)),"")&lt;&gt;"",IFERROR(INDEX(Income!B$3:B$502,SMALL(IF((Income!D$3:D$502="INR")*(Income!A$3:A$502=DATE(2026,4,26)),ROW(Income!A$3:A$502)-2),1)),""),""))</f>
        <v/>
      </c>
      <c r="Q84" s="103" t="n">
        <v>17</v>
      </c>
      <c r="R84" s="142">
        <f>SUM(C84:C88)+SUM(E84:E88)+SUM(G84:G88)+SUM(I84:I88)+SUM(K84:K88)+SUM(M84:M88)+SUM(O84:O88)</f>
        <v/>
      </c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68">
      <c r="A85" s="9" t="n"/>
      <c r="B85" s="9" t="n"/>
      <c r="C85" s="153">
        <f t="array" ref="C85">IF(IFERROR(-INDEX(Expenses!D$3:D$999,SMALL(IF((Expenses!E$3:E$999="INR")*(Expenses!A$3:A$999=DATE(2026,4,20)),ROW(Expenses!A$3:A$999)-2),2)),0)+IFERROR(INDEX(Income!C$3:C$502,SMALL(IF((Income!D$3:D$502="INR")*(Income!A$3:A$502=DATE(2026,4,20)),ROW(Income!A$3:A$502)-2),2)),0)=0,"",IFERROR(-INDEX(Expenses!D$3:D$999,SMALL(IF((Expenses!E$3:E$999="INR")*(Expenses!A$3:A$999=DATE(2026,4,20)),ROW(Expenses!A$3:A$999)-2),2)),0)+IFERROR(INDEX(Income!C$3:C$502,SMALL(IF((Income!D$3:D$502="INR")*(Income!A$3:A$502=DATE(2026,4,20)),ROW(Income!A$3:A$502)-2),2)),0))</f>
        <v/>
      </c>
      <c r="D85" s="126">
        <f t="array" ref="D85">IF(IFERROR(INDEX(Expenses!B$3:B$999,SMALL(IF((Expenses!E$3:E$999="INR")*(Expenses!A$3:A$999=DATE(2026,4,20)),ROW(Expenses!A$3:A$999)-2),2)),"")&lt;&gt;"",IFERROR(INDEX(Expenses!B$3:B$999,SMALL(IF((Expenses!E$3:E$999="INR")*(Expenses!A$3:A$999=DATE(2026,4,20)),ROW(Expenses!A$3:A$999)-2),2)),""),IF(IFERROR(INDEX(Income!B$3:B$502,SMALL(IF((Income!D$3:D$502="INR")*(Income!A$3:A$502=DATE(2026,4,20)),ROW(Income!A$3:A$502)-2),2)),"")&lt;&gt;"",IFERROR(INDEX(Income!B$3:B$502,SMALL(IF((Income!D$3:D$502="INR")*(Income!A$3:A$502=DATE(2026,4,20)),ROW(Income!A$3:A$502)-2),2)),""),""))</f>
        <v/>
      </c>
      <c r="E85" s="153">
        <f t="array" ref="E85">IF(IFERROR(-INDEX(Expenses!D$3:D$999,SMALL(IF((Expenses!E$3:E$999="INR")*(Expenses!A$3:A$999=DATE(2026,4,21)),ROW(Expenses!A$3:A$999)-2),2)),0)+IFERROR(INDEX(Income!C$3:C$502,SMALL(IF((Income!D$3:D$502="INR")*(Income!A$3:A$502=DATE(2026,4,21)),ROW(Income!A$3:A$502)-2),2)),0)=0,"",IFERROR(-INDEX(Expenses!D$3:D$999,SMALL(IF((Expenses!E$3:E$999="INR")*(Expenses!A$3:A$999=DATE(2026,4,21)),ROW(Expenses!A$3:A$999)-2),2)),0)+IFERROR(INDEX(Income!C$3:C$502,SMALL(IF((Income!D$3:D$502="INR")*(Income!A$3:A$502=DATE(2026,4,21)),ROW(Income!A$3:A$502)-2),2)),0))</f>
        <v/>
      </c>
      <c r="F85" s="126">
        <f t="array" ref="F85">IF(IFERROR(INDEX(Expenses!B$3:B$999,SMALL(IF((Expenses!E$3:E$999="INR")*(Expenses!A$3:A$999=DATE(2026,4,21)),ROW(Expenses!A$3:A$999)-2),2)),"")&lt;&gt;"",IFERROR(INDEX(Expenses!B$3:B$999,SMALL(IF((Expenses!E$3:E$999="INR")*(Expenses!A$3:A$999=DATE(2026,4,21)),ROW(Expenses!A$3:A$999)-2),2)),""),IF(IFERROR(INDEX(Income!B$3:B$502,SMALL(IF((Income!D$3:D$502="INR")*(Income!A$3:A$502=DATE(2026,4,21)),ROW(Income!A$3:A$502)-2),2)),"")&lt;&gt;"",IFERROR(INDEX(Income!B$3:B$502,SMALL(IF((Income!D$3:D$502="INR")*(Income!A$3:A$502=DATE(2026,4,21)),ROW(Income!A$3:A$502)-2),2)),""),""))</f>
        <v/>
      </c>
      <c r="G85" s="153">
        <f t="array" ref="G85">IF(IFERROR(-INDEX(Expenses!D$3:D$999,SMALL(IF((Expenses!E$3:E$999="INR")*(Expenses!A$3:A$999=DATE(2026,4,22)),ROW(Expenses!A$3:A$999)-2),2)),0)+IFERROR(INDEX(Income!C$3:C$502,SMALL(IF((Income!D$3:D$502="INR")*(Income!A$3:A$502=DATE(2026,4,22)),ROW(Income!A$3:A$502)-2),2)),0)=0,"",IFERROR(-INDEX(Expenses!D$3:D$999,SMALL(IF((Expenses!E$3:E$999="INR")*(Expenses!A$3:A$999=DATE(2026,4,22)),ROW(Expenses!A$3:A$999)-2),2)),0)+IFERROR(INDEX(Income!C$3:C$502,SMALL(IF((Income!D$3:D$502="INR")*(Income!A$3:A$502=DATE(2026,4,22)),ROW(Income!A$3:A$502)-2),2)),0))</f>
        <v/>
      </c>
      <c r="H85" s="126">
        <f t="array" ref="H85">IF(IFERROR(INDEX(Expenses!B$3:B$999,SMALL(IF((Expenses!E$3:E$999="INR")*(Expenses!A$3:A$999=DATE(2026,4,22)),ROW(Expenses!A$3:A$999)-2),2)),"")&lt;&gt;"",IFERROR(INDEX(Expenses!B$3:B$999,SMALL(IF((Expenses!E$3:E$999="INR")*(Expenses!A$3:A$999=DATE(2026,4,22)),ROW(Expenses!A$3:A$999)-2),2)),""),IF(IFERROR(INDEX(Income!B$3:B$502,SMALL(IF((Income!D$3:D$502="INR")*(Income!A$3:A$502=DATE(2026,4,22)),ROW(Income!A$3:A$502)-2),2)),"")&lt;&gt;"",IFERROR(INDEX(Income!B$3:B$502,SMALL(IF((Income!D$3:D$502="INR")*(Income!A$3:A$502=DATE(2026,4,22)),ROW(Income!A$3:A$502)-2),2)),""),""))</f>
        <v/>
      </c>
      <c r="I85" s="153">
        <f t="array" ref="I85">IF(IFERROR(-INDEX(Expenses!D$3:D$999,SMALL(IF((Expenses!E$3:E$999="INR")*(Expenses!A$3:A$999=DATE(2026,4,23)),ROW(Expenses!A$3:A$999)-2),2)),0)+IFERROR(INDEX(Income!C$3:C$502,SMALL(IF((Income!D$3:D$502="INR")*(Income!A$3:A$502=DATE(2026,4,23)),ROW(Income!A$3:A$502)-2),2)),0)=0,"",IFERROR(-INDEX(Expenses!D$3:D$999,SMALL(IF((Expenses!E$3:E$999="INR")*(Expenses!A$3:A$999=DATE(2026,4,23)),ROW(Expenses!A$3:A$999)-2),2)),0)+IFERROR(INDEX(Income!C$3:C$502,SMALL(IF((Income!D$3:D$502="INR")*(Income!A$3:A$502=DATE(2026,4,23)),ROW(Income!A$3:A$502)-2),2)),0))</f>
        <v/>
      </c>
      <c r="J85" s="126">
        <f t="array" ref="J85">IF(IFERROR(INDEX(Expenses!B$3:B$999,SMALL(IF((Expenses!E$3:E$999="INR")*(Expenses!A$3:A$999=DATE(2026,4,23)),ROW(Expenses!A$3:A$999)-2),2)),"")&lt;&gt;"",IFERROR(INDEX(Expenses!B$3:B$999,SMALL(IF((Expenses!E$3:E$999="INR")*(Expenses!A$3:A$999=DATE(2026,4,23)),ROW(Expenses!A$3:A$999)-2),2)),""),IF(IFERROR(INDEX(Income!B$3:B$502,SMALL(IF((Income!D$3:D$502="INR")*(Income!A$3:A$502=DATE(2026,4,23)),ROW(Income!A$3:A$502)-2),2)),"")&lt;&gt;"",IFERROR(INDEX(Income!B$3:B$502,SMALL(IF((Income!D$3:D$502="INR")*(Income!A$3:A$502=DATE(2026,4,23)),ROW(Income!A$3:A$502)-2),2)),""),""))</f>
        <v/>
      </c>
      <c r="K85" s="153">
        <f t="array" ref="K85">IF(IFERROR(-INDEX(Expenses!D$3:D$999,SMALL(IF((Expenses!E$3:E$999="INR")*(Expenses!A$3:A$999=DATE(2026,4,24)),ROW(Expenses!A$3:A$999)-2),2)),0)+IFERROR(INDEX(Income!C$3:C$502,SMALL(IF((Income!D$3:D$502="INR")*(Income!A$3:A$502=DATE(2026,4,24)),ROW(Income!A$3:A$502)-2),2)),0)=0,"",IFERROR(-INDEX(Expenses!D$3:D$999,SMALL(IF((Expenses!E$3:E$999="INR")*(Expenses!A$3:A$999=DATE(2026,4,24)),ROW(Expenses!A$3:A$999)-2),2)),0)+IFERROR(INDEX(Income!C$3:C$502,SMALL(IF((Income!D$3:D$502="INR")*(Income!A$3:A$502=DATE(2026,4,24)),ROW(Income!A$3:A$502)-2),2)),0))</f>
        <v/>
      </c>
      <c r="L85" s="126">
        <f t="array" ref="L85">IF(IFERROR(INDEX(Expenses!B$3:B$999,SMALL(IF((Expenses!E$3:E$999="INR")*(Expenses!A$3:A$999=DATE(2026,4,24)),ROW(Expenses!A$3:A$999)-2),2)),"")&lt;&gt;"",IFERROR(INDEX(Expenses!B$3:B$999,SMALL(IF((Expenses!E$3:E$999="INR")*(Expenses!A$3:A$999=DATE(2026,4,24)),ROW(Expenses!A$3:A$999)-2),2)),""),IF(IFERROR(INDEX(Income!B$3:B$502,SMALL(IF((Income!D$3:D$502="INR")*(Income!A$3:A$502=DATE(2026,4,24)),ROW(Income!A$3:A$502)-2),2)),"")&lt;&gt;"",IFERROR(INDEX(Income!B$3:B$502,SMALL(IF((Income!D$3:D$502="INR")*(Income!A$3:A$502=DATE(2026,4,24)),ROW(Income!A$3:A$502)-2),2)),""),""))</f>
        <v/>
      </c>
      <c r="M85" s="153">
        <f t="array" ref="M85">IF(IFERROR(-INDEX(Expenses!D$3:D$999,SMALL(IF((Expenses!E$3:E$999="INR")*(Expenses!A$3:A$999=DATE(2026,4,25)),ROW(Expenses!A$3:A$999)-2),2)),0)+IFERROR(INDEX(Income!C$3:C$502,SMALL(IF((Income!D$3:D$502="INR")*(Income!A$3:A$502=DATE(2026,4,25)),ROW(Income!A$3:A$502)-2),2)),0)=0,"",IFERROR(-INDEX(Expenses!D$3:D$999,SMALL(IF((Expenses!E$3:E$999="INR")*(Expenses!A$3:A$999=DATE(2026,4,25)),ROW(Expenses!A$3:A$999)-2),2)),0)+IFERROR(INDEX(Income!C$3:C$502,SMALL(IF((Income!D$3:D$502="INR")*(Income!A$3:A$502=DATE(2026,4,25)),ROW(Income!A$3:A$502)-2),2)),0))</f>
        <v/>
      </c>
      <c r="N85" s="126">
        <f t="array" ref="N85">IF(IFERROR(INDEX(Expenses!B$3:B$999,SMALL(IF((Expenses!E$3:E$999="INR")*(Expenses!A$3:A$999=DATE(2026,4,25)),ROW(Expenses!A$3:A$999)-2),2)),"")&lt;&gt;"",IFERROR(INDEX(Expenses!B$3:B$999,SMALL(IF((Expenses!E$3:E$999="INR")*(Expenses!A$3:A$999=DATE(2026,4,25)),ROW(Expenses!A$3:A$999)-2),2)),""),IF(IFERROR(INDEX(Income!B$3:B$502,SMALL(IF((Income!D$3:D$502="INR")*(Income!A$3:A$502=DATE(2026,4,25)),ROW(Income!A$3:A$502)-2),2)),"")&lt;&gt;"",IFERROR(INDEX(Income!B$3:B$502,SMALL(IF((Income!D$3:D$502="INR")*(Income!A$3:A$502=DATE(2026,4,25)),ROW(Income!A$3:A$502)-2),2)),""),""))</f>
        <v/>
      </c>
      <c r="O85" s="153">
        <f t="array" ref="O85">IF(IFERROR(-INDEX(Expenses!D$3:D$999,SMALL(IF((Expenses!E$3:E$999="INR")*(Expenses!A$3:A$999=DATE(2026,4,26)),ROW(Expenses!A$3:A$999)-2),2)),0)+IFERROR(INDEX(Income!C$3:C$502,SMALL(IF((Income!D$3:D$502="INR")*(Income!A$3:A$502=DATE(2026,4,26)),ROW(Income!A$3:A$502)-2),2)),0)=0,"",IFERROR(-INDEX(Expenses!D$3:D$999,SMALL(IF((Expenses!E$3:E$999="INR")*(Expenses!A$3:A$999=DATE(2026,4,26)),ROW(Expenses!A$3:A$999)-2),2)),0)+IFERROR(INDEX(Income!C$3:C$502,SMALL(IF((Income!D$3:D$502="INR")*(Income!A$3:A$502=DATE(2026,4,26)),ROW(Income!A$3:A$502)-2),2)),0))</f>
        <v/>
      </c>
      <c r="P85" s="126">
        <f t="array" ref="P85">IF(IFERROR(INDEX(Expenses!B$3:B$999,SMALL(IF((Expenses!E$3:E$999="INR")*(Expenses!A$3:A$999=DATE(2026,4,26)),ROW(Expenses!A$3:A$999)-2),2)),"")&lt;&gt;"",IFERROR(INDEX(Expenses!B$3:B$999,SMALL(IF((Expenses!E$3:E$999="INR")*(Expenses!A$3:A$999=DATE(2026,4,26)),ROW(Expenses!A$3:A$999)-2),2)),""),IF(IFERROR(INDEX(Income!B$3:B$502,SMALL(IF((Income!D$3:D$502="INR")*(Income!A$3:A$502=DATE(2026,4,26)),ROW(Income!A$3:A$502)-2),2)),"")&lt;&gt;"",IFERROR(INDEX(Income!B$3:B$502,SMALL(IF((Income!D$3:D$502="INR")*(Income!A$3:A$502=DATE(2026,4,26)),ROW(Income!A$3:A$502)-2),2)),""),""))</f>
        <v/>
      </c>
      <c r="Q85" s="9" t="n"/>
      <c r="R85" s="9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68">
      <c r="A86" s="9" t="n"/>
      <c r="B86" s="9" t="n"/>
      <c r="C86" s="153">
        <f t="array" ref="C86">IF(IFERROR(-INDEX(Expenses!D$3:D$999,SMALL(IF((Expenses!E$3:E$999="INR")*(Expenses!A$3:A$999=DATE(2026,4,20)),ROW(Expenses!A$3:A$999)-2),3)),0)+IFERROR(INDEX(Income!C$3:C$502,SMALL(IF((Income!D$3:D$502="INR")*(Income!A$3:A$502=DATE(2026,4,20)),ROW(Income!A$3:A$502)-2),3)),0)=0,"",IFERROR(-INDEX(Expenses!D$3:D$999,SMALL(IF((Expenses!E$3:E$999="INR")*(Expenses!A$3:A$999=DATE(2026,4,20)),ROW(Expenses!A$3:A$999)-2),3)),0)+IFERROR(INDEX(Income!C$3:C$502,SMALL(IF((Income!D$3:D$502="INR")*(Income!A$3:A$502=DATE(2026,4,20)),ROW(Income!A$3:A$502)-2),3)),0))</f>
        <v/>
      </c>
      <c r="D86" s="126">
        <f t="array" ref="D86">IF(IFERROR(INDEX(Expenses!B$3:B$999,SMALL(IF((Expenses!E$3:E$999="INR")*(Expenses!A$3:A$999=DATE(2026,4,20)),ROW(Expenses!A$3:A$999)-2),3)),"")&lt;&gt;"",IFERROR(INDEX(Expenses!B$3:B$999,SMALL(IF((Expenses!E$3:E$999="INR")*(Expenses!A$3:A$999=DATE(2026,4,20)),ROW(Expenses!A$3:A$999)-2),3)),""),IF(IFERROR(INDEX(Income!B$3:B$502,SMALL(IF((Income!D$3:D$502="INR")*(Income!A$3:A$502=DATE(2026,4,20)),ROW(Income!A$3:A$502)-2),3)),"")&lt;&gt;"",IFERROR(INDEX(Income!B$3:B$502,SMALL(IF((Income!D$3:D$502="INR")*(Income!A$3:A$502=DATE(2026,4,20)),ROW(Income!A$3:A$502)-2),3)),""),""))</f>
        <v/>
      </c>
      <c r="E86" s="153">
        <f t="array" ref="E86">IF(IFERROR(-INDEX(Expenses!D$3:D$999,SMALL(IF((Expenses!E$3:E$999="INR")*(Expenses!A$3:A$999=DATE(2026,4,21)),ROW(Expenses!A$3:A$999)-2),3)),0)+IFERROR(INDEX(Income!C$3:C$502,SMALL(IF((Income!D$3:D$502="INR")*(Income!A$3:A$502=DATE(2026,4,21)),ROW(Income!A$3:A$502)-2),3)),0)=0,"",IFERROR(-INDEX(Expenses!D$3:D$999,SMALL(IF((Expenses!E$3:E$999="INR")*(Expenses!A$3:A$999=DATE(2026,4,21)),ROW(Expenses!A$3:A$999)-2),3)),0)+IFERROR(INDEX(Income!C$3:C$502,SMALL(IF((Income!D$3:D$502="INR")*(Income!A$3:A$502=DATE(2026,4,21)),ROW(Income!A$3:A$502)-2),3)),0))</f>
        <v/>
      </c>
      <c r="F86" s="126">
        <f t="array" ref="F86">IF(IFERROR(INDEX(Expenses!B$3:B$999,SMALL(IF((Expenses!E$3:E$999="INR")*(Expenses!A$3:A$999=DATE(2026,4,21)),ROW(Expenses!A$3:A$999)-2),3)),"")&lt;&gt;"",IFERROR(INDEX(Expenses!B$3:B$999,SMALL(IF((Expenses!E$3:E$999="INR")*(Expenses!A$3:A$999=DATE(2026,4,21)),ROW(Expenses!A$3:A$999)-2),3)),""),IF(IFERROR(INDEX(Income!B$3:B$502,SMALL(IF((Income!D$3:D$502="INR")*(Income!A$3:A$502=DATE(2026,4,21)),ROW(Income!A$3:A$502)-2),3)),"")&lt;&gt;"",IFERROR(INDEX(Income!B$3:B$502,SMALL(IF((Income!D$3:D$502="INR")*(Income!A$3:A$502=DATE(2026,4,21)),ROW(Income!A$3:A$502)-2),3)),""),""))</f>
        <v/>
      </c>
      <c r="G86" s="153">
        <f t="array" ref="G86">IF(IFERROR(-INDEX(Expenses!D$3:D$999,SMALL(IF((Expenses!E$3:E$999="INR")*(Expenses!A$3:A$999=DATE(2026,4,22)),ROW(Expenses!A$3:A$999)-2),3)),0)+IFERROR(INDEX(Income!C$3:C$502,SMALL(IF((Income!D$3:D$502="INR")*(Income!A$3:A$502=DATE(2026,4,22)),ROW(Income!A$3:A$502)-2),3)),0)=0,"",IFERROR(-INDEX(Expenses!D$3:D$999,SMALL(IF((Expenses!E$3:E$999="INR")*(Expenses!A$3:A$999=DATE(2026,4,22)),ROW(Expenses!A$3:A$999)-2),3)),0)+IFERROR(INDEX(Income!C$3:C$502,SMALL(IF((Income!D$3:D$502="INR")*(Income!A$3:A$502=DATE(2026,4,22)),ROW(Income!A$3:A$502)-2),3)),0))</f>
        <v/>
      </c>
      <c r="H86" s="126">
        <f t="array" ref="H86">IF(IFERROR(INDEX(Expenses!B$3:B$999,SMALL(IF((Expenses!E$3:E$999="INR")*(Expenses!A$3:A$999=DATE(2026,4,22)),ROW(Expenses!A$3:A$999)-2),3)),"")&lt;&gt;"",IFERROR(INDEX(Expenses!B$3:B$999,SMALL(IF((Expenses!E$3:E$999="INR")*(Expenses!A$3:A$999=DATE(2026,4,22)),ROW(Expenses!A$3:A$999)-2),3)),""),IF(IFERROR(INDEX(Income!B$3:B$502,SMALL(IF((Income!D$3:D$502="INR")*(Income!A$3:A$502=DATE(2026,4,22)),ROW(Income!A$3:A$502)-2),3)),"")&lt;&gt;"",IFERROR(INDEX(Income!B$3:B$502,SMALL(IF((Income!D$3:D$502="INR")*(Income!A$3:A$502=DATE(2026,4,22)),ROW(Income!A$3:A$502)-2),3)),""),""))</f>
        <v/>
      </c>
      <c r="I86" s="153">
        <f t="array" ref="I86">IF(IFERROR(-INDEX(Expenses!D$3:D$999,SMALL(IF((Expenses!E$3:E$999="INR")*(Expenses!A$3:A$999=DATE(2026,4,23)),ROW(Expenses!A$3:A$999)-2),3)),0)+IFERROR(INDEX(Income!C$3:C$502,SMALL(IF((Income!D$3:D$502="INR")*(Income!A$3:A$502=DATE(2026,4,23)),ROW(Income!A$3:A$502)-2),3)),0)=0,"",IFERROR(-INDEX(Expenses!D$3:D$999,SMALL(IF((Expenses!E$3:E$999="INR")*(Expenses!A$3:A$999=DATE(2026,4,23)),ROW(Expenses!A$3:A$999)-2),3)),0)+IFERROR(INDEX(Income!C$3:C$502,SMALL(IF((Income!D$3:D$502="INR")*(Income!A$3:A$502=DATE(2026,4,23)),ROW(Income!A$3:A$502)-2),3)),0))</f>
        <v/>
      </c>
      <c r="J86" s="126">
        <f t="array" ref="J86">IF(IFERROR(INDEX(Expenses!B$3:B$999,SMALL(IF((Expenses!E$3:E$999="INR")*(Expenses!A$3:A$999=DATE(2026,4,23)),ROW(Expenses!A$3:A$999)-2),3)),"")&lt;&gt;"",IFERROR(INDEX(Expenses!B$3:B$999,SMALL(IF((Expenses!E$3:E$999="INR")*(Expenses!A$3:A$999=DATE(2026,4,23)),ROW(Expenses!A$3:A$999)-2),3)),""),IF(IFERROR(INDEX(Income!B$3:B$502,SMALL(IF((Income!D$3:D$502="INR")*(Income!A$3:A$502=DATE(2026,4,23)),ROW(Income!A$3:A$502)-2),3)),"")&lt;&gt;"",IFERROR(INDEX(Income!B$3:B$502,SMALL(IF((Income!D$3:D$502="INR")*(Income!A$3:A$502=DATE(2026,4,23)),ROW(Income!A$3:A$502)-2),3)),""),""))</f>
        <v/>
      </c>
      <c r="K86" s="153">
        <f t="array" ref="K86">IF(IFERROR(-INDEX(Expenses!D$3:D$999,SMALL(IF((Expenses!E$3:E$999="INR")*(Expenses!A$3:A$999=DATE(2026,4,24)),ROW(Expenses!A$3:A$999)-2),3)),0)+IFERROR(INDEX(Income!C$3:C$502,SMALL(IF((Income!D$3:D$502="INR")*(Income!A$3:A$502=DATE(2026,4,24)),ROW(Income!A$3:A$502)-2),3)),0)=0,"",IFERROR(-INDEX(Expenses!D$3:D$999,SMALL(IF((Expenses!E$3:E$999="INR")*(Expenses!A$3:A$999=DATE(2026,4,24)),ROW(Expenses!A$3:A$999)-2),3)),0)+IFERROR(INDEX(Income!C$3:C$502,SMALL(IF((Income!D$3:D$502="INR")*(Income!A$3:A$502=DATE(2026,4,24)),ROW(Income!A$3:A$502)-2),3)),0))</f>
        <v/>
      </c>
      <c r="L86" s="126">
        <f t="array" ref="L86">IF(IFERROR(INDEX(Expenses!B$3:B$999,SMALL(IF((Expenses!E$3:E$999="INR")*(Expenses!A$3:A$999=DATE(2026,4,24)),ROW(Expenses!A$3:A$999)-2),3)),"")&lt;&gt;"",IFERROR(INDEX(Expenses!B$3:B$999,SMALL(IF((Expenses!E$3:E$999="INR")*(Expenses!A$3:A$999=DATE(2026,4,24)),ROW(Expenses!A$3:A$999)-2),3)),""),IF(IFERROR(INDEX(Income!B$3:B$502,SMALL(IF((Income!D$3:D$502="INR")*(Income!A$3:A$502=DATE(2026,4,24)),ROW(Income!A$3:A$502)-2),3)),"")&lt;&gt;"",IFERROR(INDEX(Income!B$3:B$502,SMALL(IF((Income!D$3:D$502="INR")*(Income!A$3:A$502=DATE(2026,4,24)),ROW(Income!A$3:A$502)-2),3)),""),""))</f>
        <v/>
      </c>
      <c r="M86" s="153">
        <f t="array" ref="M86">IF(IFERROR(-INDEX(Expenses!D$3:D$999,SMALL(IF((Expenses!E$3:E$999="INR")*(Expenses!A$3:A$999=DATE(2026,4,25)),ROW(Expenses!A$3:A$999)-2),3)),0)+IFERROR(INDEX(Income!C$3:C$502,SMALL(IF((Income!D$3:D$502="INR")*(Income!A$3:A$502=DATE(2026,4,25)),ROW(Income!A$3:A$502)-2),3)),0)=0,"",IFERROR(-INDEX(Expenses!D$3:D$999,SMALL(IF((Expenses!E$3:E$999="INR")*(Expenses!A$3:A$999=DATE(2026,4,25)),ROW(Expenses!A$3:A$999)-2),3)),0)+IFERROR(INDEX(Income!C$3:C$502,SMALL(IF((Income!D$3:D$502="INR")*(Income!A$3:A$502=DATE(2026,4,25)),ROW(Income!A$3:A$502)-2),3)),0))</f>
        <v/>
      </c>
      <c r="N86" s="126">
        <f t="array" ref="N86">IF(IFERROR(INDEX(Expenses!B$3:B$999,SMALL(IF((Expenses!E$3:E$999="INR")*(Expenses!A$3:A$999=DATE(2026,4,25)),ROW(Expenses!A$3:A$999)-2),3)),"")&lt;&gt;"",IFERROR(INDEX(Expenses!B$3:B$999,SMALL(IF((Expenses!E$3:E$999="INR")*(Expenses!A$3:A$999=DATE(2026,4,25)),ROW(Expenses!A$3:A$999)-2),3)),""),IF(IFERROR(INDEX(Income!B$3:B$502,SMALL(IF((Income!D$3:D$502="INR")*(Income!A$3:A$502=DATE(2026,4,25)),ROW(Income!A$3:A$502)-2),3)),"")&lt;&gt;"",IFERROR(INDEX(Income!B$3:B$502,SMALL(IF((Income!D$3:D$502="INR")*(Income!A$3:A$502=DATE(2026,4,25)),ROW(Income!A$3:A$502)-2),3)),""),""))</f>
        <v/>
      </c>
      <c r="O86" s="153">
        <f t="array" ref="O86">IF(IFERROR(-INDEX(Expenses!D$3:D$999,SMALL(IF((Expenses!E$3:E$999="INR")*(Expenses!A$3:A$999=DATE(2026,4,26)),ROW(Expenses!A$3:A$999)-2),3)),0)+IFERROR(INDEX(Income!C$3:C$502,SMALL(IF((Income!D$3:D$502="INR")*(Income!A$3:A$502=DATE(2026,4,26)),ROW(Income!A$3:A$502)-2),3)),0)=0,"",IFERROR(-INDEX(Expenses!D$3:D$999,SMALL(IF((Expenses!E$3:E$999="INR")*(Expenses!A$3:A$999=DATE(2026,4,26)),ROW(Expenses!A$3:A$999)-2),3)),0)+IFERROR(INDEX(Income!C$3:C$502,SMALL(IF((Income!D$3:D$502="INR")*(Income!A$3:A$502=DATE(2026,4,26)),ROW(Income!A$3:A$502)-2),3)),0))</f>
        <v/>
      </c>
      <c r="P86" s="126">
        <f t="array" ref="P86">IF(IFERROR(INDEX(Expenses!B$3:B$999,SMALL(IF((Expenses!E$3:E$999="INR")*(Expenses!A$3:A$999=DATE(2026,4,26)),ROW(Expenses!A$3:A$999)-2),3)),"")&lt;&gt;"",IFERROR(INDEX(Expenses!B$3:B$999,SMALL(IF((Expenses!E$3:E$999="INR")*(Expenses!A$3:A$999=DATE(2026,4,26)),ROW(Expenses!A$3:A$999)-2),3)),""),IF(IFERROR(INDEX(Income!B$3:B$502,SMALL(IF((Income!D$3:D$502="INR")*(Income!A$3:A$502=DATE(2026,4,26)),ROW(Income!A$3:A$502)-2),3)),"")&lt;&gt;"",IFERROR(INDEX(Income!B$3:B$502,SMALL(IF((Income!D$3:D$502="INR")*(Income!A$3:A$502=DATE(2026,4,26)),ROW(Income!A$3:A$502)-2),3)),""),""))</f>
        <v/>
      </c>
      <c r="Q86" s="9" t="n"/>
      <c r="R86" s="9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68">
      <c r="A87" s="9" t="n"/>
      <c r="B87" s="9" t="n"/>
      <c r="C87" s="153">
        <f t="array" ref="C87">IF(IFERROR(-INDEX(Expenses!D$3:D$999,SMALL(IF((Expenses!E$3:E$999="INR")*(Expenses!A$3:A$999=DATE(2026,4,20)),ROW(Expenses!A$3:A$999)-2),4)),0)+IFERROR(INDEX(Income!C$3:C$502,SMALL(IF((Income!D$3:D$502="INR")*(Income!A$3:A$502=DATE(2026,4,20)),ROW(Income!A$3:A$502)-2),4)),0)=0,"",IFERROR(-INDEX(Expenses!D$3:D$999,SMALL(IF((Expenses!E$3:E$999="INR")*(Expenses!A$3:A$999=DATE(2026,4,20)),ROW(Expenses!A$3:A$999)-2),4)),0)+IFERROR(INDEX(Income!C$3:C$502,SMALL(IF((Income!D$3:D$502="INR")*(Income!A$3:A$502=DATE(2026,4,20)),ROW(Income!A$3:A$502)-2),4)),0))</f>
        <v/>
      </c>
      <c r="D87" s="126">
        <f t="array" ref="D87">IF(IFERROR(INDEX(Expenses!B$3:B$999,SMALL(IF((Expenses!E$3:E$999="INR")*(Expenses!A$3:A$999=DATE(2026,4,20)),ROW(Expenses!A$3:A$999)-2),4)),"")&lt;&gt;"",IFERROR(INDEX(Expenses!B$3:B$999,SMALL(IF((Expenses!E$3:E$999="INR")*(Expenses!A$3:A$999=DATE(2026,4,20)),ROW(Expenses!A$3:A$999)-2),4)),""),IF(IFERROR(INDEX(Income!B$3:B$502,SMALL(IF((Income!D$3:D$502="INR")*(Income!A$3:A$502=DATE(2026,4,20)),ROW(Income!A$3:A$502)-2),4)),"")&lt;&gt;"",IFERROR(INDEX(Income!B$3:B$502,SMALL(IF((Income!D$3:D$502="INR")*(Income!A$3:A$502=DATE(2026,4,20)),ROW(Income!A$3:A$502)-2),4)),""),""))</f>
        <v/>
      </c>
      <c r="E87" s="153">
        <f t="array" ref="E87">IF(IFERROR(-INDEX(Expenses!D$3:D$999,SMALL(IF((Expenses!E$3:E$999="INR")*(Expenses!A$3:A$999=DATE(2026,4,21)),ROW(Expenses!A$3:A$999)-2),4)),0)+IFERROR(INDEX(Income!C$3:C$502,SMALL(IF((Income!D$3:D$502="INR")*(Income!A$3:A$502=DATE(2026,4,21)),ROW(Income!A$3:A$502)-2),4)),0)=0,"",IFERROR(-INDEX(Expenses!D$3:D$999,SMALL(IF((Expenses!E$3:E$999="INR")*(Expenses!A$3:A$999=DATE(2026,4,21)),ROW(Expenses!A$3:A$999)-2),4)),0)+IFERROR(INDEX(Income!C$3:C$502,SMALL(IF((Income!D$3:D$502="INR")*(Income!A$3:A$502=DATE(2026,4,21)),ROW(Income!A$3:A$502)-2),4)),0))</f>
        <v/>
      </c>
      <c r="F87" s="126">
        <f t="array" ref="F87">IF(IFERROR(INDEX(Expenses!B$3:B$999,SMALL(IF((Expenses!E$3:E$999="INR")*(Expenses!A$3:A$999=DATE(2026,4,21)),ROW(Expenses!A$3:A$999)-2),4)),"")&lt;&gt;"",IFERROR(INDEX(Expenses!B$3:B$999,SMALL(IF((Expenses!E$3:E$999="INR")*(Expenses!A$3:A$999=DATE(2026,4,21)),ROW(Expenses!A$3:A$999)-2),4)),""),IF(IFERROR(INDEX(Income!B$3:B$502,SMALL(IF((Income!D$3:D$502="INR")*(Income!A$3:A$502=DATE(2026,4,21)),ROW(Income!A$3:A$502)-2),4)),"")&lt;&gt;"",IFERROR(INDEX(Income!B$3:B$502,SMALL(IF((Income!D$3:D$502="INR")*(Income!A$3:A$502=DATE(2026,4,21)),ROW(Income!A$3:A$502)-2),4)),""),""))</f>
        <v/>
      </c>
      <c r="G87" s="153">
        <f t="array" ref="G87">IF(IFERROR(-INDEX(Expenses!D$3:D$999,SMALL(IF((Expenses!E$3:E$999="INR")*(Expenses!A$3:A$999=DATE(2026,4,22)),ROW(Expenses!A$3:A$999)-2),4)),0)+IFERROR(INDEX(Income!C$3:C$502,SMALL(IF((Income!D$3:D$502="INR")*(Income!A$3:A$502=DATE(2026,4,22)),ROW(Income!A$3:A$502)-2),4)),0)=0,"",IFERROR(-INDEX(Expenses!D$3:D$999,SMALL(IF((Expenses!E$3:E$999="INR")*(Expenses!A$3:A$999=DATE(2026,4,22)),ROW(Expenses!A$3:A$999)-2),4)),0)+IFERROR(INDEX(Income!C$3:C$502,SMALL(IF((Income!D$3:D$502="INR")*(Income!A$3:A$502=DATE(2026,4,22)),ROW(Income!A$3:A$502)-2),4)),0))</f>
        <v/>
      </c>
      <c r="H87" s="126">
        <f t="array" ref="H87">IF(IFERROR(INDEX(Expenses!B$3:B$999,SMALL(IF((Expenses!E$3:E$999="INR")*(Expenses!A$3:A$999=DATE(2026,4,22)),ROW(Expenses!A$3:A$999)-2),4)),"")&lt;&gt;"",IFERROR(INDEX(Expenses!B$3:B$999,SMALL(IF((Expenses!E$3:E$999="INR")*(Expenses!A$3:A$999=DATE(2026,4,22)),ROW(Expenses!A$3:A$999)-2),4)),""),IF(IFERROR(INDEX(Income!B$3:B$502,SMALL(IF((Income!D$3:D$502="INR")*(Income!A$3:A$502=DATE(2026,4,22)),ROW(Income!A$3:A$502)-2),4)),"")&lt;&gt;"",IFERROR(INDEX(Income!B$3:B$502,SMALL(IF((Income!D$3:D$502="INR")*(Income!A$3:A$502=DATE(2026,4,22)),ROW(Income!A$3:A$502)-2),4)),""),""))</f>
        <v/>
      </c>
      <c r="I87" s="153">
        <f t="array" ref="I87">IF(IFERROR(-INDEX(Expenses!D$3:D$999,SMALL(IF((Expenses!E$3:E$999="INR")*(Expenses!A$3:A$999=DATE(2026,4,23)),ROW(Expenses!A$3:A$999)-2),4)),0)+IFERROR(INDEX(Income!C$3:C$502,SMALL(IF((Income!D$3:D$502="INR")*(Income!A$3:A$502=DATE(2026,4,23)),ROW(Income!A$3:A$502)-2),4)),0)=0,"",IFERROR(-INDEX(Expenses!D$3:D$999,SMALL(IF((Expenses!E$3:E$999="INR")*(Expenses!A$3:A$999=DATE(2026,4,23)),ROW(Expenses!A$3:A$999)-2),4)),0)+IFERROR(INDEX(Income!C$3:C$502,SMALL(IF((Income!D$3:D$502="INR")*(Income!A$3:A$502=DATE(2026,4,23)),ROW(Income!A$3:A$502)-2),4)),0))</f>
        <v/>
      </c>
      <c r="J87" s="126">
        <f t="array" ref="J87">IF(IFERROR(INDEX(Expenses!B$3:B$999,SMALL(IF((Expenses!E$3:E$999="INR")*(Expenses!A$3:A$999=DATE(2026,4,23)),ROW(Expenses!A$3:A$999)-2),4)),"")&lt;&gt;"",IFERROR(INDEX(Expenses!B$3:B$999,SMALL(IF((Expenses!E$3:E$999="INR")*(Expenses!A$3:A$999=DATE(2026,4,23)),ROW(Expenses!A$3:A$999)-2),4)),""),IF(IFERROR(INDEX(Income!B$3:B$502,SMALL(IF((Income!D$3:D$502="INR")*(Income!A$3:A$502=DATE(2026,4,23)),ROW(Income!A$3:A$502)-2),4)),"")&lt;&gt;"",IFERROR(INDEX(Income!B$3:B$502,SMALL(IF((Income!D$3:D$502="INR")*(Income!A$3:A$502=DATE(2026,4,23)),ROW(Income!A$3:A$502)-2),4)),""),""))</f>
        <v/>
      </c>
      <c r="K87" s="153">
        <f t="array" ref="K87">IF(IFERROR(-INDEX(Expenses!D$3:D$999,SMALL(IF((Expenses!E$3:E$999="INR")*(Expenses!A$3:A$999=DATE(2026,4,24)),ROW(Expenses!A$3:A$999)-2),4)),0)+IFERROR(INDEX(Income!C$3:C$502,SMALL(IF((Income!D$3:D$502="INR")*(Income!A$3:A$502=DATE(2026,4,24)),ROW(Income!A$3:A$502)-2),4)),0)=0,"",IFERROR(-INDEX(Expenses!D$3:D$999,SMALL(IF((Expenses!E$3:E$999="INR")*(Expenses!A$3:A$999=DATE(2026,4,24)),ROW(Expenses!A$3:A$999)-2),4)),0)+IFERROR(INDEX(Income!C$3:C$502,SMALL(IF((Income!D$3:D$502="INR")*(Income!A$3:A$502=DATE(2026,4,24)),ROW(Income!A$3:A$502)-2),4)),0))</f>
        <v/>
      </c>
      <c r="L87" s="126">
        <f t="array" ref="L87">IF(IFERROR(INDEX(Expenses!B$3:B$999,SMALL(IF((Expenses!E$3:E$999="INR")*(Expenses!A$3:A$999=DATE(2026,4,24)),ROW(Expenses!A$3:A$999)-2),4)),"")&lt;&gt;"",IFERROR(INDEX(Expenses!B$3:B$999,SMALL(IF((Expenses!E$3:E$999="INR")*(Expenses!A$3:A$999=DATE(2026,4,24)),ROW(Expenses!A$3:A$999)-2),4)),""),IF(IFERROR(INDEX(Income!B$3:B$502,SMALL(IF((Income!D$3:D$502="INR")*(Income!A$3:A$502=DATE(2026,4,24)),ROW(Income!A$3:A$502)-2),4)),"")&lt;&gt;"",IFERROR(INDEX(Income!B$3:B$502,SMALL(IF((Income!D$3:D$502="INR")*(Income!A$3:A$502=DATE(2026,4,24)),ROW(Income!A$3:A$502)-2),4)),""),""))</f>
        <v/>
      </c>
      <c r="M87" s="153">
        <f t="array" ref="M87">IF(IFERROR(-INDEX(Expenses!D$3:D$999,SMALL(IF((Expenses!E$3:E$999="INR")*(Expenses!A$3:A$999=DATE(2026,4,25)),ROW(Expenses!A$3:A$999)-2),4)),0)+IFERROR(INDEX(Income!C$3:C$502,SMALL(IF((Income!D$3:D$502="INR")*(Income!A$3:A$502=DATE(2026,4,25)),ROW(Income!A$3:A$502)-2),4)),0)=0,"",IFERROR(-INDEX(Expenses!D$3:D$999,SMALL(IF((Expenses!E$3:E$999="INR")*(Expenses!A$3:A$999=DATE(2026,4,25)),ROW(Expenses!A$3:A$999)-2),4)),0)+IFERROR(INDEX(Income!C$3:C$502,SMALL(IF((Income!D$3:D$502="INR")*(Income!A$3:A$502=DATE(2026,4,25)),ROW(Income!A$3:A$502)-2),4)),0))</f>
        <v/>
      </c>
      <c r="N87" s="126">
        <f t="array" ref="N87">IF(IFERROR(INDEX(Expenses!B$3:B$999,SMALL(IF((Expenses!E$3:E$999="INR")*(Expenses!A$3:A$999=DATE(2026,4,25)),ROW(Expenses!A$3:A$999)-2),4)),"")&lt;&gt;"",IFERROR(INDEX(Expenses!B$3:B$999,SMALL(IF((Expenses!E$3:E$999="INR")*(Expenses!A$3:A$999=DATE(2026,4,25)),ROW(Expenses!A$3:A$999)-2),4)),""),IF(IFERROR(INDEX(Income!B$3:B$502,SMALL(IF((Income!D$3:D$502="INR")*(Income!A$3:A$502=DATE(2026,4,25)),ROW(Income!A$3:A$502)-2),4)),"")&lt;&gt;"",IFERROR(INDEX(Income!B$3:B$502,SMALL(IF((Income!D$3:D$502="INR")*(Income!A$3:A$502=DATE(2026,4,25)),ROW(Income!A$3:A$502)-2),4)),""),""))</f>
        <v/>
      </c>
      <c r="O87" s="153">
        <f t="array" ref="O87">IF(IFERROR(-INDEX(Expenses!D$3:D$999,SMALL(IF((Expenses!E$3:E$999="INR")*(Expenses!A$3:A$999=DATE(2026,4,26)),ROW(Expenses!A$3:A$999)-2),4)),0)+IFERROR(INDEX(Income!C$3:C$502,SMALL(IF((Income!D$3:D$502="INR")*(Income!A$3:A$502=DATE(2026,4,26)),ROW(Income!A$3:A$502)-2),4)),0)=0,"",IFERROR(-INDEX(Expenses!D$3:D$999,SMALL(IF((Expenses!E$3:E$999="INR")*(Expenses!A$3:A$999=DATE(2026,4,26)),ROW(Expenses!A$3:A$999)-2),4)),0)+IFERROR(INDEX(Income!C$3:C$502,SMALL(IF((Income!D$3:D$502="INR")*(Income!A$3:A$502=DATE(2026,4,26)),ROW(Income!A$3:A$502)-2),4)),0))</f>
        <v/>
      </c>
      <c r="P87" s="126">
        <f t="array" ref="P87">IF(IFERROR(INDEX(Expenses!B$3:B$999,SMALL(IF((Expenses!E$3:E$999="INR")*(Expenses!A$3:A$999=DATE(2026,4,26)),ROW(Expenses!A$3:A$999)-2),4)),"")&lt;&gt;"",IFERROR(INDEX(Expenses!B$3:B$999,SMALL(IF((Expenses!E$3:E$999="INR")*(Expenses!A$3:A$999=DATE(2026,4,26)),ROW(Expenses!A$3:A$999)-2),4)),""),IF(IFERROR(INDEX(Income!B$3:B$502,SMALL(IF((Income!D$3:D$502="INR")*(Income!A$3:A$502=DATE(2026,4,26)),ROW(Income!A$3:A$502)-2),4)),"")&lt;&gt;"",IFERROR(INDEX(Income!B$3:B$502,SMALL(IF((Income!D$3:D$502="INR")*(Income!A$3:A$502=DATE(2026,4,26)),ROW(Income!A$3:A$502)-2),4)),""),""))</f>
        <v/>
      </c>
      <c r="Q87" s="9" t="n"/>
      <c r="R87" s="9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68">
      <c r="A88" s="9" t="n"/>
      <c r="B88" s="9" t="n"/>
      <c r="C88" s="153">
        <f t="array" ref="C88">IF(IFERROR(-INDEX(Expenses!D$3:D$999,SMALL(IF((Expenses!E$3:E$999="INR")*(Expenses!A$3:A$999=DATE(2026,4,20)),ROW(Expenses!A$3:A$999)-2),5)),0)+IFERROR(INDEX(Income!C$3:C$502,SMALL(IF((Income!D$3:D$502="INR")*(Income!A$3:A$502=DATE(2026,4,20)),ROW(Income!A$3:A$502)-2),5)),0)=0,"",IFERROR(-INDEX(Expenses!D$3:D$999,SMALL(IF((Expenses!E$3:E$999="INR")*(Expenses!A$3:A$999=DATE(2026,4,20)),ROW(Expenses!A$3:A$999)-2),5)),0)+IFERROR(INDEX(Income!C$3:C$502,SMALL(IF((Income!D$3:D$502="INR")*(Income!A$3:A$502=DATE(2026,4,20)),ROW(Income!A$3:A$502)-2),5)),0))</f>
        <v/>
      </c>
      <c r="D88" s="126">
        <f t="array" ref="D88">IF(IFERROR(INDEX(Expenses!B$3:B$999,SMALL(IF((Expenses!E$3:E$999="INR")*(Expenses!A$3:A$999=DATE(2026,4,20)),ROW(Expenses!A$3:A$999)-2),5)),"")&lt;&gt;"",IFERROR(INDEX(Expenses!B$3:B$999,SMALL(IF((Expenses!E$3:E$999="INR")*(Expenses!A$3:A$999=DATE(2026,4,20)),ROW(Expenses!A$3:A$999)-2),5)),""),IF(IFERROR(INDEX(Income!B$3:B$502,SMALL(IF((Income!D$3:D$502="INR")*(Income!A$3:A$502=DATE(2026,4,20)),ROW(Income!A$3:A$502)-2),5)),"")&lt;&gt;"",IFERROR(INDEX(Income!B$3:B$502,SMALL(IF((Income!D$3:D$502="INR")*(Income!A$3:A$502=DATE(2026,4,20)),ROW(Income!A$3:A$502)-2),5)),""),""))</f>
        <v/>
      </c>
      <c r="E88" s="153">
        <f t="array" ref="E88">IF(IFERROR(-INDEX(Expenses!D$3:D$999,SMALL(IF((Expenses!E$3:E$999="INR")*(Expenses!A$3:A$999=DATE(2026,4,21)),ROW(Expenses!A$3:A$999)-2),5)),0)+IFERROR(INDEX(Income!C$3:C$502,SMALL(IF((Income!D$3:D$502="INR")*(Income!A$3:A$502=DATE(2026,4,21)),ROW(Income!A$3:A$502)-2),5)),0)=0,"",IFERROR(-INDEX(Expenses!D$3:D$999,SMALL(IF((Expenses!E$3:E$999="INR")*(Expenses!A$3:A$999=DATE(2026,4,21)),ROW(Expenses!A$3:A$999)-2),5)),0)+IFERROR(INDEX(Income!C$3:C$502,SMALL(IF((Income!D$3:D$502="INR")*(Income!A$3:A$502=DATE(2026,4,21)),ROW(Income!A$3:A$502)-2),5)),0))</f>
        <v/>
      </c>
      <c r="F88" s="126">
        <f t="array" ref="F88">IF(IFERROR(INDEX(Expenses!B$3:B$999,SMALL(IF((Expenses!E$3:E$999="INR")*(Expenses!A$3:A$999=DATE(2026,4,21)),ROW(Expenses!A$3:A$999)-2),5)),"")&lt;&gt;"",IFERROR(INDEX(Expenses!B$3:B$999,SMALL(IF((Expenses!E$3:E$999="INR")*(Expenses!A$3:A$999=DATE(2026,4,21)),ROW(Expenses!A$3:A$999)-2),5)),""),IF(IFERROR(INDEX(Income!B$3:B$502,SMALL(IF((Income!D$3:D$502="INR")*(Income!A$3:A$502=DATE(2026,4,21)),ROW(Income!A$3:A$502)-2),5)),"")&lt;&gt;"",IFERROR(INDEX(Income!B$3:B$502,SMALL(IF((Income!D$3:D$502="INR")*(Income!A$3:A$502=DATE(2026,4,21)),ROW(Income!A$3:A$502)-2),5)),""),""))</f>
        <v/>
      </c>
      <c r="G88" s="153">
        <f t="array" ref="G88">IF(IFERROR(-INDEX(Expenses!D$3:D$999,SMALL(IF((Expenses!E$3:E$999="INR")*(Expenses!A$3:A$999=DATE(2026,4,22)),ROW(Expenses!A$3:A$999)-2),5)),0)+IFERROR(INDEX(Income!C$3:C$502,SMALL(IF((Income!D$3:D$502="INR")*(Income!A$3:A$502=DATE(2026,4,22)),ROW(Income!A$3:A$502)-2),5)),0)=0,"",IFERROR(-INDEX(Expenses!D$3:D$999,SMALL(IF((Expenses!E$3:E$999="INR")*(Expenses!A$3:A$999=DATE(2026,4,22)),ROW(Expenses!A$3:A$999)-2),5)),0)+IFERROR(INDEX(Income!C$3:C$502,SMALL(IF((Income!D$3:D$502="INR")*(Income!A$3:A$502=DATE(2026,4,22)),ROW(Income!A$3:A$502)-2),5)),0))</f>
        <v/>
      </c>
      <c r="H88" s="126">
        <f t="array" ref="H88">IF(IFERROR(INDEX(Expenses!B$3:B$999,SMALL(IF((Expenses!E$3:E$999="INR")*(Expenses!A$3:A$999=DATE(2026,4,22)),ROW(Expenses!A$3:A$999)-2),5)),"")&lt;&gt;"",IFERROR(INDEX(Expenses!B$3:B$999,SMALL(IF((Expenses!E$3:E$999="INR")*(Expenses!A$3:A$999=DATE(2026,4,22)),ROW(Expenses!A$3:A$999)-2),5)),""),IF(IFERROR(INDEX(Income!B$3:B$502,SMALL(IF((Income!D$3:D$502="INR")*(Income!A$3:A$502=DATE(2026,4,22)),ROW(Income!A$3:A$502)-2),5)),"")&lt;&gt;"",IFERROR(INDEX(Income!B$3:B$502,SMALL(IF((Income!D$3:D$502="INR")*(Income!A$3:A$502=DATE(2026,4,22)),ROW(Income!A$3:A$502)-2),5)),""),""))</f>
        <v/>
      </c>
      <c r="I88" s="153">
        <f t="array" ref="I88">IF(IFERROR(-INDEX(Expenses!D$3:D$999,SMALL(IF((Expenses!E$3:E$999="INR")*(Expenses!A$3:A$999=DATE(2026,4,23)),ROW(Expenses!A$3:A$999)-2),5)),0)+IFERROR(INDEX(Income!C$3:C$502,SMALL(IF((Income!D$3:D$502="INR")*(Income!A$3:A$502=DATE(2026,4,23)),ROW(Income!A$3:A$502)-2),5)),0)=0,"",IFERROR(-INDEX(Expenses!D$3:D$999,SMALL(IF((Expenses!E$3:E$999="INR")*(Expenses!A$3:A$999=DATE(2026,4,23)),ROW(Expenses!A$3:A$999)-2),5)),0)+IFERROR(INDEX(Income!C$3:C$502,SMALL(IF((Income!D$3:D$502="INR")*(Income!A$3:A$502=DATE(2026,4,23)),ROW(Income!A$3:A$502)-2),5)),0))</f>
        <v/>
      </c>
      <c r="J88" s="126">
        <f t="array" ref="J88">IF(IFERROR(INDEX(Expenses!B$3:B$999,SMALL(IF((Expenses!E$3:E$999="INR")*(Expenses!A$3:A$999=DATE(2026,4,23)),ROW(Expenses!A$3:A$999)-2),5)),"")&lt;&gt;"",IFERROR(INDEX(Expenses!B$3:B$999,SMALL(IF((Expenses!E$3:E$999="INR")*(Expenses!A$3:A$999=DATE(2026,4,23)),ROW(Expenses!A$3:A$999)-2),5)),""),IF(IFERROR(INDEX(Income!B$3:B$502,SMALL(IF((Income!D$3:D$502="INR")*(Income!A$3:A$502=DATE(2026,4,23)),ROW(Income!A$3:A$502)-2),5)),"")&lt;&gt;"",IFERROR(INDEX(Income!B$3:B$502,SMALL(IF((Income!D$3:D$502="INR")*(Income!A$3:A$502=DATE(2026,4,23)),ROW(Income!A$3:A$502)-2),5)),""),""))</f>
        <v/>
      </c>
      <c r="K88" s="153">
        <f t="array" ref="K88">IF(IFERROR(-INDEX(Expenses!D$3:D$999,SMALL(IF((Expenses!E$3:E$999="INR")*(Expenses!A$3:A$999=DATE(2026,4,24)),ROW(Expenses!A$3:A$999)-2),5)),0)+IFERROR(INDEX(Income!C$3:C$502,SMALL(IF((Income!D$3:D$502="INR")*(Income!A$3:A$502=DATE(2026,4,24)),ROW(Income!A$3:A$502)-2),5)),0)=0,"",IFERROR(-INDEX(Expenses!D$3:D$999,SMALL(IF((Expenses!E$3:E$999="INR")*(Expenses!A$3:A$999=DATE(2026,4,24)),ROW(Expenses!A$3:A$999)-2),5)),0)+IFERROR(INDEX(Income!C$3:C$502,SMALL(IF((Income!D$3:D$502="INR")*(Income!A$3:A$502=DATE(2026,4,24)),ROW(Income!A$3:A$502)-2),5)),0))</f>
        <v/>
      </c>
      <c r="L88" s="126">
        <f t="array" ref="L88">IF(IFERROR(INDEX(Expenses!B$3:B$999,SMALL(IF((Expenses!E$3:E$999="INR")*(Expenses!A$3:A$999=DATE(2026,4,24)),ROW(Expenses!A$3:A$999)-2),5)),"")&lt;&gt;"",IFERROR(INDEX(Expenses!B$3:B$999,SMALL(IF((Expenses!E$3:E$999="INR")*(Expenses!A$3:A$999=DATE(2026,4,24)),ROW(Expenses!A$3:A$999)-2),5)),""),IF(IFERROR(INDEX(Income!B$3:B$502,SMALL(IF((Income!D$3:D$502="INR")*(Income!A$3:A$502=DATE(2026,4,24)),ROW(Income!A$3:A$502)-2),5)),"")&lt;&gt;"",IFERROR(INDEX(Income!B$3:B$502,SMALL(IF((Income!D$3:D$502="INR")*(Income!A$3:A$502=DATE(2026,4,24)),ROW(Income!A$3:A$502)-2),5)),""),""))</f>
        <v/>
      </c>
      <c r="M88" s="153">
        <f t="array" ref="M88">IF(IFERROR(-INDEX(Expenses!D$3:D$999,SMALL(IF((Expenses!E$3:E$999="INR")*(Expenses!A$3:A$999=DATE(2026,4,25)),ROW(Expenses!A$3:A$999)-2),5)),0)+IFERROR(INDEX(Income!C$3:C$502,SMALL(IF((Income!D$3:D$502="INR")*(Income!A$3:A$502=DATE(2026,4,25)),ROW(Income!A$3:A$502)-2),5)),0)=0,"",IFERROR(-INDEX(Expenses!D$3:D$999,SMALL(IF((Expenses!E$3:E$999="INR")*(Expenses!A$3:A$999=DATE(2026,4,25)),ROW(Expenses!A$3:A$999)-2),5)),0)+IFERROR(INDEX(Income!C$3:C$502,SMALL(IF((Income!D$3:D$502="INR")*(Income!A$3:A$502=DATE(2026,4,25)),ROW(Income!A$3:A$502)-2),5)),0))</f>
        <v/>
      </c>
      <c r="N88" s="126">
        <f t="array" ref="N88">IF(IFERROR(INDEX(Expenses!B$3:B$999,SMALL(IF((Expenses!E$3:E$999="INR")*(Expenses!A$3:A$999=DATE(2026,4,25)),ROW(Expenses!A$3:A$999)-2),5)),"")&lt;&gt;"",IFERROR(INDEX(Expenses!B$3:B$999,SMALL(IF((Expenses!E$3:E$999="INR")*(Expenses!A$3:A$999=DATE(2026,4,25)),ROW(Expenses!A$3:A$999)-2),5)),""),IF(IFERROR(INDEX(Income!B$3:B$502,SMALL(IF((Income!D$3:D$502="INR")*(Income!A$3:A$502=DATE(2026,4,25)),ROW(Income!A$3:A$502)-2),5)),"")&lt;&gt;"",IFERROR(INDEX(Income!B$3:B$502,SMALL(IF((Income!D$3:D$502="INR")*(Income!A$3:A$502=DATE(2026,4,25)),ROW(Income!A$3:A$502)-2),5)),""),""))</f>
        <v/>
      </c>
      <c r="O88" s="153">
        <f t="array" ref="O88">IF(IFERROR(-INDEX(Expenses!D$3:D$999,SMALL(IF((Expenses!E$3:E$999="INR")*(Expenses!A$3:A$999=DATE(2026,4,26)),ROW(Expenses!A$3:A$999)-2),5)),0)+IFERROR(INDEX(Income!C$3:C$502,SMALL(IF((Income!D$3:D$502="INR")*(Income!A$3:A$502=DATE(2026,4,26)),ROW(Income!A$3:A$502)-2),5)),0)=0,"",IFERROR(-INDEX(Expenses!D$3:D$999,SMALL(IF((Expenses!E$3:E$999="INR")*(Expenses!A$3:A$999=DATE(2026,4,26)),ROW(Expenses!A$3:A$999)-2),5)),0)+IFERROR(INDEX(Income!C$3:C$502,SMALL(IF((Income!D$3:D$502="INR")*(Income!A$3:A$502=DATE(2026,4,26)),ROW(Income!A$3:A$502)-2),5)),0))</f>
        <v/>
      </c>
      <c r="P88" s="126">
        <f t="array" ref="P88">IF(IFERROR(INDEX(Expenses!B$3:B$999,SMALL(IF((Expenses!E$3:E$999="INR")*(Expenses!A$3:A$999=DATE(2026,4,26)),ROW(Expenses!A$3:A$999)-2),5)),"")&lt;&gt;"",IFERROR(INDEX(Expenses!B$3:B$999,SMALL(IF((Expenses!E$3:E$999="INR")*(Expenses!A$3:A$999=DATE(2026,4,26)),ROW(Expenses!A$3:A$999)-2),5)),""),IF(IFERROR(INDEX(Income!B$3:B$502,SMALL(IF((Income!D$3:D$502="INR")*(Income!A$3:A$502=DATE(2026,4,26)),ROW(Income!A$3:A$502)-2),5)),"")&lt;&gt;"",IFERROR(INDEX(Income!B$3:B$502,SMALL(IF((Income!D$3:D$502="INR")*(Income!A$3:A$502=DATE(2026,4,26)),ROW(Income!A$3:A$502)-2),5)),""),""))</f>
        <v/>
      </c>
      <c r="Q88" s="9" t="n"/>
      <c r="R88" s="9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68">
      <c r="A89" s="151" t="n">
        <v>46139</v>
      </c>
      <c r="B89" s="103" t="n">
        <v>18</v>
      </c>
      <c r="C89" s="153">
        <f t="array" ref="C89">IF(IFERROR(-INDEX(Expenses!D$3:D$999,SMALL(IF((Expenses!E$3:E$999="INR")*(Expenses!A$3:A$999=DATE(2026,4,27)),ROW(Expenses!A$3:A$999)-2),1)),0)+IFERROR(INDEX(Income!C$3:C$502,SMALL(IF((Income!D$3:D$502="INR")*(Income!A$3:A$502=DATE(2026,4,27)),ROW(Income!A$3:A$502)-2),1)),0)=0,"",IFERROR(-INDEX(Expenses!D$3:D$999,SMALL(IF((Expenses!E$3:E$999="INR")*(Expenses!A$3:A$999=DATE(2026,4,27)),ROW(Expenses!A$3:A$999)-2),1)),0)+IFERROR(INDEX(Income!C$3:C$502,SMALL(IF((Income!D$3:D$502="INR")*(Income!A$3:A$502=DATE(2026,4,27)),ROW(Income!A$3:A$502)-2),1)),0))</f>
        <v/>
      </c>
      <c r="D89" s="126">
        <f t="array" ref="D89">IF(IFERROR(INDEX(Expenses!B$3:B$999,SMALL(IF((Expenses!E$3:E$999="INR")*(Expenses!A$3:A$999=DATE(2026,4,27)),ROW(Expenses!A$3:A$999)-2),1)),"")&lt;&gt;"",IFERROR(INDEX(Expenses!B$3:B$999,SMALL(IF((Expenses!E$3:E$999="INR")*(Expenses!A$3:A$999=DATE(2026,4,27)),ROW(Expenses!A$3:A$999)-2),1)),""),IF(IFERROR(INDEX(Income!B$3:B$502,SMALL(IF((Income!D$3:D$502="INR")*(Income!A$3:A$502=DATE(2026,4,27)),ROW(Income!A$3:A$502)-2),1)),"")&lt;&gt;"",IFERROR(INDEX(Income!B$3:B$502,SMALL(IF((Income!D$3:D$502="INR")*(Income!A$3:A$502=DATE(2026,4,27)),ROW(Income!A$3:A$502)-2),1)),""),""))</f>
        <v/>
      </c>
      <c r="E89" s="153">
        <f t="array" ref="E89">IF(IFERROR(-INDEX(Expenses!D$3:D$999,SMALL(IF((Expenses!E$3:E$999="INR")*(Expenses!A$3:A$999=DATE(2026,4,28)),ROW(Expenses!A$3:A$999)-2),1)),0)+IFERROR(INDEX(Income!C$3:C$502,SMALL(IF((Income!D$3:D$502="INR")*(Income!A$3:A$502=DATE(2026,4,28)),ROW(Income!A$3:A$502)-2),1)),0)=0,"",IFERROR(-INDEX(Expenses!D$3:D$999,SMALL(IF((Expenses!E$3:E$999="INR")*(Expenses!A$3:A$999=DATE(2026,4,28)),ROW(Expenses!A$3:A$999)-2),1)),0)+IFERROR(INDEX(Income!C$3:C$502,SMALL(IF((Income!D$3:D$502="INR")*(Income!A$3:A$502=DATE(2026,4,28)),ROW(Income!A$3:A$502)-2),1)),0))</f>
        <v/>
      </c>
      <c r="F89" s="126">
        <f t="array" ref="F89">IF(IFERROR(INDEX(Expenses!B$3:B$999,SMALL(IF((Expenses!E$3:E$999="INR")*(Expenses!A$3:A$999=DATE(2026,4,28)),ROW(Expenses!A$3:A$999)-2),1)),"")&lt;&gt;"",IFERROR(INDEX(Expenses!B$3:B$999,SMALL(IF((Expenses!E$3:E$999="INR")*(Expenses!A$3:A$999=DATE(2026,4,28)),ROW(Expenses!A$3:A$999)-2),1)),""),IF(IFERROR(INDEX(Income!B$3:B$502,SMALL(IF((Income!D$3:D$502="INR")*(Income!A$3:A$502=DATE(2026,4,28)),ROW(Income!A$3:A$502)-2),1)),"")&lt;&gt;"",IFERROR(INDEX(Income!B$3:B$502,SMALL(IF((Income!D$3:D$502="INR")*(Income!A$3:A$502=DATE(2026,4,28)),ROW(Income!A$3:A$502)-2),1)),""),""))</f>
        <v/>
      </c>
      <c r="G89" s="153">
        <f t="array" ref="G89">IF(IFERROR(-INDEX(Expenses!D$3:D$999,SMALL(IF((Expenses!E$3:E$999="INR")*(Expenses!A$3:A$999=DATE(2026,4,29)),ROW(Expenses!A$3:A$999)-2),1)),0)+IFERROR(INDEX(Income!C$3:C$502,SMALL(IF((Income!D$3:D$502="INR")*(Income!A$3:A$502=DATE(2026,4,29)),ROW(Income!A$3:A$502)-2),1)),0)=0,"",IFERROR(-INDEX(Expenses!D$3:D$999,SMALL(IF((Expenses!E$3:E$999="INR")*(Expenses!A$3:A$999=DATE(2026,4,29)),ROW(Expenses!A$3:A$999)-2),1)),0)+IFERROR(INDEX(Income!C$3:C$502,SMALL(IF((Income!D$3:D$502="INR")*(Income!A$3:A$502=DATE(2026,4,29)),ROW(Income!A$3:A$502)-2),1)),0))</f>
        <v/>
      </c>
      <c r="H89" s="126">
        <f t="array" ref="H89">IF(IFERROR(INDEX(Expenses!B$3:B$999,SMALL(IF((Expenses!E$3:E$999="INR")*(Expenses!A$3:A$999=DATE(2026,4,29)),ROW(Expenses!A$3:A$999)-2),1)),"")&lt;&gt;"",IFERROR(INDEX(Expenses!B$3:B$999,SMALL(IF((Expenses!E$3:E$999="INR")*(Expenses!A$3:A$999=DATE(2026,4,29)),ROW(Expenses!A$3:A$999)-2),1)),""),IF(IFERROR(INDEX(Income!B$3:B$502,SMALL(IF((Income!D$3:D$502="INR")*(Income!A$3:A$502=DATE(2026,4,29)),ROW(Income!A$3:A$502)-2),1)),"")&lt;&gt;"",IFERROR(INDEX(Income!B$3:B$502,SMALL(IF((Income!D$3:D$502="INR")*(Income!A$3:A$502=DATE(2026,4,29)),ROW(Income!A$3:A$502)-2),1)),""),""))</f>
        <v/>
      </c>
      <c r="I89" s="153">
        <f t="array" ref="I89">IF(IFERROR(-INDEX(Expenses!D$3:D$999,SMALL(IF((Expenses!E$3:E$999="INR")*(Expenses!A$3:A$999=DATE(2026,4,30)),ROW(Expenses!A$3:A$999)-2),1)),0)+IFERROR(INDEX(Income!C$3:C$502,SMALL(IF((Income!D$3:D$502="INR")*(Income!A$3:A$502=DATE(2026,4,30)),ROW(Income!A$3:A$502)-2),1)),0)=0,"",IFERROR(-INDEX(Expenses!D$3:D$999,SMALL(IF((Expenses!E$3:E$999="INR")*(Expenses!A$3:A$999=DATE(2026,4,30)),ROW(Expenses!A$3:A$999)-2),1)),0)+IFERROR(INDEX(Income!C$3:C$502,SMALL(IF((Income!D$3:D$502="INR")*(Income!A$3:A$502=DATE(2026,4,30)),ROW(Income!A$3:A$502)-2),1)),0))</f>
        <v/>
      </c>
      <c r="J89" s="126">
        <f t="array" ref="J89">IF(IFERROR(INDEX(Expenses!B$3:B$999,SMALL(IF((Expenses!E$3:E$999="INR")*(Expenses!A$3:A$999=DATE(2026,4,30)),ROW(Expenses!A$3:A$999)-2),1)),"")&lt;&gt;"",IFERROR(INDEX(Expenses!B$3:B$999,SMALL(IF((Expenses!E$3:E$999="INR")*(Expenses!A$3:A$999=DATE(2026,4,30)),ROW(Expenses!A$3:A$999)-2),1)),""),IF(IFERROR(INDEX(Income!B$3:B$502,SMALL(IF((Income!D$3:D$502="INR")*(Income!A$3:A$502=DATE(2026,4,30)),ROW(Income!A$3:A$502)-2),1)),"")&lt;&gt;"",IFERROR(INDEX(Income!B$3:B$502,SMALL(IF((Income!D$3:D$502="INR")*(Income!A$3:A$502=DATE(2026,4,30)),ROW(Income!A$3:A$502)-2),1)),""),""))</f>
        <v/>
      </c>
      <c r="K89" s="153">
        <f t="array" ref="K89">IF(IFERROR(-INDEX(Expenses!D$3:D$999,SMALL(IF((Expenses!E$3:E$999="INR")*(Expenses!A$3:A$999=DATE(2026,5,1)),ROW(Expenses!A$3:A$999)-2),1)),0)+IFERROR(INDEX(Income!C$3:C$502,SMALL(IF((Income!D$3:D$502="INR")*(Income!A$3:A$502=DATE(2026,5,1)),ROW(Income!A$3:A$502)-2),1)),0)=0,"",IFERROR(-INDEX(Expenses!D$3:D$999,SMALL(IF((Expenses!E$3:E$999="INR")*(Expenses!A$3:A$999=DATE(2026,5,1)),ROW(Expenses!A$3:A$999)-2),1)),0)+IFERROR(INDEX(Income!C$3:C$502,SMALL(IF((Income!D$3:D$502="INR")*(Income!A$3:A$502=DATE(2026,5,1)),ROW(Income!A$3:A$502)-2),1)),0))</f>
        <v/>
      </c>
      <c r="L89" s="126">
        <f t="array" ref="L89">IF(IFERROR(INDEX(Expenses!B$3:B$999,SMALL(IF((Expenses!E$3:E$999="INR")*(Expenses!A$3:A$999=DATE(2026,5,1)),ROW(Expenses!A$3:A$999)-2),1)),"")&lt;&gt;"",IFERROR(INDEX(Expenses!B$3:B$999,SMALL(IF((Expenses!E$3:E$999="INR")*(Expenses!A$3:A$999=DATE(2026,5,1)),ROW(Expenses!A$3:A$999)-2),1)),""),IF(IFERROR(INDEX(Income!B$3:B$502,SMALL(IF((Income!D$3:D$502="INR")*(Income!A$3:A$502=DATE(2026,5,1)),ROW(Income!A$3:A$502)-2),1)),"")&lt;&gt;"",IFERROR(INDEX(Income!B$3:B$502,SMALL(IF((Income!D$3:D$502="INR")*(Income!A$3:A$502=DATE(2026,5,1)),ROW(Income!A$3:A$502)-2),1)),""),""))</f>
        <v/>
      </c>
      <c r="M89" s="153">
        <f t="array" ref="M89">IF(IFERROR(-INDEX(Expenses!D$3:D$999,SMALL(IF((Expenses!E$3:E$999="INR")*(Expenses!A$3:A$999=DATE(2026,5,2)),ROW(Expenses!A$3:A$999)-2),1)),0)+IFERROR(INDEX(Income!C$3:C$502,SMALL(IF((Income!D$3:D$502="INR")*(Income!A$3:A$502=DATE(2026,5,2)),ROW(Income!A$3:A$502)-2),1)),0)=0,"",IFERROR(-INDEX(Expenses!D$3:D$999,SMALL(IF((Expenses!E$3:E$999="INR")*(Expenses!A$3:A$999=DATE(2026,5,2)),ROW(Expenses!A$3:A$999)-2),1)),0)+IFERROR(INDEX(Income!C$3:C$502,SMALL(IF((Income!D$3:D$502="INR")*(Income!A$3:A$502=DATE(2026,5,2)),ROW(Income!A$3:A$502)-2),1)),0))</f>
        <v/>
      </c>
      <c r="N89" s="126">
        <f t="array" ref="N89">IF(IFERROR(INDEX(Expenses!B$3:B$999,SMALL(IF((Expenses!E$3:E$999="INR")*(Expenses!A$3:A$999=DATE(2026,5,2)),ROW(Expenses!A$3:A$999)-2),1)),"")&lt;&gt;"",IFERROR(INDEX(Expenses!B$3:B$999,SMALL(IF((Expenses!E$3:E$999="INR")*(Expenses!A$3:A$999=DATE(2026,5,2)),ROW(Expenses!A$3:A$999)-2),1)),""),IF(IFERROR(INDEX(Income!B$3:B$502,SMALL(IF((Income!D$3:D$502="INR")*(Income!A$3:A$502=DATE(2026,5,2)),ROW(Income!A$3:A$502)-2),1)),"")&lt;&gt;"",IFERROR(INDEX(Income!B$3:B$502,SMALL(IF((Income!D$3:D$502="INR")*(Income!A$3:A$502=DATE(2026,5,2)),ROW(Income!A$3:A$502)-2),1)),""),""))</f>
        <v/>
      </c>
      <c r="O89" s="153">
        <f t="array" ref="O89">IF(IFERROR(-INDEX(Expenses!D$3:D$999,SMALL(IF((Expenses!E$3:E$999="INR")*(Expenses!A$3:A$999=DATE(2026,5,3)),ROW(Expenses!A$3:A$999)-2),1)),0)+IFERROR(INDEX(Income!C$3:C$502,SMALL(IF((Income!D$3:D$502="INR")*(Income!A$3:A$502=DATE(2026,5,3)),ROW(Income!A$3:A$502)-2),1)),0)=0,"",IFERROR(-INDEX(Expenses!D$3:D$999,SMALL(IF((Expenses!E$3:E$999="INR")*(Expenses!A$3:A$999=DATE(2026,5,3)),ROW(Expenses!A$3:A$999)-2),1)),0)+IFERROR(INDEX(Income!C$3:C$502,SMALL(IF((Income!D$3:D$502="INR")*(Income!A$3:A$502=DATE(2026,5,3)),ROW(Income!A$3:A$502)-2),1)),0))</f>
        <v/>
      </c>
      <c r="P89" s="126">
        <f t="array" ref="P89">IF(IFERROR(INDEX(Expenses!B$3:B$999,SMALL(IF((Expenses!E$3:E$999="INR")*(Expenses!A$3:A$999=DATE(2026,5,3)),ROW(Expenses!A$3:A$999)-2),1)),"")&lt;&gt;"",IFERROR(INDEX(Expenses!B$3:B$999,SMALL(IF((Expenses!E$3:E$999="INR")*(Expenses!A$3:A$999=DATE(2026,5,3)),ROW(Expenses!A$3:A$999)-2),1)),""),IF(IFERROR(INDEX(Income!B$3:B$502,SMALL(IF((Income!D$3:D$502="INR")*(Income!A$3:A$502=DATE(2026,5,3)),ROW(Income!A$3:A$502)-2),1)),"")&lt;&gt;"",IFERROR(INDEX(Income!B$3:B$502,SMALL(IF((Income!D$3:D$502="INR")*(Income!A$3:A$502=DATE(2026,5,3)),ROW(Income!A$3:A$502)-2),1)),""),""))</f>
        <v/>
      </c>
      <c r="Q89" s="103" t="n">
        <v>18</v>
      </c>
      <c r="R89" s="142">
        <f>SUM(C89:C93)+SUM(E89:E93)+SUM(G89:G93)+SUM(I89:I93)+SUM(K89:K93)+SUM(M89:M93)+SUM(O89:O93)</f>
        <v/>
      </c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68">
      <c r="A90" s="9" t="n"/>
      <c r="B90" s="9" t="n"/>
      <c r="C90" s="153">
        <f t="array" ref="C90">IF(IFERROR(-INDEX(Expenses!D$3:D$999,SMALL(IF((Expenses!E$3:E$999="INR")*(Expenses!A$3:A$999=DATE(2026,4,27)),ROW(Expenses!A$3:A$999)-2),2)),0)+IFERROR(INDEX(Income!C$3:C$502,SMALL(IF((Income!D$3:D$502="INR")*(Income!A$3:A$502=DATE(2026,4,27)),ROW(Income!A$3:A$502)-2),2)),0)=0,"",IFERROR(-INDEX(Expenses!D$3:D$999,SMALL(IF((Expenses!E$3:E$999="INR")*(Expenses!A$3:A$999=DATE(2026,4,27)),ROW(Expenses!A$3:A$999)-2),2)),0)+IFERROR(INDEX(Income!C$3:C$502,SMALL(IF((Income!D$3:D$502="INR")*(Income!A$3:A$502=DATE(2026,4,27)),ROW(Income!A$3:A$502)-2),2)),0))</f>
        <v/>
      </c>
      <c r="D90" s="126">
        <f t="array" ref="D90">IF(IFERROR(INDEX(Expenses!B$3:B$999,SMALL(IF((Expenses!E$3:E$999="INR")*(Expenses!A$3:A$999=DATE(2026,4,27)),ROW(Expenses!A$3:A$999)-2),2)),"")&lt;&gt;"",IFERROR(INDEX(Expenses!B$3:B$999,SMALL(IF((Expenses!E$3:E$999="INR")*(Expenses!A$3:A$999=DATE(2026,4,27)),ROW(Expenses!A$3:A$999)-2),2)),""),IF(IFERROR(INDEX(Income!B$3:B$502,SMALL(IF((Income!D$3:D$502="INR")*(Income!A$3:A$502=DATE(2026,4,27)),ROW(Income!A$3:A$502)-2),2)),"")&lt;&gt;"",IFERROR(INDEX(Income!B$3:B$502,SMALL(IF((Income!D$3:D$502="INR")*(Income!A$3:A$502=DATE(2026,4,27)),ROW(Income!A$3:A$502)-2),2)),""),""))</f>
        <v/>
      </c>
      <c r="E90" s="153">
        <f t="array" ref="E90">IF(IFERROR(-INDEX(Expenses!D$3:D$999,SMALL(IF((Expenses!E$3:E$999="INR")*(Expenses!A$3:A$999=DATE(2026,4,28)),ROW(Expenses!A$3:A$999)-2),2)),0)+IFERROR(INDEX(Income!C$3:C$502,SMALL(IF((Income!D$3:D$502="INR")*(Income!A$3:A$502=DATE(2026,4,28)),ROW(Income!A$3:A$502)-2),2)),0)=0,"",IFERROR(-INDEX(Expenses!D$3:D$999,SMALL(IF((Expenses!E$3:E$999="INR")*(Expenses!A$3:A$999=DATE(2026,4,28)),ROW(Expenses!A$3:A$999)-2),2)),0)+IFERROR(INDEX(Income!C$3:C$502,SMALL(IF((Income!D$3:D$502="INR")*(Income!A$3:A$502=DATE(2026,4,28)),ROW(Income!A$3:A$502)-2),2)),0))</f>
        <v/>
      </c>
      <c r="F90" s="126">
        <f t="array" ref="F90">IF(IFERROR(INDEX(Expenses!B$3:B$999,SMALL(IF((Expenses!E$3:E$999="INR")*(Expenses!A$3:A$999=DATE(2026,4,28)),ROW(Expenses!A$3:A$999)-2),2)),"")&lt;&gt;"",IFERROR(INDEX(Expenses!B$3:B$999,SMALL(IF((Expenses!E$3:E$999="INR")*(Expenses!A$3:A$999=DATE(2026,4,28)),ROW(Expenses!A$3:A$999)-2),2)),""),IF(IFERROR(INDEX(Income!B$3:B$502,SMALL(IF((Income!D$3:D$502="INR")*(Income!A$3:A$502=DATE(2026,4,28)),ROW(Income!A$3:A$502)-2),2)),"")&lt;&gt;"",IFERROR(INDEX(Income!B$3:B$502,SMALL(IF((Income!D$3:D$502="INR")*(Income!A$3:A$502=DATE(2026,4,28)),ROW(Income!A$3:A$502)-2),2)),""),""))</f>
        <v/>
      </c>
      <c r="G90" s="153">
        <f t="array" ref="G90">IF(IFERROR(-INDEX(Expenses!D$3:D$999,SMALL(IF((Expenses!E$3:E$999="INR")*(Expenses!A$3:A$999=DATE(2026,4,29)),ROW(Expenses!A$3:A$999)-2),2)),0)+IFERROR(INDEX(Income!C$3:C$502,SMALL(IF((Income!D$3:D$502="INR")*(Income!A$3:A$502=DATE(2026,4,29)),ROW(Income!A$3:A$502)-2),2)),0)=0,"",IFERROR(-INDEX(Expenses!D$3:D$999,SMALL(IF((Expenses!E$3:E$999="INR")*(Expenses!A$3:A$999=DATE(2026,4,29)),ROW(Expenses!A$3:A$999)-2),2)),0)+IFERROR(INDEX(Income!C$3:C$502,SMALL(IF((Income!D$3:D$502="INR")*(Income!A$3:A$502=DATE(2026,4,29)),ROW(Income!A$3:A$502)-2),2)),0))</f>
        <v/>
      </c>
      <c r="H90" s="126">
        <f t="array" ref="H90">IF(IFERROR(INDEX(Expenses!B$3:B$999,SMALL(IF((Expenses!E$3:E$999="INR")*(Expenses!A$3:A$999=DATE(2026,4,29)),ROW(Expenses!A$3:A$999)-2),2)),"")&lt;&gt;"",IFERROR(INDEX(Expenses!B$3:B$999,SMALL(IF((Expenses!E$3:E$999="INR")*(Expenses!A$3:A$999=DATE(2026,4,29)),ROW(Expenses!A$3:A$999)-2),2)),""),IF(IFERROR(INDEX(Income!B$3:B$502,SMALL(IF((Income!D$3:D$502="INR")*(Income!A$3:A$502=DATE(2026,4,29)),ROW(Income!A$3:A$502)-2),2)),"")&lt;&gt;"",IFERROR(INDEX(Income!B$3:B$502,SMALL(IF((Income!D$3:D$502="INR")*(Income!A$3:A$502=DATE(2026,4,29)),ROW(Income!A$3:A$502)-2),2)),""),""))</f>
        <v/>
      </c>
      <c r="I90" s="153">
        <f t="array" ref="I90">IF(IFERROR(-INDEX(Expenses!D$3:D$999,SMALL(IF((Expenses!E$3:E$999="INR")*(Expenses!A$3:A$999=DATE(2026,4,30)),ROW(Expenses!A$3:A$999)-2),2)),0)+IFERROR(INDEX(Income!C$3:C$502,SMALL(IF((Income!D$3:D$502="INR")*(Income!A$3:A$502=DATE(2026,4,30)),ROW(Income!A$3:A$502)-2),2)),0)=0,"",IFERROR(-INDEX(Expenses!D$3:D$999,SMALL(IF((Expenses!E$3:E$999="INR")*(Expenses!A$3:A$999=DATE(2026,4,30)),ROW(Expenses!A$3:A$999)-2),2)),0)+IFERROR(INDEX(Income!C$3:C$502,SMALL(IF((Income!D$3:D$502="INR")*(Income!A$3:A$502=DATE(2026,4,30)),ROW(Income!A$3:A$502)-2),2)),0))</f>
        <v/>
      </c>
      <c r="J90" s="126">
        <f t="array" ref="J90">IF(IFERROR(INDEX(Expenses!B$3:B$999,SMALL(IF((Expenses!E$3:E$999="INR")*(Expenses!A$3:A$999=DATE(2026,4,30)),ROW(Expenses!A$3:A$999)-2),2)),"")&lt;&gt;"",IFERROR(INDEX(Expenses!B$3:B$999,SMALL(IF((Expenses!E$3:E$999="INR")*(Expenses!A$3:A$999=DATE(2026,4,30)),ROW(Expenses!A$3:A$999)-2),2)),""),IF(IFERROR(INDEX(Income!B$3:B$502,SMALL(IF((Income!D$3:D$502="INR")*(Income!A$3:A$502=DATE(2026,4,30)),ROW(Income!A$3:A$502)-2),2)),"")&lt;&gt;"",IFERROR(INDEX(Income!B$3:B$502,SMALL(IF((Income!D$3:D$502="INR")*(Income!A$3:A$502=DATE(2026,4,30)),ROW(Income!A$3:A$502)-2),2)),""),""))</f>
        <v/>
      </c>
      <c r="K90" s="153">
        <f t="array" ref="K90">IF(IFERROR(-INDEX(Expenses!D$3:D$999,SMALL(IF((Expenses!E$3:E$999="INR")*(Expenses!A$3:A$999=DATE(2026,5,1)),ROW(Expenses!A$3:A$999)-2),2)),0)+IFERROR(INDEX(Income!C$3:C$502,SMALL(IF((Income!D$3:D$502="INR")*(Income!A$3:A$502=DATE(2026,5,1)),ROW(Income!A$3:A$502)-2),2)),0)=0,"",IFERROR(-INDEX(Expenses!D$3:D$999,SMALL(IF((Expenses!E$3:E$999="INR")*(Expenses!A$3:A$999=DATE(2026,5,1)),ROW(Expenses!A$3:A$999)-2),2)),0)+IFERROR(INDEX(Income!C$3:C$502,SMALL(IF((Income!D$3:D$502="INR")*(Income!A$3:A$502=DATE(2026,5,1)),ROW(Income!A$3:A$502)-2),2)),0))</f>
        <v/>
      </c>
      <c r="L90" s="126">
        <f t="array" ref="L90">IF(IFERROR(INDEX(Expenses!B$3:B$999,SMALL(IF((Expenses!E$3:E$999="INR")*(Expenses!A$3:A$999=DATE(2026,5,1)),ROW(Expenses!A$3:A$999)-2),2)),"")&lt;&gt;"",IFERROR(INDEX(Expenses!B$3:B$999,SMALL(IF((Expenses!E$3:E$999="INR")*(Expenses!A$3:A$999=DATE(2026,5,1)),ROW(Expenses!A$3:A$999)-2),2)),""),IF(IFERROR(INDEX(Income!B$3:B$502,SMALL(IF((Income!D$3:D$502="INR")*(Income!A$3:A$502=DATE(2026,5,1)),ROW(Income!A$3:A$502)-2),2)),"")&lt;&gt;"",IFERROR(INDEX(Income!B$3:B$502,SMALL(IF((Income!D$3:D$502="INR")*(Income!A$3:A$502=DATE(2026,5,1)),ROW(Income!A$3:A$502)-2),2)),""),""))</f>
        <v/>
      </c>
      <c r="M90" s="153">
        <f t="array" ref="M90">IF(IFERROR(-INDEX(Expenses!D$3:D$999,SMALL(IF((Expenses!E$3:E$999="INR")*(Expenses!A$3:A$999=DATE(2026,5,2)),ROW(Expenses!A$3:A$999)-2),2)),0)+IFERROR(INDEX(Income!C$3:C$502,SMALL(IF((Income!D$3:D$502="INR")*(Income!A$3:A$502=DATE(2026,5,2)),ROW(Income!A$3:A$502)-2),2)),0)=0,"",IFERROR(-INDEX(Expenses!D$3:D$999,SMALL(IF((Expenses!E$3:E$999="INR")*(Expenses!A$3:A$999=DATE(2026,5,2)),ROW(Expenses!A$3:A$999)-2),2)),0)+IFERROR(INDEX(Income!C$3:C$502,SMALL(IF((Income!D$3:D$502="INR")*(Income!A$3:A$502=DATE(2026,5,2)),ROW(Income!A$3:A$502)-2),2)),0))</f>
        <v/>
      </c>
      <c r="N90" s="126">
        <f t="array" ref="N90">IF(IFERROR(INDEX(Expenses!B$3:B$999,SMALL(IF((Expenses!E$3:E$999="INR")*(Expenses!A$3:A$999=DATE(2026,5,2)),ROW(Expenses!A$3:A$999)-2),2)),"")&lt;&gt;"",IFERROR(INDEX(Expenses!B$3:B$999,SMALL(IF((Expenses!E$3:E$999="INR")*(Expenses!A$3:A$999=DATE(2026,5,2)),ROW(Expenses!A$3:A$999)-2),2)),""),IF(IFERROR(INDEX(Income!B$3:B$502,SMALL(IF((Income!D$3:D$502="INR")*(Income!A$3:A$502=DATE(2026,5,2)),ROW(Income!A$3:A$502)-2),2)),"")&lt;&gt;"",IFERROR(INDEX(Income!B$3:B$502,SMALL(IF((Income!D$3:D$502="INR")*(Income!A$3:A$502=DATE(2026,5,2)),ROW(Income!A$3:A$502)-2),2)),""),""))</f>
        <v/>
      </c>
      <c r="O90" s="153">
        <f t="array" ref="O90">IF(IFERROR(-INDEX(Expenses!D$3:D$999,SMALL(IF((Expenses!E$3:E$999="INR")*(Expenses!A$3:A$999=DATE(2026,5,3)),ROW(Expenses!A$3:A$999)-2),2)),0)+IFERROR(INDEX(Income!C$3:C$502,SMALL(IF((Income!D$3:D$502="INR")*(Income!A$3:A$502=DATE(2026,5,3)),ROW(Income!A$3:A$502)-2),2)),0)=0,"",IFERROR(-INDEX(Expenses!D$3:D$999,SMALL(IF((Expenses!E$3:E$999="INR")*(Expenses!A$3:A$999=DATE(2026,5,3)),ROW(Expenses!A$3:A$999)-2),2)),0)+IFERROR(INDEX(Income!C$3:C$502,SMALL(IF((Income!D$3:D$502="INR")*(Income!A$3:A$502=DATE(2026,5,3)),ROW(Income!A$3:A$502)-2),2)),0))</f>
        <v/>
      </c>
      <c r="P90" s="126">
        <f t="array" ref="P90">IF(IFERROR(INDEX(Expenses!B$3:B$999,SMALL(IF((Expenses!E$3:E$999="INR")*(Expenses!A$3:A$999=DATE(2026,5,3)),ROW(Expenses!A$3:A$999)-2),2)),"")&lt;&gt;"",IFERROR(INDEX(Expenses!B$3:B$999,SMALL(IF((Expenses!E$3:E$999="INR")*(Expenses!A$3:A$999=DATE(2026,5,3)),ROW(Expenses!A$3:A$999)-2),2)),""),IF(IFERROR(INDEX(Income!B$3:B$502,SMALL(IF((Income!D$3:D$502="INR")*(Income!A$3:A$502=DATE(2026,5,3)),ROW(Income!A$3:A$502)-2),2)),"")&lt;&gt;"",IFERROR(INDEX(Income!B$3:B$502,SMALL(IF((Income!D$3:D$502="INR")*(Income!A$3:A$502=DATE(2026,5,3)),ROW(Income!A$3:A$502)-2),2)),""),""))</f>
        <v/>
      </c>
      <c r="Q90" s="9" t="n"/>
      <c r="R90" s="9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68">
      <c r="A91" s="9" t="n"/>
      <c r="B91" s="9" t="n"/>
      <c r="C91" s="153">
        <f t="array" ref="C91">IF(IFERROR(-INDEX(Expenses!D$3:D$999,SMALL(IF((Expenses!E$3:E$999="INR")*(Expenses!A$3:A$999=DATE(2026,4,27)),ROW(Expenses!A$3:A$999)-2),3)),0)+IFERROR(INDEX(Income!C$3:C$502,SMALL(IF((Income!D$3:D$502="INR")*(Income!A$3:A$502=DATE(2026,4,27)),ROW(Income!A$3:A$502)-2),3)),0)=0,"",IFERROR(-INDEX(Expenses!D$3:D$999,SMALL(IF((Expenses!E$3:E$999="INR")*(Expenses!A$3:A$999=DATE(2026,4,27)),ROW(Expenses!A$3:A$999)-2),3)),0)+IFERROR(INDEX(Income!C$3:C$502,SMALL(IF((Income!D$3:D$502="INR")*(Income!A$3:A$502=DATE(2026,4,27)),ROW(Income!A$3:A$502)-2),3)),0))</f>
        <v/>
      </c>
      <c r="D91" s="126">
        <f t="array" ref="D91">IF(IFERROR(INDEX(Expenses!B$3:B$999,SMALL(IF((Expenses!E$3:E$999="INR")*(Expenses!A$3:A$999=DATE(2026,4,27)),ROW(Expenses!A$3:A$999)-2),3)),"")&lt;&gt;"",IFERROR(INDEX(Expenses!B$3:B$999,SMALL(IF((Expenses!E$3:E$999="INR")*(Expenses!A$3:A$999=DATE(2026,4,27)),ROW(Expenses!A$3:A$999)-2),3)),""),IF(IFERROR(INDEX(Income!B$3:B$502,SMALL(IF((Income!D$3:D$502="INR")*(Income!A$3:A$502=DATE(2026,4,27)),ROW(Income!A$3:A$502)-2),3)),"")&lt;&gt;"",IFERROR(INDEX(Income!B$3:B$502,SMALL(IF((Income!D$3:D$502="INR")*(Income!A$3:A$502=DATE(2026,4,27)),ROW(Income!A$3:A$502)-2),3)),""),""))</f>
        <v/>
      </c>
      <c r="E91" s="153">
        <f t="array" ref="E91">IF(IFERROR(-INDEX(Expenses!D$3:D$999,SMALL(IF((Expenses!E$3:E$999="INR")*(Expenses!A$3:A$999=DATE(2026,4,28)),ROW(Expenses!A$3:A$999)-2),3)),0)+IFERROR(INDEX(Income!C$3:C$502,SMALL(IF((Income!D$3:D$502="INR")*(Income!A$3:A$502=DATE(2026,4,28)),ROW(Income!A$3:A$502)-2),3)),0)=0,"",IFERROR(-INDEX(Expenses!D$3:D$999,SMALL(IF((Expenses!E$3:E$999="INR")*(Expenses!A$3:A$999=DATE(2026,4,28)),ROW(Expenses!A$3:A$999)-2),3)),0)+IFERROR(INDEX(Income!C$3:C$502,SMALL(IF((Income!D$3:D$502="INR")*(Income!A$3:A$502=DATE(2026,4,28)),ROW(Income!A$3:A$502)-2),3)),0))</f>
        <v/>
      </c>
      <c r="F91" s="126">
        <f t="array" ref="F91">IF(IFERROR(INDEX(Expenses!B$3:B$999,SMALL(IF((Expenses!E$3:E$999="INR")*(Expenses!A$3:A$999=DATE(2026,4,28)),ROW(Expenses!A$3:A$999)-2),3)),"")&lt;&gt;"",IFERROR(INDEX(Expenses!B$3:B$999,SMALL(IF((Expenses!E$3:E$999="INR")*(Expenses!A$3:A$999=DATE(2026,4,28)),ROW(Expenses!A$3:A$999)-2),3)),""),IF(IFERROR(INDEX(Income!B$3:B$502,SMALL(IF((Income!D$3:D$502="INR")*(Income!A$3:A$502=DATE(2026,4,28)),ROW(Income!A$3:A$502)-2),3)),"")&lt;&gt;"",IFERROR(INDEX(Income!B$3:B$502,SMALL(IF((Income!D$3:D$502="INR")*(Income!A$3:A$502=DATE(2026,4,28)),ROW(Income!A$3:A$502)-2),3)),""),""))</f>
        <v/>
      </c>
      <c r="G91" s="153">
        <f t="array" ref="G91">IF(IFERROR(-INDEX(Expenses!D$3:D$999,SMALL(IF((Expenses!E$3:E$999="INR")*(Expenses!A$3:A$999=DATE(2026,4,29)),ROW(Expenses!A$3:A$999)-2),3)),0)+IFERROR(INDEX(Income!C$3:C$502,SMALL(IF((Income!D$3:D$502="INR")*(Income!A$3:A$502=DATE(2026,4,29)),ROW(Income!A$3:A$502)-2),3)),0)=0,"",IFERROR(-INDEX(Expenses!D$3:D$999,SMALL(IF((Expenses!E$3:E$999="INR")*(Expenses!A$3:A$999=DATE(2026,4,29)),ROW(Expenses!A$3:A$999)-2),3)),0)+IFERROR(INDEX(Income!C$3:C$502,SMALL(IF((Income!D$3:D$502="INR")*(Income!A$3:A$502=DATE(2026,4,29)),ROW(Income!A$3:A$502)-2),3)),0))</f>
        <v/>
      </c>
      <c r="H91" s="126">
        <f t="array" ref="H91">IF(IFERROR(INDEX(Expenses!B$3:B$999,SMALL(IF((Expenses!E$3:E$999="INR")*(Expenses!A$3:A$999=DATE(2026,4,29)),ROW(Expenses!A$3:A$999)-2),3)),"")&lt;&gt;"",IFERROR(INDEX(Expenses!B$3:B$999,SMALL(IF((Expenses!E$3:E$999="INR")*(Expenses!A$3:A$999=DATE(2026,4,29)),ROW(Expenses!A$3:A$999)-2),3)),""),IF(IFERROR(INDEX(Income!B$3:B$502,SMALL(IF((Income!D$3:D$502="INR")*(Income!A$3:A$502=DATE(2026,4,29)),ROW(Income!A$3:A$502)-2),3)),"")&lt;&gt;"",IFERROR(INDEX(Income!B$3:B$502,SMALL(IF((Income!D$3:D$502="INR")*(Income!A$3:A$502=DATE(2026,4,29)),ROW(Income!A$3:A$502)-2),3)),""),""))</f>
        <v/>
      </c>
      <c r="I91" s="153">
        <f t="array" ref="I91">IF(IFERROR(-INDEX(Expenses!D$3:D$999,SMALL(IF((Expenses!E$3:E$999="INR")*(Expenses!A$3:A$999=DATE(2026,4,30)),ROW(Expenses!A$3:A$999)-2),3)),0)+IFERROR(INDEX(Income!C$3:C$502,SMALL(IF((Income!D$3:D$502="INR")*(Income!A$3:A$502=DATE(2026,4,30)),ROW(Income!A$3:A$502)-2),3)),0)=0,"",IFERROR(-INDEX(Expenses!D$3:D$999,SMALL(IF((Expenses!E$3:E$999="INR")*(Expenses!A$3:A$999=DATE(2026,4,30)),ROW(Expenses!A$3:A$999)-2),3)),0)+IFERROR(INDEX(Income!C$3:C$502,SMALL(IF((Income!D$3:D$502="INR")*(Income!A$3:A$502=DATE(2026,4,30)),ROW(Income!A$3:A$502)-2),3)),0))</f>
        <v/>
      </c>
      <c r="J91" s="126">
        <f t="array" ref="J91">IF(IFERROR(INDEX(Expenses!B$3:B$999,SMALL(IF((Expenses!E$3:E$999="INR")*(Expenses!A$3:A$999=DATE(2026,4,30)),ROW(Expenses!A$3:A$999)-2),3)),"")&lt;&gt;"",IFERROR(INDEX(Expenses!B$3:B$999,SMALL(IF((Expenses!E$3:E$999="INR")*(Expenses!A$3:A$999=DATE(2026,4,30)),ROW(Expenses!A$3:A$999)-2),3)),""),IF(IFERROR(INDEX(Income!B$3:B$502,SMALL(IF((Income!D$3:D$502="INR")*(Income!A$3:A$502=DATE(2026,4,30)),ROW(Income!A$3:A$502)-2),3)),"")&lt;&gt;"",IFERROR(INDEX(Income!B$3:B$502,SMALL(IF((Income!D$3:D$502="INR")*(Income!A$3:A$502=DATE(2026,4,30)),ROW(Income!A$3:A$502)-2),3)),""),""))</f>
        <v/>
      </c>
      <c r="K91" s="153">
        <f t="array" ref="K91">IF(IFERROR(-INDEX(Expenses!D$3:D$999,SMALL(IF((Expenses!E$3:E$999="INR")*(Expenses!A$3:A$999=DATE(2026,5,1)),ROW(Expenses!A$3:A$999)-2),3)),0)+IFERROR(INDEX(Income!C$3:C$502,SMALL(IF((Income!D$3:D$502="INR")*(Income!A$3:A$502=DATE(2026,5,1)),ROW(Income!A$3:A$502)-2),3)),0)=0,"",IFERROR(-INDEX(Expenses!D$3:D$999,SMALL(IF((Expenses!E$3:E$999="INR")*(Expenses!A$3:A$999=DATE(2026,5,1)),ROW(Expenses!A$3:A$999)-2),3)),0)+IFERROR(INDEX(Income!C$3:C$502,SMALL(IF((Income!D$3:D$502="INR")*(Income!A$3:A$502=DATE(2026,5,1)),ROW(Income!A$3:A$502)-2),3)),0))</f>
        <v/>
      </c>
      <c r="L91" s="126">
        <f t="array" ref="L91">IF(IFERROR(INDEX(Expenses!B$3:B$999,SMALL(IF((Expenses!E$3:E$999="INR")*(Expenses!A$3:A$999=DATE(2026,5,1)),ROW(Expenses!A$3:A$999)-2),3)),"")&lt;&gt;"",IFERROR(INDEX(Expenses!B$3:B$999,SMALL(IF((Expenses!E$3:E$999="INR")*(Expenses!A$3:A$999=DATE(2026,5,1)),ROW(Expenses!A$3:A$999)-2),3)),""),IF(IFERROR(INDEX(Income!B$3:B$502,SMALL(IF((Income!D$3:D$502="INR")*(Income!A$3:A$502=DATE(2026,5,1)),ROW(Income!A$3:A$502)-2),3)),"")&lt;&gt;"",IFERROR(INDEX(Income!B$3:B$502,SMALL(IF((Income!D$3:D$502="INR")*(Income!A$3:A$502=DATE(2026,5,1)),ROW(Income!A$3:A$502)-2),3)),""),""))</f>
        <v/>
      </c>
      <c r="M91" s="153">
        <f t="array" ref="M91">IF(IFERROR(-INDEX(Expenses!D$3:D$999,SMALL(IF((Expenses!E$3:E$999="INR")*(Expenses!A$3:A$999=DATE(2026,5,2)),ROW(Expenses!A$3:A$999)-2),3)),0)+IFERROR(INDEX(Income!C$3:C$502,SMALL(IF((Income!D$3:D$502="INR")*(Income!A$3:A$502=DATE(2026,5,2)),ROW(Income!A$3:A$502)-2),3)),0)=0,"",IFERROR(-INDEX(Expenses!D$3:D$999,SMALL(IF((Expenses!E$3:E$999="INR")*(Expenses!A$3:A$999=DATE(2026,5,2)),ROW(Expenses!A$3:A$999)-2),3)),0)+IFERROR(INDEX(Income!C$3:C$502,SMALL(IF((Income!D$3:D$502="INR")*(Income!A$3:A$502=DATE(2026,5,2)),ROW(Income!A$3:A$502)-2),3)),0))</f>
        <v/>
      </c>
      <c r="N91" s="126">
        <f t="array" ref="N91">IF(IFERROR(INDEX(Expenses!B$3:B$999,SMALL(IF((Expenses!E$3:E$999="INR")*(Expenses!A$3:A$999=DATE(2026,5,2)),ROW(Expenses!A$3:A$999)-2),3)),"")&lt;&gt;"",IFERROR(INDEX(Expenses!B$3:B$999,SMALL(IF((Expenses!E$3:E$999="INR")*(Expenses!A$3:A$999=DATE(2026,5,2)),ROW(Expenses!A$3:A$999)-2),3)),""),IF(IFERROR(INDEX(Income!B$3:B$502,SMALL(IF((Income!D$3:D$502="INR")*(Income!A$3:A$502=DATE(2026,5,2)),ROW(Income!A$3:A$502)-2),3)),"")&lt;&gt;"",IFERROR(INDEX(Income!B$3:B$502,SMALL(IF((Income!D$3:D$502="INR")*(Income!A$3:A$502=DATE(2026,5,2)),ROW(Income!A$3:A$502)-2),3)),""),""))</f>
        <v/>
      </c>
      <c r="O91" s="153">
        <f t="array" ref="O91">IF(IFERROR(-INDEX(Expenses!D$3:D$999,SMALL(IF((Expenses!E$3:E$999="INR")*(Expenses!A$3:A$999=DATE(2026,5,3)),ROW(Expenses!A$3:A$999)-2),3)),0)+IFERROR(INDEX(Income!C$3:C$502,SMALL(IF((Income!D$3:D$502="INR")*(Income!A$3:A$502=DATE(2026,5,3)),ROW(Income!A$3:A$502)-2),3)),0)=0,"",IFERROR(-INDEX(Expenses!D$3:D$999,SMALL(IF((Expenses!E$3:E$999="INR")*(Expenses!A$3:A$999=DATE(2026,5,3)),ROW(Expenses!A$3:A$999)-2),3)),0)+IFERROR(INDEX(Income!C$3:C$502,SMALL(IF((Income!D$3:D$502="INR")*(Income!A$3:A$502=DATE(2026,5,3)),ROW(Income!A$3:A$502)-2),3)),0))</f>
        <v/>
      </c>
      <c r="P91" s="126">
        <f t="array" ref="P91">IF(IFERROR(INDEX(Expenses!B$3:B$999,SMALL(IF((Expenses!E$3:E$999="INR")*(Expenses!A$3:A$999=DATE(2026,5,3)),ROW(Expenses!A$3:A$999)-2),3)),"")&lt;&gt;"",IFERROR(INDEX(Expenses!B$3:B$999,SMALL(IF((Expenses!E$3:E$999="INR")*(Expenses!A$3:A$999=DATE(2026,5,3)),ROW(Expenses!A$3:A$999)-2),3)),""),IF(IFERROR(INDEX(Income!B$3:B$502,SMALL(IF((Income!D$3:D$502="INR")*(Income!A$3:A$502=DATE(2026,5,3)),ROW(Income!A$3:A$502)-2),3)),"")&lt;&gt;"",IFERROR(INDEX(Income!B$3:B$502,SMALL(IF((Income!D$3:D$502="INR")*(Income!A$3:A$502=DATE(2026,5,3)),ROW(Income!A$3:A$502)-2),3)),""),""))</f>
        <v/>
      </c>
      <c r="Q91" s="9" t="n"/>
      <c r="R91" s="9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68">
      <c r="A92" s="9" t="n"/>
      <c r="B92" s="9" t="n"/>
      <c r="C92" s="153">
        <f t="array" ref="C92">IF(IFERROR(-INDEX(Expenses!D$3:D$999,SMALL(IF((Expenses!E$3:E$999="INR")*(Expenses!A$3:A$999=DATE(2026,4,27)),ROW(Expenses!A$3:A$999)-2),4)),0)+IFERROR(INDEX(Income!C$3:C$502,SMALL(IF((Income!D$3:D$502="INR")*(Income!A$3:A$502=DATE(2026,4,27)),ROW(Income!A$3:A$502)-2),4)),0)=0,"",IFERROR(-INDEX(Expenses!D$3:D$999,SMALL(IF((Expenses!E$3:E$999="INR")*(Expenses!A$3:A$999=DATE(2026,4,27)),ROW(Expenses!A$3:A$999)-2),4)),0)+IFERROR(INDEX(Income!C$3:C$502,SMALL(IF((Income!D$3:D$502="INR")*(Income!A$3:A$502=DATE(2026,4,27)),ROW(Income!A$3:A$502)-2),4)),0))</f>
        <v/>
      </c>
      <c r="D92" s="126">
        <f t="array" ref="D92">IF(IFERROR(INDEX(Expenses!B$3:B$999,SMALL(IF((Expenses!E$3:E$999="INR")*(Expenses!A$3:A$999=DATE(2026,4,27)),ROW(Expenses!A$3:A$999)-2),4)),"")&lt;&gt;"",IFERROR(INDEX(Expenses!B$3:B$999,SMALL(IF((Expenses!E$3:E$999="INR")*(Expenses!A$3:A$999=DATE(2026,4,27)),ROW(Expenses!A$3:A$999)-2),4)),""),IF(IFERROR(INDEX(Income!B$3:B$502,SMALL(IF((Income!D$3:D$502="INR")*(Income!A$3:A$502=DATE(2026,4,27)),ROW(Income!A$3:A$502)-2),4)),"")&lt;&gt;"",IFERROR(INDEX(Income!B$3:B$502,SMALL(IF((Income!D$3:D$502="INR")*(Income!A$3:A$502=DATE(2026,4,27)),ROW(Income!A$3:A$502)-2),4)),""),""))</f>
        <v/>
      </c>
      <c r="E92" s="153">
        <f t="array" ref="E92">IF(IFERROR(-INDEX(Expenses!D$3:D$999,SMALL(IF((Expenses!E$3:E$999="INR")*(Expenses!A$3:A$999=DATE(2026,4,28)),ROW(Expenses!A$3:A$999)-2),4)),0)+IFERROR(INDEX(Income!C$3:C$502,SMALL(IF((Income!D$3:D$502="INR")*(Income!A$3:A$502=DATE(2026,4,28)),ROW(Income!A$3:A$502)-2),4)),0)=0,"",IFERROR(-INDEX(Expenses!D$3:D$999,SMALL(IF((Expenses!E$3:E$999="INR")*(Expenses!A$3:A$999=DATE(2026,4,28)),ROW(Expenses!A$3:A$999)-2),4)),0)+IFERROR(INDEX(Income!C$3:C$502,SMALL(IF((Income!D$3:D$502="INR")*(Income!A$3:A$502=DATE(2026,4,28)),ROW(Income!A$3:A$502)-2),4)),0))</f>
        <v/>
      </c>
      <c r="F92" s="126">
        <f t="array" ref="F92">IF(IFERROR(INDEX(Expenses!B$3:B$999,SMALL(IF((Expenses!E$3:E$999="INR")*(Expenses!A$3:A$999=DATE(2026,4,28)),ROW(Expenses!A$3:A$999)-2),4)),"")&lt;&gt;"",IFERROR(INDEX(Expenses!B$3:B$999,SMALL(IF((Expenses!E$3:E$999="INR")*(Expenses!A$3:A$999=DATE(2026,4,28)),ROW(Expenses!A$3:A$999)-2),4)),""),IF(IFERROR(INDEX(Income!B$3:B$502,SMALL(IF((Income!D$3:D$502="INR")*(Income!A$3:A$502=DATE(2026,4,28)),ROW(Income!A$3:A$502)-2),4)),"")&lt;&gt;"",IFERROR(INDEX(Income!B$3:B$502,SMALL(IF((Income!D$3:D$502="INR")*(Income!A$3:A$502=DATE(2026,4,28)),ROW(Income!A$3:A$502)-2),4)),""),""))</f>
        <v/>
      </c>
      <c r="G92" s="153">
        <f t="array" ref="G92">IF(IFERROR(-INDEX(Expenses!D$3:D$999,SMALL(IF((Expenses!E$3:E$999="INR")*(Expenses!A$3:A$999=DATE(2026,4,29)),ROW(Expenses!A$3:A$999)-2),4)),0)+IFERROR(INDEX(Income!C$3:C$502,SMALL(IF((Income!D$3:D$502="INR")*(Income!A$3:A$502=DATE(2026,4,29)),ROW(Income!A$3:A$502)-2),4)),0)=0,"",IFERROR(-INDEX(Expenses!D$3:D$999,SMALL(IF((Expenses!E$3:E$999="INR")*(Expenses!A$3:A$999=DATE(2026,4,29)),ROW(Expenses!A$3:A$999)-2),4)),0)+IFERROR(INDEX(Income!C$3:C$502,SMALL(IF((Income!D$3:D$502="INR")*(Income!A$3:A$502=DATE(2026,4,29)),ROW(Income!A$3:A$502)-2),4)),0))</f>
        <v/>
      </c>
      <c r="H92" s="126">
        <f t="array" ref="H92">IF(IFERROR(INDEX(Expenses!B$3:B$999,SMALL(IF((Expenses!E$3:E$999="INR")*(Expenses!A$3:A$999=DATE(2026,4,29)),ROW(Expenses!A$3:A$999)-2),4)),"")&lt;&gt;"",IFERROR(INDEX(Expenses!B$3:B$999,SMALL(IF((Expenses!E$3:E$999="INR")*(Expenses!A$3:A$999=DATE(2026,4,29)),ROW(Expenses!A$3:A$999)-2),4)),""),IF(IFERROR(INDEX(Income!B$3:B$502,SMALL(IF((Income!D$3:D$502="INR")*(Income!A$3:A$502=DATE(2026,4,29)),ROW(Income!A$3:A$502)-2),4)),"")&lt;&gt;"",IFERROR(INDEX(Income!B$3:B$502,SMALL(IF((Income!D$3:D$502="INR")*(Income!A$3:A$502=DATE(2026,4,29)),ROW(Income!A$3:A$502)-2),4)),""),""))</f>
        <v/>
      </c>
      <c r="I92" s="153">
        <f t="array" ref="I92">IF(IFERROR(-INDEX(Expenses!D$3:D$999,SMALL(IF((Expenses!E$3:E$999="INR")*(Expenses!A$3:A$999=DATE(2026,4,30)),ROW(Expenses!A$3:A$999)-2),4)),0)+IFERROR(INDEX(Income!C$3:C$502,SMALL(IF((Income!D$3:D$502="INR")*(Income!A$3:A$502=DATE(2026,4,30)),ROW(Income!A$3:A$502)-2),4)),0)=0,"",IFERROR(-INDEX(Expenses!D$3:D$999,SMALL(IF((Expenses!E$3:E$999="INR")*(Expenses!A$3:A$999=DATE(2026,4,30)),ROW(Expenses!A$3:A$999)-2),4)),0)+IFERROR(INDEX(Income!C$3:C$502,SMALL(IF((Income!D$3:D$502="INR")*(Income!A$3:A$502=DATE(2026,4,30)),ROW(Income!A$3:A$502)-2),4)),0))</f>
        <v/>
      </c>
      <c r="J92" s="126">
        <f t="array" ref="J92">IF(IFERROR(INDEX(Expenses!B$3:B$999,SMALL(IF((Expenses!E$3:E$999="INR")*(Expenses!A$3:A$999=DATE(2026,4,30)),ROW(Expenses!A$3:A$999)-2),4)),"")&lt;&gt;"",IFERROR(INDEX(Expenses!B$3:B$999,SMALL(IF((Expenses!E$3:E$999="INR")*(Expenses!A$3:A$999=DATE(2026,4,30)),ROW(Expenses!A$3:A$999)-2),4)),""),IF(IFERROR(INDEX(Income!B$3:B$502,SMALL(IF((Income!D$3:D$502="INR")*(Income!A$3:A$502=DATE(2026,4,30)),ROW(Income!A$3:A$502)-2),4)),"")&lt;&gt;"",IFERROR(INDEX(Income!B$3:B$502,SMALL(IF((Income!D$3:D$502="INR")*(Income!A$3:A$502=DATE(2026,4,30)),ROW(Income!A$3:A$502)-2),4)),""),""))</f>
        <v/>
      </c>
      <c r="K92" s="153">
        <f t="array" ref="K92">IF(IFERROR(-INDEX(Expenses!D$3:D$999,SMALL(IF((Expenses!E$3:E$999="INR")*(Expenses!A$3:A$999=DATE(2026,5,1)),ROW(Expenses!A$3:A$999)-2),4)),0)+IFERROR(INDEX(Income!C$3:C$502,SMALL(IF((Income!D$3:D$502="INR")*(Income!A$3:A$502=DATE(2026,5,1)),ROW(Income!A$3:A$502)-2),4)),0)=0,"",IFERROR(-INDEX(Expenses!D$3:D$999,SMALL(IF((Expenses!E$3:E$999="INR")*(Expenses!A$3:A$999=DATE(2026,5,1)),ROW(Expenses!A$3:A$999)-2),4)),0)+IFERROR(INDEX(Income!C$3:C$502,SMALL(IF((Income!D$3:D$502="INR")*(Income!A$3:A$502=DATE(2026,5,1)),ROW(Income!A$3:A$502)-2),4)),0))</f>
        <v/>
      </c>
      <c r="L92" s="126">
        <f t="array" ref="L92">IF(IFERROR(INDEX(Expenses!B$3:B$999,SMALL(IF((Expenses!E$3:E$999="INR")*(Expenses!A$3:A$999=DATE(2026,5,1)),ROW(Expenses!A$3:A$999)-2),4)),"")&lt;&gt;"",IFERROR(INDEX(Expenses!B$3:B$999,SMALL(IF((Expenses!E$3:E$999="INR")*(Expenses!A$3:A$999=DATE(2026,5,1)),ROW(Expenses!A$3:A$999)-2),4)),""),IF(IFERROR(INDEX(Income!B$3:B$502,SMALL(IF((Income!D$3:D$502="INR")*(Income!A$3:A$502=DATE(2026,5,1)),ROW(Income!A$3:A$502)-2),4)),"")&lt;&gt;"",IFERROR(INDEX(Income!B$3:B$502,SMALL(IF((Income!D$3:D$502="INR")*(Income!A$3:A$502=DATE(2026,5,1)),ROW(Income!A$3:A$502)-2),4)),""),""))</f>
        <v/>
      </c>
      <c r="M92" s="153">
        <f t="array" ref="M92">IF(IFERROR(-INDEX(Expenses!D$3:D$999,SMALL(IF((Expenses!E$3:E$999="INR")*(Expenses!A$3:A$999=DATE(2026,5,2)),ROW(Expenses!A$3:A$999)-2),4)),0)+IFERROR(INDEX(Income!C$3:C$502,SMALL(IF((Income!D$3:D$502="INR")*(Income!A$3:A$502=DATE(2026,5,2)),ROW(Income!A$3:A$502)-2),4)),0)=0,"",IFERROR(-INDEX(Expenses!D$3:D$999,SMALL(IF((Expenses!E$3:E$999="INR")*(Expenses!A$3:A$999=DATE(2026,5,2)),ROW(Expenses!A$3:A$999)-2),4)),0)+IFERROR(INDEX(Income!C$3:C$502,SMALL(IF((Income!D$3:D$502="INR")*(Income!A$3:A$502=DATE(2026,5,2)),ROW(Income!A$3:A$502)-2),4)),0))</f>
        <v/>
      </c>
      <c r="N92" s="126">
        <f t="array" ref="N92">IF(IFERROR(INDEX(Expenses!B$3:B$999,SMALL(IF((Expenses!E$3:E$999="INR")*(Expenses!A$3:A$999=DATE(2026,5,2)),ROW(Expenses!A$3:A$999)-2),4)),"")&lt;&gt;"",IFERROR(INDEX(Expenses!B$3:B$999,SMALL(IF((Expenses!E$3:E$999="INR")*(Expenses!A$3:A$999=DATE(2026,5,2)),ROW(Expenses!A$3:A$999)-2),4)),""),IF(IFERROR(INDEX(Income!B$3:B$502,SMALL(IF((Income!D$3:D$502="INR")*(Income!A$3:A$502=DATE(2026,5,2)),ROW(Income!A$3:A$502)-2),4)),"")&lt;&gt;"",IFERROR(INDEX(Income!B$3:B$502,SMALL(IF((Income!D$3:D$502="INR")*(Income!A$3:A$502=DATE(2026,5,2)),ROW(Income!A$3:A$502)-2),4)),""),""))</f>
        <v/>
      </c>
      <c r="O92" s="153">
        <f t="array" ref="O92">IF(IFERROR(-INDEX(Expenses!D$3:D$999,SMALL(IF((Expenses!E$3:E$999="INR")*(Expenses!A$3:A$999=DATE(2026,5,3)),ROW(Expenses!A$3:A$999)-2),4)),0)+IFERROR(INDEX(Income!C$3:C$502,SMALL(IF((Income!D$3:D$502="INR")*(Income!A$3:A$502=DATE(2026,5,3)),ROW(Income!A$3:A$502)-2),4)),0)=0,"",IFERROR(-INDEX(Expenses!D$3:D$999,SMALL(IF((Expenses!E$3:E$999="INR")*(Expenses!A$3:A$999=DATE(2026,5,3)),ROW(Expenses!A$3:A$999)-2),4)),0)+IFERROR(INDEX(Income!C$3:C$502,SMALL(IF((Income!D$3:D$502="INR")*(Income!A$3:A$502=DATE(2026,5,3)),ROW(Income!A$3:A$502)-2),4)),0))</f>
        <v/>
      </c>
      <c r="P92" s="126">
        <f t="array" ref="P92">IF(IFERROR(INDEX(Expenses!B$3:B$999,SMALL(IF((Expenses!E$3:E$999="INR")*(Expenses!A$3:A$999=DATE(2026,5,3)),ROW(Expenses!A$3:A$999)-2),4)),"")&lt;&gt;"",IFERROR(INDEX(Expenses!B$3:B$999,SMALL(IF((Expenses!E$3:E$999="INR")*(Expenses!A$3:A$999=DATE(2026,5,3)),ROW(Expenses!A$3:A$999)-2),4)),""),IF(IFERROR(INDEX(Income!B$3:B$502,SMALL(IF((Income!D$3:D$502="INR")*(Income!A$3:A$502=DATE(2026,5,3)),ROW(Income!A$3:A$502)-2),4)),"")&lt;&gt;"",IFERROR(INDEX(Income!B$3:B$502,SMALL(IF((Income!D$3:D$502="INR")*(Income!A$3:A$502=DATE(2026,5,3)),ROW(Income!A$3:A$502)-2),4)),""),""))</f>
        <v/>
      </c>
      <c r="Q92" s="9" t="n"/>
      <c r="R92" s="9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68">
      <c r="A93" s="9" t="n"/>
      <c r="B93" s="9" t="n"/>
      <c r="C93" s="153">
        <f t="array" ref="C93">IF(IFERROR(-INDEX(Expenses!D$3:D$999,SMALL(IF((Expenses!E$3:E$999="INR")*(Expenses!A$3:A$999=DATE(2026,4,27)),ROW(Expenses!A$3:A$999)-2),5)),0)+IFERROR(INDEX(Income!C$3:C$502,SMALL(IF((Income!D$3:D$502="INR")*(Income!A$3:A$502=DATE(2026,4,27)),ROW(Income!A$3:A$502)-2),5)),0)=0,"",IFERROR(-INDEX(Expenses!D$3:D$999,SMALL(IF((Expenses!E$3:E$999="INR")*(Expenses!A$3:A$999=DATE(2026,4,27)),ROW(Expenses!A$3:A$999)-2),5)),0)+IFERROR(INDEX(Income!C$3:C$502,SMALL(IF((Income!D$3:D$502="INR")*(Income!A$3:A$502=DATE(2026,4,27)),ROW(Income!A$3:A$502)-2),5)),0))</f>
        <v/>
      </c>
      <c r="D93" s="126">
        <f t="array" ref="D93">IF(IFERROR(INDEX(Expenses!B$3:B$999,SMALL(IF((Expenses!E$3:E$999="INR")*(Expenses!A$3:A$999=DATE(2026,4,27)),ROW(Expenses!A$3:A$999)-2),5)),"")&lt;&gt;"",IFERROR(INDEX(Expenses!B$3:B$999,SMALL(IF((Expenses!E$3:E$999="INR")*(Expenses!A$3:A$999=DATE(2026,4,27)),ROW(Expenses!A$3:A$999)-2),5)),""),IF(IFERROR(INDEX(Income!B$3:B$502,SMALL(IF((Income!D$3:D$502="INR")*(Income!A$3:A$502=DATE(2026,4,27)),ROW(Income!A$3:A$502)-2),5)),"")&lt;&gt;"",IFERROR(INDEX(Income!B$3:B$502,SMALL(IF((Income!D$3:D$502="INR")*(Income!A$3:A$502=DATE(2026,4,27)),ROW(Income!A$3:A$502)-2),5)),""),""))</f>
        <v/>
      </c>
      <c r="E93" s="153">
        <f t="array" ref="E93">IF(IFERROR(-INDEX(Expenses!D$3:D$999,SMALL(IF((Expenses!E$3:E$999="INR")*(Expenses!A$3:A$999=DATE(2026,4,28)),ROW(Expenses!A$3:A$999)-2),5)),0)+IFERROR(INDEX(Income!C$3:C$502,SMALL(IF((Income!D$3:D$502="INR")*(Income!A$3:A$502=DATE(2026,4,28)),ROW(Income!A$3:A$502)-2),5)),0)=0,"",IFERROR(-INDEX(Expenses!D$3:D$999,SMALL(IF((Expenses!E$3:E$999="INR")*(Expenses!A$3:A$999=DATE(2026,4,28)),ROW(Expenses!A$3:A$999)-2),5)),0)+IFERROR(INDEX(Income!C$3:C$502,SMALL(IF((Income!D$3:D$502="INR")*(Income!A$3:A$502=DATE(2026,4,28)),ROW(Income!A$3:A$502)-2),5)),0))</f>
        <v/>
      </c>
      <c r="F93" s="126">
        <f t="array" ref="F93">IF(IFERROR(INDEX(Expenses!B$3:B$999,SMALL(IF((Expenses!E$3:E$999="INR")*(Expenses!A$3:A$999=DATE(2026,4,28)),ROW(Expenses!A$3:A$999)-2),5)),"")&lt;&gt;"",IFERROR(INDEX(Expenses!B$3:B$999,SMALL(IF((Expenses!E$3:E$999="INR")*(Expenses!A$3:A$999=DATE(2026,4,28)),ROW(Expenses!A$3:A$999)-2),5)),""),IF(IFERROR(INDEX(Income!B$3:B$502,SMALL(IF((Income!D$3:D$502="INR")*(Income!A$3:A$502=DATE(2026,4,28)),ROW(Income!A$3:A$502)-2),5)),"")&lt;&gt;"",IFERROR(INDEX(Income!B$3:B$502,SMALL(IF((Income!D$3:D$502="INR")*(Income!A$3:A$502=DATE(2026,4,28)),ROW(Income!A$3:A$502)-2),5)),""),""))</f>
        <v/>
      </c>
      <c r="G93" s="153">
        <f t="array" ref="G93">IF(IFERROR(-INDEX(Expenses!D$3:D$999,SMALL(IF((Expenses!E$3:E$999="INR")*(Expenses!A$3:A$999=DATE(2026,4,29)),ROW(Expenses!A$3:A$999)-2),5)),0)+IFERROR(INDEX(Income!C$3:C$502,SMALL(IF((Income!D$3:D$502="INR")*(Income!A$3:A$502=DATE(2026,4,29)),ROW(Income!A$3:A$502)-2),5)),0)=0,"",IFERROR(-INDEX(Expenses!D$3:D$999,SMALL(IF((Expenses!E$3:E$999="INR")*(Expenses!A$3:A$999=DATE(2026,4,29)),ROW(Expenses!A$3:A$999)-2),5)),0)+IFERROR(INDEX(Income!C$3:C$502,SMALL(IF((Income!D$3:D$502="INR")*(Income!A$3:A$502=DATE(2026,4,29)),ROW(Income!A$3:A$502)-2),5)),0))</f>
        <v/>
      </c>
      <c r="H93" s="126">
        <f t="array" ref="H93">IF(IFERROR(INDEX(Expenses!B$3:B$999,SMALL(IF((Expenses!E$3:E$999="INR")*(Expenses!A$3:A$999=DATE(2026,4,29)),ROW(Expenses!A$3:A$999)-2),5)),"")&lt;&gt;"",IFERROR(INDEX(Expenses!B$3:B$999,SMALL(IF((Expenses!E$3:E$999="INR")*(Expenses!A$3:A$999=DATE(2026,4,29)),ROW(Expenses!A$3:A$999)-2),5)),""),IF(IFERROR(INDEX(Income!B$3:B$502,SMALL(IF((Income!D$3:D$502="INR")*(Income!A$3:A$502=DATE(2026,4,29)),ROW(Income!A$3:A$502)-2),5)),"")&lt;&gt;"",IFERROR(INDEX(Income!B$3:B$502,SMALL(IF((Income!D$3:D$502="INR")*(Income!A$3:A$502=DATE(2026,4,29)),ROW(Income!A$3:A$502)-2),5)),""),""))</f>
        <v/>
      </c>
      <c r="I93" s="153">
        <f t="array" ref="I93">IF(IFERROR(-INDEX(Expenses!D$3:D$999,SMALL(IF((Expenses!E$3:E$999="INR")*(Expenses!A$3:A$999=DATE(2026,4,30)),ROW(Expenses!A$3:A$999)-2),5)),0)+IFERROR(INDEX(Income!C$3:C$502,SMALL(IF((Income!D$3:D$502="INR")*(Income!A$3:A$502=DATE(2026,4,30)),ROW(Income!A$3:A$502)-2),5)),0)=0,"",IFERROR(-INDEX(Expenses!D$3:D$999,SMALL(IF((Expenses!E$3:E$999="INR")*(Expenses!A$3:A$999=DATE(2026,4,30)),ROW(Expenses!A$3:A$999)-2),5)),0)+IFERROR(INDEX(Income!C$3:C$502,SMALL(IF((Income!D$3:D$502="INR")*(Income!A$3:A$502=DATE(2026,4,30)),ROW(Income!A$3:A$502)-2),5)),0))</f>
        <v/>
      </c>
      <c r="J93" s="126">
        <f t="array" ref="J93">IF(IFERROR(INDEX(Expenses!B$3:B$999,SMALL(IF((Expenses!E$3:E$999="INR")*(Expenses!A$3:A$999=DATE(2026,4,30)),ROW(Expenses!A$3:A$999)-2),5)),"")&lt;&gt;"",IFERROR(INDEX(Expenses!B$3:B$999,SMALL(IF((Expenses!E$3:E$999="INR")*(Expenses!A$3:A$999=DATE(2026,4,30)),ROW(Expenses!A$3:A$999)-2),5)),""),IF(IFERROR(INDEX(Income!B$3:B$502,SMALL(IF((Income!D$3:D$502="INR")*(Income!A$3:A$502=DATE(2026,4,30)),ROW(Income!A$3:A$502)-2),5)),"")&lt;&gt;"",IFERROR(INDEX(Income!B$3:B$502,SMALL(IF((Income!D$3:D$502="INR")*(Income!A$3:A$502=DATE(2026,4,30)),ROW(Income!A$3:A$502)-2),5)),""),""))</f>
        <v/>
      </c>
      <c r="K93" s="153">
        <f t="array" ref="K93">IF(IFERROR(-INDEX(Expenses!D$3:D$999,SMALL(IF((Expenses!E$3:E$999="INR")*(Expenses!A$3:A$999=DATE(2026,5,1)),ROW(Expenses!A$3:A$999)-2),5)),0)+IFERROR(INDEX(Income!C$3:C$502,SMALL(IF((Income!D$3:D$502="INR")*(Income!A$3:A$502=DATE(2026,5,1)),ROW(Income!A$3:A$502)-2),5)),0)=0,"",IFERROR(-INDEX(Expenses!D$3:D$999,SMALL(IF((Expenses!E$3:E$999="INR")*(Expenses!A$3:A$999=DATE(2026,5,1)),ROW(Expenses!A$3:A$999)-2),5)),0)+IFERROR(INDEX(Income!C$3:C$502,SMALL(IF((Income!D$3:D$502="INR")*(Income!A$3:A$502=DATE(2026,5,1)),ROW(Income!A$3:A$502)-2),5)),0))</f>
        <v/>
      </c>
      <c r="L93" s="126">
        <f t="array" ref="L93">IF(IFERROR(INDEX(Expenses!B$3:B$999,SMALL(IF((Expenses!E$3:E$999="INR")*(Expenses!A$3:A$999=DATE(2026,5,1)),ROW(Expenses!A$3:A$999)-2),5)),"")&lt;&gt;"",IFERROR(INDEX(Expenses!B$3:B$999,SMALL(IF((Expenses!E$3:E$999="INR")*(Expenses!A$3:A$999=DATE(2026,5,1)),ROW(Expenses!A$3:A$999)-2),5)),""),IF(IFERROR(INDEX(Income!B$3:B$502,SMALL(IF((Income!D$3:D$502="INR")*(Income!A$3:A$502=DATE(2026,5,1)),ROW(Income!A$3:A$502)-2),5)),"")&lt;&gt;"",IFERROR(INDEX(Income!B$3:B$502,SMALL(IF((Income!D$3:D$502="INR")*(Income!A$3:A$502=DATE(2026,5,1)),ROW(Income!A$3:A$502)-2),5)),""),""))</f>
        <v/>
      </c>
      <c r="M93" s="153">
        <f t="array" ref="M93">IF(IFERROR(-INDEX(Expenses!D$3:D$999,SMALL(IF((Expenses!E$3:E$999="INR")*(Expenses!A$3:A$999=DATE(2026,5,2)),ROW(Expenses!A$3:A$999)-2),5)),0)+IFERROR(INDEX(Income!C$3:C$502,SMALL(IF((Income!D$3:D$502="INR")*(Income!A$3:A$502=DATE(2026,5,2)),ROW(Income!A$3:A$502)-2),5)),0)=0,"",IFERROR(-INDEX(Expenses!D$3:D$999,SMALL(IF((Expenses!E$3:E$999="INR")*(Expenses!A$3:A$999=DATE(2026,5,2)),ROW(Expenses!A$3:A$999)-2),5)),0)+IFERROR(INDEX(Income!C$3:C$502,SMALL(IF((Income!D$3:D$502="INR")*(Income!A$3:A$502=DATE(2026,5,2)),ROW(Income!A$3:A$502)-2),5)),0))</f>
        <v/>
      </c>
      <c r="N93" s="126">
        <f t="array" ref="N93">IF(IFERROR(INDEX(Expenses!B$3:B$999,SMALL(IF((Expenses!E$3:E$999="INR")*(Expenses!A$3:A$999=DATE(2026,5,2)),ROW(Expenses!A$3:A$999)-2),5)),"")&lt;&gt;"",IFERROR(INDEX(Expenses!B$3:B$999,SMALL(IF((Expenses!E$3:E$999="INR")*(Expenses!A$3:A$999=DATE(2026,5,2)),ROW(Expenses!A$3:A$999)-2),5)),""),IF(IFERROR(INDEX(Income!B$3:B$502,SMALL(IF((Income!D$3:D$502="INR")*(Income!A$3:A$502=DATE(2026,5,2)),ROW(Income!A$3:A$502)-2),5)),"")&lt;&gt;"",IFERROR(INDEX(Income!B$3:B$502,SMALL(IF((Income!D$3:D$502="INR")*(Income!A$3:A$502=DATE(2026,5,2)),ROW(Income!A$3:A$502)-2),5)),""),""))</f>
        <v/>
      </c>
      <c r="O93" s="153">
        <f t="array" ref="O93">IF(IFERROR(-INDEX(Expenses!D$3:D$999,SMALL(IF((Expenses!E$3:E$999="INR")*(Expenses!A$3:A$999=DATE(2026,5,3)),ROW(Expenses!A$3:A$999)-2),5)),0)+IFERROR(INDEX(Income!C$3:C$502,SMALL(IF((Income!D$3:D$502="INR")*(Income!A$3:A$502=DATE(2026,5,3)),ROW(Income!A$3:A$502)-2),5)),0)=0,"",IFERROR(-INDEX(Expenses!D$3:D$999,SMALL(IF((Expenses!E$3:E$999="INR")*(Expenses!A$3:A$999=DATE(2026,5,3)),ROW(Expenses!A$3:A$999)-2),5)),0)+IFERROR(INDEX(Income!C$3:C$502,SMALL(IF((Income!D$3:D$502="INR")*(Income!A$3:A$502=DATE(2026,5,3)),ROW(Income!A$3:A$502)-2),5)),0))</f>
        <v/>
      </c>
      <c r="P93" s="126">
        <f t="array" ref="P93">IF(IFERROR(INDEX(Expenses!B$3:B$999,SMALL(IF((Expenses!E$3:E$999="INR")*(Expenses!A$3:A$999=DATE(2026,5,3)),ROW(Expenses!A$3:A$999)-2),5)),"")&lt;&gt;"",IFERROR(INDEX(Expenses!B$3:B$999,SMALL(IF((Expenses!E$3:E$999="INR")*(Expenses!A$3:A$999=DATE(2026,5,3)),ROW(Expenses!A$3:A$999)-2),5)),""),IF(IFERROR(INDEX(Income!B$3:B$502,SMALL(IF((Income!D$3:D$502="INR")*(Income!A$3:A$502=DATE(2026,5,3)),ROW(Income!A$3:A$502)-2),5)),"")&lt;&gt;"",IFERROR(INDEX(Income!B$3:B$502,SMALL(IF((Income!D$3:D$502="INR")*(Income!A$3:A$502=DATE(2026,5,3)),ROW(Income!A$3:A$502)-2),5)),""),""))</f>
        <v/>
      </c>
      <c r="Q93" s="9" t="n"/>
      <c r="R93" s="9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68">
      <c r="A94" s="151" t="n">
        <v>46146</v>
      </c>
      <c r="B94" s="103" t="n">
        <v>19</v>
      </c>
      <c r="C94" s="153">
        <f t="array" ref="C94">IF(IFERROR(-INDEX(Expenses!D$3:D$999,SMALL(IF((Expenses!E$3:E$999="INR")*(Expenses!A$3:A$999=DATE(2026,5,4)),ROW(Expenses!A$3:A$999)-2),1)),0)+IFERROR(INDEX(Income!C$3:C$502,SMALL(IF((Income!D$3:D$502="INR")*(Income!A$3:A$502=DATE(2026,5,4)),ROW(Income!A$3:A$502)-2),1)),0)=0,"",IFERROR(-INDEX(Expenses!D$3:D$999,SMALL(IF((Expenses!E$3:E$999="INR")*(Expenses!A$3:A$999=DATE(2026,5,4)),ROW(Expenses!A$3:A$999)-2),1)),0)+IFERROR(INDEX(Income!C$3:C$502,SMALL(IF((Income!D$3:D$502="INR")*(Income!A$3:A$502=DATE(2026,5,4)),ROW(Income!A$3:A$502)-2),1)),0))</f>
        <v/>
      </c>
      <c r="D94" s="126">
        <f t="array" ref="D94">IF(IFERROR(INDEX(Expenses!B$3:B$999,SMALL(IF((Expenses!E$3:E$999="INR")*(Expenses!A$3:A$999=DATE(2026,5,4)),ROW(Expenses!A$3:A$999)-2),1)),"")&lt;&gt;"",IFERROR(INDEX(Expenses!B$3:B$999,SMALL(IF((Expenses!E$3:E$999="INR")*(Expenses!A$3:A$999=DATE(2026,5,4)),ROW(Expenses!A$3:A$999)-2),1)),""),IF(IFERROR(INDEX(Income!B$3:B$502,SMALL(IF((Income!D$3:D$502="INR")*(Income!A$3:A$502=DATE(2026,5,4)),ROW(Income!A$3:A$502)-2),1)),"")&lt;&gt;"",IFERROR(INDEX(Income!B$3:B$502,SMALL(IF((Income!D$3:D$502="INR")*(Income!A$3:A$502=DATE(2026,5,4)),ROW(Income!A$3:A$502)-2),1)),""),""))</f>
        <v/>
      </c>
      <c r="E94" s="153">
        <f t="array" ref="E94">IF(IFERROR(-INDEX(Expenses!D$3:D$999,SMALL(IF((Expenses!E$3:E$999="INR")*(Expenses!A$3:A$999=DATE(2026,5,5)),ROW(Expenses!A$3:A$999)-2),1)),0)+IFERROR(INDEX(Income!C$3:C$502,SMALL(IF((Income!D$3:D$502="INR")*(Income!A$3:A$502=DATE(2026,5,5)),ROW(Income!A$3:A$502)-2),1)),0)=0,"",IFERROR(-INDEX(Expenses!D$3:D$999,SMALL(IF((Expenses!E$3:E$999="INR")*(Expenses!A$3:A$999=DATE(2026,5,5)),ROW(Expenses!A$3:A$999)-2),1)),0)+IFERROR(INDEX(Income!C$3:C$502,SMALL(IF((Income!D$3:D$502="INR")*(Income!A$3:A$502=DATE(2026,5,5)),ROW(Income!A$3:A$502)-2),1)),0))</f>
        <v/>
      </c>
      <c r="F94" s="126">
        <f t="array" ref="F94">IF(IFERROR(INDEX(Expenses!B$3:B$999,SMALL(IF((Expenses!E$3:E$999="INR")*(Expenses!A$3:A$999=DATE(2026,5,5)),ROW(Expenses!A$3:A$999)-2),1)),"")&lt;&gt;"",IFERROR(INDEX(Expenses!B$3:B$999,SMALL(IF((Expenses!E$3:E$999="INR")*(Expenses!A$3:A$999=DATE(2026,5,5)),ROW(Expenses!A$3:A$999)-2),1)),""),IF(IFERROR(INDEX(Income!B$3:B$502,SMALL(IF((Income!D$3:D$502="INR")*(Income!A$3:A$502=DATE(2026,5,5)),ROW(Income!A$3:A$502)-2),1)),"")&lt;&gt;"",IFERROR(INDEX(Income!B$3:B$502,SMALL(IF((Income!D$3:D$502="INR")*(Income!A$3:A$502=DATE(2026,5,5)),ROW(Income!A$3:A$502)-2),1)),""),""))</f>
        <v/>
      </c>
      <c r="G94" s="153">
        <f t="array" ref="G94">IF(IFERROR(-INDEX(Expenses!D$3:D$999,SMALL(IF((Expenses!E$3:E$999="INR")*(Expenses!A$3:A$999=DATE(2026,5,6)),ROW(Expenses!A$3:A$999)-2),1)),0)+IFERROR(INDEX(Income!C$3:C$502,SMALL(IF((Income!D$3:D$502="INR")*(Income!A$3:A$502=DATE(2026,5,6)),ROW(Income!A$3:A$502)-2),1)),0)=0,"",IFERROR(-INDEX(Expenses!D$3:D$999,SMALL(IF((Expenses!E$3:E$999="INR")*(Expenses!A$3:A$999=DATE(2026,5,6)),ROW(Expenses!A$3:A$999)-2),1)),0)+IFERROR(INDEX(Income!C$3:C$502,SMALL(IF((Income!D$3:D$502="INR")*(Income!A$3:A$502=DATE(2026,5,6)),ROW(Income!A$3:A$502)-2),1)),0))</f>
        <v/>
      </c>
      <c r="H94" s="126">
        <f t="array" ref="H94">IF(IFERROR(INDEX(Expenses!B$3:B$999,SMALL(IF((Expenses!E$3:E$999="INR")*(Expenses!A$3:A$999=DATE(2026,5,6)),ROW(Expenses!A$3:A$999)-2),1)),"")&lt;&gt;"",IFERROR(INDEX(Expenses!B$3:B$999,SMALL(IF((Expenses!E$3:E$999="INR")*(Expenses!A$3:A$999=DATE(2026,5,6)),ROW(Expenses!A$3:A$999)-2),1)),""),IF(IFERROR(INDEX(Income!B$3:B$502,SMALL(IF((Income!D$3:D$502="INR")*(Income!A$3:A$502=DATE(2026,5,6)),ROW(Income!A$3:A$502)-2),1)),"")&lt;&gt;"",IFERROR(INDEX(Income!B$3:B$502,SMALL(IF((Income!D$3:D$502="INR")*(Income!A$3:A$502=DATE(2026,5,6)),ROW(Income!A$3:A$502)-2),1)),""),""))</f>
        <v/>
      </c>
      <c r="I94" s="153">
        <f t="array" ref="I94">IF(IFERROR(-INDEX(Expenses!D$3:D$999,SMALL(IF((Expenses!E$3:E$999="INR")*(Expenses!A$3:A$999=DATE(2026,5,7)),ROW(Expenses!A$3:A$999)-2),1)),0)+IFERROR(INDEX(Income!C$3:C$502,SMALL(IF((Income!D$3:D$502="INR")*(Income!A$3:A$502=DATE(2026,5,7)),ROW(Income!A$3:A$502)-2),1)),0)=0,"",IFERROR(-INDEX(Expenses!D$3:D$999,SMALL(IF((Expenses!E$3:E$999="INR")*(Expenses!A$3:A$999=DATE(2026,5,7)),ROW(Expenses!A$3:A$999)-2),1)),0)+IFERROR(INDEX(Income!C$3:C$502,SMALL(IF((Income!D$3:D$502="INR")*(Income!A$3:A$502=DATE(2026,5,7)),ROW(Income!A$3:A$502)-2),1)),0))</f>
        <v/>
      </c>
      <c r="J94" s="126">
        <f t="array" ref="J94">IF(IFERROR(INDEX(Expenses!B$3:B$999,SMALL(IF((Expenses!E$3:E$999="INR")*(Expenses!A$3:A$999=DATE(2026,5,7)),ROW(Expenses!A$3:A$999)-2),1)),"")&lt;&gt;"",IFERROR(INDEX(Expenses!B$3:B$999,SMALL(IF((Expenses!E$3:E$999="INR")*(Expenses!A$3:A$999=DATE(2026,5,7)),ROW(Expenses!A$3:A$999)-2),1)),""),IF(IFERROR(INDEX(Income!B$3:B$502,SMALL(IF((Income!D$3:D$502="INR")*(Income!A$3:A$502=DATE(2026,5,7)),ROW(Income!A$3:A$502)-2),1)),"")&lt;&gt;"",IFERROR(INDEX(Income!B$3:B$502,SMALL(IF((Income!D$3:D$502="INR")*(Income!A$3:A$502=DATE(2026,5,7)),ROW(Income!A$3:A$502)-2),1)),""),""))</f>
        <v/>
      </c>
      <c r="K94" s="153">
        <f t="array" ref="K94">IF(IFERROR(-INDEX(Expenses!D$3:D$999,SMALL(IF((Expenses!E$3:E$999="INR")*(Expenses!A$3:A$999=DATE(2026,5,8)),ROW(Expenses!A$3:A$999)-2),1)),0)+IFERROR(INDEX(Income!C$3:C$502,SMALL(IF((Income!D$3:D$502="INR")*(Income!A$3:A$502=DATE(2026,5,8)),ROW(Income!A$3:A$502)-2),1)),0)=0,"",IFERROR(-INDEX(Expenses!D$3:D$999,SMALL(IF((Expenses!E$3:E$999="INR")*(Expenses!A$3:A$999=DATE(2026,5,8)),ROW(Expenses!A$3:A$999)-2),1)),0)+IFERROR(INDEX(Income!C$3:C$502,SMALL(IF((Income!D$3:D$502="INR")*(Income!A$3:A$502=DATE(2026,5,8)),ROW(Income!A$3:A$502)-2),1)),0))</f>
        <v/>
      </c>
      <c r="L94" s="126">
        <f t="array" ref="L94">IF(IFERROR(INDEX(Expenses!B$3:B$999,SMALL(IF((Expenses!E$3:E$999="INR")*(Expenses!A$3:A$999=DATE(2026,5,8)),ROW(Expenses!A$3:A$999)-2),1)),"")&lt;&gt;"",IFERROR(INDEX(Expenses!B$3:B$999,SMALL(IF((Expenses!E$3:E$999="INR")*(Expenses!A$3:A$999=DATE(2026,5,8)),ROW(Expenses!A$3:A$999)-2),1)),""),IF(IFERROR(INDEX(Income!B$3:B$502,SMALL(IF((Income!D$3:D$502="INR")*(Income!A$3:A$502=DATE(2026,5,8)),ROW(Income!A$3:A$502)-2),1)),"")&lt;&gt;"",IFERROR(INDEX(Income!B$3:B$502,SMALL(IF((Income!D$3:D$502="INR")*(Income!A$3:A$502=DATE(2026,5,8)),ROW(Income!A$3:A$502)-2),1)),""),""))</f>
        <v/>
      </c>
      <c r="M94" s="153">
        <f t="array" ref="M94">IF(IFERROR(-INDEX(Expenses!D$3:D$999,SMALL(IF((Expenses!E$3:E$999="INR")*(Expenses!A$3:A$999=DATE(2026,5,9)),ROW(Expenses!A$3:A$999)-2),1)),0)+IFERROR(INDEX(Income!C$3:C$502,SMALL(IF((Income!D$3:D$502="INR")*(Income!A$3:A$502=DATE(2026,5,9)),ROW(Income!A$3:A$502)-2),1)),0)=0,"",IFERROR(-INDEX(Expenses!D$3:D$999,SMALL(IF((Expenses!E$3:E$999="INR")*(Expenses!A$3:A$999=DATE(2026,5,9)),ROW(Expenses!A$3:A$999)-2),1)),0)+IFERROR(INDEX(Income!C$3:C$502,SMALL(IF((Income!D$3:D$502="INR")*(Income!A$3:A$502=DATE(2026,5,9)),ROW(Income!A$3:A$502)-2),1)),0))</f>
        <v/>
      </c>
      <c r="N94" s="126">
        <f t="array" ref="N94">IF(IFERROR(INDEX(Expenses!B$3:B$999,SMALL(IF((Expenses!E$3:E$999="INR")*(Expenses!A$3:A$999=DATE(2026,5,9)),ROW(Expenses!A$3:A$999)-2),1)),"")&lt;&gt;"",IFERROR(INDEX(Expenses!B$3:B$999,SMALL(IF((Expenses!E$3:E$999="INR")*(Expenses!A$3:A$999=DATE(2026,5,9)),ROW(Expenses!A$3:A$999)-2),1)),""),IF(IFERROR(INDEX(Income!B$3:B$502,SMALL(IF((Income!D$3:D$502="INR")*(Income!A$3:A$502=DATE(2026,5,9)),ROW(Income!A$3:A$502)-2),1)),"")&lt;&gt;"",IFERROR(INDEX(Income!B$3:B$502,SMALL(IF((Income!D$3:D$502="INR")*(Income!A$3:A$502=DATE(2026,5,9)),ROW(Income!A$3:A$502)-2),1)),""),""))</f>
        <v/>
      </c>
      <c r="O94" s="153">
        <f t="array" ref="O94">IF(IFERROR(-INDEX(Expenses!D$3:D$999,SMALL(IF((Expenses!E$3:E$999="INR")*(Expenses!A$3:A$999=DATE(2026,5,10)),ROW(Expenses!A$3:A$999)-2),1)),0)+IFERROR(INDEX(Income!C$3:C$502,SMALL(IF((Income!D$3:D$502="INR")*(Income!A$3:A$502=DATE(2026,5,10)),ROW(Income!A$3:A$502)-2),1)),0)=0,"",IFERROR(-INDEX(Expenses!D$3:D$999,SMALL(IF((Expenses!E$3:E$999="INR")*(Expenses!A$3:A$999=DATE(2026,5,10)),ROW(Expenses!A$3:A$999)-2),1)),0)+IFERROR(INDEX(Income!C$3:C$502,SMALL(IF((Income!D$3:D$502="INR")*(Income!A$3:A$502=DATE(2026,5,10)),ROW(Income!A$3:A$502)-2),1)),0))</f>
        <v/>
      </c>
      <c r="P94" s="126">
        <f t="array" ref="P94">IF(IFERROR(INDEX(Expenses!B$3:B$999,SMALL(IF((Expenses!E$3:E$999="INR")*(Expenses!A$3:A$999=DATE(2026,5,10)),ROW(Expenses!A$3:A$999)-2),1)),"")&lt;&gt;"",IFERROR(INDEX(Expenses!B$3:B$999,SMALL(IF((Expenses!E$3:E$999="INR")*(Expenses!A$3:A$999=DATE(2026,5,10)),ROW(Expenses!A$3:A$999)-2),1)),""),IF(IFERROR(INDEX(Income!B$3:B$502,SMALL(IF((Income!D$3:D$502="INR")*(Income!A$3:A$502=DATE(2026,5,10)),ROW(Income!A$3:A$502)-2),1)),"")&lt;&gt;"",IFERROR(INDEX(Income!B$3:B$502,SMALL(IF((Income!D$3:D$502="INR")*(Income!A$3:A$502=DATE(2026,5,10)),ROW(Income!A$3:A$502)-2),1)),""),""))</f>
        <v/>
      </c>
      <c r="Q94" s="103" t="n">
        <v>19</v>
      </c>
      <c r="R94" s="142">
        <f>SUM(C94:C98)+SUM(E94:E98)+SUM(G94:G98)+SUM(I94:I98)+SUM(K94:K98)+SUM(M94:M98)+SUM(O94:O98)</f>
        <v/>
      </c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68">
      <c r="A95" s="9" t="n"/>
      <c r="B95" s="9" t="n"/>
      <c r="C95" s="153">
        <f t="array" ref="C95">IF(IFERROR(-INDEX(Expenses!D$3:D$999,SMALL(IF((Expenses!E$3:E$999="INR")*(Expenses!A$3:A$999=DATE(2026,5,4)),ROW(Expenses!A$3:A$999)-2),2)),0)+IFERROR(INDEX(Income!C$3:C$502,SMALL(IF((Income!D$3:D$502="INR")*(Income!A$3:A$502=DATE(2026,5,4)),ROW(Income!A$3:A$502)-2),2)),0)=0,"",IFERROR(-INDEX(Expenses!D$3:D$999,SMALL(IF((Expenses!E$3:E$999="INR")*(Expenses!A$3:A$999=DATE(2026,5,4)),ROW(Expenses!A$3:A$999)-2),2)),0)+IFERROR(INDEX(Income!C$3:C$502,SMALL(IF((Income!D$3:D$502="INR")*(Income!A$3:A$502=DATE(2026,5,4)),ROW(Income!A$3:A$502)-2),2)),0))</f>
        <v/>
      </c>
      <c r="D95" s="126">
        <f t="array" ref="D95">IF(IFERROR(INDEX(Expenses!B$3:B$999,SMALL(IF((Expenses!E$3:E$999="INR")*(Expenses!A$3:A$999=DATE(2026,5,4)),ROW(Expenses!A$3:A$999)-2),2)),"")&lt;&gt;"",IFERROR(INDEX(Expenses!B$3:B$999,SMALL(IF((Expenses!E$3:E$999="INR")*(Expenses!A$3:A$999=DATE(2026,5,4)),ROW(Expenses!A$3:A$999)-2),2)),""),IF(IFERROR(INDEX(Income!B$3:B$502,SMALL(IF((Income!D$3:D$502="INR")*(Income!A$3:A$502=DATE(2026,5,4)),ROW(Income!A$3:A$502)-2),2)),"")&lt;&gt;"",IFERROR(INDEX(Income!B$3:B$502,SMALL(IF((Income!D$3:D$502="INR")*(Income!A$3:A$502=DATE(2026,5,4)),ROW(Income!A$3:A$502)-2),2)),""),""))</f>
        <v/>
      </c>
      <c r="E95" s="153">
        <f t="array" ref="E95">IF(IFERROR(-INDEX(Expenses!D$3:D$999,SMALL(IF((Expenses!E$3:E$999="INR")*(Expenses!A$3:A$999=DATE(2026,5,5)),ROW(Expenses!A$3:A$999)-2),2)),0)+IFERROR(INDEX(Income!C$3:C$502,SMALL(IF((Income!D$3:D$502="INR")*(Income!A$3:A$502=DATE(2026,5,5)),ROW(Income!A$3:A$502)-2),2)),0)=0,"",IFERROR(-INDEX(Expenses!D$3:D$999,SMALL(IF((Expenses!E$3:E$999="INR")*(Expenses!A$3:A$999=DATE(2026,5,5)),ROW(Expenses!A$3:A$999)-2),2)),0)+IFERROR(INDEX(Income!C$3:C$502,SMALL(IF((Income!D$3:D$502="INR")*(Income!A$3:A$502=DATE(2026,5,5)),ROW(Income!A$3:A$502)-2),2)),0))</f>
        <v/>
      </c>
      <c r="F95" s="126">
        <f t="array" ref="F95">IF(IFERROR(INDEX(Expenses!B$3:B$999,SMALL(IF((Expenses!E$3:E$999="INR")*(Expenses!A$3:A$999=DATE(2026,5,5)),ROW(Expenses!A$3:A$999)-2),2)),"")&lt;&gt;"",IFERROR(INDEX(Expenses!B$3:B$999,SMALL(IF((Expenses!E$3:E$999="INR")*(Expenses!A$3:A$999=DATE(2026,5,5)),ROW(Expenses!A$3:A$999)-2),2)),""),IF(IFERROR(INDEX(Income!B$3:B$502,SMALL(IF((Income!D$3:D$502="INR")*(Income!A$3:A$502=DATE(2026,5,5)),ROW(Income!A$3:A$502)-2),2)),"")&lt;&gt;"",IFERROR(INDEX(Income!B$3:B$502,SMALL(IF((Income!D$3:D$502="INR")*(Income!A$3:A$502=DATE(2026,5,5)),ROW(Income!A$3:A$502)-2),2)),""),""))</f>
        <v/>
      </c>
      <c r="G95" s="153">
        <f t="array" ref="G95">IF(IFERROR(-INDEX(Expenses!D$3:D$999,SMALL(IF((Expenses!E$3:E$999="INR")*(Expenses!A$3:A$999=DATE(2026,5,6)),ROW(Expenses!A$3:A$999)-2),2)),0)+IFERROR(INDEX(Income!C$3:C$502,SMALL(IF((Income!D$3:D$502="INR")*(Income!A$3:A$502=DATE(2026,5,6)),ROW(Income!A$3:A$502)-2),2)),0)=0,"",IFERROR(-INDEX(Expenses!D$3:D$999,SMALL(IF((Expenses!E$3:E$999="INR")*(Expenses!A$3:A$999=DATE(2026,5,6)),ROW(Expenses!A$3:A$999)-2),2)),0)+IFERROR(INDEX(Income!C$3:C$502,SMALL(IF((Income!D$3:D$502="INR")*(Income!A$3:A$502=DATE(2026,5,6)),ROW(Income!A$3:A$502)-2),2)),0))</f>
        <v/>
      </c>
      <c r="H95" s="126">
        <f t="array" ref="H95">IF(IFERROR(INDEX(Expenses!B$3:B$999,SMALL(IF((Expenses!E$3:E$999="INR")*(Expenses!A$3:A$999=DATE(2026,5,6)),ROW(Expenses!A$3:A$999)-2),2)),"")&lt;&gt;"",IFERROR(INDEX(Expenses!B$3:B$999,SMALL(IF((Expenses!E$3:E$999="INR")*(Expenses!A$3:A$999=DATE(2026,5,6)),ROW(Expenses!A$3:A$999)-2),2)),""),IF(IFERROR(INDEX(Income!B$3:B$502,SMALL(IF((Income!D$3:D$502="INR")*(Income!A$3:A$502=DATE(2026,5,6)),ROW(Income!A$3:A$502)-2),2)),"")&lt;&gt;"",IFERROR(INDEX(Income!B$3:B$502,SMALL(IF((Income!D$3:D$502="INR")*(Income!A$3:A$502=DATE(2026,5,6)),ROW(Income!A$3:A$502)-2),2)),""),""))</f>
        <v/>
      </c>
      <c r="I95" s="153">
        <f t="array" ref="I95">IF(IFERROR(-INDEX(Expenses!D$3:D$999,SMALL(IF((Expenses!E$3:E$999="INR")*(Expenses!A$3:A$999=DATE(2026,5,7)),ROW(Expenses!A$3:A$999)-2),2)),0)+IFERROR(INDEX(Income!C$3:C$502,SMALL(IF((Income!D$3:D$502="INR")*(Income!A$3:A$502=DATE(2026,5,7)),ROW(Income!A$3:A$502)-2),2)),0)=0,"",IFERROR(-INDEX(Expenses!D$3:D$999,SMALL(IF((Expenses!E$3:E$999="INR")*(Expenses!A$3:A$999=DATE(2026,5,7)),ROW(Expenses!A$3:A$999)-2),2)),0)+IFERROR(INDEX(Income!C$3:C$502,SMALL(IF((Income!D$3:D$502="INR")*(Income!A$3:A$502=DATE(2026,5,7)),ROW(Income!A$3:A$502)-2),2)),0))</f>
        <v/>
      </c>
      <c r="J95" s="126">
        <f t="array" ref="J95">IF(IFERROR(INDEX(Expenses!B$3:B$999,SMALL(IF((Expenses!E$3:E$999="INR")*(Expenses!A$3:A$999=DATE(2026,5,7)),ROW(Expenses!A$3:A$999)-2),2)),"")&lt;&gt;"",IFERROR(INDEX(Expenses!B$3:B$999,SMALL(IF((Expenses!E$3:E$999="INR")*(Expenses!A$3:A$999=DATE(2026,5,7)),ROW(Expenses!A$3:A$999)-2),2)),""),IF(IFERROR(INDEX(Income!B$3:B$502,SMALL(IF((Income!D$3:D$502="INR")*(Income!A$3:A$502=DATE(2026,5,7)),ROW(Income!A$3:A$502)-2),2)),"")&lt;&gt;"",IFERROR(INDEX(Income!B$3:B$502,SMALL(IF((Income!D$3:D$502="INR")*(Income!A$3:A$502=DATE(2026,5,7)),ROW(Income!A$3:A$502)-2),2)),""),""))</f>
        <v/>
      </c>
      <c r="K95" s="153">
        <f t="array" ref="K95">IF(IFERROR(-INDEX(Expenses!D$3:D$999,SMALL(IF((Expenses!E$3:E$999="INR")*(Expenses!A$3:A$999=DATE(2026,5,8)),ROW(Expenses!A$3:A$999)-2),2)),0)+IFERROR(INDEX(Income!C$3:C$502,SMALL(IF((Income!D$3:D$502="INR")*(Income!A$3:A$502=DATE(2026,5,8)),ROW(Income!A$3:A$502)-2),2)),0)=0,"",IFERROR(-INDEX(Expenses!D$3:D$999,SMALL(IF((Expenses!E$3:E$999="INR")*(Expenses!A$3:A$999=DATE(2026,5,8)),ROW(Expenses!A$3:A$999)-2),2)),0)+IFERROR(INDEX(Income!C$3:C$502,SMALL(IF((Income!D$3:D$502="INR")*(Income!A$3:A$502=DATE(2026,5,8)),ROW(Income!A$3:A$502)-2),2)),0))</f>
        <v/>
      </c>
      <c r="L95" s="126">
        <f t="array" ref="L95">IF(IFERROR(INDEX(Expenses!B$3:B$999,SMALL(IF((Expenses!E$3:E$999="INR")*(Expenses!A$3:A$999=DATE(2026,5,8)),ROW(Expenses!A$3:A$999)-2),2)),"")&lt;&gt;"",IFERROR(INDEX(Expenses!B$3:B$999,SMALL(IF((Expenses!E$3:E$999="INR")*(Expenses!A$3:A$999=DATE(2026,5,8)),ROW(Expenses!A$3:A$999)-2),2)),""),IF(IFERROR(INDEX(Income!B$3:B$502,SMALL(IF((Income!D$3:D$502="INR")*(Income!A$3:A$502=DATE(2026,5,8)),ROW(Income!A$3:A$502)-2),2)),"")&lt;&gt;"",IFERROR(INDEX(Income!B$3:B$502,SMALL(IF((Income!D$3:D$502="INR")*(Income!A$3:A$502=DATE(2026,5,8)),ROW(Income!A$3:A$502)-2),2)),""),""))</f>
        <v/>
      </c>
      <c r="M95" s="153">
        <f t="array" ref="M95">IF(IFERROR(-INDEX(Expenses!D$3:D$999,SMALL(IF((Expenses!E$3:E$999="INR")*(Expenses!A$3:A$999=DATE(2026,5,9)),ROW(Expenses!A$3:A$999)-2),2)),0)+IFERROR(INDEX(Income!C$3:C$502,SMALL(IF((Income!D$3:D$502="INR")*(Income!A$3:A$502=DATE(2026,5,9)),ROW(Income!A$3:A$502)-2),2)),0)=0,"",IFERROR(-INDEX(Expenses!D$3:D$999,SMALL(IF((Expenses!E$3:E$999="INR")*(Expenses!A$3:A$999=DATE(2026,5,9)),ROW(Expenses!A$3:A$999)-2),2)),0)+IFERROR(INDEX(Income!C$3:C$502,SMALL(IF((Income!D$3:D$502="INR")*(Income!A$3:A$502=DATE(2026,5,9)),ROW(Income!A$3:A$502)-2),2)),0))</f>
        <v/>
      </c>
      <c r="N95" s="126">
        <f t="array" ref="N95">IF(IFERROR(INDEX(Expenses!B$3:B$999,SMALL(IF((Expenses!E$3:E$999="INR")*(Expenses!A$3:A$999=DATE(2026,5,9)),ROW(Expenses!A$3:A$999)-2),2)),"")&lt;&gt;"",IFERROR(INDEX(Expenses!B$3:B$999,SMALL(IF((Expenses!E$3:E$999="INR")*(Expenses!A$3:A$999=DATE(2026,5,9)),ROW(Expenses!A$3:A$999)-2),2)),""),IF(IFERROR(INDEX(Income!B$3:B$502,SMALL(IF((Income!D$3:D$502="INR")*(Income!A$3:A$502=DATE(2026,5,9)),ROW(Income!A$3:A$502)-2),2)),"")&lt;&gt;"",IFERROR(INDEX(Income!B$3:B$502,SMALL(IF((Income!D$3:D$502="INR")*(Income!A$3:A$502=DATE(2026,5,9)),ROW(Income!A$3:A$502)-2),2)),""),""))</f>
        <v/>
      </c>
      <c r="O95" s="153">
        <f t="array" ref="O95">IF(IFERROR(-INDEX(Expenses!D$3:D$999,SMALL(IF((Expenses!E$3:E$999="INR")*(Expenses!A$3:A$999=DATE(2026,5,10)),ROW(Expenses!A$3:A$999)-2),2)),0)+IFERROR(INDEX(Income!C$3:C$502,SMALL(IF((Income!D$3:D$502="INR")*(Income!A$3:A$502=DATE(2026,5,10)),ROW(Income!A$3:A$502)-2),2)),0)=0,"",IFERROR(-INDEX(Expenses!D$3:D$999,SMALL(IF((Expenses!E$3:E$999="INR")*(Expenses!A$3:A$999=DATE(2026,5,10)),ROW(Expenses!A$3:A$999)-2),2)),0)+IFERROR(INDEX(Income!C$3:C$502,SMALL(IF((Income!D$3:D$502="INR")*(Income!A$3:A$502=DATE(2026,5,10)),ROW(Income!A$3:A$502)-2),2)),0))</f>
        <v/>
      </c>
      <c r="P95" s="126">
        <f t="array" ref="P95">IF(IFERROR(INDEX(Expenses!B$3:B$999,SMALL(IF((Expenses!E$3:E$999="INR")*(Expenses!A$3:A$999=DATE(2026,5,10)),ROW(Expenses!A$3:A$999)-2),2)),"")&lt;&gt;"",IFERROR(INDEX(Expenses!B$3:B$999,SMALL(IF((Expenses!E$3:E$999="INR")*(Expenses!A$3:A$999=DATE(2026,5,10)),ROW(Expenses!A$3:A$999)-2),2)),""),IF(IFERROR(INDEX(Income!B$3:B$502,SMALL(IF((Income!D$3:D$502="INR")*(Income!A$3:A$502=DATE(2026,5,10)),ROW(Income!A$3:A$502)-2),2)),"")&lt;&gt;"",IFERROR(INDEX(Income!B$3:B$502,SMALL(IF((Income!D$3:D$502="INR")*(Income!A$3:A$502=DATE(2026,5,10)),ROW(Income!A$3:A$502)-2),2)),""),""))</f>
        <v/>
      </c>
      <c r="Q95" s="9" t="n"/>
      <c r="R95" s="9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68">
      <c r="A96" s="9" t="n"/>
      <c r="B96" s="9" t="n"/>
      <c r="C96" s="153">
        <f t="array" ref="C96">IF(IFERROR(-INDEX(Expenses!D$3:D$999,SMALL(IF((Expenses!E$3:E$999="INR")*(Expenses!A$3:A$999=DATE(2026,5,4)),ROW(Expenses!A$3:A$999)-2),3)),0)+IFERROR(INDEX(Income!C$3:C$502,SMALL(IF((Income!D$3:D$502="INR")*(Income!A$3:A$502=DATE(2026,5,4)),ROW(Income!A$3:A$502)-2),3)),0)=0,"",IFERROR(-INDEX(Expenses!D$3:D$999,SMALL(IF((Expenses!E$3:E$999="INR")*(Expenses!A$3:A$999=DATE(2026,5,4)),ROW(Expenses!A$3:A$999)-2),3)),0)+IFERROR(INDEX(Income!C$3:C$502,SMALL(IF((Income!D$3:D$502="INR")*(Income!A$3:A$502=DATE(2026,5,4)),ROW(Income!A$3:A$502)-2),3)),0))</f>
        <v/>
      </c>
      <c r="D96" s="126">
        <f t="array" ref="D96">IF(IFERROR(INDEX(Expenses!B$3:B$999,SMALL(IF((Expenses!E$3:E$999="INR")*(Expenses!A$3:A$999=DATE(2026,5,4)),ROW(Expenses!A$3:A$999)-2),3)),"")&lt;&gt;"",IFERROR(INDEX(Expenses!B$3:B$999,SMALL(IF((Expenses!E$3:E$999="INR")*(Expenses!A$3:A$999=DATE(2026,5,4)),ROW(Expenses!A$3:A$999)-2),3)),""),IF(IFERROR(INDEX(Income!B$3:B$502,SMALL(IF((Income!D$3:D$502="INR")*(Income!A$3:A$502=DATE(2026,5,4)),ROW(Income!A$3:A$502)-2),3)),"")&lt;&gt;"",IFERROR(INDEX(Income!B$3:B$502,SMALL(IF((Income!D$3:D$502="INR")*(Income!A$3:A$502=DATE(2026,5,4)),ROW(Income!A$3:A$502)-2),3)),""),""))</f>
        <v/>
      </c>
      <c r="E96" s="153">
        <f t="array" ref="E96">IF(IFERROR(-INDEX(Expenses!D$3:D$999,SMALL(IF((Expenses!E$3:E$999="INR")*(Expenses!A$3:A$999=DATE(2026,5,5)),ROW(Expenses!A$3:A$999)-2),3)),0)+IFERROR(INDEX(Income!C$3:C$502,SMALL(IF((Income!D$3:D$502="INR")*(Income!A$3:A$502=DATE(2026,5,5)),ROW(Income!A$3:A$502)-2),3)),0)=0,"",IFERROR(-INDEX(Expenses!D$3:D$999,SMALL(IF((Expenses!E$3:E$999="INR")*(Expenses!A$3:A$999=DATE(2026,5,5)),ROW(Expenses!A$3:A$999)-2),3)),0)+IFERROR(INDEX(Income!C$3:C$502,SMALL(IF((Income!D$3:D$502="INR")*(Income!A$3:A$502=DATE(2026,5,5)),ROW(Income!A$3:A$502)-2),3)),0))</f>
        <v/>
      </c>
      <c r="F96" s="126">
        <f t="array" ref="F96">IF(IFERROR(INDEX(Expenses!B$3:B$999,SMALL(IF((Expenses!E$3:E$999="INR")*(Expenses!A$3:A$999=DATE(2026,5,5)),ROW(Expenses!A$3:A$999)-2),3)),"")&lt;&gt;"",IFERROR(INDEX(Expenses!B$3:B$999,SMALL(IF((Expenses!E$3:E$999="INR")*(Expenses!A$3:A$999=DATE(2026,5,5)),ROW(Expenses!A$3:A$999)-2),3)),""),IF(IFERROR(INDEX(Income!B$3:B$502,SMALL(IF((Income!D$3:D$502="INR")*(Income!A$3:A$502=DATE(2026,5,5)),ROW(Income!A$3:A$502)-2),3)),"")&lt;&gt;"",IFERROR(INDEX(Income!B$3:B$502,SMALL(IF((Income!D$3:D$502="INR")*(Income!A$3:A$502=DATE(2026,5,5)),ROW(Income!A$3:A$502)-2),3)),""),""))</f>
        <v/>
      </c>
      <c r="G96" s="153">
        <f t="array" ref="G96">IF(IFERROR(-INDEX(Expenses!D$3:D$999,SMALL(IF((Expenses!E$3:E$999="INR")*(Expenses!A$3:A$999=DATE(2026,5,6)),ROW(Expenses!A$3:A$999)-2),3)),0)+IFERROR(INDEX(Income!C$3:C$502,SMALL(IF((Income!D$3:D$502="INR")*(Income!A$3:A$502=DATE(2026,5,6)),ROW(Income!A$3:A$502)-2),3)),0)=0,"",IFERROR(-INDEX(Expenses!D$3:D$999,SMALL(IF((Expenses!E$3:E$999="INR")*(Expenses!A$3:A$999=DATE(2026,5,6)),ROW(Expenses!A$3:A$999)-2),3)),0)+IFERROR(INDEX(Income!C$3:C$502,SMALL(IF((Income!D$3:D$502="INR")*(Income!A$3:A$502=DATE(2026,5,6)),ROW(Income!A$3:A$502)-2),3)),0))</f>
        <v/>
      </c>
      <c r="H96" s="126">
        <f t="array" ref="H96">IF(IFERROR(INDEX(Expenses!B$3:B$999,SMALL(IF((Expenses!E$3:E$999="INR")*(Expenses!A$3:A$999=DATE(2026,5,6)),ROW(Expenses!A$3:A$999)-2),3)),"")&lt;&gt;"",IFERROR(INDEX(Expenses!B$3:B$999,SMALL(IF((Expenses!E$3:E$999="INR")*(Expenses!A$3:A$999=DATE(2026,5,6)),ROW(Expenses!A$3:A$999)-2),3)),""),IF(IFERROR(INDEX(Income!B$3:B$502,SMALL(IF((Income!D$3:D$502="INR")*(Income!A$3:A$502=DATE(2026,5,6)),ROW(Income!A$3:A$502)-2),3)),"")&lt;&gt;"",IFERROR(INDEX(Income!B$3:B$502,SMALL(IF((Income!D$3:D$502="INR")*(Income!A$3:A$502=DATE(2026,5,6)),ROW(Income!A$3:A$502)-2),3)),""),""))</f>
        <v/>
      </c>
      <c r="I96" s="153">
        <f t="array" ref="I96">IF(IFERROR(-INDEX(Expenses!D$3:D$999,SMALL(IF((Expenses!E$3:E$999="INR")*(Expenses!A$3:A$999=DATE(2026,5,7)),ROW(Expenses!A$3:A$999)-2),3)),0)+IFERROR(INDEX(Income!C$3:C$502,SMALL(IF((Income!D$3:D$502="INR")*(Income!A$3:A$502=DATE(2026,5,7)),ROW(Income!A$3:A$502)-2),3)),0)=0,"",IFERROR(-INDEX(Expenses!D$3:D$999,SMALL(IF((Expenses!E$3:E$999="INR")*(Expenses!A$3:A$999=DATE(2026,5,7)),ROW(Expenses!A$3:A$999)-2),3)),0)+IFERROR(INDEX(Income!C$3:C$502,SMALL(IF((Income!D$3:D$502="INR")*(Income!A$3:A$502=DATE(2026,5,7)),ROW(Income!A$3:A$502)-2),3)),0))</f>
        <v/>
      </c>
      <c r="J96" s="126">
        <f t="array" ref="J96">IF(IFERROR(INDEX(Expenses!B$3:B$999,SMALL(IF((Expenses!E$3:E$999="INR")*(Expenses!A$3:A$999=DATE(2026,5,7)),ROW(Expenses!A$3:A$999)-2),3)),"")&lt;&gt;"",IFERROR(INDEX(Expenses!B$3:B$999,SMALL(IF((Expenses!E$3:E$999="INR")*(Expenses!A$3:A$999=DATE(2026,5,7)),ROW(Expenses!A$3:A$999)-2),3)),""),IF(IFERROR(INDEX(Income!B$3:B$502,SMALL(IF((Income!D$3:D$502="INR")*(Income!A$3:A$502=DATE(2026,5,7)),ROW(Income!A$3:A$502)-2),3)),"")&lt;&gt;"",IFERROR(INDEX(Income!B$3:B$502,SMALL(IF((Income!D$3:D$502="INR")*(Income!A$3:A$502=DATE(2026,5,7)),ROW(Income!A$3:A$502)-2),3)),""),""))</f>
        <v/>
      </c>
      <c r="K96" s="153">
        <f t="array" ref="K96">IF(IFERROR(-INDEX(Expenses!D$3:D$999,SMALL(IF((Expenses!E$3:E$999="INR")*(Expenses!A$3:A$999=DATE(2026,5,8)),ROW(Expenses!A$3:A$999)-2),3)),0)+IFERROR(INDEX(Income!C$3:C$502,SMALL(IF((Income!D$3:D$502="INR")*(Income!A$3:A$502=DATE(2026,5,8)),ROW(Income!A$3:A$502)-2),3)),0)=0,"",IFERROR(-INDEX(Expenses!D$3:D$999,SMALL(IF((Expenses!E$3:E$999="INR")*(Expenses!A$3:A$999=DATE(2026,5,8)),ROW(Expenses!A$3:A$999)-2),3)),0)+IFERROR(INDEX(Income!C$3:C$502,SMALL(IF((Income!D$3:D$502="INR")*(Income!A$3:A$502=DATE(2026,5,8)),ROW(Income!A$3:A$502)-2),3)),0))</f>
        <v/>
      </c>
      <c r="L96" s="126">
        <f t="array" ref="L96">IF(IFERROR(INDEX(Expenses!B$3:B$999,SMALL(IF((Expenses!E$3:E$999="INR")*(Expenses!A$3:A$999=DATE(2026,5,8)),ROW(Expenses!A$3:A$999)-2),3)),"")&lt;&gt;"",IFERROR(INDEX(Expenses!B$3:B$999,SMALL(IF((Expenses!E$3:E$999="INR")*(Expenses!A$3:A$999=DATE(2026,5,8)),ROW(Expenses!A$3:A$999)-2),3)),""),IF(IFERROR(INDEX(Income!B$3:B$502,SMALL(IF((Income!D$3:D$502="INR")*(Income!A$3:A$502=DATE(2026,5,8)),ROW(Income!A$3:A$502)-2),3)),"")&lt;&gt;"",IFERROR(INDEX(Income!B$3:B$502,SMALL(IF((Income!D$3:D$502="INR")*(Income!A$3:A$502=DATE(2026,5,8)),ROW(Income!A$3:A$502)-2),3)),""),""))</f>
        <v/>
      </c>
      <c r="M96" s="153">
        <f t="array" ref="M96">IF(IFERROR(-INDEX(Expenses!D$3:D$999,SMALL(IF((Expenses!E$3:E$999="INR")*(Expenses!A$3:A$999=DATE(2026,5,9)),ROW(Expenses!A$3:A$999)-2),3)),0)+IFERROR(INDEX(Income!C$3:C$502,SMALL(IF((Income!D$3:D$502="INR")*(Income!A$3:A$502=DATE(2026,5,9)),ROW(Income!A$3:A$502)-2),3)),0)=0,"",IFERROR(-INDEX(Expenses!D$3:D$999,SMALL(IF((Expenses!E$3:E$999="INR")*(Expenses!A$3:A$999=DATE(2026,5,9)),ROW(Expenses!A$3:A$999)-2),3)),0)+IFERROR(INDEX(Income!C$3:C$502,SMALL(IF((Income!D$3:D$502="INR")*(Income!A$3:A$502=DATE(2026,5,9)),ROW(Income!A$3:A$502)-2),3)),0))</f>
        <v/>
      </c>
      <c r="N96" s="126">
        <f t="array" ref="N96">IF(IFERROR(INDEX(Expenses!B$3:B$999,SMALL(IF((Expenses!E$3:E$999="INR")*(Expenses!A$3:A$999=DATE(2026,5,9)),ROW(Expenses!A$3:A$999)-2),3)),"")&lt;&gt;"",IFERROR(INDEX(Expenses!B$3:B$999,SMALL(IF((Expenses!E$3:E$999="INR")*(Expenses!A$3:A$999=DATE(2026,5,9)),ROW(Expenses!A$3:A$999)-2),3)),""),IF(IFERROR(INDEX(Income!B$3:B$502,SMALL(IF((Income!D$3:D$502="INR")*(Income!A$3:A$502=DATE(2026,5,9)),ROW(Income!A$3:A$502)-2),3)),"")&lt;&gt;"",IFERROR(INDEX(Income!B$3:B$502,SMALL(IF((Income!D$3:D$502="INR")*(Income!A$3:A$502=DATE(2026,5,9)),ROW(Income!A$3:A$502)-2),3)),""),""))</f>
        <v/>
      </c>
      <c r="O96" s="153">
        <f t="array" ref="O96">IF(IFERROR(-INDEX(Expenses!D$3:D$999,SMALL(IF((Expenses!E$3:E$999="INR")*(Expenses!A$3:A$999=DATE(2026,5,10)),ROW(Expenses!A$3:A$999)-2),3)),0)+IFERROR(INDEX(Income!C$3:C$502,SMALL(IF((Income!D$3:D$502="INR")*(Income!A$3:A$502=DATE(2026,5,10)),ROW(Income!A$3:A$502)-2),3)),0)=0,"",IFERROR(-INDEX(Expenses!D$3:D$999,SMALL(IF((Expenses!E$3:E$999="INR")*(Expenses!A$3:A$999=DATE(2026,5,10)),ROW(Expenses!A$3:A$999)-2),3)),0)+IFERROR(INDEX(Income!C$3:C$502,SMALL(IF((Income!D$3:D$502="INR")*(Income!A$3:A$502=DATE(2026,5,10)),ROW(Income!A$3:A$502)-2),3)),0))</f>
        <v/>
      </c>
      <c r="P96" s="126">
        <f t="array" ref="P96">IF(IFERROR(INDEX(Expenses!B$3:B$999,SMALL(IF((Expenses!E$3:E$999="INR")*(Expenses!A$3:A$999=DATE(2026,5,10)),ROW(Expenses!A$3:A$999)-2),3)),"")&lt;&gt;"",IFERROR(INDEX(Expenses!B$3:B$999,SMALL(IF((Expenses!E$3:E$999="INR")*(Expenses!A$3:A$999=DATE(2026,5,10)),ROW(Expenses!A$3:A$999)-2),3)),""),IF(IFERROR(INDEX(Income!B$3:B$502,SMALL(IF((Income!D$3:D$502="INR")*(Income!A$3:A$502=DATE(2026,5,10)),ROW(Income!A$3:A$502)-2),3)),"")&lt;&gt;"",IFERROR(INDEX(Income!B$3:B$502,SMALL(IF((Income!D$3:D$502="INR")*(Income!A$3:A$502=DATE(2026,5,10)),ROW(Income!A$3:A$502)-2),3)),""),""))</f>
        <v/>
      </c>
      <c r="Q96" s="9" t="n"/>
      <c r="R96" s="9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68">
      <c r="A97" s="9" t="n"/>
      <c r="B97" s="9" t="n"/>
      <c r="C97" s="153">
        <f t="array" ref="C97">IF(IFERROR(-INDEX(Expenses!D$3:D$999,SMALL(IF((Expenses!E$3:E$999="INR")*(Expenses!A$3:A$999=DATE(2026,5,4)),ROW(Expenses!A$3:A$999)-2),4)),0)+IFERROR(INDEX(Income!C$3:C$502,SMALL(IF((Income!D$3:D$502="INR")*(Income!A$3:A$502=DATE(2026,5,4)),ROW(Income!A$3:A$502)-2),4)),0)=0,"",IFERROR(-INDEX(Expenses!D$3:D$999,SMALL(IF((Expenses!E$3:E$999="INR")*(Expenses!A$3:A$999=DATE(2026,5,4)),ROW(Expenses!A$3:A$999)-2),4)),0)+IFERROR(INDEX(Income!C$3:C$502,SMALL(IF((Income!D$3:D$502="INR")*(Income!A$3:A$502=DATE(2026,5,4)),ROW(Income!A$3:A$502)-2),4)),0))</f>
        <v/>
      </c>
      <c r="D97" s="126">
        <f t="array" ref="D97">IF(IFERROR(INDEX(Expenses!B$3:B$999,SMALL(IF((Expenses!E$3:E$999="INR")*(Expenses!A$3:A$999=DATE(2026,5,4)),ROW(Expenses!A$3:A$999)-2),4)),"")&lt;&gt;"",IFERROR(INDEX(Expenses!B$3:B$999,SMALL(IF((Expenses!E$3:E$999="INR")*(Expenses!A$3:A$999=DATE(2026,5,4)),ROW(Expenses!A$3:A$999)-2),4)),""),IF(IFERROR(INDEX(Income!B$3:B$502,SMALL(IF((Income!D$3:D$502="INR")*(Income!A$3:A$502=DATE(2026,5,4)),ROW(Income!A$3:A$502)-2),4)),"")&lt;&gt;"",IFERROR(INDEX(Income!B$3:B$502,SMALL(IF((Income!D$3:D$502="INR")*(Income!A$3:A$502=DATE(2026,5,4)),ROW(Income!A$3:A$502)-2),4)),""),""))</f>
        <v/>
      </c>
      <c r="E97" s="153">
        <f t="array" ref="E97">IF(IFERROR(-INDEX(Expenses!D$3:D$999,SMALL(IF((Expenses!E$3:E$999="INR")*(Expenses!A$3:A$999=DATE(2026,5,5)),ROW(Expenses!A$3:A$999)-2),4)),0)+IFERROR(INDEX(Income!C$3:C$502,SMALL(IF((Income!D$3:D$502="INR")*(Income!A$3:A$502=DATE(2026,5,5)),ROW(Income!A$3:A$502)-2),4)),0)=0,"",IFERROR(-INDEX(Expenses!D$3:D$999,SMALL(IF((Expenses!E$3:E$999="INR")*(Expenses!A$3:A$999=DATE(2026,5,5)),ROW(Expenses!A$3:A$999)-2),4)),0)+IFERROR(INDEX(Income!C$3:C$502,SMALL(IF((Income!D$3:D$502="INR")*(Income!A$3:A$502=DATE(2026,5,5)),ROW(Income!A$3:A$502)-2),4)),0))</f>
        <v/>
      </c>
      <c r="F97" s="126">
        <f t="array" ref="F97">IF(IFERROR(INDEX(Expenses!B$3:B$999,SMALL(IF((Expenses!E$3:E$999="INR")*(Expenses!A$3:A$999=DATE(2026,5,5)),ROW(Expenses!A$3:A$999)-2),4)),"")&lt;&gt;"",IFERROR(INDEX(Expenses!B$3:B$999,SMALL(IF((Expenses!E$3:E$999="INR")*(Expenses!A$3:A$999=DATE(2026,5,5)),ROW(Expenses!A$3:A$999)-2),4)),""),IF(IFERROR(INDEX(Income!B$3:B$502,SMALL(IF((Income!D$3:D$502="INR")*(Income!A$3:A$502=DATE(2026,5,5)),ROW(Income!A$3:A$502)-2),4)),"")&lt;&gt;"",IFERROR(INDEX(Income!B$3:B$502,SMALL(IF((Income!D$3:D$502="INR")*(Income!A$3:A$502=DATE(2026,5,5)),ROW(Income!A$3:A$502)-2),4)),""),""))</f>
        <v/>
      </c>
      <c r="G97" s="153">
        <f t="array" ref="G97">IF(IFERROR(-INDEX(Expenses!D$3:D$999,SMALL(IF((Expenses!E$3:E$999="INR")*(Expenses!A$3:A$999=DATE(2026,5,6)),ROW(Expenses!A$3:A$999)-2),4)),0)+IFERROR(INDEX(Income!C$3:C$502,SMALL(IF((Income!D$3:D$502="INR")*(Income!A$3:A$502=DATE(2026,5,6)),ROW(Income!A$3:A$502)-2),4)),0)=0,"",IFERROR(-INDEX(Expenses!D$3:D$999,SMALL(IF((Expenses!E$3:E$999="INR")*(Expenses!A$3:A$999=DATE(2026,5,6)),ROW(Expenses!A$3:A$999)-2),4)),0)+IFERROR(INDEX(Income!C$3:C$502,SMALL(IF((Income!D$3:D$502="INR")*(Income!A$3:A$502=DATE(2026,5,6)),ROW(Income!A$3:A$502)-2),4)),0))</f>
        <v/>
      </c>
      <c r="H97" s="126">
        <f t="array" ref="H97">IF(IFERROR(INDEX(Expenses!B$3:B$999,SMALL(IF((Expenses!E$3:E$999="INR")*(Expenses!A$3:A$999=DATE(2026,5,6)),ROW(Expenses!A$3:A$999)-2),4)),"")&lt;&gt;"",IFERROR(INDEX(Expenses!B$3:B$999,SMALL(IF((Expenses!E$3:E$999="INR")*(Expenses!A$3:A$999=DATE(2026,5,6)),ROW(Expenses!A$3:A$999)-2),4)),""),IF(IFERROR(INDEX(Income!B$3:B$502,SMALL(IF((Income!D$3:D$502="INR")*(Income!A$3:A$502=DATE(2026,5,6)),ROW(Income!A$3:A$502)-2),4)),"")&lt;&gt;"",IFERROR(INDEX(Income!B$3:B$502,SMALL(IF((Income!D$3:D$502="INR")*(Income!A$3:A$502=DATE(2026,5,6)),ROW(Income!A$3:A$502)-2),4)),""),""))</f>
        <v/>
      </c>
      <c r="I97" s="153">
        <f t="array" ref="I97">IF(IFERROR(-INDEX(Expenses!D$3:D$999,SMALL(IF((Expenses!E$3:E$999="INR")*(Expenses!A$3:A$999=DATE(2026,5,7)),ROW(Expenses!A$3:A$999)-2),4)),0)+IFERROR(INDEX(Income!C$3:C$502,SMALL(IF((Income!D$3:D$502="INR")*(Income!A$3:A$502=DATE(2026,5,7)),ROW(Income!A$3:A$502)-2),4)),0)=0,"",IFERROR(-INDEX(Expenses!D$3:D$999,SMALL(IF((Expenses!E$3:E$999="INR")*(Expenses!A$3:A$999=DATE(2026,5,7)),ROW(Expenses!A$3:A$999)-2),4)),0)+IFERROR(INDEX(Income!C$3:C$502,SMALL(IF((Income!D$3:D$502="INR")*(Income!A$3:A$502=DATE(2026,5,7)),ROW(Income!A$3:A$502)-2),4)),0))</f>
        <v/>
      </c>
      <c r="J97" s="126">
        <f t="array" ref="J97">IF(IFERROR(INDEX(Expenses!B$3:B$999,SMALL(IF((Expenses!E$3:E$999="INR")*(Expenses!A$3:A$999=DATE(2026,5,7)),ROW(Expenses!A$3:A$999)-2),4)),"")&lt;&gt;"",IFERROR(INDEX(Expenses!B$3:B$999,SMALL(IF((Expenses!E$3:E$999="INR")*(Expenses!A$3:A$999=DATE(2026,5,7)),ROW(Expenses!A$3:A$999)-2),4)),""),IF(IFERROR(INDEX(Income!B$3:B$502,SMALL(IF((Income!D$3:D$502="INR")*(Income!A$3:A$502=DATE(2026,5,7)),ROW(Income!A$3:A$502)-2),4)),"")&lt;&gt;"",IFERROR(INDEX(Income!B$3:B$502,SMALL(IF((Income!D$3:D$502="INR")*(Income!A$3:A$502=DATE(2026,5,7)),ROW(Income!A$3:A$502)-2),4)),""),""))</f>
        <v/>
      </c>
      <c r="K97" s="153">
        <f t="array" ref="K97">IF(IFERROR(-INDEX(Expenses!D$3:D$999,SMALL(IF((Expenses!E$3:E$999="INR")*(Expenses!A$3:A$999=DATE(2026,5,8)),ROW(Expenses!A$3:A$999)-2),4)),0)+IFERROR(INDEX(Income!C$3:C$502,SMALL(IF((Income!D$3:D$502="INR")*(Income!A$3:A$502=DATE(2026,5,8)),ROW(Income!A$3:A$502)-2),4)),0)=0,"",IFERROR(-INDEX(Expenses!D$3:D$999,SMALL(IF((Expenses!E$3:E$999="INR")*(Expenses!A$3:A$999=DATE(2026,5,8)),ROW(Expenses!A$3:A$999)-2),4)),0)+IFERROR(INDEX(Income!C$3:C$502,SMALL(IF((Income!D$3:D$502="INR")*(Income!A$3:A$502=DATE(2026,5,8)),ROW(Income!A$3:A$502)-2),4)),0))</f>
        <v/>
      </c>
      <c r="L97" s="126">
        <f t="array" ref="L97">IF(IFERROR(INDEX(Expenses!B$3:B$999,SMALL(IF((Expenses!E$3:E$999="INR")*(Expenses!A$3:A$999=DATE(2026,5,8)),ROW(Expenses!A$3:A$999)-2),4)),"")&lt;&gt;"",IFERROR(INDEX(Expenses!B$3:B$999,SMALL(IF((Expenses!E$3:E$999="INR")*(Expenses!A$3:A$999=DATE(2026,5,8)),ROW(Expenses!A$3:A$999)-2),4)),""),IF(IFERROR(INDEX(Income!B$3:B$502,SMALL(IF((Income!D$3:D$502="INR")*(Income!A$3:A$502=DATE(2026,5,8)),ROW(Income!A$3:A$502)-2),4)),"")&lt;&gt;"",IFERROR(INDEX(Income!B$3:B$502,SMALL(IF((Income!D$3:D$502="INR")*(Income!A$3:A$502=DATE(2026,5,8)),ROW(Income!A$3:A$502)-2),4)),""),""))</f>
        <v/>
      </c>
      <c r="M97" s="153">
        <f t="array" ref="M97">IF(IFERROR(-INDEX(Expenses!D$3:D$999,SMALL(IF((Expenses!E$3:E$999="INR")*(Expenses!A$3:A$999=DATE(2026,5,9)),ROW(Expenses!A$3:A$999)-2),4)),0)+IFERROR(INDEX(Income!C$3:C$502,SMALL(IF((Income!D$3:D$502="INR")*(Income!A$3:A$502=DATE(2026,5,9)),ROW(Income!A$3:A$502)-2),4)),0)=0,"",IFERROR(-INDEX(Expenses!D$3:D$999,SMALL(IF((Expenses!E$3:E$999="INR")*(Expenses!A$3:A$999=DATE(2026,5,9)),ROW(Expenses!A$3:A$999)-2),4)),0)+IFERROR(INDEX(Income!C$3:C$502,SMALL(IF((Income!D$3:D$502="INR")*(Income!A$3:A$502=DATE(2026,5,9)),ROW(Income!A$3:A$502)-2),4)),0))</f>
        <v/>
      </c>
      <c r="N97" s="126">
        <f t="array" ref="N97">IF(IFERROR(INDEX(Expenses!B$3:B$999,SMALL(IF((Expenses!E$3:E$999="INR")*(Expenses!A$3:A$999=DATE(2026,5,9)),ROW(Expenses!A$3:A$999)-2),4)),"")&lt;&gt;"",IFERROR(INDEX(Expenses!B$3:B$999,SMALL(IF((Expenses!E$3:E$999="INR")*(Expenses!A$3:A$999=DATE(2026,5,9)),ROW(Expenses!A$3:A$999)-2),4)),""),IF(IFERROR(INDEX(Income!B$3:B$502,SMALL(IF((Income!D$3:D$502="INR")*(Income!A$3:A$502=DATE(2026,5,9)),ROW(Income!A$3:A$502)-2),4)),"")&lt;&gt;"",IFERROR(INDEX(Income!B$3:B$502,SMALL(IF((Income!D$3:D$502="INR")*(Income!A$3:A$502=DATE(2026,5,9)),ROW(Income!A$3:A$502)-2),4)),""),""))</f>
        <v/>
      </c>
      <c r="O97" s="153">
        <f t="array" ref="O97">IF(IFERROR(-INDEX(Expenses!D$3:D$999,SMALL(IF((Expenses!E$3:E$999="INR")*(Expenses!A$3:A$999=DATE(2026,5,10)),ROW(Expenses!A$3:A$999)-2),4)),0)+IFERROR(INDEX(Income!C$3:C$502,SMALL(IF((Income!D$3:D$502="INR")*(Income!A$3:A$502=DATE(2026,5,10)),ROW(Income!A$3:A$502)-2),4)),0)=0,"",IFERROR(-INDEX(Expenses!D$3:D$999,SMALL(IF((Expenses!E$3:E$999="INR")*(Expenses!A$3:A$999=DATE(2026,5,10)),ROW(Expenses!A$3:A$999)-2),4)),0)+IFERROR(INDEX(Income!C$3:C$502,SMALL(IF((Income!D$3:D$502="INR")*(Income!A$3:A$502=DATE(2026,5,10)),ROW(Income!A$3:A$502)-2),4)),0))</f>
        <v/>
      </c>
      <c r="P97" s="126">
        <f t="array" ref="P97">IF(IFERROR(INDEX(Expenses!B$3:B$999,SMALL(IF((Expenses!E$3:E$999="INR")*(Expenses!A$3:A$999=DATE(2026,5,10)),ROW(Expenses!A$3:A$999)-2),4)),"")&lt;&gt;"",IFERROR(INDEX(Expenses!B$3:B$999,SMALL(IF((Expenses!E$3:E$999="INR")*(Expenses!A$3:A$999=DATE(2026,5,10)),ROW(Expenses!A$3:A$999)-2),4)),""),IF(IFERROR(INDEX(Income!B$3:B$502,SMALL(IF((Income!D$3:D$502="INR")*(Income!A$3:A$502=DATE(2026,5,10)),ROW(Income!A$3:A$502)-2),4)),"")&lt;&gt;"",IFERROR(INDEX(Income!B$3:B$502,SMALL(IF((Income!D$3:D$502="INR")*(Income!A$3:A$502=DATE(2026,5,10)),ROW(Income!A$3:A$502)-2),4)),""),""))</f>
        <v/>
      </c>
      <c r="Q97" s="9" t="n"/>
      <c r="R97" s="9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68">
      <c r="A98" s="9" t="n"/>
      <c r="B98" s="9" t="n"/>
      <c r="C98" s="153">
        <f t="array" ref="C98">IF(IFERROR(-INDEX(Expenses!D$3:D$999,SMALL(IF((Expenses!E$3:E$999="INR")*(Expenses!A$3:A$999=DATE(2026,5,4)),ROW(Expenses!A$3:A$999)-2),5)),0)+IFERROR(INDEX(Income!C$3:C$502,SMALL(IF((Income!D$3:D$502="INR")*(Income!A$3:A$502=DATE(2026,5,4)),ROW(Income!A$3:A$502)-2),5)),0)=0,"",IFERROR(-INDEX(Expenses!D$3:D$999,SMALL(IF((Expenses!E$3:E$999="INR")*(Expenses!A$3:A$999=DATE(2026,5,4)),ROW(Expenses!A$3:A$999)-2),5)),0)+IFERROR(INDEX(Income!C$3:C$502,SMALL(IF((Income!D$3:D$502="INR")*(Income!A$3:A$502=DATE(2026,5,4)),ROW(Income!A$3:A$502)-2),5)),0))</f>
        <v/>
      </c>
      <c r="D98" s="126">
        <f t="array" ref="D98">IF(IFERROR(INDEX(Expenses!B$3:B$999,SMALL(IF((Expenses!E$3:E$999="INR")*(Expenses!A$3:A$999=DATE(2026,5,4)),ROW(Expenses!A$3:A$999)-2),5)),"")&lt;&gt;"",IFERROR(INDEX(Expenses!B$3:B$999,SMALL(IF((Expenses!E$3:E$999="INR")*(Expenses!A$3:A$999=DATE(2026,5,4)),ROW(Expenses!A$3:A$999)-2),5)),""),IF(IFERROR(INDEX(Income!B$3:B$502,SMALL(IF((Income!D$3:D$502="INR")*(Income!A$3:A$502=DATE(2026,5,4)),ROW(Income!A$3:A$502)-2),5)),"")&lt;&gt;"",IFERROR(INDEX(Income!B$3:B$502,SMALL(IF((Income!D$3:D$502="INR")*(Income!A$3:A$502=DATE(2026,5,4)),ROW(Income!A$3:A$502)-2),5)),""),""))</f>
        <v/>
      </c>
      <c r="E98" s="153">
        <f t="array" ref="E98">IF(IFERROR(-INDEX(Expenses!D$3:D$999,SMALL(IF((Expenses!E$3:E$999="INR")*(Expenses!A$3:A$999=DATE(2026,5,5)),ROW(Expenses!A$3:A$999)-2),5)),0)+IFERROR(INDEX(Income!C$3:C$502,SMALL(IF((Income!D$3:D$502="INR")*(Income!A$3:A$502=DATE(2026,5,5)),ROW(Income!A$3:A$502)-2),5)),0)=0,"",IFERROR(-INDEX(Expenses!D$3:D$999,SMALL(IF((Expenses!E$3:E$999="INR")*(Expenses!A$3:A$999=DATE(2026,5,5)),ROW(Expenses!A$3:A$999)-2),5)),0)+IFERROR(INDEX(Income!C$3:C$502,SMALL(IF((Income!D$3:D$502="INR")*(Income!A$3:A$502=DATE(2026,5,5)),ROW(Income!A$3:A$502)-2),5)),0))</f>
        <v/>
      </c>
      <c r="F98" s="126">
        <f t="array" ref="F98">IF(IFERROR(INDEX(Expenses!B$3:B$999,SMALL(IF((Expenses!E$3:E$999="INR")*(Expenses!A$3:A$999=DATE(2026,5,5)),ROW(Expenses!A$3:A$999)-2),5)),"")&lt;&gt;"",IFERROR(INDEX(Expenses!B$3:B$999,SMALL(IF((Expenses!E$3:E$999="INR")*(Expenses!A$3:A$999=DATE(2026,5,5)),ROW(Expenses!A$3:A$999)-2),5)),""),IF(IFERROR(INDEX(Income!B$3:B$502,SMALL(IF((Income!D$3:D$502="INR")*(Income!A$3:A$502=DATE(2026,5,5)),ROW(Income!A$3:A$502)-2),5)),"")&lt;&gt;"",IFERROR(INDEX(Income!B$3:B$502,SMALL(IF((Income!D$3:D$502="INR")*(Income!A$3:A$502=DATE(2026,5,5)),ROW(Income!A$3:A$502)-2),5)),""),""))</f>
        <v/>
      </c>
      <c r="G98" s="153">
        <f t="array" ref="G98">IF(IFERROR(-INDEX(Expenses!D$3:D$999,SMALL(IF((Expenses!E$3:E$999="INR")*(Expenses!A$3:A$999=DATE(2026,5,6)),ROW(Expenses!A$3:A$999)-2),5)),0)+IFERROR(INDEX(Income!C$3:C$502,SMALL(IF((Income!D$3:D$502="INR")*(Income!A$3:A$502=DATE(2026,5,6)),ROW(Income!A$3:A$502)-2),5)),0)=0,"",IFERROR(-INDEX(Expenses!D$3:D$999,SMALL(IF((Expenses!E$3:E$999="INR")*(Expenses!A$3:A$999=DATE(2026,5,6)),ROW(Expenses!A$3:A$999)-2),5)),0)+IFERROR(INDEX(Income!C$3:C$502,SMALL(IF((Income!D$3:D$502="INR")*(Income!A$3:A$502=DATE(2026,5,6)),ROW(Income!A$3:A$502)-2),5)),0))</f>
        <v/>
      </c>
      <c r="H98" s="126">
        <f t="array" ref="H98">IF(IFERROR(INDEX(Expenses!B$3:B$999,SMALL(IF((Expenses!E$3:E$999="INR")*(Expenses!A$3:A$999=DATE(2026,5,6)),ROW(Expenses!A$3:A$999)-2),5)),"")&lt;&gt;"",IFERROR(INDEX(Expenses!B$3:B$999,SMALL(IF((Expenses!E$3:E$999="INR")*(Expenses!A$3:A$999=DATE(2026,5,6)),ROW(Expenses!A$3:A$999)-2),5)),""),IF(IFERROR(INDEX(Income!B$3:B$502,SMALL(IF((Income!D$3:D$502="INR")*(Income!A$3:A$502=DATE(2026,5,6)),ROW(Income!A$3:A$502)-2),5)),"")&lt;&gt;"",IFERROR(INDEX(Income!B$3:B$502,SMALL(IF((Income!D$3:D$502="INR")*(Income!A$3:A$502=DATE(2026,5,6)),ROW(Income!A$3:A$502)-2),5)),""),""))</f>
        <v/>
      </c>
      <c r="I98" s="153">
        <f t="array" ref="I98">IF(IFERROR(-INDEX(Expenses!D$3:D$999,SMALL(IF((Expenses!E$3:E$999="INR")*(Expenses!A$3:A$999=DATE(2026,5,7)),ROW(Expenses!A$3:A$999)-2),5)),0)+IFERROR(INDEX(Income!C$3:C$502,SMALL(IF((Income!D$3:D$502="INR")*(Income!A$3:A$502=DATE(2026,5,7)),ROW(Income!A$3:A$502)-2),5)),0)=0,"",IFERROR(-INDEX(Expenses!D$3:D$999,SMALL(IF((Expenses!E$3:E$999="INR")*(Expenses!A$3:A$999=DATE(2026,5,7)),ROW(Expenses!A$3:A$999)-2),5)),0)+IFERROR(INDEX(Income!C$3:C$502,SMALL(IF((Income!D$3:D$502="INR")*(Income!A$3:A$502=DATE(2026,5,7)),ROW(Income!A$3:A$502)-2),5)),0))</f>
        <v/>
      </c>
      <c r="J98" s="126">
        <f t="array" ref="J98">IF(IFERROR(INDEX(Expenses!B$3:B$999,SMALL(IF((Expenses!E$3:E$999="INR")*(Expenses!A$3:A$999=DATE(2026,5,7)),ROW(Expenses!A$3:A$999)-2),5)),"")&lt;&gt;"",IFERROR(INDEX(Expenses!B$3:B$999,SMALL(IF((Expenses!E$3:E$999="INR")*(Expenses!A$3:A$999=DATE(2026,5,7)),ROW(Expenses!A$3:A$999)-2),5)),""),IF(IFERROR(INDEX(Income!B$3:B$502,SMALL(IF((Income!D$3:D$502="INR")*(Income!A$3:A$502=DATE(2026,5,7)),ROW(Income!A$3:A$502)-2),5)),"")&lt;&gt;"",IFERROR(INDEX(Income!B$3:B$502,SMALL(IF((Income!D$3:D$502="INR")*(Income!A$3:A$502=DATE(2026,5,7)),ROW(Income!A$3:A$502)-2),5)),""),""))</f>
        <v/>
      </c>
      <c r="K98" s="153">
        <f t="array" ref="K98">IF(IFERROR(-INDEX(Expenses!D$3:D$999,SMALL(IF((Expenses!E$3:E$999="INR")*(Expenses!A$3:A$999=DATE(2026,5,8)),ROW(Expenses!A$3:A$999)-2),5)),0)+IFERROR(INDEX(Income!C$3:C$502,SMALL(IF((Income!D$3:D$502="INR")*(Income!A$3:A$502=DATE(2026,5,8)),ROW(Income!A$3:A$502)-2),5)),0)=0,"",IFERROR(-INDEX(Expenses!D$3:D$999,SMALL(IF((Expenses!E$3:E$999="INR")*(Expenses!A$3:A$999=DATE(2026,5,8)),ROW(Expenses!A$3:A$999)-2),5)),0)+IFERROR(INDEX(Income!C$3:C$502,SMALL(IF((Income!D$3:D$502="INR")*(Income!A$3:A$502=DATE(2026,5,8)),ROW(Income!A$3:A$502)-2),5)),0))</f>
        <v/>
      </c>
      <c r="L98" s="126">
        <f t="array" ref="L98">IF(IFERROR(INDEX(Expenses!B$3:B$999,SMALL(IF((Expenses!E$3:E$999="INR")*(Expenses!A$3:A$999=DATE(2026,5,8)),ROW(Expenses!A$3:A$999)-2),5)),"")&lt;&gt;"",IFERROR(INDEX(Expenses!B$3:B$999,SMALL(IF((Expenses!E$3:E$999="INR")*(Expenses!A$3:A$999=DATE(2026,5,8)),ROW(Expenses!A$3:A$999)-2),5)),""),IF(IFERROR(INDEX(Income!B$3:B$502,SMALL(IF((Income!D$3:D$502="INR")*(Income!A$3:A$502=DATE(2026,5,8)),ROW(Income!A$3:A$502)-2),5)),"")&lt;&gt;"",IFERROR(INDEX(Income!B$3:B$502,SMALL(IF((Income!D$3:D$502="INR")*(Income!A$3:A$502=DATE(2026,5,8)),ROW(Income!A$3:A$502)-2),5)),""),""))</f>
        <v/>
      </c>
      <c r="M98" s="153">
        <f t="array" ref="M98">IF(IFERROR(-INDEX(Expenses!D$3:D$999,SMALL(IF((Expenses!E$3:E$999="INR")*(Expenses!A$3:A$999=DATE(2026,5,9)),ROW(Expenses!A$3:A$999)-2),5)),0)+IFERROR(INDEX(Income!C$3:C$502,SMALL(IF((Income!D$3:D$502="INR")*(Income!A$3:A$502=DATE(2026,5,9)),ROW(Income!A$3:A$502)-2),5)),0)=0,"",IFERROR(-INDEX(Expenses!D$3:D$999,SMALL(IF((Expenses!E$3:E$999="INR")*(Expenses!A$3:A$999=DATE(2026,5,9)),ROW(Expenses!A$3:A$999)-2),5)),0)+IFERROR(INDEX(Income!C$3:C$502,SMALL(IF((Income!D$3:D$502="INR")*(Income!A$3:A$502=DATE(2026,5,9)),ROW(Income!A$3:A$502)-2),5)),0))</f>
        <v/>
      </c>
      <c r="N98" s="126">
        <f t="array" ref="N98">IF(IFERROR(INDEX(Expenses!B$3:B$999,SMALL(IF((Expenses!E$3:E$999="INR")*(Expenses!A$3:A$999=DATE(2026,5,9)),ROW(Expenses!A$3:A$999)-2),5)),"")&lt;&gt;"",IFERROR(INDEX(Expenses!B$3:B$999,SMALL(IF((Expenses!E$3:E$999="INR")*(Expenses!A$3:A$999=DATE(2026,5,9)),ROW(Expenses!A$3:A$999)-2),5)),""),IF(IFERROR(INDEX(Income!B$3:B$502,SMALL(IF((Income!D$3:D$502="INR")*(Income!A$3:A$502=DATE(2026,5,9)),ROW(Income!A$3:A$502)-2),5)),"")&lt;&gt;"",IFERROR(INDEX(Income!B$3:B$502,SMALL(IF((Income!D$3:D$502="INR")*(Income!A$3:A$502=DATE(2026,5,9)),ROW(Income!A$3:A$502)-2),5)),""),""))</f>
        <v/>
      </c>
      <c r="O98" s="153">
        <f t="array" ref="O98">IF(IFERROR(-INDEX(Expenses!D$3:D$999,SMALL(IF((Expenses!E$3:E$999="INR")*(Expenses!A$3:A$999=DATE(2026,5,10)),ROW(Expenses!A$3:A$999)-2),5)),0)+IFERROR(INDEX(Income!C$3:C$502,SMALL(IF((Income!D$3:D$502="INR")*(Income!A$3:A$502=DATE(2026,5,10)),ROW(Income!A$3:A$502)-2),5)),0)=0,"",IFERROR(-INDEX(Expenses!D$3:D$999,SMALL(IF((Expenses!E$3:E$999="INR")*(Expenses!A$3:A$999=DATE(2026,5,10)),ROW(Expenses!A$3:A$999)-2),5)),0)+IFERROR(INDEX(Income!C$3:C$502,SMALL(IF((Income!D$3:D$502="INR")*(Income!A$3:A$502=DATE(2026,5,10)),ROW(Income!A$3:A$502)-2),5)),0))</f>
        <v/>
      </c>
      <c r="P98" s="126">
        <f t="array" ref="P98">IF(IFERROR(INDEX(Expenses!B$3:B$999,SMALL(IF((Expenses!E$3:E$999="INR")*(Expenses!A$3:A$999=DATE(2026,5,10)),ROW(Expenses!A$3:A$999)-2),5)),"")&lt;&gt;"",IFERROR(INDEX(Expenses!B$3:B$999,SMALL(IF((Expenses!E$3:E$999="INR")*(Expenses!A$3:A$999=DATE(2026,5,10)),ROW(Expenses!A$3:A$999)-2),5)),""),IF(IFERROR(INDEX(Income!B$3:B$502,SMALL(IF((Income!D$3:D$502="INR")*(Income!A$3:A$502=DATE(2026,5,10)),ROW(Income!A$3:A$502)-2),5)),"")&lt;&gt;"",IFERROR(INDEX(Income!B$3:B$502,SMALL(IF((Income!D$3:D$502="INR")*(Income!A$3:A$502=DATE(2026,5,10)),ROW(Income!A$3:A$502)-2),5)),""),""))</f>
        <v/>
      </c>
      <c r="Q98" s="9" t="n"/>
      <c r="R98" s="9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68">
      <c r="A99" s="151" t="n">
        <v>46153</v>
      </c>
      <c r="B99" s="103" t="n">
        <v>20</v>
      </c>
      <c r="C99" s="153">
        <f t="array" ref="C99">IF(IFERROR(-INDEX(Expenses!D$3:D$999,SMALL(IF((Expenses!E$3:E$999="INR")*(Expenses!A$3:A$999=DATE(2026,5,11)),ROW(Expenses!A$3:A$999)-2),1)),0)+IFERROR(INDEX(Income!C$3:C$502,SMALL(IF((Income!D$3:D$502="INR")*(Income!A$3:A$502=DATE(2026,5,11)),ROW(Income!A$3:A$502)-2),1)),0)=0,"",IFERROR(-INDEX(Expenses!D$3:D$999,SMALL(IF((Expenses!E$3:E$999="INR")*(Expenses!A$3:A$999=DATE(2026,5,11)),ROW(Expenses!A$3:A$999)-2),1)),0)+IFERROR(INDEX(Income!C$3:C$502,SMALL(IF((Income!D$3:D$502="INR")*(Income!A$3:A$502=DATE(2026,5,11)),ROW(Income!A$3:A$502)-2),1)),0))</f>
        <v/>
      </c>
      <c r="D99" s="126">
        <f t="array" ref="D99">IF(IFERROR(INDEX(Expenses!B$3:B$999,SMALL(IF((Expenses!E$3:E$999="INR")*(Expenses!A$3:A$999=DATE(2026,5,11)),ROW(Expenses!A$3:A$999)-2),1)),"")&lt;&gt;"",IFERROR(INDEX(Expenses!B$3:B$999,SMALL(IF((Expenses!E$3:E$999="INR")*(Expenses!A$3:A$999=DATE(2026,5,11)),ROW(Expenses!A$3:A$999)-2),1)),""),IF(IFERROR(INDEX(Income!B$3:B$502,SMALL(IF((Income!D$3:D$502="INR")*(Income!A$3:A$502=DATE(2026,5,11)),ROW(Income!A$3:A$502)-2),1)),"")&lt;&gt;"",IFERROR(INDEX(Income!B$3:B$502,SMALL(IF((Income!D$3:D$502="INR")*(Income!A$3:A$502=DATE(2026,5,11)),ROW(Income!A$3:A$502)-2),1)),""),""))</f>
        <v/>
      </c>
      <c r="E99" s="153">
        <f t="array" ref="E99">IF(IFERROR(-INDEX(Expenses!D$3:D$999,SMALL(IF((Expenses!E$3:E$999="INR")*(Expenses!A$3:A$999=DATE(2026,5,12)),ROW(Expenses!A$3:A$999)-2),1)),0)+IFERROR(INDEX(Income!C$3:C$502,SMALL(IF((Income!D$3:D$502="INR")*(Income!A$3:A$502=DATE(2026,5,12)),ROW(Income!A$3:A$502)-2),1)),0)=0,"",IFERROR(-INDEX(Expenses!D$3:D$999,SMALL(IF((Expenses!E$3:E$999="INR")*(Expenses!A$3:A$999=DATE(2026,5,12)),ROW(Expenses!A$3:A$999)-2),1)),0)+IFERROR(INDEX(Income!C$3:C$502,SMALL(IF((Income!D$3:D$502="INR")*(Income!A$3:A$502=DATE(2026,5,12)),ROW(Income!A$3:A$502)-2),1)),0))</f>
        <v/>
      </c>
      <c r="F99" s="126">
        <f t="array" ref="F99">IF(IFERROR(INDEX(Expenses!B$3:B$999,SMALL(IF((Expenses!E$3:E$999="INR")*(Expenses!A$3:A$999=DATE(2026,5,12)),ROW(Expenses!A$3:A$999)-2),1)),"")&lt;&gt;"",IFERROR(INDEX(Expenses!B$3:B$999,SMALL(IF((Expenses!E$3:E$999="INR")*(Expenses!A$3:A$999=DATE(2026,5,12)),ROW(Expenses!A$3:A$999)-2),1)),""),IF(IFERROR(INDEX(Income!B$3:B$502,SMALL(IF((Income!D$3:D$502="INR")*(Income!A$3:A$502=DATE(2026,5,12)),ROW(Income!A$3:A$502)-2),1)),"")&lt;&gt;"",IFERROR(INDEX(Income!B$3:B$502,SMALL(IF((Income!D$3:D$502="INR")*(Income!A$3:A$502=DATE(2026,5,12)),ROW(Income!A$3:A$502)-2),1)),""),""))</f>
        <v/>
      </c>
      <c r="G99" s="153">
        <f t="array" ref="G99">IF(IFERROR(-INDEX(Expenses!D$3:D$999,SMALL(IF((Expenses!E$3:E$999="INR")*(Expenses!A$3:A$999=DATE(2026,5,13)),ROW(Expenses!A$3:A$999)-2),1)),0)+IFERROR(INDEX(Income!C$3:C$502,SMALL(IF((Income!D$3:D$502="INR")*(Income!A$3:A$502=DATE(2026,5,13)),ROW(Income!A$3:A$502)-2),1)),0)=0,"",IFERROR(-INDEX(Expenses!D$3:D$999,SMALL(IF((Expenses!E$3:E$999="INR")*(Expenses!A$3:A$999=DATE(2026,5,13)),ROW(Expenses!A$3:A$999)-2),1)),0)+IFERROR(INDEX(Income!C$3:C$502,SMALL(IF((Income!D$3:D$502="INR")*(Income!A$3:A$502=DATE(2026,5,13)),ROW(Income!A$3:A$502)-2),1)),0))</f>
        <v/>
      </c>
      <c r="H99" s="126">
        <f t="array" ref="H99">IF(IFERROR(INDEX(Expenses!B$3:B$999,SMALL(IF((Expenses!E$3:E$999="INR")*(Expenses!A$3:A$999=DATE(2026,5,13)),ROW(Expenses!A$3:A$999)-2),1)),"")&lt;&gt;"",IFERROR(INDEX(Expenses!B$3:B$999,SMALL(IF((Expenses!E$3:E$999="INR")*(Expenses!A$3:A$999=DATE(2026,5,13)),ROW(Expenses!A$3:A$999)-2),1)),""),IF(IFERROR(INDEX(Income!B$3:B$502,SMALL(IF((Income!D$3:D$502="INR")*(Income!A$3:A$502=DATE(2026,5,13)),ROW(Income!A$3:A$502)-2),1)),"")&lt;&gt;"",IFERROR(INDEX(Income!B$3:B$502,SMALL(IF((Income!D$3:D$502="INR")*(Income!A$3:A$502=DATE(2026,5,13)),ROW(Income!A$3:A$502)-2),1)),""),""))</f>
        <v/>
      </c>
      <c r="I99" s="153">
        <f t="array" ref="I99">IF(IFERROR(-INDEX(Expenses!D$3:D$999,SMALL(IF((Expenses!E$3:E$999="INR")*(Expenses!A$3:A$999=DATE(2026,5,14)),ROW(Expenses!A$3:A$999)-2),1)),0)+IFERROR(INDEX(Income!C$3:C$502,SMALL(IF((Income!D$3:D$502="INR")*(Income!A$3:A$502=DATE(2026,5,14)),ROW(Income!A$3:A$502)-2),1)),0)=0,"",IFERROR(-INDEX(Expenses!D$3:D$999,SMALL(IF((Expenses!E$3:E$999="INR")*(Expenses!A$3:A$999=DATE(2026,5,14)),ROW(Expenses!A$3:A$999)-2),1)),0)+IFERROR(INDEX(Income!C$3:C$502,SMALL(IF((Income!D$3:D$502="INR")*(Income!A$3:A$502=DATE(2026,5,14)),ROW(Income!A$3:A$502)-2),1)),0))</f>
        <v/>
      </c>
      <c r="J99" s="126">
        <f t="array" ref="J99">IF(IFERROR(INDEX(Expenses!B$3:B$999,SMALL(IF((Expenses!E$3:E$999="INR")*(Expenses!A$3:A$999=DATE(2026,5,14)),ROW(Expenses!A$3:A$999)-2),1)),"")&lt;&gt;"",IFERROR(INDEX(Expenses!B$3:B$999,SMALL(IF((Expenses!E$3:E$999="INR")*(Expenses!A$3:A$999=DATE(2026,5,14)),ROW(Expenses!A$3:A$999)-2),1)),""),IF(IFERROR(INDEX(Income!B$3:B$502,SMALL(IF((Income!D$3:D$502="INR")*(Income!A$3:A$502=DATE(2026,5,14)),ROW(Income!A$3:A$502)-2),1)),"")&lt;&gt;"",IFERROR(INDEX(Income!B$3:B$502,SMALL(IF((Income!D$3:D$502="INR")*(Income!A$3:A$502=DATE(2026,5,14)),ROW(Income!A$3:A$502)-2),1)),""),""))</f>
        <v/>
      </c>
      <c r="K99" s="153">
        <f t="array" ref="K99">IF(IFERROR(-INDEX(Expenses!D$3:D$999,SMALL(IF((Expenses!E$3:E$999="INR")*(Expenses!A$3:A$999=DATE(2026,5,15)),ROW(Expenses!A$3:A$999)-2),1)),0)+IFERROR(INDEX(Income!C$3:C$502,SMALL(IF((Income!D$3:D$502="INR")*(Income!A$3:A$502=DATE(2026,5,15)),ROW(Income!A$3:A$502)-2),1)),0)=0,"",IFERROR(-INDEX(Expenses!D$3:D$999,SMALL(IF((Expenses!E$3:E$999="INR")*(Expenses!A$3:A$999=DATE(2026,5,15)),ROW(Expenses!A$3:A$999)-2),1)),0)+IFERROR(INDEX(Income!C$3:C$502,SMALL(IF((Income!D$3:D$502="INR")*(Income!A$3:A$502=DATE(2026,5,15)),ROW(Income!A$3:A$502)-2),1)),0))</f>
        <v/>
      </c>
      <c r="L99" s="126">
        <f t="array" ref="L99">IF(IFERROR(INDEX(Expenses!B$3:B$999,SMALL(IF((Expenses!E$3:E$999="INR")*(Expenses!A$3:A$999=DATE(2026,5,15)),ROW(Expenses!A$3:A$999)-2),1)),"")&lt;&gt;"",IFERROR(INDEX(Expenses!B$3:B$999,SMALL(IF((Expenses!E$3:E$999="INR")*(Expenses!A$3:A$999=DATE(2026,5,15)),ROW(Expenses!A$3:A$999)-2),1)),""),IF(IFERROR(INDEX(Income!B$3:B$502,SMALL(IF((Income!D$3:D$502="INR")*(Income!A$3:A$502=DATE(2026,5,15)),ROW(Income!A$3:A$502)-2),1)),"")&lt;&gt;"",IFERROR(INDEX(Income!B$3:B$502,SMALL(IF((Income!D$3:D$502="INR")*(Income!A$3:A$502=DATE(2026,5,15)),ROW(Income!A$3:A$502)-2),1)),""),""))</f>
        <v/>
      </c>
      <c r="M99" s="153">
        <f t="array" ref="M99">IF(IFERROR(-INDEX(Expenses!D$3:D$999,SMALL(IF((Expenses!E$3:E$999="INR")*(Expenses!A$3:A$999=DATE(2026,5,16)),ROW(Expenses!A$3:A$999)-2),1)),0)+IFERROR(INDEX(Income!C$3:C$502,SMALL(IF((Income!D$3:D$502="INR")*(Income!A$3:A$502=DATE(2026,5,16)),ROW(Income!A$3:A$502)-2),1)),0)=0,"",IFERROR(-INDEX(Expenses!D$3:D$999,SMALL(IF((Expenses!E$3:E$999="INR")*(Expenses!A$3:A$999=DATE(2026,5,16)),ROW(Expenses!A$3:A$999)-2),1)),0)+IFERROR(INDEX(Income!C$3:C$502,SMALL(IF((Income!D$3:D$502="INR")*(Income!A$3:A$502=DATE(2026,5,16)),ROW(Income!A$3:A$502)-2),1)),0))</f>
        <v/>
      </c>
      <c r="N99" s="126">
        <f t="array" ref="N99">IF(IFERROR(INDEX(Expenses!B$3:B$999,SMALL(IF((Expenses!E$3:E$999="INR")*(Expenses!A$3:A$999=DATE(2026,5,16)),ROW(Expenses!A$3:A$999)-2),1)),"")&lt;&gt;"",IFERROR(INDEX(Expenses!B$3:B$999,SMALL(IF((Expenses!E$3:E$999="INR")*(Expenses!A$3:A$999=DATE(2026,5,16)),ROW(Expenses!A$3:A$999)-2),1)),""),IF(IFERROR(INDEX(Income!B$3:B$502,SMALL(IF((Income!D$3:D$502="INR")*(Income!A$3:A$502=DATE(2026,5,16)),ROW(Income!A$3:A$502)-2),1)),"")&lt;&gt;"",IFERROR(INDEX(Income!B$3:B$502,SMALL(IF((Income!D$3:D$502="INR")*(Income!A$3:A$502=DATE(2026,5,16)),ROW(Income!A$3:A$502)-2),1)),""),""))</f>
        <v/>
      </c>
      <c r="O99" s="153">
        <f t="array" ref="O99">IF(IFERROR(-INDEX(Expenses!D$3:D$999,SMALL(IF((Expenses!E$3:E$999="INR")*(Expenses!A$3:A$999=DATE(2026,5,17)),ROW(Expenses!A$3:A$999)-2),1)),0)+IFERROR(INDEX(Income!C$3:C$502,SMALL(IF((Income!D$3:D$502="INR")*(Income!A$3:A$502=DATE(2026,5,17)),ROW(Income!A$3:A$502)-2),1)),0)=0,"",IFERROR(-INDEX(Expenses!D$3:D$999,SMALL(IF((Expenses!E$3:E$999="INR")*(Expenses!A$3:A$999=DATE(2026,5,17)),ROW(Expenses!A$3:A$999)-2),1)),0)+IFERROR(INDEX(Income!C$3:C$502,SMALL(IF((Income!D$3:D$502="INR")*(Income!A$3:A$502=DATE(2026,5,17)),ROW(Income!A$3:A$502)-2),1)),0))</f>
        <v/>
      </c>
      <c r="P99" s="126">
        <f t="array" ref="P99">IF(IFERROR(INDEX(Expenses!B$3:B$999,SMALL(IF((Expenses!E$3:E$999="INR")*(Expenses!A$3:A$999=DATE(2026,5,17)),ROW(Expenses!A$3:A$999)-2),1)),"")&lt;&gt;"",IFERROR(INDEX(Expenses!B$3:B$999,SMALL(IF((Expenses!E$3:E$999="INR")*(Expenses!A$3:A$999=DATE(2026,5,17)),ROW(Expenses!A$3:A$999)-2),1)),""),IF(IFERROR(INDEX(Income!B$3:B$502,SMALL(IF((Income!D$3:D$502="INR")*(Income!A$3:A$502=DATE(2026,5,17)),ROW(Income!A$3:A$502)-2),1)),"")&lt;&gt;"",IFERROR(INDEX(Income!B$3:B$502,SMALL(IF((Income!D$3:D$502="INR")*(Income!A$3:A$502=DATE(2026,5,17)),ROW(Income!A$3:A$502)-2),1)),""),""))</f>
        <v/>
      </c>
      <c r="Q99" s="103" t="n">
        <v>20</v>
      </c>
      <c r="R99" s="142">
        <f>SUM(C99:C103)+SUM(E99:E103)+SUM(G99:G103)+SUM(I99:I103)+SUM(K99:K103)+SUM(M99:M103)+SUM(O99:O103)</f>
        <v/>
      </c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68">
      <c r="A100" s="9" t="n"/>
      <c r="B100" s="9" t="n"/>
      <c r="C100" s="153">
        <f t="array" ref="C100">IF(IFERROR(-INDEX(Expenses!D$3:D$999,SMALL(IF((Expenses!E$3:E$999="INR")*(Expenses!A$3:A$999=DATE(2026,5,11)),ROW(Expenses!A$3:A$999)-2),2)),0)+IFERROR(INDEX(Income!C$3:C$502,SMALL(IF((Income!D$3:D$502="INR")*(Income!A$3:A$502=DATE(2026,5,11)),ROW(Income!A$3:A$502)-2),2)),0)=0,"",IFERROR(-INDEX(Expenses!D$3:D$999,SMALL(IF((Expenses!E$3:E$999="INR")*(Expenses!A$3:A$999=DATE(2026,5,11)),ROW(Expenses!A$3:A$999)-2),2)),0)+IFERROR(INDEX(Income!C$3:C$502,SMALL(IF((Income!D$3:D$502="INR")*(Income!A$3:A$502=DATE(2026,5,11)),ROW(Income!A$3:A$502)-2),2)),0))</f>
        <v/>
      </c>
      <c r="D100" s="126">
        <f t="array" ref="D100">IF(IFERROR(INDEX(Expenses!B$3:B$999,SMALL(IF((Expenses!E$3:E$999="INR")*(Expenses!A$3:A$999=DATE(2026,5,11)),ROW(Expenses!A$3:A$999)-2),2)),"")&lt;&gt;"",IFERROR(INDEX(Expenses!B$3:B$999,SMALL(IF((Expenses!E$3:E$999="INR")*(Expenses!A$3:A$999=DATE(2026,5,11)),ROW(Expenses!A$3:A$999)-2),2)),""),IF(IFERROR(INDEX(Income!B$3:B$502,SMALL(IF((Income!D$3:D$502="INR")*(Income!A$3:A$502=DATE(2026,5,11)),ROW(Income!A$3:A$502)-2),2)),"")&lt;&gt;"",IFERROR(INDEX(Income!B$3:B$502,SMALL(IF((Income!D$3:D$502="INR")*(Income!A$3:A$502=DATE(2026,5,11)),ROW(Income!A$3:A$502)-2),2)),""),""))</f>
        <v/>
      </c>
      <c r="E100" s="153">
        <f t="array" ref="E100">IF(IFERROR(-INDEX(Expenses!D$3:D$999,SMALL(IF((Expenses!E$3:E$999="INR")*(Expenses!A$3:A$999=DATE(2026,5,12)),ROW(Expenses!A$3:A$999)-2),2)),0)+IFERROR(INDEX(Income!C$3:C$502,SMALL(IF((Income!D$3:D$502="INR")*(Income!A$3:A$502=DATE(2026,5,12)),ROW(Income!A$3:A$502)-2),2)),0)=0,"",IFERROR(-INDEX(Expenses!D$3:D$999,SMALL(IF((Expenses!E$3:E$999="INR")*(Expenses!A$3:A$999=DATE(2026,5,12)),ROW(Expenses!A$3:A$999)-2),2)),0)+IFERROR(INDEX(Income!C$3:C$502,SMALL(IF((Income!D$3:D$502="INR")*(Income!A$3:A$502=DATE(2026,5,12)),ROW(Income!A$3:A$502)-2),2)),0))</f>
        <v/>
      </c>
      <c r="F100" s="126">
        <f t="array" ref="F100">IF(IFERROR(INDEX(Expenses!B$3:B$999,SMALL(IF((Expenses!E$3:E$999="INR")*(Expenses!A$3:A$999=DATE(2026,5,12)),ROW(Expenses!A$3:A$999)-2),2)),"")&lt;&gt;"",IFERROR(INDEX(Expenses!B$3:B$999,SMALL(IF((Expenses!E$3:E$999="INR")*(Expenses!A$3:A$999=DATE(2026,5,12)),ROW(Expenses!A$3:A$999)-2),2)),""),IF(IFERROR(INDEX(Income!B$3:B$502,SMALL(IF((Income!D$3:D$502="INR")*(Income!A$3:A$502=DATE(2026,5,12)),ROW(Income!A$3:A$502)-2),2)),"")&lt;&gt;"",IFERROR(INDEX(Income!B$3:B$502,SMALL(IF((Income!D$3:D$502="INR")*(Income!A$3:A$502=DATE(2026,5,12)),ROW(Income!A$3:A$502)-2),2)),""),""))</f>
        <v/>
      </c>
      <c r="G100" s="153">
        <f t="array" ref="G100">IF(IFERROR(-INDEX(Expenses!D$3:D$999,SMALL(IF((Expenses!E$3:E$999="INR")*(Expenses!A$3:A$999=DATE(2026,5,13)),ROW(Expenses!A$3:A$999)-2),2)),0)+IFERROR(INDEX(Income!C$3:C$502,SMALL(IF((Income!D$3:D$502="INR")*(Income!A$3:A$502=DATE(2026,5,13)),ROW(Income!A$3:A$502)-2),2)),0)=0,"",IFERROR(-INDEX(Expenses!D$3:D$999,SMALL(IF((Expenses!E$3:E$999="INR")*(Expenses!A$3:A$999=DATE(2026,5,13)),ROW(Expenses!A$3:A$999)-2),2)),0)+IFERROR(INDEX(Income!C$3:C$502,SMALL(IF((Income!D$3:D$502="INR")*(Income!A$3:A$502=DATE(2026,5,13)),ROW(Income!A$3:A$502)-2),2)),0))</f>
        <v/>
      </c>
      <c r="H100" s="126">
        <f t="array" ref="H100">IF(IFERROR(INDEX(Expenses!B$3:B$999,SMALL(IF((Expenses!E$3:E$999="INR")*(Expenses!A$3:A$999=DATE(2026,5,13)),ROW(Expenses!A$3:A$999)-2),2)),"")&lt;&gt;"",IFERROR(INDEX(Expenses!B$3:B$999,SMALL(IF((Expenses!E$3:E$999="INR")*(Expenses!A$3:A$999=DATE(2026,5,13)),ROW(Expenses!A$3:A$999)-2),2)),""),IF(IFERROR(INDEX(Income!B$3:B$502,SMALL(IF((Income!D$3:D$502="INR")*(Income!A$3:A$502=DATE(2026,5,13)),ROW(Income!A$3:A$502)-2),2)),"")&lt;&gt;"",IFERROR(INDEX(Income!B$3:B$502,SMALL(IF((Income!D$3:D$502="INR")*(Income!A$3:A$502=DATE(2026,5,13)),ROW(Income!A$3:A$502)-2),2)),""),""))</f>
        <v/>
      </c>
      <c r="I100" s="153">
        <f t="array" ref="I100">IF(IFERROR(-INDEX(Expenses!D$3:D$999,SMALL(IF((Expenses!E$3:E$999="INR")*(Expenses!A$3:A$999=DATE(2026,5,14)),ROW(Expenses!A$3:A$999)-2),2)),0)+IFERROR(INDEX(Income!C$3:C$502,SMALL(IF((Income!D$3:D$502="INR")*(Income!A$3:A$502=DATE(2026,5,14)),ROW(Income!A$3:A$502)-2),2)),0)=0,"",IFERROR(-INDEX(Expenses!D$3:D$999,SMALL(IF((Expenses!E$3:E$999="INR")*(Expenses!A$3:A$999=DATE(2026,5,14)),ROW(Expenses!A$3:A$999)-2),2)),0)+IFERROR(INDEX(Income!C$3:C$502,SMALL(IF((Income!D$3:D$502="INR")*(Income!A$3:A$502=DATE(2026,5,14)),ROW(Income!A$3:A$502)-2),2)),0))</f>
        <v/>
      </c>
      <c r="J100" s="126">
        <f t="array" ref="J100">IF(IFERROR(INDEX(Expenses!B$3:B$999,SMALL(IF((Expenses!E$3:E$999="INR")*(Expenses!A$3:A$999=DATE(2026,5,14)),ROW(Expenses!A$3:A$999)-2),2)),"")&lt;&gt;"",IFERROR(INDEX(Expenses!B$3:B$999,SMALL(IF((Expenses!E$3:E$999="INR")*(Expenses!A$3:A$999=DATE(2026,5,14)),ROW(Expenses!A$3:A$999)-2),2)),""),IF(IFERROR(INDEX(Income!B$3:B$502,SMALL(IF((Income!D$3:D$502="INR")*(Income!A$3:A$502=DATE(2026,5,14)),ROW(Income!A$3:A$502)-2),2)),"")&lt;&gt;"",IFERROR(INDEX(Income!B$3:B$502,SMALL(IF((Income!D$3:D$502="INR")*(Income!A$3:A$502=DATE(2026,5,14)),ROW(Income!A$3:A$502)-2),2)),""),""))</f>
        <v/>
      </c>
      <c r="K100" s="153">
        <f t="array" ref="K100">IF(IFERROR(-INDEX(Expenses!D$3:D$999,SMALL(IF((Expenses!E$3:E$999="INR")*(Expenses!A$3:A$999=DATE(2026,5,15)),ROW(Expenses!A$3:A$999)-2),2)),0)+IFERROR(INDEX(Income!C$3:C$502,SMALL(IF((Income!D$3:D$502="INR")*(Income!A$3:A$502=DATE(2026,5,15)),ROW(Income!A$3:A$502)-2),2)),0)=0,"",IFERROR(-INDEX(Expenses!D$3:D$999,SMALL(IF((Expenses!E$3:E$999="INR")*(Expenses!A$3:A$999=DATE(2026,5,15)),ROW(Expenses!A$3:A$999)-2),2)),0)+IFERROR(INDEX(Income!C$3:C$502,SMALL(IF((Income!D$3:D$502="INR")*(Income!A$3:A$502=DATE(2026,5,15)),ROW(Income!A$3:A$502)-2),2)),0))</f>
        <v/>
      </c>
      <c r="L100" s="126">
        <f t="array" ref="L100">IF(IFERROR(INDEX(Expenses!B$3:B$999,SMALL(IF((Expenses!E$3:E$999="INR")*(Expenses!A$3:A$999=DATE(2026,5,15)),ROW(Expenses!A$3:A$999)-2),2)),"")&lt;&gt;"",IFERROR(INDEX(Expenses!B$3:B$999,SMALL(IF((Expenses!E$3:E$999="INR")*(Expenses!A$3:A$999=DATE(2026,5,15)),ROW(Expenses!A$3:A$999)-2),2)),""),IF(IFERROR(INDEX(Income!B$3:B$502,SMALL(IF((Income!D$3:D$502="INR")*(Income!A$3:A$502=DATE(2026,5,15)),ROW(Income!A$3:A$502)-2),2)),"")&lt;&gt;"",IFERROR(INDEX(Income!B$3:B$502,SMALL(IF((Income!D$3:D$502="INR")*(Income!A$3:A$502=DATE(2026,5,15)),ROW(Income!A$3:A$502)-2),2)),""),""))</f>
        <v/>
      </c>
      <c r="M100" s="153">
        <f t="array" ref="M100">IF(IFERROR(-INDEX(Expenses!D$3:D$999,SMALL(IF((Expenses!E$3:E$999="INR")*(Expenses!A$3:A$999=DATE(2026,5,16)),ROW(Expenses!A$3:A$999)-2),2)),0)+IFERROR(INDEX(Income!C$3:C$502,SMALL(IF((Income!D$3:D$502="INR")*(Income!A$3:A$502=DATE(2026,5,16)),ROW(Income!A$3:A$502)-2),2)),0)=0,"",IFERROR(-INDEX(Expenses!D$3:D$999,SMALL(IF((Expenses!E$3:E$999="INR")*(Expenses!A$3:A$999=DATE(2026,5,16)),ROW(Expenses!A$3:A$999)-2),2)),0)+IFERROR(INDEX(Income!C$3:C$502,SMALL(IF((Income!D$3:D$502="INR")*(Income!A$3:A$502=DATE(2026,5,16)),ROW(Income!A$3:A$502)-2),2)),0))</f>
        <v/>
      </c>
      <c r="N100" s="126">
        <f t="array" ref="N100">IF(IFERROR(INDEX(Expenses!B$3:B$999,SMALL(IF((Expenses!E$3:E$999="INR")*(Expenses!A$3:A$999=DATE(2026,5,16)),ROW(Expenses!A$3:A$999)-2),2)),"")&lt;&gt;"",IFERROR(INDEX(Expenses!B$3:B$999,SMALL(IF((Expenses!E$3:E$999="INR")*(Expenses!A$3:A$999=DATE(2026,5,16)),ROW(Expenses!A$3:A$999)-2),2)),""),IF(IFERROR(INDEX(Income!B$3:B$502,SMALL(IF((Income!D$3:D$502="INR")*(Income!A$3:A$502=DATE(2026,5,16)),ROW(Income!A$3:A$502)-2),2)),"")&lt;&gt;"",IFERROR(INDEX(Income!B$3:B$502,SMALL(IF((Income!D$3:D$502="INR")*(Income!A$3:A$502=DATE(2026,5,16)),ROW(Income!A$3:A$502)-2),2)),""),""))</f>
        <v/>
      </c>
      <c r="O100" s="153">
        <f t="array" ref="O100">IF(IFERROR(-INDEX(Expenses!D$3:D$999,SMALL(IF((Expenses!E$3:E$999="INR")*(Expenses!A$3:A$999=DATE(2026,5,17)),ROW(Expenses!A$3:A$999)-2),2)),0)+IFERROR(INDEX(Income!C$3:C$502,SMALL(IF((Income!D$3:D$502="INR")*(Income!A$3:A$502=DATE(2026,5,17)),ROW(Income!A$3:A$502)-2),2)),0)=0,"",IFERROR(-INDEX(Expenses!D$3:D$999,SMALL(IF((Expenses!E$3:E$999="INR")*(Expenses!A$3:A$999=DATE(2026,5,17)),ROW(Expenses!A$3:A$999)-2),2)),0)+IFERROR(INDEX(Income!C$3:C$502,SMALL(IF((Income!D$3:D$502="INR")*(Income!A$3:A$502=DATE(2026,5,17)),ROW(Income!A$3:A$502)-2),2)),0))</f>
        <v/>
      </c>
      <c r="P100" s="126">
        <f t="array" ref="P100">IF(IFERROR(INDEX(Expenses!B$3:B$999,SMALL(IF((Expenses!E$3:E$999="INR")*(Expenses!A$3:A$999=DATE(2026,5,17)),ROW(Expenses!A$3:A$999)-2),2)),"")&lt;&gt;"",IFERROR(INDEX(Expenses!B$3:B$999,SMALL(IF((Expenses!E$3:E$999="INR")*(Expenses!A$3:A$999=DATE(2026,5,17)),ROW(Expenses!A$3:A$999)-2),2)),""),IF(IFERROR(INDEX(Income!B$3:B$502,SMALL(IF((Income!D$3:D$502="INR")*(Income!A$3:A$502=DATE(2026,5,17)),ROW(Income!A$3:A$502)-2),2)),"")&lt;&gt;"",IFERROR(INDEX(Income!B$3:B$502,SMALL(IF((Income!D$3:D$502="INR")*(Income!A$3:A$502=DATE(2026,5,17)),ROW(Income!A$3:A$502)-2),2)),""),""))</f>
        <v/>
      </c>
      <c r="Q100" s="9" t="n"/>
      <c r="R100" s="9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68">
      <c r="A101" s="9" t="n"/>
      <c r="B101" s="9" t="n"/>
      <c r="C101" s="153">
        <f t="array" ref="C101">IF(IFERROR(-INDEX(Expenses!D$3:D$999,SMALL(IF((Expenses!E$3:E$999="INR")*(Expenses!A$3:A$999=DATE(2026,5,11)),ROW(Expenses!A$3:A$999)-2),3)),0)+IFERROR(INDEX(Income!C$3:C$502,SMALL(IF((Income!D$3:D$502="INR")*(Income!A$3:A$502=DATE(2026,5,11)),ROW(Income!A$3:A$502)-2),3)),0)=0,"",IFERROR(-INDEX(Expenses!D$3:D$999,SMALL(IF((Expenses!E$3:E$999="INR")*(Expenses!A$3:A$999=DATE(2026,5,11)),ROW(Expenses!A$3:A$999)-2),3)),0)+IFERROR(INDEX(Income!C$3:C$502,SMALL(IF((Income!D$3:D$502="INR")*(Income!A$3:A$502=DATE(2026,5,11)),ROW(Income!A$3:A$502)-2),3)),0))</f>
        <v/>
      </c>
      <c r="D101" s="126">
        <f t="array" ref="D101">IF(IFERROR(INDEX(Expenses!B$3:B$999,SMALL(IF((Expenses!E$3:E$999="INR")*(Expenses!A$3:A$999=DATE(2026,5,11)),ROW(Expenses!A$3:A$999)-2),3)),"")&lt;&gt;"",IFERROR(INDEX(Expenses!B$3:B$999,SMALL(IF((Expenses!E$3:E$999="INR")*(Expenses!A$3:A$999=DATE(2026,5,11)),ROW(Expenses!A$3:A$999)-2),3)),""),IF(IFERROR(INDEX(Income!B$3:B$502,SMALL(IF((Income!D$3:D$502="INR")*(Income!A$3:A$502=DATE(2026,5,11)),ROW(Income!A$3:A$502)-2),3)),"")&lt;&gt;"",IFERROR(INDEX(Income!B$3:B$502,SMALL(IF((Income!D$3:D$502="INR")*(Income!A$3:A$502=DATE(2026,5,11)),ROW(Income!A$3:A$502)-2),3)),""),""))</f>
        <v/>
      </c>
      <c r="E101" s="153">
        <f t="array" ref="E101">IF(IFERROR(-INDEX(Expenses!D$3:D$999,SMALL(IF((Expenses!E$3:E$999="INR")*(Expenses!A$3:A$999=DATE(2026,5,12)),ROW(Expenses!A$3:A$999)-2),3)),0)+IFERROR(INDEX(Income!C$3:C$502,SMALL(IF((Income!D$3:D$502="INR")*(Income!A$3:A$502=DATE(2026,5,12)),ROW(Income!A$3:A$502)-2),3)),0)=0,"",IFERROR(-INDEX(Expenses!D$3:D$999,SMALL(IF((Expenses!E$3:E$999="INR")*(Expenses!A$3:A$999=DATE(2026,5,12)),ROW(Expenses!A$3:A$999)-2),3)),0)+IFERROR(INDEX(Income!C$3:C$502,SMALL(IF((Income!D$3:D$502="INR")*(Income!A$3:A$502=DATE(2026,5,12)),ROW(Income!A$3:A$502)-2),3)),0))</f>
        <v/>
      </c>
      <c r="F101" s="126">
        <f t="array" ref="F101">IF(IFERROR(INDEX(Expenses!B$3:B$999,SMALL(IF((Expenses!E$3:E$999="INR")*(Expenses!A$3:A$999=DATE(2026,5,12)),ROW(Expenses!A$3:A$999)-2),3)),"")&lt;&gt;"",IFERROR(INDEX(Expenses!B$3:B$999,SMALL(IF((Expenses!E$3:E$999="INR")*(Expenses!A$3:A$999=DATE(2026,5,12)),ROW(Expenses!A$3:A$999)-2),3)),""),IF(IFERROR(INDEX(Income!B$3:B$502,SMALL(IF((Income!D$3:D$502="INR")*(Income!A$3:A$502=DATE(2026,5,12)),ROW(Income!A$3:A$502)-2),3)),"")&lt;&gt;"",IFERROR(INDEX(Income!B$3:B$502,SMALL(IF((Income!D$3:D$502="INR")*(Income!A$3:A$502=DATE(2026,5,12)),ROW(Income!A$3:A$502)-2),3)),""),""))</f>
        <v/>
      </c>
      <c r="G101" s="153">
        <f t="array" ref="G101">IF(IFERROR(-INDEX(Expenses!D$3:D$999,SMALL(IF((Expenses!E$3:E$999="INR")*(Expenses!A$3:A$999=DATE(2026,5,13)),ROW(Expenses!A$3:A$999)-2),3)),0)+IFERROR(INDEX(Income!C$3:C$502,SMALL(IF((Income!D$3:D$502="INR")*(Income!A$3:A$502=DATE(2026,5,13)),ROW(Income!A$3:A$502)-2),3)),0)=0,"",IFERROR(-INDEX(Expenses!D$3:D$999,SMALL(IF((Expenses!E$3:E$999="INR")*(Expenses!A$3:A$999=DATE(2026,5,13)),ROW(Expenses!A$3:A$999)-2),3)),0)+IFERROR(INDEX(Income!C$3:C$502,SMALL(IF((Income!D$3:D$502="INR")*(Income!A$3:A$502=DATE(2026,5,13)),ROW(Income!A$3:A$502)-2),3)),0))</f>
        <v/>
      </c>
      <c r="H101" s="126">
        <f t="array" ref="H101">IF(IFERROR(INDEX(Expenses!B$3:B$999,SMALL(IF((Expenses!E$3:E$999="INR")*(Expenses!A$3:A$999=DATE(2026,5,13)),ROW(Expenses!A$3:A$999)-2),3)),"")&lt;&gt;"",IFERROR(INDEX(Expenses!B$3:B$999,SMALL(IF((Expenses!E$3:E$999="INR")*(Expenses!A$3:A$999=DATE(2026,5,13)),ROW(Expenses!A$3:A$999)-2),3)),""),IF(IFERROR(INDEX(Income!B$3:B$502,SMALL(IF((Income!D$3:D$502="INR")*(Income!A$3:A$502=DATE(2026,5,13)),ROW(Income!A$3:A$502)-2),3)),"")&lt;&gt;"",IFERROR(INDEX(Income!B$3:B$502,SMALL(IF((Income!D$3:D$502="INR")*(Income!A$3:A$502=DATE(2026,5,13)),ROW(Income!A$3:A$502)-2),3)),""),""))</f>
        <v/>
      </c>
      <c r="I101" s="153">
        <f t="array" ref="I101">IF(IFERROR(-INDEX(Expenses!D$3:D$999,SMALL(IF((Expenses!E$3:E$999="INR")*(Expenses!A$3:A$999=DATE(2026,5,14)),ROW(Expenses!A$3:A$999)-2),3)),0)+IFERROR(INDEX(Income!C$3:C$502,SMALL(IF((Income!D$3:D$502="INR")*(Income!A$3:A$502=DATE(2026,5,14)),ROW(Income!A$3:A$502)-2),3)),0)=0,"",IFERROR(-INDEX(Expenses!D$3:D$999,SMALL(IF((Expenses!E$3:E$999="INR")*(Expenses!A$3:A$999=DATE(2026,5,14)),ROW(Expenses!A$3:A$999)-2),3)),0)+IFERROR(INDEX(Income!C$3:C$502,SMALL(IF((Income!D$3:D$502="INR")*(Income!A$3:A$502=DATE(2026,5,14)),ROW(Income!A$3:A$502)-2),3)),0))</f>
        <v/>
      </c>
      <c r="J101" s="126">
        <f t="array" ref="J101">IF(IFERROR(INDEX(Expenses!B$3:B$999,SMALL(IF((Expenses!E$3:E$999="INR")*(Expenses!A$3:A$999=DATE(2026,5,14)),ROW(Expenses!A$3:A$999)-2),3)),"")&lt;&gt;"",IFERROR(INDEX(Expenses!B$3:B$999,SMALL(IF((Expenses!E$3:E$999="INR")*(Expenses!A$3:A$999=DATE(2026,5,14)),ROW(Expenses!A$3:A$999)-2),3)),""),IF(IFERROR(INDEX(Income!B$3:B$502,SMALL(IF((Income!D$3:D$502="INR")*(Income!A$3:A$502=DATE(2026,5,14)),ROW(Income!A$3:A$502)-2),3)),"")&lt;&gt;"",IFERROR(INDEX(Income!B$3:B$502,SMALL(IF((Income!D$3:D$502="INR")*(Income!A$3:A$502=DATE(2026,5,14)),ROW(Income!A$3:A$502)-2),3)),""),""))</f>
        <v/>
      </c>
      <c r="K101" s="153">
        <f t="array" ref="K101">IF(IFERROR(-INDEX(Expenses!D$3:D$999,SMALL(IF((Expenses!E$3:E$999="INR")*(Expenses!A$3:A$999=DATE(2026,5,15)),ROW(Expenses!A$3:A$999)-2),3)),0)+IFERROR(INDEX(Income!C$3:C$502,SMALL(IF((Income!D$3:D$502="INR")*(Income!A$3:A$502=DATE(2026,5,15)),ROW(Income!A$3:A$502)-2),3)),0)=0,"",IFERROR(-INDEX(Expenses!D$3:D$999,SMALL(IF((Expenses!E$3:E$999="INR")*(Expenses!A$3:A$999=DATE(2026,5,15)),ROW(Expenses!A$3:A$999)-2),3)),0)+IFERROR(INDEX(Income!C$3:C$502,SMALL(IF((Income!D$3:D$502="INR")*(Income!A$3:A$502=DATE(2026,5,15)),ROW(Income!A$3:A$502)-2),3)),0))</f>
        <v/>
      </c>
      <c r="L101" s="126">
        <f t="array" ref="L101">IF(IFERROR(INDEX(Expenses!B$3:B$999,SMALL(IF((Expenses!E$3:E$999="INR")*(Expenses!A$3:A$999=DATE(2026,5,15)),ROW(Expenses!A$3:A$999)-2),3)),"")&lt;&gt;"",IFERROR(INDEX(Expenses!B$3:B$999,SMALL(IF((Expenses!E$3:E$999="INR")*(Expenses!A$3:A$999=DATE(2026,5,15)),ROW(Expenses!A$3:A$999)-2),3)),""),IF(IFERROR(INDEX(Income!B$3:B$502,SMALL(IF((Income!D$3:D$502="INR")*(Income!A$3:A$502=DATE(2026,5,15)),ROW(Income!A$3:A$502)-2),3)),"")&lt;&gt;"",IFERROR(INDEX(Income!B$3:B$502,SMALL(IF((Income!D$3:D$502="INR")*(Income!A$3:A$502=DATE(2026,5,15)),ROW(Income!A$3:A$502)-2),3)),""),""))</f>
        <v/>
      </c>
      <c r="M101" s="153">
        <f t="array" ref="M101">IF(IFERROR(-INDEX(Expenses!D$3:D$999,SMALL(IF((Expenses!E$3:E$999="INR")*(Expenses!A$3:A$999=DATE(2026,5,16)),ROW(Expenses!A$3:A$999)-2),3)),0)+IFERROR(INDEX(Income!C$3:C$502,SMALL(IF((Income!D$3:D$502="INR")*(Income!A$3:A$502=DATE(2026,5,16)),ROW(Income!A$3:A$502)-2),3)),0)=0,"",IFERROR(-INDEX(Expenses!D$3:D$999,SMALL(IF((Expenses!E$3:E$999="INR")*(Expenses!A$3:A$999=DATE(2026,5,16)),ROW(Expenses!A$3:A$999)-2),3)),0)+IFERROR(INDEX(Income!C$3:C$502,SMALL(IF((Income!D$3:D$502="INR")*(Income!A$3:A$502=DATE(2026,5,16)),ROW(Income!A$3:A$502)-2),3)),0))</f>
        <v/>
      </c>
      <c r="N101" s="126">
        <f t="array" ref="N101">IF(IFERROR(INDEX(Expenses!B$3:B$999,SMALL(IF((Expenses!E$3:E$999="INR")*(Expenses!A$3:A$999=DATE(2026,5,16)),ROW(Expenses!A$3:A$999)-2),3)),"")&lt;&gt;"",IFERROR(INDEX(Expenses!B$3:B$999,SMALL(IF((Expenses!E$3:E$999="INR")*(Expenses!A$3:A$999=DATE(2026,5,16)),ROW(Expenses!A$3:A$999)-2),3)),""),IF(IFERROR(INDEX(Income!B$3:B$502,SMALL(IF((Income!D$3:D$502="INR")*(Income!A$3:A$502=DATE(2026,5,16)),ROW(Income!A$3:A$502)-2),3)),"")&lt;&gt;"",IFERROR(INDEX(Income!B$3:B$502,SMALL(IF((Income!D$3:D$502="INR")*(Income!A$3:A$502=DATE(2026,5,16)),ROW(Income!A$3:A$502)-2),3)),""),""))</f>
        <v/>
      </c>
      <c r="O101" s="153">
        <f t="array" ref="O101">IF(IFERROR(-INDEX(Expenses!D$3:D$999,SMALL(IF((Expenses!E$3:E$999="INR")*(Expenses!A$3:A$999=DATE(2026,5,17)),ROW(Expenses!A$3:A$999)-2),3)),0)+IFERROR(INDEX(Income!C$3:C$502,SMALL(IF((Income!D$3:D$502="INR")*(Income!A$3:A$502=DATE(2026,5,17)),ROW(Income!A$3:A$502)-2),3)),0)=0,"",IFERROR(-INDEX(Expenses!D$3:D$999,SMALL(IF((Expenses!E$3:E$999="INR")*(Expenses!A$3:A$999=DATE(2026,5,17)),ROW(Expenses!A$3:A$999)-2),3)),0)+IFERROR(INDEX(Income!C$3:C$502,SMALL(IF((Income!D$3:D$502="INR")*(Income!A$3:A$502=DATE(2026,5,17)),ROW(Income!A$3:A$502)-2),3)),0))</f>
        <v/>
      </c>
      <c r="P101" s="126">
        <f t="array" ref="P101">IF(IFERROR(INDEX(Expenses!B$3:B$999,SMALL(IF((Expenses!E$3:E$999="INR")*(Expenses!A$3:A$999=DATE(2026,5,17)),ROW(Expenses!A$3:A$999)-2),3)),"")&lt;&gt;"",IFERROR(INDEX(Expenses!B$3:B$999,SMALL(IF((Expenses!E$3:E$999="INR")*(Expenses!A$3:A$999=DATE(2026,5,17)),ROW(Expenses!A$3:A$999)-2),3)),""),IF(IFERROR(INDEX(Income!B$3:B$502,SMALL(IF((Income!D$3:D$502="INR")*(Income!A$3:A$502=DATE(2026,5,17)),ROW(Income!A$3:A$502)-2),3)),"")&lt;&gt;"",IFERROR(INDEX(Income!B$3:B$502,SMALL(IF((Income!D$3:D$502="INR")*(Income!A$3:A$502=DATE(2026,5,17)),ROW(Income!A$3:A$502)-2),3)),""),""))</f>
        <v/>
      </c>
      <c r="Q101" s="9" t="n"/>
      <c r="R101" s="9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68">
      <c r="A102" s="9" t="n"/>
      <c r="B102" s="9" t="n"/>
      <c r="C102" s="153">
        <f t="array" ref="C102">IF(IFERROR(-INDEX(Expenses!D$3:D$999,SMALL(IF((Expenses!E$3:E$999="INR")*(Expenses!A$3:A$999=DATE(2026,5,11)),ROW(Expenses!A$3:A$999)-2),4)),0)+IFERROR(INDEX(Income!C$3:C$502,SMALL(IF((Income!D$3:D$502="INR")*(Income!A$3:A$502=DATE(2026,5,11)),ROW(Income!A$3:A$502)-2),4)),0)=0,"",IFERROR(-INDEX(Expenses!D$3:D$999,SMALL(IF((Expenses!E$3:E$999="INR")*(Expenses!A$3:A$999=DATE(2026,5,11)),ROW(Expenses!A$3:A$999)-2),4)),0)+IFERROR(INDEX(Income!C$3:C$502,SMALL(IF((Income!D$3:D$502="INR")*(Income!A$3:A$502=DATE(2026,5,11)),ROW(Income!A$3:A$502)-2),4)),0))</f>
        <v/>
      </c>
      <c r="D102" s="126">
        <f t="array" ref="D102">IF(IFERROR(INDEX(Expenses!B$3:B$999,SMALL(IF((Expenses!E$3:E$999="INR")*(Expenses!A$3:A$999=DATE(2026,5,11)),ROW(Expenses!A$3:A$999)-2),4)),"")&lt;&gt;"",IFERROR(INDEX(Expenses!B$3:B$999,SMALL(IF((Expenses!E$3:E$999="INR")*(Expenses!A$3:A$999=DATE(2026,5,11)),ROW(Expenses!A$3:A$999)-2),4)),""),IF(IFERROR(INDEX(Income!B$3:B$502,SMALL(IF((Income!D$3:D$502="INR")*(Income!A$3:A$502=DATE(2026,5,11)),ROW(Income!A$3:A$502)-2),4)),"")&lt;&gt;"",IFERROR(INDEX(Income!B$3:B$502,SMALL(IF((Income!D$3:D$502="INR")*(Income!A$3:A$502=DATE(2026,5,11)),ROW(Income!A$3:A$502)-2),4)),""),""))</f>
        <v/>
      </c>
      <c r="E102" s="153">
        <f t="array" ref="E102">IF(IFERROR(-INDEX(Expenses!D$3:D$999,SMALL(IF((Expenses!E$3:E$999="INR")*(Expenses!A$3:A$999=DATE(2026,5,12)),ROW(Expenses!A$3:A$999)-2),4)),0)+IFERROR(INDEX(Income!C$3:C$502,SMALL(IF((Income!D$3:D$502="INR")*(Income!A$3:A$502=DATE(2026,5,12)),ROW(Income!A$3:A$502)-2),4)),0)=0,"",IFERROR(-INDEX(Expenses!D$3:D$999,SMALL(IF((Expenses!E$3:E$999="INR")*(Expenses!A$3:A$999=DATE(2026,5,12)),ROW(Expenses!A$3:A$999)-2),4)),0)+IFERROR(INDEX(Income!C$3:C$502,SMALL(IF((Income!D$3:D$502="INR")*(Income!A$3:A$502=DATE(2026,5,12)),ROW(Income!A$3:A$502)-2),4)),0))</f>
        <v/>
      </c>
      <c r="F102" s="126">
        <f t="array" ref="F102">IF(IFERROR(INDEX(Expenses!B$3:B$999,SMALL(IF((Expenses!E$3:E$999="INR")*(Expenses!A$3:A$999=DATE(2026,5,12)),ROW(Expenses!A$3:A$999)-2),4)),"")&lt;&gt;"",IFERROR(INDEX(Expenses!B$3:B$999,SMALL(IF((Expenses!E$3:E$999="INR")*(Expenses!A$3:A$999=DATE(2026,5,12)),ROW(Expenses!A$3:A$999)-2),4)),""),IF(IFERROR(INDEX(Income!B$3:B$502,SMALL(IF((Income!D$3:D$502="INR")*(Income!A$3:A$502=DATE(2026,5,12)),ROW(Income!A$3:A$502)-2),4)),"")&lt;&gt;"",IFERROR(INDEX(Income!B$3:B$502,SMALL(IF((Income!D$3:D$502="INR")*(Income!A$3:A$502=DATE(2026,5,12)),ROW(Income!A$3:A$502)-2),4)),""),""))</f>
        <v/>
      </c>
      <c r="G102" s="153">
        <f t="array" ref="G102">IF(IFERROR(-INDEX(Expenses!D$3:D$999,SMALL(IF((Expenses!E$3:E$999="INR")*(Expenses!A$3:A$999=DATE(2026,5,13)),ROW(Expenses!A$3:A$999)-2),4)),0)+IFERROR(INDEX(Income!C$3:C$502,SMALL(IF((Income!D$3:D$502="INR")*(Income!A$3:A$502=DATE(2026,5,13)),ROW(Income!A$3:A$502)-2),4)),0)=0,"",IFERROR(-INDEX(Expenses!D$3:D$999,SMALL(IF((Expenses!E$3:E$999="INR")*(Expenses!A$3:A$999=DATE(2026,5,13)),ROW(Expenses!A$3:A$999)-2),4)),0)+IFERROR(INDEX(Income!C$3:C$502,SMALL(IF((Income!D$3:D$502="INR")*(Income!A$3:A$502=DATE(2026,5,13)),ROW(Income!A$3:A$502)-2),4)),0))</f>
        <v/>
      </c>
      <c r="H102" s="126">
        <f t="array" ref="H102">IF(IFERROR(INDEX(Expenses!B$3:B$999,SMALL(IF((Expenses!E$3:E$999="INR")*(Expenses!A$3:A$999=DATE(2026,5,13)),ROW(Expenses!A$3:A$999)-2),4)),"")&lt;&gt;"",IFERROR(INDEX(Expenses!B$3:B$999,SMALL(IF((Expenses!E$3:E$999="INR")*(Expenses!A$3:A$999=DATE(2026,5,13)),ROW(Expenses!A$3:A$999)-2),4)),""),IF(IFERROR(INDEX(Income!B$3:B$502,SMALL(IF((Income!D$3:D$502="INR")*(Income!A$3:A$502=DATE(2026,5,13)),ROW(Income!A$3:A$502)-2),4)),"")&lt;&gt;"",IFERROR(INDEX(Income!B$3:B$502,SMALL(IF((Income!D$3:D$502="INR")*(Income!A$3:A$502=DATE(2026,5,13)),ROW(Income!A$3:A$502)-2),4)),""),""))</f>
        <v/>
      </c>
      <c r="I102" s="153">
        <f t="array" ref="I102">IF(IFERROR(-INDEX(Expenses!D$3:D$999,SMALL(IF((Expenses!E$3:E$999="INR")*(Expenses!A$3:A$999=DATE(2026,5,14)),ROW(Expenses!A$3:A$999)-2),4)),0)+IFERROR(INDEX(Income!C$3:C$502,SMALL(IF((Income!D$3:D$502="INR")*(Income!A$3:A$502=DATE(2026,5,14)),ROW(Income!A$3:A$502)-2),4)),0)=0,"",IFERROR(-INDEX(Expenses!D$3:D$999,SMALL(IF((Expenses!E$3:E$999="INR")*(Expenses!A$3:A$999=DATE(2026,5,14)),ROW(Expenses!A$3:A$999)-2),4)),0)+IFERROR(INDEX(Income!C$3:C$502,SMALL(IF((Income!D$3:D$502="INR")*(Income!A$3:A$502=DATE(2026,5,14)),ROW(Income!A$3:A$502)-2),4)),0))</f>
        <v/>
      </c>
      <c r="J102" s="126">
        <f t="array" ref="J102">IF(IFERROR(INDEX(Expenses!B$3:B$999,SMALL(IF((Expenses!E$3:E$999="INR")*(Expenses!A$3:A$999=DATE(2026,5,14)),ROW(Expenses!A$3:A$999)-2),4)),"")&lt;&gt;"",IFERROR(INDEX(Expenses!B$3:B$999,SMALL(IF((Expenses!E$3:E$999="INR")*(Expenses!A$3:A$999=DATE(2026,5,14)),ROW(Expenses!A$3:A$999)-2),4)),""),IF(IFERROR(INDEX(Income!B$3:B$502,SMALL(IF((Income!D$3:D$502="INR")*(Income!A$3:A$502=DATE(2026,5,14)),ROW(Income!A$3:A$502)-2),4)),"")&lt;&gt;"",IFERROR(INDEX(Income!B$3:B$502,SMALL(IF((Income!D$3:D$502="INR")*(Income!A$3:A$502=DATE(2026,5,14)),ROW(Income!A$3:A$502)-2),4)),""),""))</f>
        <v/>
      </c>
      <c r="K102" s="153">
        <f t="array" ref="K102">IF(IFERROR(-INDEX(Expenses!D$3:D$999,SMALL(IF((Expenses!E$3:E$999="INR")*(Expenses!A$3:A$999=DATE(2026,5,15)),ROW(Expenses!A$3:A$999)-2),4)),0)+IFERROR(INDEX(Income!C$3:C$502,SMALL(IF((Income!D$3:D$502="INR")*(Income!A$3:A$502=DATE(2026,5,15)),ROW(Income!A$3:A$502)-2),4)),0)=0,"",IFERROR(-INDEX(Expenses!D$3:D$999,SMALL(IF((Expenses!E$3:E$999="INR")*(Expenses!A$3:A$999=DATE(2026,5,15)),ROW(Expenses!A$3:A$999)-2),4)),0)+IFERROR(INDEX(Income!C$3:C$502,SMALL(IF((Income!D$3:D$502="INR")*(Income!A$3:A$502=DATE(2026,5,15)),ROW(Income!A$3:A$502)-2),4)),0))</f>
        <v/>
      </c>
      <c r="L102" s="126">
        <f t="array" ref="L102">IF(IFERROR(INDEX(Expenses!B$3:B$999,SMALL(IF((Expenses!E$3:E$999="INR")*(Expenses!A$3:A$999=DATE(2026,5,15)),ROW(Expenses!A$3:A$999)-2),4)),"")&lt;&gt;"",IFERROR(INDEX(Expenses!B$3:B$999,SMALL(IF((Expenses!E$3:E$999="INR")*(Expenses!A$3:A$999=DATE(2026,5,15)),ROW(Expenses!A$3:A$999)-2),4)),""),IF(IFERROR(INDEX(Income!B$3:B$502,SMALL(IF((Income!D$3:D$502="INR")*(Income!A$3:A$502=DATE(2026,5,15)),ROW(Income!A$3:A$502)-2),4)),"")&lt;&gt;"",IFERROR(INDEX(Income!B$3:B$502,SMALL(IF((Income!D$3:D$502="INR")*(Income!A$3:A$502=DATE(2026,5,15)),ROW(Income!A$3:A$502)-2),4)),""),""))</f>
        <v/>
      </c>
      <c r="M102" s="153">
        <f t="array" ref="M102">IF(IFERROR(-INDEX(Expenses!D$3:D$999,SMALL(IF((Expenses!E$3:E$999="INR")*(Expenses!A$3:A$999=DATE(2026,5,16)),ROW(Expenses!A$3:A$999)-2),4)),0)+IFERROR(INDEX(Income!C$3:C$502,SMALL(IF((Income!D$3:D$502="INR")*(Income!A$3:A$502=DATE(2026,5,16)),ROW(Income!A$3:A$502)-2),4)),0)=0,"",IFERROR(-INDEX(Expenses!D$3:D$999,SMALL(IF((Expenses!E$3:E$999="INR")*(Expenses!A$3:A$999=DATE(2026,5,16)),ROW(Expenses!A$3:A$999)-2),4)),0)+IFERROR(INDEX(Income!C$3:C$502,SMALL(IF((Income!D$3:D$502="INR")*(Income!A$3:A$502=DATE(2026,5,16)),ROW(Income!A$3:A$502)-2),4)),0))</f>
        <v/>
      </c>
      <c r="N102" s="126">
        <f t="array" ref="N102">IF(IFERROR(INDEX(Expenses!B$3:B$999,SMALL(IF((Expenses!E$3:E$999="INR")*(Expenses!A$3:A$999=DATE(2026,5,16)),ROW(Expenses!A$3:A$999)-2),4)),"")&lt;&gt;"",IFERROR(INDEX(Expenses!B$3:B$999,SMALL(IF((Expenses!E$3:E$999="INR")*(Expenses!A$3:A$999=DATE(2026,5,16)),ROW(Expenses!A$3:A$999)-2),4)),""),IF(IFERROR(INDEX(Income!B$3:B$502,SMALL(IF((Income!D$3:D$502="INR")*(Income!A$3:A$502=DATE(2026,5,16)),ROW(Income!A$3:A$502)-2),4)),"")&lt;&gt;"",IFERROR(INDEX(Income!B$3:B$502,SMALL(IF((Income!D$3:D$502="INR")*(Income!A$3:A$502=DATE(2026,5,16)),ROW(Income!A$3:A$502)-2),4)),""),""))</f>
        <v/>
      </c>
      <c r="O102" s="153">
        <f t="array" ref="O102">IF(IFERROR(-INDEX(Expenses!D$3:D$999,SMALL(IF((Expenses!E$3:E$999="INR")*(Expenses!A$3:A$999=DATE(2026,5,17)),ROW(Expenses!A$3:A$999)-2),4)),0)+IFERROR(INDEX(Income!C$3:C$502,SMALL(IF((Income!D$3:D$502="INR")*(Income!A$3:A$502=DATE(2026,5,17)),ROW(Income!A$3:A$502)-2),4)),0)=0,"",IFERROR(-INDEX(Expenses!D$3:D$999,SMALL(IF((Expenses!E$3:E$999="INR")*(Expenses!A$3:A$999=DATE(2026,5,17)),ROW(Expenses!A$3:A$999)-2),4)),0)+IFERROR(INDEX(Income!C$3:C$502,SMALL(IF((Income!D$3:D$502="INR")*(Income!A$3:A$502=DATE(2026,5,17)),ROW(Income!A$3:A$502)-2),4)),0))</f>
        <v/>
      </c>
      <c r="P102" s="126">
        <f t="array" ref="P102">IF(IFERROR(INDEX(Expenses!B$3:B$999,SMALL(IF((Expenses!E$3:E$999="INR")*(Expenses!A$3:A$999=DATE(2026,5,17)),ROW(Expenses!A$3:A$999)-2),4)),"")&lt;&gt;"",IFERROR(INDEX(Expenses!B$3:B$999,SMALL(IF((Expenses!E$3:E$999="INR")*(Expenses!A$3:A$999=DATE(2026,5,17)),ROW(Expenses!A$3:A$999)-2),4)),""),IF(IFERROR(INDEX(Income!B$3:B$502,SMALL(IF((Income!D$3:D$502="INR")*(Income!A$3:A$502=DATE(2026,5,17)),ROW(Income!A$3:A$502)-2),4)),"")&lt;&gt;"",IFERROR(INDEX(Income!B$3:B$502,SMALL(IF((Income!D$3:D$502="INR")*(Income!A$3:A$502=DATE(2026,5,17)),ROW(Income!A$3:A$502)-2),4)),""),""))</f>
        <v/>
      </c>
      <c r="Q102" s="9" t="n"/>
      <c r="R102" s="9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68">
      <c r="A103" s="9" t="n"/>
      <c r="B103" s="9" t="n"/>
      <c r="C103" s="153">
        <f t="array" ref="C103">IF(IFERROR(-INDEX(Expenses!D$3:D$999,SMALL(IF((Expenses!E$3:E$999="INR")*(Expenses!A$3:A$999=DATE(2026,5,11)),ROW(Expenses!A$3:A$999)-2),5)),0)+IFERROR(INDEX(Income!C$3:C$502,SMALL(IF((Income!D$3:D$502="INR")*(Income!A$3:A$502=DATE(2026,5,11)),ROW(Income!A$3:A$502)-2),5)),0)=0,"",IFERROR(-INDEX(Expenses!D$3:D$999,SMALL(IF((Expenses!E$3:E$999="INR")*(Expenses!A$3:A$999=DATE(2026,5,11)),ROW(Expenses!A$3:A$999)-2),5)),0)+IFERROR(INDEX(Income!C$3:C$502,SMALL(IF((Income!D$3:D$502="INR")*(Income!A$3:A$502=DATE(2026,5,11)),ROW(Income!A$3:A$502)-2),5)),0))</f>
        <v/>
      </c>
      <c r="D103" s="126">
        <f t="array" ref="D103">IF(IFERROR(INDEX(Expenses!B$3:B$999,SMALL(IF((Expenses!E$3:E$999="INR")*(Expenses!A$3:A$999=DATE(2026,5,11)),ROW(Expenses!A$3:A$999)-2),5)),"")&lt;&gt;"",IFERROR(INDEX(Expenses!B$3:B$999,SMALL(IF((Expenses!E$3:E$999="INR")*(Expenses!A$3:A$999=DATE(2026,5,11)),ROW(Expenses!A$3:A$999)-2),5)),""),IF(IFERROR(INDEX(Income!B$3:B$502,SMALL(IF((Income!D$3:D$502="INR")*(Income!A$3:A$502=DATE(2026,5,11)),ROW(Income!A$3:A$502)-2),5)),"")&lt;&gt;"",IFERROR(INDEX(Income!B$3:B$502,SMALL(IF((Income!D$3:D$502="INR")*(Income!A$3:A$502=DATE(2026,5,11)),ROW(Income!A$3:A$502)-2),5)),""),""))</f>
        <v/>
      </c>
      <c r="E103" s="153">
        <f t="array" ref="E103">IF(IFERROR(-INDEX(Expenses!D$3:D$999,SMALL(IF((Expenses!E$3:E$999="INR")*(Expenses!A$3:A$999=DATE(2026,5,12)),ROW(Expenses!A$3:A$999)-2),5)),0)+IFERROR(INDEX(Income!C$3:C$502,SMALL(IF((Income!D$3:D$502="INR")*(Income!A$3:A$502=DATE(2026,5,12)),ROW(Income!A$3:A$502)-2),5)),0)=0,"",IFERROR(-INDEX(Expenses!D$3:D$999,SMALL(IF((Expenses!E$3:E$999="INR")*(Expenses!A$3:A$999=DATE(2026,5,12)),ROW(Expenses!A$3:A$999)-2),5)),0)+IFERROR(INDEX(Income!C$3:C$502,SMALL(IF((Income!D$3:D$502="INR")*(Income!A$3:A$502=DATE(2026,5,12)),ROW(Income!A$3:A$502)-2),5)),0))</f>
        <v/>
      </c>
      <c r="F103" s="126">
        <f t="array" ref="F103">IF(IFERROR(INDEX(Expenses!B$3:B$999,SMALL(IF((Expenses!E$3:E$999="INR")*(Expenses!A$3:A$999=DATE(2026,5,12)),ROW(Expenses!A$3:A$999)-2),5)),"")&lt;&gt;"",IFERROR(INDEX(Expenses!B$3:B$999,SMALL(IF((Expenses!E$3:E$999="INR")*(Expenses!A$3:A$999=DATE(2026,5,12)),ROW(Expenses!A$3:A$999)-2),5)),""),IF(IFERROR(INDEX(Income!B$3:B$502,SMALL(IF((Income!D$3:D$502="INR")*(Income!A$3:A$502=DATE(2026,5,12)),ROW(Income!A$3:A$502)-2),5)),"")&lt;&gt;"",IFERROR(INDEX(Income!B$3:B$502,SMALL(IF((Income!D$3:D$502="INR")*(Income!A$3:A$502=DATE(2026,5,12)),ROW(Income!A$3:A$502)-2),5)),""),""))</f>
        <v/>
      </c>
      <c r="G103" s="153">
        <f t="array" ref="G103">IF(IFERROR(-INDEX(Expenses!D$3:D$999,SMALL(IF((Expenses!E$3:E$999="INR")*(Expenses!A$3:A$999=DATE(2026,5,13)),ROW(Expenses!A$3:A$999)-2),5)),0)+IFERROR(INDEX(Income!C$3:C$502,SMALL(IF((Income!D$3:D$502="INR")*(Income!A$3:A$502=DATE(2026,5,13)),ROW(Income!A$3:A$502)-2),5)),0)=0,"",IFERROR(-INDEX(Expenses!D$3:D$999,SMALL(IF((Expenses!E$3:E$999="INR")*(Expenses!A$3:A$999=DATE(2026,5,13)),ROW(Expenses!A$3:A$999)-2),5)),0)+IFERROR(INDEX(Income!C$3:C$502,SMALL(IF((Income!D$3:D$502="INR")*(Income!A$3:A$502=DATE(2026,5,13)),ROW(Income!A$3:A$502)-2),5)),0))</f>
        <v/>
      </c>
      <c r="H103" s="126">
        <f t="array" ref="H103">IF(IFERROR(INDEX(Expenses!B$3:B$999,SMALL(IF((Expenses!E$3:E$999="INR")*(Expenses!A$3:A$999=DATE(2026,5,13)),ROW(Expenses!A$3:A$999)-2),5)),"")&lt;&gt;"",IFERROR(INDEX(Expenses!B$3:B$999,SMALL(IF((Expenses!E$3:E$999="INR")*(Expenses!A$3:A$999=DATE(2026,5,13)),ROW(Expenses!A$3:A$999)-2),5)),""),IF(IFERROR(INDEX(Income!B$3:B$502,SMALL(IF((Income!D$3:D$502="INR")*(Income!A$3:A$502=DATE(2026,5,13)),ROW(Income!A$3:A$502)-2),5)),"")&lt;&gt;"",IFERROR(INDEX(Income!B$3:B$502,SMALL(IF((Income!D$3:D$502="INR")*(Income!A$3:A$502=DATE(2026,5,13)),ROW(Income!A$3:A$502)-2),5)),""),""))</f>
        <v/>
      </c>
      <c r="I103" s="153">
        <f t="array" ref="I103">IF(IFERROR(-INDEX(Expenses!D$3:D$999,SMALL(IF((Expenses!E$3:E$999="INR")*(Expenses!A$3:A$999=DATE(2026,5,14)),ROW(Expenses!A$3:A$999)-2),5)),0)+IFERROR(INDEX(Income!C$3:C$502,SMALL(IF((Income!D$3:D$502="INR")*(Income!A$3:A$502=DATE(2026,5,14)),ROW(Income!A$3:A$502)-2),5)),0)=0,"",IFERROR(-INDEX(Expenses!D$3:D$999,SMALL(IF((Expenses!E$3:E$999="INR")*(Expenses!A$3:A$999=DATE(2026,5,14)),ROW(Expenses!A$3:A$999)-2),5)),0)+IFERROR(INDEX(Income!C$3:C$502,SMALL(IF((Income!D$3:D$502="INR")*(Income!A$3:A$502=DATE(2026,5,14)),ROW(Income!A$3:A$502)-2),5)),0))</f>
        <v/>
      </c>
      <c r="J103" s="126">
        <f t="array" ref="J103">IF(IFERROR(INDEX(Expenses!B$3:B$999,SMALL(IF((Expenses!E$3:E$999="INR")*(Expenses!A$3:A$999=DATE(2026,5,14)),ROW(Expenses!A$3:A$999)-2),5)),"")&lt;&gt;"",IFERROR(INDEX(Expenses!B$3:B$999,SMALL(IF((Expenses!E$3:E$999="INR")*(Expenses!A$3:A$999=DATE(2026,5,14)),ROW(Expenses!A$3:A$999)-2),5)),""),IF(IFERROR(INDEX(Income!B$3:B$502,SMALL(IF((Income!D$3:D$502="INR")*(Income!A$3:A$502=DATE(2026,5,14)),ROW(Income!A$3:A$502)-2),5)),"")&lt;&gt;"",IFERROR(INDEX(Income!B$3:B$502,SMALL(IF((Income!D$3:D$502="INR")*(Income!A$3:A$502=DATE(2026,5,14)),ROW(Income!A$3:A$502)-2),5)),""),""))</f>
        <v/>
      </c>
      <c r="K103" s="153">
        <f t="array" ref="K103">IF(IFERROR(-INDEX(Expenses!D$3:D$999,SMALL(IF((Expenses!E$3:E$999="INR")*(Expenses!A$3:A$999=DATE(2026,5,15)),ROW(Expenses!A$3:A$999)-2),5)),0)+IFERROR(INDEX(Income!C$3:C$502,SMALL(IF((Income!D$3:D$502="INR")*(Income!A$3:A$502=DATE(2026,5,15)),ROW(Income!A$3:A$502)-2),5)),0)=0,"",IFERROR(-INDEX(Expenses!D$3:D$999,SMALL(IF((Expenses!E$3:E$999="INR")*(Expenses!A$3:A$999=DATE(2026,5,15)),ROW(Expenses!A$3:A$999)-2),5)),0)+IFERROR(INDEX(Income!C$3:C$502,SMALL(IF((Income!D$3:D$502="INR")*(Income!A$3:A$502=DATE(2026,5,15)),ROW(Income!A$3:A$502)-2),5)),0))</f>
        <v/>
      </c>
      <c r="L103" s="126">
        <f t="array" ref="L103">IF(IFERROR(INDEX(Expenses!B$3:B$999,SMALL(IF((Expenses!E$3:E$999="INR")*(Expenses!A$3:A$999=DATE(2026,5,15)),ROW(Expenses!A$3:A$999)-2),5)),"")&lt;&gt;"",IFERROR(INDEX(Expenses!B$3:B$999,SMALL(IF((Expenses!E$3:E$999="INR")*(Expenses!A$3:A$999=DATE(2026,5,15)),ROW(Expenses!A$3:A$999)-2),5)),""),IF(IFERROR(INDEX(Income!B$3:B$502,SMALL(IF((Income!D$3:D$502="INR")*(Income!A$3:A$502=DATE(2026,5,15)),ROW(Income!A$3:A$502)-2),5)),"")&lt;&gt;"",IFERROR(INDEX(Income!B$3:B$502,SMALL(IF((Income!D$3:D$502="INR")*(Income!A$3:A$502=DATE(2026,5,15)),ROW(Income!A$3:A$502)-2),5)),""),""))</f>
        <v/>
      </c>
      <c r="M103" s="153">
        <f t="array" ref="M103">IF(IFERROR(-INDEX(Expenses!D$3:D$999,SMALL(IF((Expenses!E$3:E$999="INR")*(Expenses!A$3:A$999=DATE(2026,5,16)),ROW(Expenses!A$3:A$999)-2),5)),0)+IFERROR(INDEX(Income!C$3:C$502,SMALL(IF((Income!D$3:D$502="INR")*(Income!A$3:A$502=DATE(2026,5,16)),ROW(Income!A$3:A$502)-2),5)),0)=0,"",IFERROR(-INDEX(Expenses!D$3:D$999,SMALL(IF((Expenses!E$3:E$999="INR")*(Expenses!A$3:A$999=DATE(2026,5,16)),ROW(Expenses!A$3:A$999)-2),5)),0)+IFERROR(INDEX(Income!C$3:C$502,SMALL(IF((Income!D$3:D$502="INR")*(Income!A$3:A$502=DATE(2026,5,16)),ROW(Income!A$3:A$502)-2),5)),0))</f>
        <v/>
      </c>
      <c r="N103" s="126">
        <f t="array" ref="N103">IF(IFERROR(INDEX(Expenses!B$3:B$999,SMALL(IF((Expenses!E$3:E$999="INR")*(Expenses!A$3:A$999=DATE(2026,5,16)),ROW(Expenses!A$3:A$999)-2),5)),"")&lt;&gt;"",IFERROR(INDEX(Expenses!B$3:B$999,SMALL(IF((Expenses!E$3:E$999="INR")*(Expenses!A$3:A$999=DATE(2026,5,16)),ROW(Expenses!A$3:A$999)-2),5)),""),IF(IFERROR(INDEX(Income!B$3:B$502,SMALL(IF((Income!D$3:D$502="INR")*(Income!A$3:A$502=DATE(2026,5,16)),ROW(Income!A$3:A$502)-2),5)),"")&lt;&gt;"",IFERROR(INDEX(Income!B$3:B$502,SMALL(IF((Income!D$3:D$502="INR")*(Income!A$3:A$502=DATE(2026,5,16)),ROW(Income!A$3:A$502)-2),5)),""),""))</f>
        <v/>
      </c>
      <c r="O103" s="153">
        <f t="array" ref="O103">IF(IFERROR(-INDEX(Expenses!D$3:D$999,SMALL(IF((Expenses!E$3:E$999="INR")*(Expenses!A$3:A$999=DATE(2026,5,17)),ROW(Expenses!A$3:A$999)-2),5)),0)+IFERROR(INDEX(Income!C$3:C$502,SMALL(IF((Income!D$3:D$502="INR")*(Income!A$3:A$502=DATE(2026,5,17)),ROW(Income!A$3:A$502)-2),5)),0)=0,"",IFERROR(-INDEX(Expenses!D$3:D$999,SMALL(IF((Expenses!E$3:E$999="INR")*(Expenses!A$3:A$999=DATE(2026,5,17)),ROW(Expenses!A$3:A$999)-2),5)),0)+IFERROR(INDEX(Income!C$3:C$502,SMALL(IF((Income!D$3:D$502="INR")*(Income!A$3:A$502=DATE(2026,5,17)),ROW(Income!A$3:A$502)-2),5)),0))</f>
        <v/>
      </c>
      <c r="P103" s="126">
        <f t="array" ref="P103">IF(IFERROR(INDEX(Expenses!B$3:B$999,SMALL(IF((Expenses!E$3:E$999="INR")*(Expenses!A$3:A$999=DATE(2026,5,17)),ROW(Expenses!A$3:A$999)-2),5)),"")&lt;&gt;"",IFERROR(INDEX(Expenses!B$3:B$999,SMALL(IF((Expenses!E$3:E$999="INR")*(Expenses!A$3:A$999=DATE(2026,5,17)),ROW(Expenses!A$3:A$999)-2),5)),""),IF(IFERROR(INDEX(Income!B$3:B$502,SMALL(IF((Income!D$3:D$502="INR")*(Income!A$3:A$502=DATE(2026,5,17)),ROW(Income!A$3:A$502)-2),5)),"")&lt;&gt;"",IFERROR(INDEX(Income!B$3:B$502,SMALL(IF((Income!D$3:D$502="INR")*(Income!A$3:A$502=DATE(2026,5,17)),ROW(Income!A$3:A$502)-2),5)),""),""))</f>
        <v/>
      </c>
      <c r="Q103" s="9" t="n"/>
      <c r="R103" s="9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68">
      <c r="A104" s="151" t="n">
        <v>46160</v>
      </c>
      <c r="B104" s="103" t="n">
        <v>21</v>
      </c>
      <c r="C104" s="153">
        <f t="array" ref="C104">IF(IFERROR(-INDEX(Expenses!D$3:D$999,SMALL(IF((Expenses!E$3:E$999="INR")*(Expenses!A$3:A$999=DATE(2026,5,18)),ROW(Expenses!A$3:A$999)-2),1)),0)+IFERROR(INDEX(Income!C$3:C$502,SMALL(IF((Income!D$3:D$502="INR")*(Income!A$3:A$502=DATE(2026,5,18)),ROW(Income!A$3:A$502)-2),1)),0)=0,"",IFERROR(-INDEX(Expenses!D$3:D$999,SMALL(IF((Expenses!E$3:E$999="INR")*(Expenses!A$3:A$999=DATE(2026,5,18)),ROW(Expenses!A$3:A$999)-2),1)),0)+IFERROR(INDEX(Income!C$3:C$502,SMALL(IF((Income!D$3:D$502="INR")*(Income!A$3:A$502=DATE(2026,5,18)),ROW(Income!A$3:A$502)-2),1)),0))</f>
        <v/>
      </c>
      <c r="D104" s="126">
        <f t="array" ref="D104">IF(IFERROR(INDEX(Expenses!B$3:B$999,SMALL(IF((Expenses!E$3:E$999="INR")*(Expenses!A$3:A$999=DATE(2026,5,18)),ROW(Expenses!A$3:A$999)-2),1)),"")&lt;&gt;"",IFERROR(INDEX(Expenses!B$3:B$999,SMALL(IF((Expenses!E$3:E$999="INR")*(Expenses!A$3:A$999=DATE(2026,5,18)),ROW(Expenses!A$3:A$999)-2),1)),""),IF(IFERROR(INDEX(Income!B$3:B$502,SMALL(IF((Income!D$3:D$502="INR")*(Income!A$3:A$502=DATE(2026,5,18)),ROW(Income!A$3:A$502)-2),1)),"")&lt;&gt;"",IFERROR(INDEX(Income!B$3:B$502,SMALL(IF((Income!D$3:D$502="INR")*(Income!A$3:A$502=DATE(2026,5,18)),ROW(Income!A$3:A$502)-2),1)),""),""))</f>
        <v/>
      </c>
      <c r="E104" s="153">
        <f t="array" ref="E104">IF(IFERROR(-INDEX(Expenses!D$3:D$999,SMALL(IF((Expenses!E$3:E$999="INR")*(Expenses!A$3:A$999=DATE(2026,5,19)),ROW(Expenses!A$3:A$999)-2),1)),0)+IFERROR(INDEX(Income!C$3:C$502,SMALL(IF((Income!D$3:D$502="INR")*(Income!A$3:A$502=DATE(2026,5,19)),ROW(Income!A$3:A$502)-2),1)),0)=0,"",IFERROR(-INDEX(Expenses!D$3:D$999,SMALL(IF((Expenses!E$3:E$999="INR")*(Expenses!A$3:A$999=DATE(2026,5,19)),ROW(Expenses!A$3:A$999)-2),1)),0)+IFERROR(INDEX(Income!C$3:C$502,SMALL(IF((Income!D$3:D$502="INR")*(Income!A$3:A$502=DATE(2026,5,19)),ROW(Income!A$3:A$502)-2),1)),0))</f>
        <v/>
      </c>
      <c r="F104" s="126">
        <f t="array" ref="F104">IF(IFERROR(INDEX(Expenses!B$3:B$999,SMALL(IF((Expenses!E$3:E$999="INR")*(Expenses!A$3:A$999=DATE(2026,5,19)),ROW(Expenses!A$3:A$999)-2),1)),"")&lt;&gt;"",IFERROR(INDEX(Expenses!B$3:B$999,SMALL(IF((Expenses!E$3:E$999="INR")*(Expenses!A$3:A$999=DATE(2026,5,19)),ROW(Expenses!A$3:A$999)-2),1)),""),IF(IFERROR(INDEX(Income!B$3:B$502,SMALL(IF((Income!D$3:D$502="INR")*(Income!A$3:A$502=DATE(2026,5,19)),ROW(Income!A$3:A$502)-2),1)),"")&lt;&gt;"",IFERROR(INDEX(Income!B$3:B$502,SMALL(IF((Income!D$3:D$502="INR")*(Income!A$3:A$502=DATE(2026,5,19)),ROW(Income!A$3:A$502)-2),1)),""),""))</f>
        <v/>
      </c>
      <c r="G104" s="153">
        <f t="array" ref="G104">IF(IFERROR(-INDEX(Expenses!D$3:D$999,SMALL(IF((Expenses!E$3:E$999="INR")*(Expenses!A$3:A$999=DATE(2026,5,20)),ROW(Expenses!A$3:A$999)-2),1)),0)+IFERROR(INDEX(Income!C$3:C$502,SMALL(IF((Income!D$3:D$502="INR")*(Income!A$3:A$502=DATE(2026,5,20)),ROW(Income!A$3:A$502)-2),1)),0)=0,"",IFERROR(-INDEX(Expenses!D$3:D$999,SMALL(IF((Expenses!E$3:E$999="INR")*(Expenses!A$3:A$999=DATE(2026,5,20)),ROW(Expenses!A$3:A$999)-2),1)),0)+IFERROR(INDEX(Income!C$3:C$502,SMALL(IF((Income!D$3:D$502="INR")*(Income!A$3:A$502=DATE(2026,5,20)),ROW(Income!A$3:A$502)-2),1)),0))</f>
        <v/>
      </c>
      <c r="H104" s="126">
        <f t="array" ref="H104">IF(IFERROR(INDEX(Expenses!B$3:B$999,SMALL(IF((Expenses!E$3:E$999="INR")*(Expenses!A$3:A$999=DATE(2026,5,20)),ROW(Expenses!A$3:A$999)-2),1)),"")&lt;&gt;"",IFERROR(INDEX(Expenses!B$3:B$999,SMALL(IF((Expenses!E$3:E$999="INR")*(Expenses!A$3:A$999=DATE(2026,5,20)),ROW(Expenses!A$3:A$999)-2),1)),""),IF(IFERROR(INDEX(Income!B$3:B$502,SMALL(IF((Income!D$3:D$502="INR")*(Income!A$3:A$502=DATE(2026,5,20)),ROW(Income!A$3:A$502)-2),1)),"")&lt;&gt;"",IFERROR(INDEX(Income!B$3:B$502,SMALL(IF((Income!D$3:D$502="INR")*(Income!A$3:A$502=DATE(2026,5,20)),ROW(Income!A$3:A$502)-2),1)),""),""))</f>
        <v/>
      </c>
      <c r="I104" s="153">
        <f t="array" ref="I104">IF(IFERROR(-INDEX(Expenses!D$3:D$999,SMALL(IF((Expenses!E$3:E$999="INR")*(Expenses!A$3:A$999=DATE(2026,5,21)),ROW(Expenses!A$3:A$999)-2),1)),0)+IFERROR(INDEX(Income!C$3:C$502,SMALL(IF((Income!D$3:D$502="INR")*(Income!A$3:A$502=DATE(2026,5,21)),ROW(Income!A$3:A$502)-2),1)),0)=0,"",IFERROR(-INDEX(Expenses!D$3:D$999,SMALL(IF((Expenses!E$3:E$999="INR")*(Expenses!A$3:A$999=DATE(2026,5,21)),ROW(Expenses!A$3:A$999)-2),1)),0)+IFERROR(INDEX(Income!C$3:C$502,SMALL(IF((Income!D$3:D$502="INR")*(Income!A$3:A$502=DATE(2026,5,21)),ROW(Income!A$3:A$502)-2),1)),0))</f>
        <v/>
      </c>
      <c r="J104" s="126">
        <f t="array" ref="J104">IF(IFERROR(INDEX(Expenses!B$3:B$999,SMALL(IF((Expenses!E$3:E$999="INR")*(Expenses!A$3:A$999=DATE(2026,5,21)),ROW(Expenses!A$3:A$999)-2),1)),"")&lt;&gt;"",IFERROR(INDEX(Expenses!B$3:B$999,SMALL(IF((Expenses!E$3:E$999="INR")*(Expenses!A$3:A$999=DATE(2026,5,21)),ROW(Expenses!A$3:A$999)-2),1)),""),IF(IFERROR(INDEX(Income!B$3:B$502,SMALL(IF((Income!D$3:D$502="INR")*(Income!A$3:A$502=DATE(2026,5,21)),ROW(Income!A$3:A$502)-2),1)),"")&lt;&gt;"",IFERROR(INDEX(Income!B$3:B$502,SMALL(IF((Income!D$3:D$502="INR")*(Income!A$3:A$502=DATE(2026,5,21)),ROW(Income!A$3:A$502)-2),1)),""),""))</f>
        <v/>
      </c>
      <c r="K104" s="153">
        <f t="array" ref="K104">IF(IFERROR(-INDEX(Expenses!D$3:D$999,SMALL(IF((Expenses!E$3:E$999="INR")*(Expenses!A$3:A$999=DATE(2026,5,22)),ROW(Expenses!A$3:A$999)-2),1)),0)+IFERROR(INDEX(Income!C$3:C$502,SMALL(IF((Income!D$3:D$502="INR")*(Income!A$3:A$502=DATE(2026,5,22)),ROW(Income!A$3:A$502)-2),1)),0)=0,"",IFERROR(-INDEX(Expenses!D$3:D$999,SMALL(IF((Expenses!E$3:E$999="INR")*(Expenses!A$3:A$999=DATE(2026,5,22)),ROW(Expenses!A$3:A$999)-2),1)),0)+IFERROR(INDEX(Income!C$3:C$502,SMALL(IF((Income!D$3:D$502="INR")*(Income!A$3:A$502=DATE(2026,5,22)),ROW(Income!A$3:A$502)-2),1)),0))</f>
        <v/>
      </c>
      <c r="L104" s="126">
        <f t="array" ref="L104">IF(IFERROR(INDEX(Expenses!B$3:B$999,SMALL(IF((Expenses!E$3:E$999="INR")*(Expenses!A$3:A$999=DATE(2026,5,22)),ROW(Expenses!A$3:A$999)-2),1)),"")&lt;&gt;"",IFERROR(INDEX(Expenses!B$3:B$999,SMALL(IF((Expenses!E$3:E$999="INR")*(Expenses!A$3:A$999=DATE(2026,5,22)),ROW(Expenses!A$3:A$999)-2),1)),""),IF(IFERROR(INDEX(Income!B$3:B$502,SMALL(IF((Income!D$3:D$502="INR")*(Income!A$3:A$502=DATE(2026,5,22)),ROW(Income!A$3:A$502)-2),1)),"")&lt;&gt;"",IFERROR(INDEX(Income!B$3:B$502,SMALL(IF((Income!D$3:D$502="INR")*(Income!A$3:A$502=DATE(2026,5,22)),ROW(Income!A$3:A$502)-2),1)),""),""))</f>
        <v/>
      </c>
      <c r="M104" s="153">
        <f t="array" ref="M104">IF(IFERROR(-INDEX(Expenses!D$3:D$999,SMALL(IF((Expenses!E$3:E$999="INR")*(Expenses!A$3:A$999=DATE(2026,5,23)),ROW(Expenses!A$3:A$999)-2),1)),0)+IFERROR(INDEX(Income!C$3:C$502,SMALL(IF((Income!D$3:D$502="INR")*(Income!A$3:A$502=DATE(2026,5,23)),ROW(Income!A$3:A$502)-2),1)),0)=0,"",IFERROR(-INDEX(Expenses!D$3:D$999,SMALL(IF((Expenses!E$3:E$999="INR")*(Expenses!A$3:A$999=DATE(2026,5,23)),ROW(Expenses!A$3:A$999)-2),1)),0)+IFERROR(INDEX(Income!C$3:C$502,SMALL(IF((Income!D$3:D$502="INR")*(Income!A$3:A$502=DATE(2026,5,23)),ROW(Income!A$3:A$502)-2),1)),0))</f>
        <v/>
      </c>
      <c r="N104" s="126">
        <f t="array" ref="N104">IF(IFERROR(INDEX(Expenses!B$3:B$999,SMALL(IF((Expenses!E$3:E$999="INR")*(Expenses!A$3:A$999=DATE(2026,5,23)),ROW(Expenses!A$3:A$999)-2),1)),"")&lt;&gt;"",IFERROR(INDEX(Expenses!B$3:B$999,SMALL(IF((Expenses!E$3:E$999="INR")*(Expenses!A$3:A$999=DATE(2026,5,23)),ROW(Expenses!A$3:A$999)-2),1)),""),IF(IFERROR(INDEX(Income!B$3:B$502,SMALL(IF((Income!D$3:D$502="INR")*(Income!A$3:A$502=DATE(2026,5,23)),ROW(Income!A$3:A$502)-2),1)),"")&lt;&gt;"",IFERROR(INDEX(Income!B$3:B$502,SMALL(IF((Income!D$3:D$502="INR")*(Income!A$3:A$502=DATE(2026,5,23)),ROW(Income!A$3:A$502)-2),1)),""),""))</f>
        <v/>
      </c>
      <c r="O104" s="153">
        <f t="array" ref="O104">IF(IFERROR(-INDEX(Expenses!D$3:D$999,SMALL(IF((Expenses!E$3:E$999="INR")*(Expenses!A$3:A$999=DATE(2026,5,24)),ROW(Expenses!A$3:A$999)-2),1)),0)+IFERROR(INDEX(Income!C$3:C$502,SMALL(IF((Income!D$3:D$502="INR")*(Income!A$3:A$502=DATE(2026,5,24)),ROW(Income!A$3:A$502)-2),1)),0)=0,"",IFERROR(-INDEX(Expenses!D$3:D$999,SMALL(IF((Expenses!E$3:E$999="INR")*(Expenses!A$3:A$999=DATE(2026,5,24)),ROW(Expenses!A$3:A$999)-2),1)),0)+IFERROR(INDEX(Income!C$3:C$502,SMALL(IF((Income!D$3:D$502="INR")*(Income!A$3:A$502=DATE(2026,5,24)),ROW(Income!A$3:A$502)-2),1)),0))</f>
        <v/>
      </c>
      <c r="P104" s="126">
        <f t="array" ref="P104">IF(IFERROR(INDEX(Expenses!B$3:B$999,SMALL(IF((Expenses!E$3:E$999="INR")*(Expenses!A$3:A$999=DATE(2026,5,24)),ROW(Expenses!A$3:A$999)-2),1)),"")&lt;&gt;"",IFERROR(INDEX(Expenses!B$3:B$999,SMALL(IF((Expenses!E$3:E$999="INR")*(Expenses!A$3:A$999=DATE(2026,5,24)),ROW(Expenses!A$3:A$999)-2),1)),""),IF(IFERROR(INDEX(Income!B$3:B$502,SMALL(IF((Income!D$3:D$502="INR")*(Income!A$3:A$502=DATE(2026,5,24)),ROW(Income!A$3:A$502)-2),1)),"")&lt;&gt;"",IFERROR(INDEX(Income!B$3:B$502,SMALL(IF((Income!D$3:D$502="INR")*(Income!A$3:A$502=DATE(2026,5,24)),ROW(Income!A$3:A$502)-2),1)),""),""))</f>
        <v/>
      </c>
      <c r="Q104" s="103" t="n">
        <v>21</v>
      </c>
      <c r="R104" s="142">
        <f>SUM(C104:C108)+SUM(E104:E108)+SUM(G104:G108)+SUM(I104:I108)+SUM(K104:K108)+SUM(M104:M108)+SUM(O104:O108)</f>
        <v/>
      </c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68">
      <c r="A105" s="9" t="n"/>
      <c r="B105" s="9" t="n"/>
      <c r="C105" s="153">
        <f t="array" ref="C105">IF(IFERROR(-INDEX(Expenses!D$3:D$999,SMALL(IF((Expenses!E$3:E$999="INR")*(Expenses!A$3:A$999=DATE(2026,5,18)),ROW(Expenses!A$3:A$999)-2),2)),0)+IFERROR(INDEX(Income!C$3:C$502,SMALL(IF((Income!D$3:D$502="INR")*(Income!A$3:A$502=DATE(2026,5,18)),ROW(Income!A$3:A$502)-2),2)),0)=0,"",IFERROR(-INDEX(Expenses!D$3:D$999,SMALL(IF((Expenses!E$3:E$999="INR")*(Expenses!A$3:A$999=DATE(2026,5,18)),ROW(Expenses!A$3:A$999)-2),2)),0)+IFERROR(INDEX(Income!C$3:C$502,SMALL(IF((Income!D$3:D$502="INR")*(Income!A$3:A$502=DATE(2026,5,18)),ROW(Income!A$3:A$502)-2),2)),0))</f>
        <v/>
      </c>
      <c r="D105" s="126">
        <f t="array" ref="D105">IF(IFERROR(INDEX(Expenses!B$3:B$999,SMALL(IF((Expenses!E$3:E$999="INR")*(Expenses!A$3:A$999=DATE(2026,5,18)),ROW(Expenses!A$3:A$999)-2),2)),"")&lt;&gt;"",IFERROR(INDEX(Expenses!B$3:B$999,SMALL(IF((Expenses!E$3:E$999="INR")*(Expenses!A$3:A$999=DATE(2026,5,18)),ROW(Expenses!A$3:A$999)-2),2)),""),IF(IFERROR(INDEX(Income!B$3:B$502,SMALL(IF((Income!D$3:D$502="INR")*(Income!A$3:A$502=DATE(2026,5,18)),ROW(Income!A$3:A$502)-2),2)),"")&lt;&gt;"",IFERROR(INDEX(Income!B$3:B$502,SMALL(IF((Income!D$3:D$502="INR")*(Income!A$3:A$502=DATE(2026,5,18)),ROW(Income!A$3:A$502)-2),2)),""),""))</f>
        <v/>
      </c>
      <c r="E105" s="153">
        <f t="array" ref="E105">IF(IFERROR(-INDEX(Expenses!D$3:D$999,SMALL(IF((Expenses!E$3:E$999="INR")*(Expenses!A$3:A$999=DATE(2026,5,19)),ROW(Expenses!A$3:A$999)-2),2)),0)+IFERROR(INDEX(Income!C$3:C$502,SMALL(IF((Income!D$3:D$502="INR")*(Income!A$3:A$502=DATE(2026,5,19)),ROW(Income!A$3:A$502)-2),2)),0)=0,"",IFERROR(-INDEX(Expenses!D$3:D$999,SMALL(IF((Expenses!E$3:E$999="INR")*(Expenses!A$3:A$999=DATE(2026,5,19)),ROW(Expenses!A$3:A$999)-2),2)),0)+IFERROR(INDEX(Income!C$3:C$502,SMALL(IF((Income!D$3:D$502="INR")*(Income!A$3:A$502=DATE(2026,5,19)),ROW(Income!A$3:A$502)-2),2)),0))</f>
        <v/>
      </c>
      <c r="F105" s="126">
        <f t="array" ref="F105">IF(IFERROR(INDEX(Expenses!B$3:B$999,SMALL(IF((Expenses!E$3:E$999="INR")*(Expenses!A$3:A$999=DATE(2026,5,19)),ROW(Expenses!A$3:A$999)-2),2)),"")&lt;&gt;"",IFERROR(INDEX(Expenses!B$3:B$999,SMALL(IF((Expenses!E$3:E$999="INR")*(Expenses!A$3:A$999=DATE(2026,5,19)),ROW(Expenses!A$3:A$999)-2),2)),""),IF(IFERROR(INDEX(Income!B$3:B$502,SMALL(IF((Income!D$3:D$502="INR")*(Income!A$3:A$502=DATE(2026,5,19)),ROW(Income!A$3:A$502)-2),2)),"")&lt;&gt;"",IFERROR(INDEX(Income!B$3:B$502,SMALL(IF((Income!D$3:D$502="INR")*(Income!A$3:A$502=DATE(2026,5,19)),ROW(Income!A$3:A$502)-2),2)),""),""))</f>
        <v/>
      </c>
      <c r="G105" s="153">
        <f t="array" ref="G105">IF(IFERROR(-INDEX(Expenses!D$3:D$999,SMALL(IF((Expenses!E$3:E$999="INR")*(Expenses!A$3:A$999=DATE(2026,5,20)),ROW(Expenses!A$3:A$999)-2),2)),0)+IFERROR(INDEX(Income!C$3:C$502,SMALL(IF((Income!D$3:D$502="INR")*(Income!A$3:A$502=DATE(2026,5,20)),ROW(Income!A$3:A$502)-2),2)),0)=0,"",IFERROR(-INDEX(Expenses!D$3:D$999,SMALL(IF((Expenses!E$3:E$999="INR")*(Expenses!A$3:A$999=DATE(2026,5,20)),ROW(Expenses!A$3:A$999)-2),2)),0)+IFERROR(INDEX(Income!C$3:C$502,SMALL(IF((Income!D$3:D$502="INR")*(Income!A$3:A$502=DATE(2026,5,20)),ROW(Income!A$3:A$502)-2),2)),0))</f>
        <v/>
      </c>
      <c r="H105" s="126">
        <f t="array" ref="H105">IF(IFERROR(INDEX(Expenses!B$3:B$999,SMALL(IF((Expenses!E$3:E$999="INR")*(Expenses!A$3:A$999=DATE(2026,5,20)),ROW(Expenses!A$3:A$999)-2),2)),"")&lt;&gt;"",IFERROR(INDEX(Expenses!B$3:B$999,SMALL(IF((Expenses!E$3:E$999="INR")*(Expenses!A$3:A$999=DATE(2026,5,20)),ROW(Expenses!A$3:A$999)-2),2)),""),IF(IFERROR(INDEX(Income!B$3:B$502,SMALL(IF((Income!D$3:D$502="INR")*(Income!A$3:A$502=DATE(2026,5,20)),ROW(Income!A$3:A$502)-2),2)),"")&lt;&gt;"",IFERROR(INDEX(Income!B$3:B$502,SMALL(IF((Income!D$3:D$502="INR")*(Income!A$3:A$502=DATE(2026,5,20)),ROW(Income!A$3:A$502)-2),2)),""),""))</f>
        <v/>
      </c>
      <c r="I105" s="153">
        <f t="array" ref="I105">IF(IFERROR(-INDEX(Expenses!D$3:D$999,SMALL(IF((Expenses!E$3:E$999="INR")*(Expenses!A$3:A$999=DATE(2026,5,21)),ROW(Expenses!A$3:A$999)-2),2)),0)+IFERROR(INDEX(Income!C$3:C$502,SMALL(IF((Income!D$3:D$502="INR")*(Income!A$3:A$502=DATE(2026,5,21)),ROW(Income!A$3:A$502)-2),2)),0)=0,"",IFERROR(-INDEX(Expenses!D$3:D$999,SMALL(IF((Expenses!E$3:E$999="INR")*(Expenses!A$3:A$999=DATE(2026,5,21)),ROW(Expenses!A$3:A$999)-2),2)),0)+IFERROR(INDEX(Income!C$3:C$502,SMALL(IF((Income!D$3:D$502="INR")*(Income!A$3:A$502=DATE(2026,5,21)),ROW(Income!A$3:A$502)-2),2)),0))</f>
        <v/>
      </c>
      <c r="J105" s="126">
        <f t="array" ref="J105">IF(IFERROR(INDEX(Expenses!B$3:B$999,SMALL(IF((Expenses!E$3:E$999="INR")*(Expenses!A$3:A$999=DATE(2026,5,21)),ROW(Expenses!A$3:A$999)-2),2)),"")&lt;&gt;"",IFERROR(INDEX(Expenses!B$3:B$999,SMALL(IF((Expenses!E$3:E$999="INR")*(Expenses!A$3:A$999=DATE(2026,5,21)),ROW(Expenses!A$3:A$999)-2),2)),""),IF(IFERROR(INDEX(Income!B$3:B$502,SMALL(IF((Income!D$3:D$502="INR")*(Income!A$3:A$502=DATE(2026,5,21)),ROW(Income!A$3:A$502)-2),2)),"")&lt;&gt;"",IFERROR(INDEX(Income!B$3:B$502,SMALL(IF((Income!D$3:D$502="INR")*(Income!A$3:A$502=DATE(2026,5,21)),ROW(Income!A$3:A$502)-2),2)),""),""))</f>
        <v/>
      </c>
      <c r="K105" s="153">
        <f t="array" ref="K105">IF(IFERROR(-INDEX(Expenses!D$3:D$999,SMALL(IF((Expenses!E$3:E$999="INR")*(Expenses!A$3:A$999=DATE(2026,5,22)),ROW(Expenses!A$3:A$999)-2),2)),0)+IFERROR(INDEX(Income!C$3:C$502,SMALL(IF((Income!D$3:D$502="INR")*(Income!A$3:A$502=DATE(2026,5,22)),ROW(Income!A$3:A$502)-2),2)),0)=0,"",IFERROR(-INDEX(Expenses!D$3:D$999,SMALL(IF((Expenses!E$3:E$999="INR")*(Expenses!A$3:A$999=DATE(2026,5,22)),ROW(Expenses!A$3:A$999)-2),2)),0)+IFERROR(INDEX(Income!C$3:C$502,SMALL(IF((Income!D$3:D$502="INR")*(Income!A$3:A$502=DATE(2026,5,22)),ROW(Income!A$3:A$502)-2),2)),0))</f>
        <v/>
      </c>
      <c r="L105" s="126">
        <f t="array" ref="L105">IF(IFERROR(INDEX(Expenses!B$3:B$999,SMALL(IF((Expenses!E$3:E$999="INR")*(Expenses!A$3:A$999=DATE(2026,5,22)),ROW(Expenses!A$3:A$999)-2),2)),"")&lt;&gt;"",IFERROR(INDEX(Expenses!B$3:B$999,SMALL(IF((Expenses!E$3:E$999="INR")*(Expenses!A$3:A$999=DATE(2026,5,22)),ROW(Expenses!A$3:A$999)-2),2)),""),IF(IFERROR(INDEX(Income!B$3:B$502,SMALL(IF((Income!D$3:D$502="INR")*(Income!A$3:A$502=DATE(2026,5,22)),ROW(Income!A$3:A$502)-2),2)),"")&lt;&gt;"",IFERROR(INDEX(Income!B$3:B$502,SMALL(IF((Income!D$3:D$502="INR")*(Income!A$3:A$502=DATE(2026,5,22)),ROW(Income!A$3:A$502)-2),2)),""),""))</f>
        <v/>
      </c>
      <c r="M105" s="153">
        <f t="array" ref="M105">IF(IFERROR(-INDEX(Expenses!D$3:D$999,SMALL(IF((Expenses!E$3:E$999="INR")*(Expenses!A$3:A$999=DATE(2026,5,23)),ROW(Expenses!A$3:A$999)-2),2)),0)+IFERROR(INDEX(Income!C$3:C$502,SMALL(IF((Income!D$3:D$502="INR")*(Income!A$3:A$502=DATE(2026,5,23)),ROW(Income!A$3:A$502)-2),2)),0)=0,"",IFERROR(-INDEX(Expenses!D$3:D$999,SMALL(IF((Expenses!E$3:E$999="INR")*(Expenses!A$3:A$999=DATE(2026,5,23)),ROW(Expenses!A$3:A$999)-2),2)),0)+IFERROR(INDEX(Income!C$3:C$502,SMALL(IF((Income!D$3:D$502="INR")*(Income!A$3:A$502=DATE(2026,5,23)),ROW(Income!A$3:A$502)-2),2)),0))</f>
        <v/>
      </c>
      <c r="N105" s="126">
        <f t="array" ref="N105">IF(IFERROR(INDEX(Expenses!B$3:B$999,SMALL(IF((Expenses!E$3:E$999="INR")*(Expenses!A$3:A$999=DATE(2026,5,23)),ROW(Expenses!A$3:A$999)-2),2)),"")&lt;&gt;"",IFERROR(INDEX(Expenses!B$3:B$999,SMALL(IF((Expenses!E$3:E$999="INR")*(Expenses!A$3:A$999=DATE(2026,5,23)),ROW(Expenses!A$3:A$999)-2),2)),""),IF(IFERROR(INDEX(Income!B$3:B$502,SMALL(IF((Income!D$3:D$502="INR")*(Income!A$3:A$502=DATE(2026,5,23)),ROW(Income!A$3:A$502)-2),2)),"")&lt;&gt;"",IFERROR(INDEX(Income!B$3:B$502,SMALL(IF((Income!D$3:D$502="INR")*(Income!A$3:A$502=DATE(2026,5,23)),ROW(Income!A$3:A$502)-2),2)),""),""))</f>
        <v/>
      </c>
      <c r="O105" s="153">
        <f t="array" ref="O105">IF(IFERROR(-INDEX(Expenses!D$3:D$999,SMALL(IF((Expenses!E$3:E$999="INR")*(Expenses!A$3:A$999=DATE(2026,5,24)),ROW(Expenses!A$3:A$999)-2),2)),0)+IFERROR(INDEX(Income!C$3:C$502,SMALL(IF((Income!D$3:D$502="INR")*(Income!A$3:A$502=DATE(2026,5,24)),ROW(Income!A$3:A$502)-2),2)),0)=0,"",IFERROR(-INDEX(Expenses!D$3:D$999,SMALL(IF((Expenses!E$3:E$999="INR")*(Expenses!A$3:A$999=DATE(2026,5,24)),ROW(Expenses!A$3:A$999)-2),2)),0)+IFERROR(INDEX(Income!C$3:C$502,SMALL(IF((Income!D$3:D$502="INR")*(Income!A$3:A$502=DATE(2026,5,24)),ROW(Income!A$3:A$502)-2),2)),0))</f>
        <v/>
      </c>
      <c r="P105" s="126">
        <f t="array" ref="P105">IF(IFERROR(INDEX(Expenses!B$3:B$999,SMALL(IF((Expenses!E$3:E$999="INR")*(Expenses!A$3:A$999=DATE(2026,5,24)),ROW(Expenses!A$3:A$999)-2),2)),"")&lt;&gt;"",IFERROR(INDEX(Expenses!B$3:B$999,SMALL(IF((Expenses!E$3:E$999="INR")*(Expenses!A$3:A$999=DATE(2026,5,24)),ROW(Expenses!A$3:A$999)-2),2)),""),IF(IFERROR(INDEX(Income!B$3:B$502,SMALL(IF((Income!D$3:D$502="INR")*(Income!A$3:A$502=DATE(2026,5,24)),ROW(Income!A$3:A$502)-2),2)),"")&lt;&gt;"",IFERROR(INDEX(Income!B$3:B$502,SMALL(IF((Income!D$3:D$502="INR")*(Income!A$3:A$502=DATE(2026,5,24)),ROW(Income!A$3:A$502)-2),2)),""),""))</f>
        <v/>
      </c>
      <c r="Q105" s="9" t="n"/>
      <c r="R105" s="9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68">
      <c r="A106" s="9" t="n"/>
      <c r="B106" s="9" t="n"/>
      <c r="C106" s="153">
        <f t="array" ref="C106">IF(IFERROR(-INDEX(Expenses!D$3:D$999,SMALL(IF((Expenses!E$3:E$999="INR")*(Expenses!A$3:A$999=DATE(2026,5,18)),ROW(Expenses!A$3:A$999)-2),3)),0)+IFERROR(INDEX(Income!C$3:C$502,SMALL(IF((Income!D$3:D$502="INR")*(Income!A$3:A$502=DATE(2026,5,18)),ROW(Income!A$3:A$502)-2),3)),0)=0,"",IFERROR(-INDEX(Expenses!D$3:D$999,SMALL(IF((Expenses!E$3:E$999="INR")*(Expenses!A$3:A$999=DATE(2026,5,18)),ROW(Expenses!A$3:A$999)-2),3)),0)+IFERROR(INDEX(Income!C$3:C$502,SMALL(IF((Income!D$3:D$502="INR")*(Income!A$3:A$502=DATE(2026,5,18)),ROW(Income!A$3:A$502)-2),3)),0))</f>
        <v/>
      </c>
      <c r="D106" s="126">
        <f t="array" ref="D106">IF(IFERROR(INDEX(Expenses!B$3:B$999,SMALL(IF((Expenses!E$3:E$999="INR")*(Expenses!A$3:A$999=DATE(2026,5,18)),ROW(Expenses!A$3:A$999)-2),3)),"")&lt;&gt;"",IFERROR(INDEX(Expenses!B$3:B$999,SMALL(IF((Expenses!E$3:E$999="INR")*(Expenses!A$3:A$999=DATE(2026,5,18)),ROW(Expenses!A$3:A$999)-2),3)),""),IF(IFERROR(INDEX(Income!B$3:B$502,SMALL(IF((Income!D$3:D$502="INR")*(Income!A$3:A$502=DATE(2026,5,18)),ROW(Income!A$3:A$502)-2),3)),"")&lt;&gt;"",IFERROR(INDEX(Income!B$3:B$502,SMALL(IF((Income!D$3:D$502="INR")*(Income!A$3:A$502=DATE(2026,5,18)),ROW(Income!A$3:A$502)-2),3)),""),""))</f>
        <v/>
      </c>
      <c r="E106" s="153">
        <f t="array" ref="E106">IF(IFERROR(-INDEX(Expenses!D$3:D$999,SMALL(IF((Expenses!E$3:E$999="INR")*(Expenses!A$3:A$999=DATE(2026,5,19)),ROW(Expenses!A$3:A$999)-2),3)),0)+IFERROR(INDEX(Income!C$3:C$502,SMALL(IF((Income!D$3:D$502="INR")*(Income!A$3:A$502=DATE(2026,5,19)),ROW(Income!A$3:A$502)-2),3)),0)=0,"",IFERROR(-INDEX(Expenses!D$3:D$999,SMALL(IF((Expenses!E$3:E$999="INR")*(Expenses!A$3:A$999=DATE(2026,5,19)),ROW(Expenses!A$3:A$999)-2),3)),0)+IFERROR(INDEX(Income!C$3:C$502,SMALL(IF((Income!D$3:D$502="INR")*(Income!A$3:A$502=DATE(2026,5,19)),ROW(Income!A$3:A$502)-2),3)),0))</f>
        <v/>
      </c>
      <c r="F106" s="126">
        <f t="array" ref="F106">IF(IFERROR(INDEX(Expenses!B$3:B$999,SMALL(IF((Expenses!E$3:E$999="INR")*(Expenses!A$3:A$999=DATE(2026,5,19)),ROW(Expenses!A$3:A$999)-2),3)),"")&lt;&gt;"",IFERROR(INDEX(Expenses!B$3:B$999,SMALL(IF((Expenses!E$3:E$999="INR")*(Expenses!A$3:A$999=DATE(2026,5,19)),ROW(Expenses!A$3:A$999)-2),3)),""),IF(IFERROR(INDEX(Income!B$3:B$502,SMALL(IF((Income!D$3:D$502="INR")*(Income!A$3:A$502=DATE(2026,5,19)),ROW(Income!A$3:A$502)-2),3)),"")&lt;&gt;"",IFERROR(INDEX(Income!B$3:B$502,SMALL(IF((Income!D$3:D$502="INR")*(Income!A$3:A$502=DATE(2026,5,19)),ROW(Income!A$3:A$502)-2),3)),""),""))</f>
        <v/>
      </c>
      <c r="G106" s="153">
        <f t="array" ref="G106">IF(IFERROR(-INDEX(Expenses!D$3:D$999,SMALL(IF((Expenses!E$3:E$999="INR")*(Expenses!A$3:A$999=DATE(2026,5,20)),ROW(Expenses!A$3:A$999)-2),3)),0)+IFERROR(INDEX(Income!C$3:C$502,SMALL(IF((Income!D$3:D$502="INR")*(Income!A$3:A$502=DATE(2026,5,20)),ROW(Income!A$3:A$502)-2),3)),0)=0,"",IFERROR(-INDEX(Expenses!D$3:D$999,SMALL(IF((Expenses!E$3:E$999="INR")*(Expenses!A$3:A$999=DATE(2026,5,20)),ROW(Expenses!A$3:A$999)-2),3)),0)+IFERROR(INDEX(Income!C$3:C$502,SMALL(IF((Income!D$3:D$502="INR")*(Income!A$3:A$502=DATE(2026,5,20)),ROW(Income!A$3:A$502)-2),3)),0))</f>
        <v/>
      </c>
      <c r="H106" s="126">
        <f t="array" ref="H106">IF(IFERROR(INDEX(Expenses!B$3:B$999,SMALL(IF((Expenses!E$3:E$999="INR")*(Expenses!A$3:A$999=DATE(2026,5,20)),ROW(Expenses!A$3:A$999)-2),3)),"")&lt;&gt;"",IFERROR(INDEX(Expenses!B$3:B$999,SMALL(IF((Expenses!E$3:E$999="INR")*(Expenses!A$3:A$999=DATE(2026,5,20)),ROW(Expenses!A$3:A$999)-2),3)),""),IF(IFERROR(INDEX(Income!B$3:B$502,SMALL(IF((Income!D$3:D$502="INR")*(Income!A$3:A$502=DATE(2026,5,20)),ROW(Income!A$3:A$502)-2),3)),"")&lt;&gt;"",IFERROR(INDEX(Income!B$3:B$502,SMALL(IF((Income!D$3:D$502="INR")*(Income!A$3:A$502=DATE(2026,5,20)),ROW(Income!A$3:A$502)-2),3)),""),""))</f>
        <v/>
      </c>
      <c r="I106" s="153">
        <f t="array" ref="I106">IF(IFERROR(-INDEX(Expenses!D$3:D$999,SMALL(IF((Expenses!E$3:E$999="INR")*(Expenses!A$3:A$999=DATE(2026,5,21)),ROW(Expenses!A$3:A$999)-2),3)),0)+IFERROR(INDEX(Income!C$3:C$502,SMALL(IF((Income!D$3:D$502="INR")*(Income!A$3:A$502=DATE(2026,5,21)),ROW(Income!A$3:A$502)-2),3)),0)=0,"",IFERROR(-INDEX(Expenses!D$3:D$999,SMALL(IF((Expenses!E$3:E$999="INR")*(Expenses!A$3:A$999=DATE(2026,5,21)),ROW(Expenses!A$3:A$999)-2),3)),0)+IFERROR(INDEX(Income!C$3:C$502,SMALL(IF((Income!D$3:D$502="INR")*(Income!A$3:A$502=DATE(2026,5,21)),ROW(Income!A$3:A$502)-2),3)),0))</f>
        <v/>
      </c>
      <c r="J106" s="126">
        <f t="array" ref="J106">IF(IFERROR(INDEX(Expenses!B$3:B$999,SMALL(IF((Expenses!E$3:E$999="INR")*(Expenses!A$3:A$999=DATE(2026,5,21)),ROW(Expenses!A$3:A$999)-2),3)),"")&lt;&gt;"",IFERROR(INDEX(Expenses!B$3:B$999,SMALL(IF((Expenses!E$3:E$999="INR")*(Expenses!A$3:A$999=DATE(2026,5,21)),ROW(Expenses!A$3:A$999)-2),3)),""),IF(IFERROR(INDEX(Income!B$3:B$502,SMALL(IF((Income!D$3:D$502="INR")*(Income!A$3:A$502=DATE(2026,5,21)),ROW(Income!A$3:A$502)-2),3)),"")&lt;&gt;"",IFERROR(INDEX(Income!B$3:B$502,SMALL(IF((Income!D$3:D$502="INR")*(Income!A$3:A$502=DATE(2026,5,21)),ROW(Income!A$3:A$502)-2),3)),""),""))</f>
        <v/>
      </c>
      <c r="K106" s="153">
        <f t="array" ref="K106">IF(IFERROR(-INDEX(Expenses!D$3:D$999,SMALL(IF((Expenses!E$3:E$999="INR")*(Expenses!A$3:A$999=DATE(2026,5,22)),ROW(Expenses!A$3:A$999)-2),3)),0)+IFERROR(INDEX(Income!C$3:C$502,SMALL(IF((Income!D$3:D$502="INR")*(Income!A$3:A$502=DATE(2026,5,22)),ROW(Income!A$3:A$502)-2),3)),0)=0,"",IFERROR(-INDEX(Expenses!D$3:D$999,SMALL(IF((Expenses!E$3:E$999="INR")*(Expenses!A$3:A$999=DATE(2026,5,22)),ROW(Expenses!A$3:A$999)-2),3)),0)+IFERROR(INDEX(Income!C$3:C$502,SMALL(IF((Income!D$3:D$502="INR")*(Income!A$3:A$502=DATE(2026,5,22)),ROW(Income!A$3:A$502)-2),3)),0))</f>
        <v/>
      </c>
      <c r="L106" s="126">
        <f t="array" ref="L106">IF(IFERROR(INDEX(Expenses!B$3:B$999,SMALL(IF((Expenses!E$3:E$999="INR")*(Expenses!A$3:A$999=DATE(2026,5,22)),ROW(Expenses!A$3:A$999)-2),3)),"")&lt;&gt;"",IFERROR(INDEX(Expenses!B$3:B$999,SMALL(IF((Expenses!E$3:E$999="INR")*(Expenses!A$3:A$999=DATE(2026,5,22)),ROW(Expenses!A$3:A$999)-2),3)),""),IF(IFERROR(INDEX(Income!B$3:B$502,SMALL(IF((Income!D$3:D$502="INR")*(Income!A$3:A$502=DATE(2026,5,22)),ROW(Income!A$3:A$502)-2),3)),"")&lt;&gt;"",IFERROR(INDEX(Income!B$3:B$502,SMALL(IF((Income!D$3:D$502="INR")*(Income!A$3:A$502=DATE(2026,5,22)),ROW(Income!A$3:A$502)-2),3)),""),""))</f>
        <v/>
      </c>
      <c r="M106" s="153">
        <f t="array" ref="M106">IF(IFERROR(-INDEX(Expenses!D$3:D$999,SMALL(IF((Expenses!E$3:E$999="INR")*(Expenses!A$3:A$999=DATE(2026,5,23)),ROW(Expenses!A$3:A$999)-2),3)),0)+IFERROR(INDEX(Income!C$3:C$502,SMALL(IF((Income!D$3:D$502="INR")*(Income!A$3:A$502=DATE(2026,5,23)),ROW(Income!A$3:A$502)-2),3)),0)=0,"",IFERROR(-INDEX(Expenses!D$3:D$999,SMALL(IF((Expenses!E$3:E$999="INR")*(Expenses!A$3:A$999=DATE(2026,5,23)),ROW(Expenses!A$3:A$999)-2),3)),0)+IFERROR(INDEX(Income!C$3:C$502,SMALL(IF((Income!D$3:D$502="INR")*(Income!A$3:A$502=DATE(2026,5,23)),ROW(Income!A$3:A$502)-2),3)),0))</f>
        <v/>
      </c>
      <c r="N106" s="126">
        <f t="array" ref="N106">IF(IFERROR(INDEX(Expenses!B$3:B$999,SMALL(IF((Expenses!E$3:E$999="INR")*(Expenses!A$3:A$999=DATE(2026,5,23)),ROW(Expenses!A$3:A$999)-2),3)),"")&lt;&gt;"",IFERROR(INDEX(Expenses!B$3:B$999,SMALL(IF((Expenses!E$3:E$999="INR")*(Expenses!A$3:A$999=DATE(2026,5,23)),ROW(Expenses!A$3:A$999)-2),3)),""),IF(IFERROR(INDEX(Income!B$3:B$502,SMALL(IF((Income!D$3:D$502="INR")*(Income!A$3:A$502=DATE(2026,5,23)),ROW(Income!A$3:A$502)-2),3)),"")&lt;&gt;"",IFERROR(INDEX(Income!B$3:B$502,SMALL(IF((Income!D$3:D$502="INR")*(Income!A$3:A$502=DATE(2026,5,23)),ROW(Income!A$3:A$502)-2),3)),""),""))</f>
        <v/>
      </c>
      <c r="O106" s="153">
        <f t="array" ref="O106">IF(IFERROR(-INDEX(Expenses!D$3:D$999,SMALL(IF((Expenses!E$3:E$999="INR")*(Expenses!A$3:A$999=DATE(2026,5,24)),ROW(Expenses!A$3:A$999)-2),3)),0)+IFERROR(INDEX(Income!C$3:C$502,SMALL(IF((Income!D$3:D$502="INR")*(Income!A$3:A$502=DATE(2026,5,24)),ROW(Income!A$3:A$502)-2),3)),0)=0,"",IFERROR(-INDEX(Expenses!D$3:D$999,SMALL(IF((Expenses!E$3:E$999="INR")*(Expenses!A$3:A$999=DATE(2026,5,24)),ROW(Expenses!A$3:A$999)-2),3)),0)+IFERROR(INDEX(Income!C$3:C$502,SMALL(IF((Income!D$3:D$502="INR")*(Income!A$3:A$502=DATE(2026,5,24)),ROW(Income!A$3:A$502)-2),3)),0))</f>
        <v/>
      </c>
      <c r="P106" s="126">
        <f t="array" ref="P106">IF(IFERROR(INDEX(Expenses!B$3:B$999,SMALL(IF((Expenses!E$3:E$999="INR")*(Expenses!A$3:A$999=DATE(2026,5,24)),ROW(Expenses!A$3:A$999)-2),3)),"")&lt;&gt;"",IFERROR(INDEX(Expenses!B$3:B$999,SMALL(IF((Expenses!E$3:E$999="INR")*(Expenses!A$3:A$999=DATE(2026,5,24)),ROW(Expenses!A$3:A$999)-2),3)),""),IF(IFERROR(INDEX(Income!B$3:B$502,SMALL(IF((Income!D$3:D$502="INR")*(Income!A$3:A$502=DATE(2026,5,24)),ROW(Income!A$3:A$502)-2),3)),"")&lt;&gt;"",IFERROR(INDEX(Income!B$3:B$502,SMALL(IF((Income!D$3:D$502="INR")*(Income!A$3:A$502=DATE(2026,5,24)),ROW(Income!A$3:A$502)-2),3)),""),""))</f>
        <v/>
      </c>
      <c r="Q106" s="9" t="n"/>
      <c r="R106" s="9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68">
      <c r="A107" s="9" t="n"/>
      <c r="B107" s="9" t="n"/>
      <c r="C107" s="153">
        <f t="array" ref="C107">IF(IFERROR(-INDEX(Expenses!D$3:D$999,SMALL(IF((Expenses!E$3:E$999="INR")*(Expenses!A$3:A$999=DATE(2026,5,18)),ROW(Expenses!A$3:A$999)-2),4)),0)+IFERROR(INDEX(Income!C$3:C$502,SMALL(IF((Income!D$3:D$502="INR")*(Income!A$3:A$502=DATE(2026,5,18)),ROW(Income!A$3:A$502)-2),4)),0)=0,"",IFERROR(-INDEX(Expenses!D$3:D$999,SMALL(IF((Expenses!E$3:E$999="INR")*(Expenses!A$3:A$999=DATE(2026,5,18)),ROW(Expenses!A$3:A$999)-2),4)),0)+IFERROR(INDEX(Income!C$3:C$502,SMALL(IF((Income!D$3:D$502="INR")*(Income!A$3:A$502=DATE(2026,5,18)),ROW(Income!A$3:A$502)-2),4)),0))</f>
        <v/>
      </c>
      <c r="D107" s="126">
        <f t="array" ref="D107">IF(IFERROR(INDEX(Expenses!B$3:B$999,SMALL(IF((Expenses!E$3:E$999="INR")*(Expenses!A$3:A$999=DATE(2026,5,18)),ROW(Expenses!A$3:A$999)-2),4)),"")&lt;&gt;"",IFERROR(INDEX(Expenses!B$3:B$999,SMALL(IF((Expenses!E$3:E$999="INR")*(Expenses!A$3:A$999=DATE(2026,5,18)),ROW(Expenses!A$3:A$999)-2),4)),""),IF(IFERROR(INDEX(Income!B$3:B$502,SMALL(IF((Income!D$3:D$502="INR")*(Income!A$3:A$502=DATE(2026,5,18)),ROW(Income!A$3:A$502)-2),4)),"")&lt;&gt;"",IFERROR(INDEX(Income!B$3:B$502,SMALL(IF((Income!D$3:D$502="INR")*(Income!A$3:A$502=DATE(2026,5,18)),ROW(Income!A$3:A$502)-2),4)),""),""))</f>
        <v/>
      </c>
      <c r="E107" s="153">
        <f t="array" ref="E107">IF(IFERROR(-INDEX(Expenses!D$3:D$999,SMALL(IF((Expenses!E$3:E$999="INR")*(Expenses!A$3:A$999=DATE(2026,5,19)),ROW(Expenses!A$3:A$999)-2),4)),0)+IFERROR(INDEX(Income!C$3:C$502,SMALL(IF((Income!D$3:D$502="INR")*(Income!A$3:A$502=DATE(2026,5,19)),ROW(Income!A$3:A$502)-2),4)),0)=0,"",IFERROR(-INDEX(Expenses!D$3:D$999,SMALL(IF((Expenses!E$3:E$999="INR")*(Expenses!A$3:A$999=DATE(2026,5,19)),ROW(Expenses!A$3:A$999)-2),4)),0)+IFERROR(INDEX(Income!C$3:C$502,SMALL(IF((Income!D$3:D$502="INR")*(Income!A$3:A$502=DATE(2026,5,19)),ROW(Income!A$3:A$502)-2),4)),0))</f>
        <v/>
      </c>
      <c r="F107" s="126">
        <f t="array" ref="F107">IF(IFERROR(INDEX(Expenses!B$3:B$999,SMALL(IF((Expenses!E$3:E$999="INR")*(Expenses!A$3:A$999=DATE(2026,5,19)),ROW(Expenses!A$3:A$999)-2),4)),"")&lt;&gt;"",IFERROR(INDEX(Expenses!B$3:B$999,SMALL(IF((Expenses!E$3:E$999="INR")*(Expenses!A$3:A$999=DATE(2026,5,19)),ROW(Expenses!A$3:A$999)-2),4)),""),IF(IFERROR(INDEX(Income!B$3:B$502,SMALL(IF((Income!D$3:D$502="INR")*(Income!A$3:A$502=DATE(2026,5,19)),ROW(Income!A$3:A$502)-2),4)),"")&lt;&gt;"",IFERROR(INDEX(Income!B$3:B$502,SMALL(IF((Income!D$3:D$502="INR")*(Income!A$3:A$502=DATE(2026,5,19)),ROW(Income!A$3:A$502)-2),4)),""),""))</f>
        <v/>
      </c>
      <c r="G107" s="153">
        <f t="array" ref="G107">IF(IFERROR(-INDEX(Expenses!D$3:D$999,SMALL(IF((Expenses!E$3:E$999="INR")*(Expenses!A$3:A$999=DATE(2026,5,20)),ROW(Expenses!A$3:A$999)-2),4)),0)+IFERROR(INDEX(Income!C$3:C$502,SMALL(IF((Income!D$3:D$502="INR")*(Income!A$3:A$502=DATE(2026,5,20)),ROW(Income!A$3:A$502)-2),4)),0)=0,"",IFERROR(-INDEX(Expenses!D$3:D$999,SMALL(IF((Expenses!E$3:E$999="INR")*(Expenses!A$3:A$999=DATE(2026,5,20)),ROW(Expenses!A$3:A$999)-2),4)),0)+IFERROR(INDEX(Income!C$3:C$502,SMALL(IF((Income!D$3:D$502="INR")*(Income!A$3:A$502=DATE(2026,5,20)),ROW(Income!A$3:A$502)-2),4)),0))</f>
        <v/>
      </c>
      <c r="H107" s="126">
        <f t="array" ref="H107">IF(IFERROR(INDEX(Expenses!B$3:B$999,SMALL(IF((Expenses!E$3:E$999="INR")*(Expenses!A$3:A$999=DATE(2026,5,20)),ROW(Expenses!A$3:A$999)-2),4)),"")&lt;&gt;"",IFERROR(INDEX(Expenses!B$3:B$999,SMALL(IF((Expenses!E$3:E$999="INR")*(Expenses!A$3:A$999=DATE(2026,5,20)),ROW(Expenses!A$3:A$999)-2),4)),""),IF(IFERROR(INDEX(Income!B$3:B$502,SMALL(IF((Income!D$3:D$502="INR")*(Income!A$3:A$502=DATE(2026,5,20)),ROW(Income!A$3:A$502)-2),4)),"")&lt;&gt;"",IFERROR(INDEX(Income!B$3:B$502,SMALL(IF((Income!D$3:D$502="INR")*(Income!A$3:A$502=DATE(2026,5,20)),ROW(Income!A$3:A$502)-2),4)),""),""))</f>
        <v/>
      </c>
      <c r="I107" s="153">
        <f t="array" ref="I107">IF(IFERROR(-INDEX(Expenses!D$3:D$999,SMALL(IF((Expenses!E$3:E$999="INR")*(Expenses!A$3:A$999=DATE(2026,5,21)),ROW(Expenses!A$3:A$999)-2),4)),0)+IFERROR(INDEX(Income!C$3:C$502,SMALL(IF((Income!D$3:D$502="INR")*(Income!A$3:A$502=DATE(2026,5,21)),ROW(Income!A$3:A$502)-2),4)),0)=0,"",IFERROR(-INDEX(Expenses!D$3:D$999,SMALL(IF((Expenses!E$3:E$999="INR")*(Expenses!A$3:A$999=DATE(2026,5,21)),ROW(Expenses!A$3:A$999)-2),4)),0)+IFERROR(INDEX(Income!C$3:C$502,SMALL(IF((Income!D$3:D$502="INR")*(Income!A$3:A$502=DATE(2026,5,21)),ROW(Income!A$3:A$502)-2),4)),0))</f>
        <v/>
      </c>
      <c r="J107" s="126">
        <f t="array" ref="J107">IF(IFERROR(INDEX(Expenses!B$3:B$999,SMALL(IF((Expenses!E$3:E$999="INR")*(Expenses!A$3:A$999=DATE(2026,5,21)),ROW(Expenses!A$3:A$999)-2),4)),"")&lt;&gt;"",IFERROR(INDEX(Expenses!B$3:B$999,SMALL(IF((Expenses!E$3:E$999="INR")*(Expenses!A$3:A$999=DATE(2026,5,21)),ROW(Expenses!A$3:A$999)-2),4)),""),IF(IFERROR(INDEX(Income!B$3:B$502,SMALL(IF((Income!D$3:D$502="INR")*(Income!A$3:A$502=DATE(2026,5,21)),ROW(Income!A$3:A$502)-2),4)),"")&lt;&gt;"",IFERROR(INDEX(Income!B$3:B$502,SMALL(IF((Income!D$3:D$502="INR")*(Income!A$3:A$502=DATE(2026,5,21)),ROW(Income!A$3:A$502)-2),4)),""),""))</f>
        <v/>
      </c>
      <c r="K107" s="153">
        <f t="array" ref="K107">IF(IFERROR(-INDEX(Expenses!D$3:D$999,SMALL(IF((Expenses!E$3:E$999="INR")*(Expenses!A$3:A$999=DATE(2026,5,22)),ROW(Expenses!A$3:A$999)-2),4)),0)+IFERROR(INDEX(Income!C$3:C$502,SMALL(IF((Income!D$3:D$502="INR")*(Income!A$3:A$502=DATE(2026,5,22)),ROW(Income!A$3:A$502)-2),4)),0)=0,"",IFERROR(-INDEX(Expenses!D$3:D$999,SMALL(IF((Expenses!E$3:E$999="INR")*(Expenses!A$3:A$999=DATE(2026,5,22)),ROW(Expenses!A$3:A$999)-2),4)),0)+IFERROR(INDEX(Income!C$3:C$502,SMALL(IF((Income!D$3:D$502="INR")*(Income!A$3:A$502=DATE(2026,5,22)),ROW(Income!A$3:A$502)-2),4)),0))</f>
        <v/>
      </c>
      <c r="L107" s="126">
        <f t="array" ref="L107">IF(IFERROR(INDEX(Expenses!B$3:B$999,SMALL(IF((Expenses!E$3:E$999="INR")*(Expenses!A$3:A$999=DATE(2026,5,22)),ROW(Expenses!A$3:A$999)-2),4)),"")&lt;&gt;"",IFERROR(INDEX(Expenses!B$3:B$999,SMALL(IF((Expenses!E$3:E$999="INR")*(Expenses!A$3:A$999=DATE(2026,5,22)),ROW(Expenses!A$3:A$999)-2),4)),""),IF(IFERROR(INDEX(Income!B$3:B$502,SMALL(IF((Income!D$3:D$502="INR")*(Income!A$3:A$502=DATE(2026,5,22)),ROW(Income!A$3:A$502)-2),4)),"")&lt;&gt;"",IFERROR(INDEX(Income!B$3:B$502,SMALL(IF((Income!D$3:D$502="INR")*(Income!A$3:A$502=DATE(2026,5,22)),ROW(Income!A$3:A$502)-2),4)),""),""))</f>
        <v/>
      </c>
      <c r="M107" s="153">
        <f t="array" ref="M107">IF(IFERROR(-INDEX(Expenses!D$3:D$999,SMALL(IF((Expenses!E$3:E$999="INR")*(Expenses!A$3:A$999=DATE(2026,5,23)),ROW(Expenses!A$3:A$999)-2),4)),0)+IFERROR(INDEX(Income!C$3:C$502,SMALL(IF((Income!D$3:D$502="INR")*(Income!A$3:A$502=DATE(2026,5,23)),ROW(Income!A$3:A$502)-2),4)),0)=0,"",IFERROR(-INDEX(Expenses!D$3:D$999,SMALL(IF((Expenses!E$3:E$999="INR")*(Expenses!A$3:A$999=DATE(2026,5,23)),ROW(Expenses!A$3:A$999)-2),4)),0)+IFERROR(INDEX(Income!C$3:C$502,SMALL(IF((Income!D$3:D$502="INR")*(Income!A$3:A$502=DATE(2026,5,23)),ROW(Income!A$3:A$502)-2),4)),0))</f>
        <v/>
      </c>
      <c r="N107" s="126">
        <f t="array" ref="N107">IF(IFERROR(INDEX(Expenses!B$3:B$999,SMALL(IF((Expenses!E$3:E$999="INR")*(Expenses!A$3:A$999=DATE(2026,5,23)),ROW(Expenses!A$3:A$999)-2),4)),"")&lt;&gt;"",IFERROR(INDEX(Expenses!B$3:B$999,SMALL(IF((Expenses!E$3:E$999="INR")*(Expenses!A$3:A$999=DATE(2026,5,23)),ROW(Expenses!A$3:A$999)-2),4)),""),IF(IFERROR(INDEX(Income!B$3:B$502,SMALL(IF((Income!D$3:D$502="INR")*(Income!A$3:A$502=DATE(2026,5,23)),ROW(Income!A$3:A$502)-2),4)),"")&lt;&gt;"",IFERROR(INDEX(Income!B$3:B$502,SMALL(IF((Income!D$3:D$502="INR")*(Income!A$3:A$502=DATE(2026,5,23)),ROW(Income!A$3:A$502)-2),4)),""),""))</f>
        <v/>
      </c>
      <c r="O107" s="153">
        <f t="array" ref="O107">IF(IFERROR(-INDEX(Expenses!D$3:D$999,SMALL(IF((Expenses!E$3:E$999="INR")*(Expenses!A$3:A$999=DATE(2026,5,24)),ROW(Expenses!A$3:A$999)-2),4)),0)+IFERROR(INDEX(Income!C$3:C$502,SMALL(IF((Income!D$3:D$502="INR")*(Income!A$3:A$502=DATE(2026,5,24)),ROW(Income!A$3:A$502)-2),4)),0)=0,"",IFERROR(-INDEX(Expenses!D$3:D$999,SMALL(IF((Expenses!E$3:E$999="INR")*(Expenses!A$3:A$999=DATE(2026,5,24)),ROW(Expenses!A$3:A$999)-2),4)),0)+IFERROR(INDEX(Income!C$3:C$502,SMALL(IF((Income!D$3:D$502="INR")*(Income!A$3:A$502=DATE(2026,5,24)),ROW(Income!A$3:A$502)-2),4)),0))</f>
        <v/>
      </c>
      <c r="P107" s="126">
        <f t="array" ref="P107">IF(IFERROR(INDEX(Expenses!B$3:B$999,SMALL(IF((Expenses!E$3:E$999="INR")*(Expenses!A$3:A$999=DATE(2026,5,24)),ROW(Expenses!A$3:A$999)-2),4)),"")&lt;&gt;"",IFERROR(INDEX(Expenses!B$3:B$999,SMALL(IF((Expenses!E$3:E$999="INR")*(Expenses!A$3:A$999=DATE(2026,5,24)),ROW(Expenses!A$3:A$999)-2),4)),""),IF(IFERROR(INDEX(Income!B$3:B$502,SMALL(IF((Income!D$3:D$502="INR")*(Income!A$3:A$502=DATE(2026,5,24)),ROW(Income!A$3:A$502)-2),4)),"")&lt;&gt;"",IFERROR(INDEX(Income!B$3:B$502,SMALL(IF((Income!D$3:D$502="INR")*(Income!A$3:A$502=DATE(2026,5,24)),ROW(Income!A$3:A$502)-2),4)),""),""))</f>
        <v/>
      </c>
      <c r="Q107" s="9" t="n"/>
      <c r="R107" s="9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68">
      <c r="A108" s="9" t="n"/>
      <c r="B108" s="9" t="n"/>
      <c r="C108" s="153">
        <f t="array" ref="C108">IF(IFERROR(-INDEX(Expenses!D$3:D$999,SMALL(IF((Expenses!E$3:E$999="INR")*(Expenses!A$3:A$999=DATE(2026,5,18)),ROW(Expenses!A$3:A$999)-2),5)),0)+IFERROR(INDEX(Income!C$3:C$502,SMALL(IF((Income!D$3:D$502="INR")*(Income!A$3:A$502=DATE(2026,5,18)),ROW(Income!A$3:A$502)-2),5)),0)=0,"",IFERROR(-INDEX(Expenses!D$3:D$999,SMALL(IF((Expenses!E$3:E$999="INR")*(Expenses!A$3:A$999=DATE(2026,5,18)),ROW(Expenses!A$3:A$999)-2),5)),0)+IFERROR(INDEX(Income!C$3:C$502,SMALL(IF((Income!D$3:D$502="INR")*(Income!A$3:A$502=DATE(2026,5,18)),ROW(Income!A$3:A$502)-2),5)),0))</f>
        <v/>
      </c>
      <c r="D108" s="126">
        <f t="array" ref="D108">IF(IFERROR(INDEX(Expenses!B$3:B$999,SMALL(IF((Expenses!E$3:E$999="INR")*(Expenses!A$3:A$999=DATE(2026,5,18)),ROW(Expenses!A$3:A$999)-2),5)),"")&lt;&gt;"",IFERROR(INDEX(Expenses!B$3:B$999,SMALL(IF((Expenses!E$3:E$999="INR")*(Expenses!A$3:A$999=DATE(2026,5,18)),ROW(Expenses!A$3:A$999)-2),5)),""),IF(IFERROR(INDEX(Income!B$3:B$502,SMALL(IF((Income!D$3:D$502="INR")*(Income!A$3:A$502=DATE(2026,5,18)),ROW(Income!A$3:A$502)-2),5)),"")&lt;&gt;"",IFERROR(INDEX(Income!B$3:B$502,SMALL(IF((Income!D$3:D$502="INR")*(Income!A$3:A$502=DATE(2026,5,18)),ROW(Income!A$3:A$502)-2),5)),""),""))</f>
        <v/>
      </c>
      <c r="E108" s="153">
        <f t="array" ref="E108">IF(IFERROR(-INDEX(Expenses!D$3:D$999,SMALL(IF((Expenses!E$3:E$999="INR")*(Expenses!A$3:A$999=DATE(2026,5,19)),ROW(Expenses!A$3:A$999)-2),5)),0)+IFERROR(INDEX(Income!C$3:C$502,SMALL(IF((Income!D$3:D$502="INR")*(Income!A$3:A$502=DATE(2026,5,19)),ROW(Income!A$3:A$502)-2),5)),0)=0,"",IFERROR(-INDEX(Expenses!D$3:D$999,SMALL(IF((Expenses!E$3:E$999="INR")*(Expenses!A$3:A$999=DATE(2026,5,19)),ROW(Expenses!A$3:A$999)-2),5)),0)+IFERROR(INDEX(Income!C$3:C$502,SMALL(IF((Income!D$3:D$502="INR")*(Income!A$3:A$502=DATE(2026,5,19)),ROW(Income!A$3:A$502)-2),5)),0))</f>
        <v/>
      </c>
      <c r="F108" s="126">
        <f t="array" ref="F108">IF(IFERROR(INDEX(Expenses!B$3:B$999,SMALL(IF((Expenses!E$3:E$999="INR")*(Expenses!A$3:A$999=DATE(2026,5,19)),ROW(Expenses!A$3:A$999)-2),5)),"")&lt;&gt;"",IFERROR(INDEX(Expenses!B$3:B$999,SMALL(IF((Expenses!E$3:E$999="INR")*(Expenses!A$3:A$999=DATE(2026,5,19)),ROW(Expenses!A$3:A$999)-2),5)),""),IF(IFERROR(INDEX(Income!B$3:B$502,SMALL(IF((Income!D$3:D$502="INR")*(Income!A$3:A$502=DATE(2026,5,19)),ROW(Income!A$3:A$502)-2),5)),"")&lt;&gt;"",IFERROR(INDEX(Income!B$3:B$502,SMALL(IF((Income!D$3:D$502="INR")*(Income!A$3:A$502=DATE(2026,5,19)),ROW(Income!A$3:A$502)-2),5)),""),""))</f>
        <v/>
      </c>
      <c r="G108" s="153">
        <f t="array" ref="G108">IF(IFERROR(-INDEX(Expenses!D$3:D$999,SMALL(IF((Expenses!E$3:E$999="INR")*(Expenses!A$3:A$999=DATE(2026,5,20)),ROW(Expenses!A$3:A$999)-2),5)),0)+IFERROR(INDEX(Income!C$3:C$502,SMALL(IF((Income!D$3:D$502="INR")*(Income!A$3:A$502=DATE(2026,5,20)),ROW(Income!A$3:A$502)-2),5)),0)=0,"",IFERROR(-INDEX(Expenses!D$3:D$999,SMALL(IF((Expenses!E$3:E$999="INR")*(Expenses!A$3:A$999=DATE(2026,5,20)),ROW(Expenses!A$3:A$999)-2),5)),0)+IFERROR(INDEX(Income!C$3:C$502,SMALL(IF((Income!D$3:D$502="INR")*(Income!A$3:A$502=DATE(2026,5,20)),ROW(Income!A$3:A$502)-2),5)),0))</f>
        <v/>
      </c>
      <c r="H108" s="126">
        <f t="array" ref="H108">IF(IFERROR(INDEX(Expenses!B$3:B$999,SMALL(IF((Expenses!E$3:E$999="INR")*(Expenses!A$3:A$999=DATE(2026,5,20)),ROW(Expenses!A$3:A$999)-2),5)),"")&lt;&gt;"",IFERROR(INDEX(Expenses!B$3:B$999,SMALL(IF((Expenses!E$3:E$999="INR")*(Expenses!A$3:A$999=DATE(2026,5,20)),ROW(Expenses!A$3:A$999)-2),5)),""),IF(IFERROR(INDEX(Income!B$3:B$502,SMALL(IF((Income!D$3:D$502="INR")*(Income!A$3:A$502=DATE(2026,5,20)),ROW(Income!A$3:A$502)-2),5)),"")&lt;&gt;"",IFERROR(INDEX(Income!B$3:B$502,SMALL(IF((Income!D$3:D$502="INR")*(Income!A$3:A$502=DATE(2026,5,20)),ROW(Income!A$3:A$502)-2),5)),""),""))</f>
        <v/>
      </c>
      <c r="I108" s="153">
        <f t="array" ref="I108">IF(IFERROR(-INDEX(Expenses!D$3:D$999,SMALL(IF((Expenses!E$3:E$999="INR")*(Expenses!A$3:A$999=DATE(2026,5,21)),ROW(Expenses!A$3:A$999)-2),5)),0)+IFERROR(INDEX(Income!C$3:C$502,SMALL(IF((Income!D$3:D$502="INR")*(Income!A$3:A$502=DATE(2026,5,21)),ROW(Income!A$3:A$502)-2),5)),0)=0,"",IFERROR(-INDEX(Expenses!D$3:D$999,SMALL(IF((Expenses!E$3:E$999="INR")*(Expenses!A$3:A$999=DATE(2026,5,21)),ROW(Expenses!A$3:A$999)-2),5)),0)+IFERROR(INDEX(Income!C$3:C$502,SMALL(IF((Income!D$3:D$502="INR")*(Income!A$3:A$502=DATE(2026,5,21)),ROW(Income!A$3:A$502)-2),5)),0))</f>
        <v/>
      </c>
      <c r="J108" s="126">
        <f t="array" ref="J108">IF(IFERROR(INDEX(Expenses!B$3:B$999,SMALL(IF((Expenses!E$3:E$999="INR")*(Expenses!A$3:A$999=DATE(2026,5,21)),ROW(Expenses!A$3:A$999)-2),5)),"")&lt;&gt;"",IFERROR(INDEX(Expenses!B$3:B$999,SMALL(IF((Expenses!E$3:E$999="INR")*(Expenses!A$3:A$999=DATE(2026,5,21)),ROW(Expenses!A$3:A$999)-2),5)),""),IF(IFERROR(INDEX(Income!B$3:B$502,SMALL(IF((Income!D$3:D$502="INR")*(Income!A$3:A$502=DATE(2026,5,21)),ROW(Income!A$3:A$502)-2),5)),"")&lt;&gt;"",IFERROR(INDEX(Income!B$3:B$502,SMALL(IF((Income!D$3:D$502="INR")*(Income!A$3:A$502=DATE(2026,5,21)),ROW(Income!A$3:A$502)-2),5)),""),""))</f>
        <v/>
      </c>
      <c r="K108" s="153">
        <f t="array" ref="K108">IF(IFERROR(-INDEX(Expenses!D$3:D$999,SMALL(IF((Expenses!E$3:E$999="INR")*(Expenses!A$3:A$999=DATE(2026,5,22)),ROW(Expenses!A$3:A$999)-2),5)),0)+IFERROR(INDEX(Income!C$3:C$502,SMALL(IF((Income!D$3:D$502="INR")*(Income!A$3:A$502=DATE(2026,5,22)),ROW(Income!A$3:A$502)-2),5)),0)=0,"",IFERROR(-INDEX(Expenses!D$3:D$999,SMALL(IF((Expenses!E$3:E$999="INR")*(Expenses!A$3:A$999=DATE(2026,5,22)),ROW(Expenses!A$3:A$999)-2),5)),0)+IFERROR(INDEX(Income!C$3:C$502,SMALL(IF((Income!D$3:D$502="INR")*(Income!A$3:A$502=DATE(2026,5,22)),ROW(Income!A$3:A$502)-2),5)),0))</f>
        <v/>
      </c>
      <c r="L108" s="126">
        <f t="array" ref="L108">IF(IFERROR(INDEX(Expenses!B$3:B$999,SMALL(IF((Expenses!E$3:E$999="INR")*(Expenses!A$3:A$999=DATE(2026,5,22)),ROW(Expenses!A$3:A$999)-2),5)),"")&lt;&gt;"",IFERROR(INDEX(Expenses!B$3:B$999,SMALL(IF((Expenses!E$3:E$999="INR")*(Expenses!A$3:A$999=DATE(2026,5,22)),ROW(Expenses!A$3:A$999)-2),5)),""),IF(IFERROR(INDEX(Income!B$3:B$502,SMALL(IF((Income!D$3:D$502="INR")*(Income!A$3:A$502=DATE(2026,5,22)),ROW(Income!A$3:A$502)-2),5)),"")&lt;&gt;"",IFERROR(INDEX(Income!B$3:B$502,SMALL(IF((Income!D$3:D$502="INR")*(Income!A$3:A$502=DATE(2026,5,22)),ROW(Income!A$3:A$502)-2),5)),""),""))</f>
        <v/>
      </c>
      <c r="M108" s="153">
        <f t="array" ref="M108">IF(IFERROR(-INDEX(Expenses!D$3:D$999,SMALL(IF((Expenses!E$3:E$999="INR")*(Expenses!A$3:A$999=DATE(2026,5,23)),ROW(Expenses!A$3:A$999)-2),5)),0)+IFERROR(INDEX(Income!C$3:C$502,SMALL(IF((Income!D$3:D$502="INR")*(Income!A$3:A$502=DATE(2026,5,23)),ROW(Income!A$3:A$502)-2),5)),0)=0,"",IFERROR(-INDEX(Expenses!D$3:D$999,SMALL(IF((Expenses!E$3:E$999="INR")*(Expenses!A$3:A$999=DATE(2026,5,23)),ROW(Expenses!A$3:A$999)-2),5)),0)+IFERROR(INDEX(Income!C$3:C$502,SMALL(IF((Income!D$3:D$502="INR")*(Income!A$3:A$502=DATE(2026,5,23)),ROW(Income!A$3:A$502)-2),5)),0))</f>
        <v/>
      </c>
      <c r="N108" s="126">
        <f t="array" ref="N108">IF(IFERROR(INDEX(Expenses!B$3:B$999,SMALL(IF((Expenses!E$3:E$999="INR")*(Expenses!A$3:A$999=DATE(2026,5,23)),ROW(Expenses!A$3:A$999)-2),5)),"")&lt;&gt;"",IFERROR(INDEX(Expenses!B$3:B$999,SMALL(IF((Expenses!E$3:E$999="INR")*(Expenses!A$3:A$999=DATE(2026,5,23)),ROW(Expenses!A$3:A$999)-2),5)),""),IF(IFERROR(INDEX(Income!B$3:B$502,SMALL(IF((Income!D$3:D$502="INR")*(Income!A$3:A$502=DATE(2026,5,23)),ROW(Income!A$3:A$502)-2),5)),"")&lt;&gt;"",IFERROR(INDEX(Income!B$3:B$502,SMALL(IF((Income!D$3:D$502="INR")*(Income!A$3:A$502=DATE(2026,5,23)),ROW(Income!A$3:A$502)-2),5)),""),""))</f>
        <v/>
      </c>
      <c r="O108" s="153">
        <f t="array" ref="O108">IF(IFERROR(-INDEX(Expenses!D$3:D$999,SMALL(IF((Expenses!E$3:E$999="INR")*(Expenses!A$3:A$999=DATE(2026,5,24)),ROW(Expenses!A$3:A$999)-2),5)),0)+IFERROR(INDEX(Income!C$3:C$502,SMALL(IF((Income!D$3:D$502="INR")*(Income!A$3:A$502=DATE(2026,5,24)),ROW(Income!A$3:A$502)-2),5)),0)=0,"",IFERROR(-INDEX(Expenses!D$3:D$999,SMALL(IF((Expenses!E$3:E$999="INR")*(Expenses!A$3:A$999=DATE(2026,5,24)),ROW(Expenses!A$3:A$999)-2),5)),0)+IFERROR(INDEX(Income!C$3:C$502,SMALL(IF((Income!D$3:D$502="INR")*(Income!A$3:A$502=DATE(2026,5,24)),ROW(Income!A$3:A$502)-2),5)),0))</f>
        <v/>
      </c>
      <c r="P108" s="126">
        <f t="array" ref="P108">IF(IFERROR(INDEX(Expenses!B$3:B$999,SMALL(IF((Expenses!E$3:E$999="INR")*(Expenses!A$3:A$999=DATE(2026,5,24)),ROW(Expenses!A$3:A$999)-2),5)),"")&lt;&gt;"",IFERROR(INDEX(Expenses!B$3:B$999,SMALL(IF((Expenses!E$3:E$999="INR")*(Expenses!A$3:A$999=DATE(2026,5,24)),ROW(Expenses!A$3:A$999)-2),5)),""),IF(IFERROR(INDEX(Income!B$3:B$502,SMALL(IF((Income!D$3:D$502="INR")*(Income!A$3:A$502=DATE(2026,5,24)),ROW(Income!A$3:A$502)-2),5)),"")&lt;&gt;"",IFERROR(INDEX(Income!B$3:B$502,SMALL(IF((Income!D$3:D$502="INR")*(Income!A$3:A$502=DATE(2026,5,24)),ROW(Income!A$3:A$502)-2),5)),""),""))</f>
        <v/>
      </c>
      <c r="Q108" s="9" t="n"/>
      <c r="R108" s="9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68">
      <c r="A109" s="151" t="n">
        <v>46167</v>
      </c>
      <c r="B109" s="103" t="n">
        <v>22</v>
      </c>
      <c r="C109" s="153">
        <f t="array" ref="C109">IF(IFERROR(-INDEX(Expenses!D$3:D$999,SMALL(IF((Expenses!E$3:E$999="INR")*(Expenses!A$3:A$999=DATE(2026,5,25)),ROW(Expenses!A$3:A$999)-2),1)),0)+IFERROR(INDEX(Income!C$3:C$502,SMALL(IF((Income!D$3:D$502="INR")*(Income!A$3:A$502=DATE(2026,5,25)),ROW(Income!A$3:A$502)-2),1)),0)=0,"",IFERROR(-INDEX(Expenses!D$3:D$999,SMALL(IF((Expenses!E$3:E$999="INR")*(Expenses!A$3:A$999=DATE(2026,5,25)),ROW(Expenses!A$3:A$999)-2),1)),0)+IFERROR(INDEX(Income!C$3:C$502,SMALL(IF((Income!D$3:D$502="INR")*(Income!A$3:A$502=DATE(2026,5,25)),ROW(Income!A$3:A$502)-2),1)),0))</f>
        <v/>
      </c>
      <c r="D109" s="126">
        <f t="array" ref="D109">IF(IFERROR(INDEX(Expenses!B$3:B$999,SMALL(IF((Expenses!E$3:E$999="INR")*(Expenses!A$3:A$999=DATE(2026,5,25)),ROW(Expenses!A$3:A$999)-2),1)),"")&lt;&gt;"",IFERROR(INDEX(Expenses!B$3:B$999,SMALL(IF((Expenses!E$3:E$999="INR")*(Expenses!A$3:A$999=DATE(2026,5,25)),ROW(Expenses!A$3:A$999)-2),1)),""),IF(IFERROR(INDEX(Income!B$3:B$502,SMALL(IF((Income!D$3:D$502="INR")*(Income!A$3:A$502=DATE(2026,5,25)),ROW(Income!A$3:A$502)-2),1)),"")&lt;&gt;"",IFERROR(INDEX(Income!B$3:B$502,SMALL(IF((Income!D$3:D$502="INR")*(Income!A$3:A$502=DATE(2026,5,25)),ROW(Income!A$3:A$502)-2),1)),""),""))</f>
        <v/>
      </c>
      <c r="E109" s="153">
        <f t="array" ref="E109">IF(IFERROR(-INDEX(Expenses!D$3:D$999,SMALL(IF((Expenses!E$3:E$999="INR")*(Expenses!A$3:A$999=DATE(2026,5,26)),ROW(Expenses!A$3:A$999)-2),1)),0)+IFERROR(INDEX(Income!C$3:C$502,SMALL(IF((Income!D$3:D$502="INR")*(Income!A$3:A$502=DATE(2026,5,26)),ROW(Income!A$3:A$502)-2),1)),0)=0,"",IFERROR(-INDEX(Expenses!D$3:D$999,SMALL(IF((Expenses!E$3:E$999="INR")*(Expenses!A$3:A$999=DATE(2026,5,26)),ROW(Expenses!A$3:A$999)-2),1)),0)+IFERROR(INDEX(Income!C$3:C$502,SMALL(IF((Income!D$3:D$502="INR")*(Income!A$3:A$502=DATE(2026,5,26)),ROW(Income!A$3:A$502)-2),1)),0))</f>
        <v/>
      </c>
      <c r="F109" s="126">
        <f t="array" ref="F109">IF(IFERROR(INDEX(Expenses!B$3:B$999,SMALL(IF((Expenses!E$3:E$999="INR")*(Expenses!A$3:A$999=DATE(2026,5,26)),ROW(Expenses!A$3:A$999)-2),1)),"")&lt;&gt;"",IFERROR(INDEX(Expenses!B$3:B$999,SMALL(IF((Expenses!E$3:E$999="INR")*(Expenses!A$3:A$999=DATE(2026,5,26)),ROW(Expenses!A$3:A$999)-2),1)),""),IF(IFERROR(INDEX(Income!B$3:B$502,SMALL(IF((Income!D$3:D$502="INR")*(Income!A$3:A$502=DATE(2026,5,26)),ROW(Income!A$3:A$502)-2),1)),"")&lt;&gt;"",IFERROR(INDEX(Income!B$3:B$502,SMALL(IF((Income!D$3:D$502="INR")*(Income!A$3:A$502=DATE(2026,5,26)),ROW(Income!A$3:A$502)-2),1)),""),""))</f>
        <v/>
      </c>
      <c r="G109" s="153">
        <f t="array" ref="G109">IF(IFERROR(-INDEX(Expenses!D$3:D$999,SMALL(IF((Expenses!E$3:E$999="INR")*(Expenses!A$3:A$999=DATE(2026,5,27)),ROW(Expenses!A$3:A$999)-2),1)),0)+IFERROR(INDEX(Income!C$3:C$502,SMALL(IF((Income!D$3:D$502="INR")*(Income!A$3:A$502=DATE(2026,5,27)),ROW(Income!A$3:A$502)-2),1)),0)=0,"",IFERROR(-INDEX(Expenses!D$3:D$999,SMALL(IF((Expenses!E$3:E$999="INR")*(Expenses!A$3:A$999=DATE(2026,5,27)),ROW(Expenses!A$3:A$999)-2),1)),0)+IFERROR(INDEX(Income!C$3:C$502,SMALL(IF((Income!D$3:D$502="INR")*(Income!A$3:A$502=DATE(2026,5,27)),ROW(Income!A$3:A$502)-2),1)),0))</f>
        <v/>
      </c>
      <c r="H109" s="126">
        <f t="array" ref="H109">IF(IFERROR(INDEX(Expenses!B$3:B$999,SMALL(IF((Expenses!E$3:E$999="INR")*(Expenses!A$3:A$999=DATE(2026,5,27)),ROW(Expenses!A$3:A$999)-2),1)),"")&lt;&gt;"",IFERROR(INDEX(Expenses!B$3:B$999,SMALL(IF((Expenses!E$3:E$999="INR")*(Expenses!A$3:A$999=DATE(2026,5,27)),ROW(Expenses!A$3:A$999)-2),1)),""),IF(IFERROR(INDEX(Income!B$3:B$502,SMALL(IF((Income!D$3:D$502="INR")*(Income!A$3:A$502=DATE(2026,5,27)),ROW(Income!A$3:A$502)-2),1)),"")&lt;&gt;"",IFERROR(INDEX(Income!B$3:B$502,SMALL(IF((Income!D$3:D$502="INR")*(Income!A$3:A$502=DATE(2026,5,27)),ROW(Income!A$3:A$502)-2),1)),""),""))</f>
        <v/>
      </c>
      <c r="I109" s="153">
        <f t="array" ref="I109">IF(IFERROR(-INDEX(Expenses!D$3:D$999,SMALL(IF((Expenses!E$3:E$999="INR")*(Expenses!A$3:A$999=DATE(2026,5,28)),ROW(Expenses!A$3:A$999)-2),1)),0)+IFERROR(INDEX(Income!C$3:C$502,SMALL(IF((Income!D$3:D$502="INR")*(Income!A$3:A$502=DATE(2026,5,28)),ROW(Income!A$3:A$502)-2),1)),0)=0,"",IFERROR(-INDEX(Expenses!D$3:D$999,SMALL(IF((Expenses!E$3:E$999="INR")*(Expenses!A$3:A$999=DATE(2026,5,28)),ROW(Expenses!A$3:A$999)-2),1)),0)+IFERROR(INDEX(Income!C$3:C$502,SMALL(IF((Income!D$3:D$502="INR")*(Income!A$3:A$502=DATE(2026,5,28)),ROW(Income!A$3:A$502)-2),1)),0))</f>
        <v/>
      </c>
      <c r="J109" s="126">
        <f t="array" ref="J109">IF(IFERROR(INDEX(Expenses!B$3:B$999,SMALL(IF((Expenses!E$3:E$999="INR")*(Expenses!A$3:A$999=DATE(2026,5,28)),ROW(Expenses!A$3:A$999)-2),1)),"")&lt;&gt;"",IFERROR(INDEX(Expenses!B$3:B$999,SMALL(IF((Expenses!E$3:E$999="INR")*(Expenses!A$3:A$999=DATE(2026,5,28)),ROW(Expenses!A$3:A$999)-2),1)),""),IF(IFERROR(INDEX(Income!B$3:B$502,SMALL(IF((Income!D$3:D$502="INR")*(Income!A$3:A$502=DATE(2026,5,28)),ROW(Income!A$3:A$502)-2),1)),"")&lt;&gt;"",IFERROR(INDEX(Income!B$3:B$502,SMALL(IF((Income!D$3:D$502="INR")*(Income!A$3:A$502=DATE(2026,5,28)),ROW(Income!A$3:A$502)-2),1)),""),""))</f>
        <v/>
      </c>
      <c r="K109" s="153">
        <f t="array" ref="K109">IF(IFERROR(-INDEX(Expenses!D$3:D$999,SMALL(IF((Expenses!E$3:E$999="INR")*(Expenses!A$3:A$999=DATE(2026,5,29)),ROW(Expenses!A$3:A$999)-2),1)),0)+IFERROR(INDEX(Income!C$3:C$502,SMALL(IF((Income!D$3:D$502="INR")*(Income!A$3:A$502=DATE(2026,5,29)),ROW(Income!A$3:A$502)-2),1)),0)=0,"",IFERROR(-INDEX(Expenses!D$3:D$999,SMALL(IF((Expenses!E$3:E$999="INR")*(Expenses!A$3:A$999=DATE(2026,5,29)),ROW(Expenses!A$3:A$999)-2),1)),0)+IFERROR(INDEX(Income!C$3:C$502,SMALL(IF((Income!D$3:D$502="INR")*(Income!A$3:A$502=DATE(2026,5,29)),ROW(Income!A$3:A$502)-2),1)),0))</f>
        <v/>
      </c>
      <c r="L109" s="126">
        <f t="array" ref="L109">IF(IFERROR(INDEX(Expenses!B$3:B$999,SMALL(IF((Expenses!E$3:E$999="INR")*(Expenses!A$3:A$999=DATE(2026,5,29)),ROW(Expenses!A$3:A$999)-2),1)),"")&lt;&gt;"",IFERROR(INDEX(Expenses!B$3:B$999,SMALL(IF((Expenses!E$3:E$999="INR")*(Expenses!A$3:A$999=DATE(2026,5,29)),ROW(Expenses!A$3:A$999)-2),1)),""),IF(IFERROR(INDEX(Income!B$3:B$502,SMALL(IF((Income!D$3:D$502="INR")*(Income!A$3:A$502=DATE(2026,5,29)),ROW(Income!A$3:A$502)-2),1)),"")&lt;&gt;"",IFERROR(INDEX(Income!B$3:B$502,SMALL(IF((Income!D$3:D$502="INR")*(Income!A$3:A$502=DATE(2026,5,29)),ROW(Income!A$3:A$502)-2),1)),""),""))</f>
        <v/>
      </c>
      <c r="M109" s="153">
        <f t="array" ref="M109">IF(IFERROR(-INDEX(Expenses!D$3:D$999,SMALL(IF((Expenses!E$3:E$999="INR")*(Expenses!A$3:A$999=DATE(2026,5,30)),ROW(Expenses!A$3:A$999)-2),1)),0)+IFERROR(INDEX(Income!C$3:C$502,SMALL(IF((Income!D$3:D$502="INR")*(Income!A$3:A$502=DATE(2026,5,30)),ROW(Income!A$3:A$502)-2),1)),0)=0,"",IFERROR(-INDEX(Expenses!D$3:D$999,SMALL(IF((Expenses!E$3:E$999="INR")*(Expenses!A$3:A$999=DATE(2026,5,30)),ROW(Expenses!A$3:A$999)-2),1)),0)+IFERROR(INDEX(Income!C$3:C$502,SMALL(IF((Income!D$3:D$502="INR")*(Income!A$3:A$502=DATE(2026,5,30)),ROW(Income!A$3:A$502)-2),1)),0))</f>
        <v/>
      </c>
      <c r="N109" s="126">
        <f t="array" ref="N109">IF(IFERROR(INDEX(Expenses!B$3:B$999,SMALL(IF((Expenses!E$3:E$999="INR")*(Expenses!A$3:A$999=DATE(2026,5,30)),ROW(Expenses!A$3:A$999)-2),1)),"")&lt;&gt;"",IFERROR(INDEX(Expenses!B$3:B$999,SMALL(IF((Expenses!E$3:E$999="INR")*(Expenses!A$3:A$999=DATE(2026,5,30)),ROW(Expenses!A$3:A$999)-2),1)),""),IF(IFERROR(INDEX(Income!B$3:B$502,SMALL(IF((Income!D$3:D$502="INR")*(Income!A$3:A$502=DATE(2026,5,30)),ROW(Income!A$3:A$502)-2),1)),"")&lt;&gt;"",IFERROR(INDEX(Income!B$3:B$502,SMALL(IF((Income!D$3:D$502="INR")*(Income!A$3:A$502=DATE(2026,5,30)),ROW(Income!A$3:A$502)-2),1)),""),""))</f>
        <v/>
      </c>
      <c r="O109" s="153">
        <f t="array" ref="O109">IF(IFERROR(-INDEX(Expenses!D$3:D$999,SMALL(IF((Expenses!E$3:E$999="INR")*(Expenses!A$3:A$999=DATE(2026,5,31)),ROW(Expenses!A$3:A$999)-2),1)),0)+IFERROR(INDEX(Income!C$3:C$502,SMALL(IF((Income!D$3:D$502="INR")*(Income!A$3:A$502=DATE(2026,5,31)),ROW(Income!A$3:A$502)-2),1)),0)=0,"",IFERROR(-INDEX(Expenses!D$3:D$999,SMALL(IF((Expenses!E$3:E$999="INR")*(Expenses!A$3:A$999=DATE(2026,5,31)),ROW(Expenses!A$3:A$999)-2),1)),0)+IFERROR(INDEX(Income!C$3:C$502,SMALL(IF((Income!D$3:D$502="INR")*(Income!A$3:A$502=DATE(2026,5,31)),ROW(Income!A$3:A$502)-2),1)),0))</f>
        <v/>
      </c>
      <c r="P109" s="126">
        <f t="array" ref="P109">IF(IFERROR(INDEX(Expenses!B$3:B$999,SMALL(IF((Expenses!E$3:E$999="INR")*(Expenses!A$3:A$999=DATE(2026,5,31)),ROW(Expenses!A$3:A$999)-2),1)),"")&lt;&gt;"",IFERROR(INDEX(Expenses!B$3:B$999,SMALL(IF((Expenses!E$3:E$999="INR")*(Expenses!A$3:A$999=DATE(2026,5,31)),ROW(Expenses!A$3:A$999)-2),1)),""),IF(IFERROR(INDEX(Income!B$3:B$502,SMALL(IF((Income!D$3:D$502="INR")*(Income!A$3:A$502=DATE(2026,5,31)),ROW(Income!A$3:A$502)-2),1)),"")&lt;&gt;"",IFERROR(INDEX(Income!B$3:B$502,SMALL(IF((Income!D$3:D$502="INR")*(Income!A$3:A$502=DATE(2026,5,31)),ROW(Income!A$3:A$502)-2),1)),""),""))</f>
        <v/>
      </c>
      <c r="Q109" s="103" t="n">
        <v>22</v>
      </c>
      <c r="R109" s="142">
        <f>SUM(C109:C113)+SUM(E109:E113)+SUM(G109:G113)+SUM(I109:I113)+SUM(K109:K113)+SUM(M109:M113)+SUM(O109:O113)</f>
        <v/>
      </c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68">
      <c r="A110" s="9" t="n"/>
      <c r="B110" s="9" t="n"/>
      <c r="C110" s="153">
        <f t="array" ref="C110">IF(IFERROR(-INDEX(Expenses!D$3:D$999,SMALL(IF((Expenses!E$3:E$999="INR")*(Expenses!A$3:A$999=DATE(2026,5,25)),ROW(Expenses!A$3:A$999)-2),2)),0)+IFERROR(INDEX(Income!C$3:C$502,SMALL(IF((Income!D$3:D$502="INR")*(Income!A$3:A$502=DATE(2026,5,25)),ROW(Income!A$3:A$502)-2),2)),0)=0,"",IFERROR(-INDEX(Expenses!D$3:D$999,SMALL(IF((Expenses!E$3:E$999="INR")*(Expenses!A$3:A$999=DATE(2026,5,25)),ROW(Expenses!A$3:A$999)-2),2)),0)+IFERROR(INDEX(Income!C$3:C$502,SMALL(IF((Income!D$3:D$502="INR")*(Income!A$3:A$502=DATE(2026,5,25)),ROW(Income!A$3:A$502)-2),2)),0))</f>
        <v/>
      </c>
      <c r="D110" s="126">
        <f t="array" ref="D110">IF(IFERROR(INDEX(Expenses!B$3:B$999,SMALL(IF((Expenses!E$3:E$999="INR")*(Expenses!A$3:A$999=DATE(2026,5,25)),ROW(Expenses!A$3:A$999)-2),2)),"")&lt;&gt;"",IFERROR(INDEX(Expenses!B$3:B$999,SMALL(IF((Expenses!E$3:E$999="INR")*(Expenses!A$3:A$999=DATE(2026,5,25)),ROW(Expenses!A$3:A$999)-2),2)),""),IF(IFERROR(INDEX(Income!B$3:B$502,SMALL(IF((Income!D$3:D$502="INR")*(Income!A$3:A$502=DATE(2026,5,25)),ROW(Income!A$3:A$502)-2),2)),"")&lt;&gt;"",IFERROR(INDEX(Income!B$3:B$502,SMALL(IF((Income!D$3:D$502="INR")*(Income!A$3:A$502=DATE(2026,5,25)),ROW(Income!A$3:A$502)-2),2)),""),""))</f>
        <v/>
      </c>
      <c r="E110" s="153">
        <f t="array" ref="E110">IF(IFERROR(-INDEX(Expenses!D$3:D$999,SMALL(IF((Expenses!E$3:E$999="INR")*(Expenses!A$3:A$999=DATE(2026,5,26)),ROW(Expenses!A$3:A$999)-2),2)),0)+IFERROR(INDEX(Income!C$3:C$502,SMALL(IF((Income!D$3:D$502="INR")*(Income!A$3:A$502=DATE(2026,5,26)),ROW(Income!A$3:A$502)-2),2)),0)=0,"",IFERROR(-INDEX(Expenses!D$3:D$999,SMALL(IF((Expenses!E$3:E$999="INR")*(Expenses!A$3:A$999=DATE(2026,5,26)),ROW(Expenses!A$3:A$999)-2),2)),0)+IFERROR(INDEX(Income!C$3:C$502,SMALL(IF((Income!D$3:D$502="INR")*(Income!A$3:A$502=DATE(2026,5,26)),ROW(Income!A$3:A$502)-2),2)),0))</f>
        <v/>
      </c>
      <c r="F110" s="126">
        <f t="array" ref="F110">IF(IFERROR(INDEX(Expenses!B$3:B$999,SMALL(IF((Expenses!E$3:E$999="INR")*(Expenses!A$3:A$999=DATE(2026,5,26)),ROW(Expenses!A$3:A$999)-2),2)),"")&lt;&gt;"",IFERROR(INDEX(Expenses!B$3:B$999,SMALL(IF((Expenses!E$3:E$999="INR")*(Expenses!A$3:A$999=DATE(2026,5,26)),ROW(Expenses!A$3:A$999)-2),2)),""),IF(IFERROR(INDEX(Income!B$3:B$502,SMALL(IF((Income!D$3:D$502="INR")*(Income!A$3:A$502=DATE(2026,5,26)),ROW(Income!A$3:A$502)-2),2)),"")&lt;&gt;"",IFERROR(INDEX(Income!B$3:B$502,SMALL(IF((Income!D$3:D$502="INR")*(Income!A$3:A$502=DATE(2026,5,26)),ROW(Income!A$3:A$502)-2),2)),""),""))</f>
        <v/>
      </c>
      <c r="G110" s="153">
        <f t="array" ref="G110">IF(IFERROR(-INDEX(Expenses!D$3:D$999,SMALL(IF((Expenses!E$3:E$999="INR")*(Expenses!A$3:A$999=DATE(2026,5,27)),ROW(Expenses!A$3:A$999)-2),2)),0)+IFERROR(INDEX(Income!C$3:C$502,SMALL(IF((Income!D$3:D$502="INR")*(Income!A$3:A$502=DATE(2026,5,27)),ROW(Income!A$3:A$502)-2),2)),0)=0,"",IFERROR(-INDEX(Expenses!D$3:D$999,SMALL(IF((Expenses!E$3:E$999="INR")*(Expenses!A$3:A$999=DATE(2026,5,27)),ROW(Expenses!A$3:A$999)-2),2)),0)+IFERROR(INDEX(Income!C$3:C$502,SMALL(IF((Income!D$3:D$502="INR")*(Income!A$3:A$502=DATE(2026,5,27)),ROW(Income!A$3:A$502)-2),2)),0))</f>
        <v/>
      </c>
      <c r="H110" s="126">
        <f t="array" ref="H110">IF(IFERROR(INDEX(Expenses!B$3:B$999,SMALL(IF((Expenses!E$3:E$999="INR")*(Expenses!A$3:A$999=DATE(2026,5,27)),ROW(Expenses!A$3:A$999)-2),2)),"")&lt;&gt;"",IFERROR(INDEX(Expenses!B$3:B$999,SMALL(IF((Expenses!E$3:E$999="INR")*(Expenses!A$3:A$999=DATE(2026,5,27)),ROW(Expenses!A$3:A$999)-2),2)),""),IF(IFERROR(INDEX(Income!B$3:B$502,SMALL(IF((Income!D$3:D$502="INR")*(Income!A$3:A$502=DATE(2026,5,27)),ROW(Income!A$3:A$502)-2),2)),"")&lt;&gt;"",IFERROR(INDEX(Income!B$3:B$502,SMALL(IF((Income!D$3:D$502="INR")*(Income!A$3:A$502=DATE(2026,5,27)),ROW(Income!A$3:A$502)-2),2)),""),""))</f>
        <v/>
      </c>
      <c r="I110" s="153">
        <f t="array" ref="I110">IF(IFERROR(-INDEX(Expenses!D$3:D$999,SMALL(IF((Expenses!E$3:E$999="INR")*(Expenses!A$3:A$999=DATE(2026,5,28)),ROW(Expenses!A$3:A$999)-2),2)),0)+IFERROR(INDEX(Income!C$3:C$502,SMALL(IF((Income!D$3:D$502="INR")*(Income!A$3:A$502=DATE(2026,5,28)),ROW(Income!A$3:A$502)-2),2)),0)=0,"",IFERROR(-INDEX(Expenses!D$3:D$999,SMALL(IF((Expenses!E$3:E$999="INR")*(Expenses!A$3:A$999=DATE(2026,5,28)),ROW(Expenses!A$3:A$999)-2),2)),0)+IFERROR(INDEX(Income!C$3:C$502,SMALL(IF((Income!D$3:D$502="INR")*(Income!A$3:A$502=DATE(2026,5,28)),ROW(Income!A$3:A$502)-2),2)),0))</f>
        <v/>
      </c>
      <c r="J110" s="126">
        <f t="array" ref="J110">IF(IFERROR(INDEX(Expenses!B$3:B$999,SMALL(IF((Expenses!E$3:E$999="INR")*(Expenses!A$3:A$999=DATE(2026,5,28)),ROW(Expenses!A$3:A$999)-2),2)),"")&lt;&gt;"",IFERROR(INDEX(Expenses!B$3:B$999,SMALL(IF((Expenses!E$3:E$999="INR")*(Expenses!A$3:A$999=DATE(2026,5,28)),ROW(Expenses!A$3:A$999)-2),2)),""),IF(IFERROR(INDEX(Income!B$3:B$502,SMALL(IF((Income!D$3:D$502="INR")*(Income!A$3:A$502=DATE(2026,5,28)),ROW(Income!A$3:A$502)-2),2)),"")&lt;&gt;"",IFERROR(INDEX(Income!B$3:B$502,SMALL(IF((Income!D$3:D$502="INR")*(Income!A$3:A$502=DATE(2026,5,28)),ROW(Income!A$3:A$502)-2),2)),""),""))</f>
        <v/>
      </c>
      <c r="K110" s="153">
        <f t="array" ref="K110">IF(IFERROR(-INDEX(Expenses!D$3:D$999,SMALL(IF((Expenses!E$3:E$999="INR")*(Expenses!A$3:A$999=DATE(2026,5,29)),ROW(Expenses!A$3:A$999)-2),2)),0)+IFERROR(INDEX(Income!C$3:C$502,SMALL(IF((Income!D$3:D$502="INR")*(Income!A$3:A$502=DATE(2026,5,29)),ROW(Income!A$3:A$502)-2),2)),0)=0,"",IFERROR(-INDEX(Expenses!D$3:D$999,SMALL(IF((Expenses!E$3:E$999="INR")*(Expenses!A$3:A$999=DATE(2026,5,29)),ROW(Expenses!A$3:A$999)-2),2)),0)+IFERROR(INDEX(Income!C$3:C$502,SMALL(IF((Income!D$3:D$502="INR")*(Income!A$3:A$502=DATE(2026,5,29)),ROW(Income!A$3:A$502)-2),2)),0))</f>
        <v/>
      </c>
      <c r="L110" s="126">
        <f t="array" ref="L110">IF(IFERROR(INDEX(Expenses!B$3:B$999,SMALL(IF((Expenses!E$3:E$999="INR")*(Expenses!A$3:A$999=DATE(2026,5,29)),ROW(Expenses!A$3:A$999)-2),2)),"")&lt;&gt;"",IFERROR(INDEX(Expenses!B$3:B$999,SMALL(IF((Expenses!E$3:E$999="INR")*(Expenses!A$3:A$999=DATE(2026,5,29)),ROW(Expenses!A$3:A$999)-2),2)),""),IF(IFERROR(INDEX(Income!B$3:B$502,SMALL(IF((Income!D$3:D$502="INR")*(Income!A$3:A$502=DATE(2026,5,29)),ROW(Income!A$3:A$502)-2),2)),"")&lt;&gt;"",IFERROR(INDEX(Income!B$3:B$502,SMALL(IF((Income!D$3:D$502="INR")*(Income!A$3:A$502=DATE(2026,5,29)),ROW(Income!A$3:A$502)-2),2)),""),""))</f>
        <v/>
      </c>
      <c r="M110" s="153">
        <f t="array" ref="M110">IF(IFERROR(-INDEX(Expenses!D$3:D$999,SMALL(IF((Expenses!E$3:E$999="INR")*(Expenses!A$3:A$999=DATE(2026,5,30)),ROW(Expenses!A$3:A$999)-2),2)),0)+IFERROR(INDEX(Income!C$3:C$502,SMALL(IF((Income!D$3:D$502="INR")*(Income!A$3:A$502=DATE(2026,5,30)),ROW(Income!A$3:A$502)-2),2)),0)=0,"",IFERROR(-INDEX(Expenses!D$3:D$999,SMALL(IF((Expenses!E$3:E$999="INR")*(Expenses!A$3:A$999=DATE(2026,5,30)),ROW(Expenses!A$3:A$999)-2),2)),0)+IFERROR(INDEX(Income!C$3:C$502,SMALL(IF((Income!D$3:D$502="INR")*(Income!A$3:A$502=DATE(2026,5,30)),ROW(Income!A$3:A$502)-2),2)),0))</f>
        <v/>
      </c>
      <c r="N110" s="126">
        <f t="array" ref="N110">IF(IFERROR(INDEX(Expenses!B$3:B$999,SMALL(IF((Expenses!E$3:E$999="INR")*(Expenses!A$3:A$999=DATE(2026,5,30)),ROW(Expenses!A$3:A$999)-2),2)),"")&lt;&gt;"",IFERROR(INDEX(Expenses!B$3:B$999,SMALL(IF((Expenses!E$3:E$999="INR")*(Expenses!A$3:A$999=DATE(2026,5,30)),ROW(Expenses!A$3:A$999)-2),2)),""),IF(IFERROR(INDEX(Income!B$3:B$502,SMALL(IF((Income!D$3:D$502="INR")*(Income!A$3:A$502=DATE(2026,5,30)),ROW(Income!A$3:A$502)-2),2)),"")&lt;&gt;"",IFERROR(INDEX(Income!B$3:B$502,SMALL(IF((Income!D$3:D$502="INR")*(Income!A$3:A$502=DATE(2026,5,30)),ROW(Income!A$3:A$502)-2),2)),""),""))</f>
        <v/>
      </c>
      <c r="O110" s="153">
        <f t="array" ref="O110">IF(IFERROR(-INDEX(Expenses!D$3:D$999,SMALL(IF((Expenses!E$3:E$999="INR")*(Expenses!A$3:A$999=DATE(2026,5,31)),ROW(Expenses!A$3:A$999)-2),2)),0)+IFERROR(INDEX(Income!C$3:C$502,SMALL(IF((Income!D$3:D$502="INR")*(Income!A$3:A$502=DATE(2026,5,31)),ROW(Income!A$3:A$502)-2),2)),0)=0,"",IFERROR(-INDEX(Expenses!D$3:D$999,SMALL(IF((Expenses!E$3:E$999="INR")*(Expenses!A$3:A$999=DATE(2026,5,31)),ROW(Expenses!A$3:A$999)-2),2)),0)+IFERROR(INDEX(Income!C$3:C$502,SMALL(IF((Income!D$3:D$502="INR")*(Income!A$3:A$502=DATE(2026,5,31)),ROW(Income!A$3:A$502)-2),2)),0))</f>
        <v/>
      </c>
      <c r="P110" s="126">
        <f t="array" ref="P110">IF(IFERROR(INDEX(Expenses!B$3:B$999,SMALL(IF((Expenses!E$3:E$999="INR")*(Expenses!A$3:A$999=DATE(2026,5,31)),ROW(Expenses!A$3:A$999)-2),2)),"")&lt;&gt;"",IFERROR(INDEX(Expenses!B$3:B$999,SMALL(IF((Expenses!E$3:E$999="INR")*(Expenses!A$3:A$999=DATE(2026,5,31)),ROW(Expenses!A$3:A$999)-2),2)),""),IF(IFERROR(INDEX(Income!B$3:B$502,SMALL(IF((Income!D$3:D$502="INR")*(Income!A$3:A$502=DATE(2026,5,31)),ROW(Income!A$3:A$502)-2),2)),"")&lt;&gt;"",IFERROR(INDEX(Income!B$3:B$502,SMALL(IF((Income!D$3:D$502="INR")*(Income!A$3:A$502=DATE(2026,5,31)),ROW(Income!A$3:A$502)-2),2)),""),""))</f>
        <v/>
      </c>
      <c r="Q110" s="9" t="n"/>
      <c r="R110" s="9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68">
      <c r="A111" s="9" t="n"/>
      <c r="B111" s="9" t="n"/>
      <c r="C111" s="153">
        <f t="array" ref="C111">IF(IFERROR(-INDEX(Expenses!D$3:D$999,SMALL(IF((Expenses!E$3:E$999="INR")*(Expenses!A$3:A$999=DATE(2026,5,25)),ROW(Expenses!A$3:A$999)-2),3)),0)+IFERROR(INDEX(Income!C$3:C$502,SMALL(IF((Income!D$3:D$502="INR")*(Income!A$3:A$502=DATE(2026,5,25)),ROW(Income!A$3:A$502)-2),3)),0)=0,"",IFERROR(-INDEX(Expenses!D$3:D$999,SMALL(IF((Expenses!E$3:E$999="INR")*(Expenses!A$3:A$999=DATE(2026,5,25)),ROW(Expenses!A$3:A$999)-2),3)),0)+IFERROR(INDEX(Income!C$3:C$502,SMALL(IF((Income!D$3:D$502="INR")*(Income!A$3:A$502=DATE(2026,5,25)),ROW(Income!A$3:A$502)-2),3)),0))</f>
        <v/>
      </c>
      <c r="D111" s="126">
        <f t="array" ref="D111">IF(IFERROR(INDEX(Expenses!B$3:B$999,SMALL(IF((Expenses!E$3:E$999="INR")*(Expenses!A$3:A$999=DATE(2026,5,25)),ROW(Expenses!A$3:A$999)-2),3)),"")&lt;&gt;"",IFERROR(INDEX(Expenses!B$3:B$999,SMALL(IF((Expenses!E$3:E$999="INR")*(Expenses!A$3:A$999=DATE(2026,5,25)),ROW(Expenses!A$3:A$999)-2),3)),""),IF(IFERROR(INDEX(Income!B$3:B$502,SMALL(IF((Income!D$3:D$502="INR")*(Income!A$3:A$502=DATE(2026,5,25)),ROW(Income!A$3:A$502)-2),3)),"")&lt;&gt;"",IFERROR(INDEX(Income!B$3:B$502,SMALL(IF((Income!D$3:D$502="INR")*(Income!A$3:A$502=DATE(2026,5,25)),ROW(Income!A$3:A$502)-2),3)),""),""))</f>
        <v/>
      </c>
      <c r="E111" s="153">
        <f t="array" ref="E111">IF(IFERROR(-INDEX(Expenses!D$3:D$999,SMALL(IF((Expenses!E$3:E$999="INR")*(Expenses!A$3:A$999=DATE(2026,5,26)),ROW(Expenses!A$3:A$999)-2),3)),0)+IFERROR(INDEX(Income!C$3:C$502,SMALL(IF((Income!D$3:D$502="INR")*(Income!A$3:A$502=DATE(2026,5,26)),ROW(Income!A$3:A$502)-2),3)),0)=0,"",IFERROR(-INDEX(Expenses!D$3:D$999,SMALL(IF((Expenses!E$3:E$999="INR")*(Expenses!A$3:A$999=DATE(2026,5,26)),ROW(Expenses!A$3:A$999)-2),3)),0)+IFERROR(INDEX(Income!C$3:C$502,SMALL(IF((Income!D$3:D$502="INR")*(Income!A$3:A$502=DATE(2026,5,26)),ROW(Income!A$3:A$502)-2),3)),0))</f>
        <v/>
      </c>
      <c r="F111" s="126">
        <f t="array" ref="F111">IF(IFERROR(INDEX(Expenses!B$3:B$999,SMALL(IF((Expenses!E$3:E$999="INR")*(Expenses!A$3:A$999=DATE(2026,5,26)),ROW(Expenses!A$3:A$999)-2),3)),"")&lt;&gt;"",IFERROR(INDEX(Expenses!B$3:B$999,SMALL(IF((Expenses!E$3:E$999="INR")*(Expenses!A$3:A$999=DATE(2026,5,26)),ROW(Expenses!A$3:A$999)-2),3)),""),IF(IFERROR(INDEX(Income!B$3:B$502,SMALL(IF((Income!D$3:D$502="INR")*(Income!A$3:A$502=DATE(2026,5,26)),ROW(Income!A$3:A$502)-2),3)),"")&lt;&gt;"",IFERROR(INDEX(Income!B$3:B$502,SMALL(IF((Income!D$3:D$502="INR")*(Income!A$3:A$502=DATE(2026,5,26)),ROW(Income!A$3:A$502)-2),3)),""),""))</f>
        <v/>
      </c>
      <c r="G111" s="153">
        <f t="array" ref="G111">IF(IFERROR(-INDEX(Expenses!D$3:D$999,SMALL(IF((Expenses!E$3:E$999="INR")*(Expenses!A$3:A$999=DATE(2026,5,27)),ROW(Expenses!A$3:A$999)-2),3)),0)+IFERROR(INDEX(Income!C$3:C$502,SMALL(IF((Income!D$3:D$502="INR")*(Income!A$3:A$502=DATE(2026,5,27)),ROW(Income!A$3:A$502)-2),3)),0)=0,"",IFERROR(-INDEX(Expenses!D$3:D$999,SMALL(IF((Expenses!E$3:E$999="INR")*(Expenses!A$3:A$999=DATE(2026,5,27)),ROW(Expenses!A$3:A$999)-2),3)),0)+IFERROR(INDEX(Income!C$3:C$502,SMALL(IF((Income!D$3:D$502="INR")*(Income!A$3:A$502=DATE(2026,5,27)),ROW(Income!A$3:A$502)-2),3)),0))</f>
        <v/>
      </c>
      <c r="H111" s="126">
        <f t="array" ref="H111">IF(IFERROR(INDEX(Expenses!B$3:B$999,SMALL(IF((Expenses!E$3:E$999="INR")*(Expenses!A$3:A$999=DATE(2026,5,27)),ROW(Expenses!A$3:A$999)-2),3)),"")&lt;&gt;"",IFERROR(INDEX(Expenses!B$3:B$999,SMALL(IF((Expenses!E$3:E$999="INR")*(Expenses!A$3:A$999=DATE(2026,5,27)),ROW(Expenses!A$3:A$999)-2),3)),""),IF(IFERROR(INDEX(Income!B$3:B$502,SMALL(IF((Income!D$3:D$502="INR")*(Income!A$3:A$502=DATE(2026,5,27)),ROW(Income!A$3:A$502)-2),3)),"")&lt;&gt;"",IFERROR(INDEX(Income!B$3:B$502,SMALL(IF((Income!D$3:D$502="INR")*(Income!A$3:A$502=DATE(2026,5,27)),ROW(Income!A$3:A$502)-2),3)),""),""))</f>
        <v/>
      </c>
      <c r="I111" s="153">
        <f t="array" ref="I111">IF(IFERROR(-INDEX(Expenses!D$3:D$999,SMALL(IF((Expenses!E$3:E$999="INR")*(Expenses!A$3:A$999=DATE(2026,5,28)),ROW(Expenses!A$3:A$999)-2),3)),0)+IFERROR(INDEX(Income!C$3:C$502,SMALL(IF((Income!D$3:D$502="INR")*(Income!A$3:A$502=DATE(2026,5,28)),ROW(Income!A$3:A$502)-2),3)),0)=0,"",IFERROR(-INDEX(Expenses!D$3:D$999,SMALL(IF((Expenses!E$3:E$999="INR")*(Expenses!A$3:A$999=DATE(2026,5,28)),ROW(Expenses!A$3:A$999)-2),3)),0)+IFERROR(INDEX(Income!C$3:C$502,SMALL(IF((Income!D$3:D$502="INR")*(Income!A$3:A$502=DATE(2026,5,28)),ROW(Income!A$3:A$502)-2),3)),0))</f>
        <v/>
      </c>
      <c r="J111" s="126">
        <f t="array" ref="J111">IF(IFERROR(INDEX(Expenses!B$3:B$999,SMALL(IF((Expenses!E$3:E$999="INR")*(Expenses!A$3:A$999=DATE(2026,5,28)),ROW(Expenses!A$3:A$999)-2),3)),"")&lt;&gt;"",IFERROR(INDEX(Expenses!B$3:B$999,SMALL(IF((Expenses!E$3:E$999="INR")*(Expenses!A$3:A$999=DATE(2026,5,28)),ROW(Expenses!A$3:A$999)-2),3)),""),IF(IFERROR(INDEX(Income!B$3:B$502,SMALL(IF((Income!D$3:D$502="INR")*(Income!A$3:A$502=DATE(2026,5,28)),ROW(Income!A$3:A$502)-2),3)),"")&lt;&gt;"",IFERROR(INDEX(Income!B$3:B$502,SMALL(IF((Income!D$3:D$502="INR")*(Income!A$3:A$502=DATE(2026,5,28)),ROW(Income!A$3:A$502)-2),3)),""),""))</f>
        <v/>
      </c>
      <c r="K111" s="153">
        <f t="array" ref="K111">IF(IFERROR(-INDEX(Expenses!D$3:D$999,SMALL(IF((Expenses!E$3:E$999="INR")*(Expenses!A$3:A$999=DATE(2026,5,29)),ROW(Expenses!A$3:A$999)-2),3)),0)+IFERROR(INDEX(Income!C$3:C$502,SMALL(IF((Income!D$3:D$502="INR")*(Income!A$3:A$502=DATE(2026,5,29)),ROW(Income!A$3:A$502)-2),3)),0)=0,"",IFERROR(-INDEX(Expenses!D$3:D$999,SMALL(IF((Expenses!E$3:E$999="INR")*(Expenses!A$3:A$999=DATE(2026,5,29)),ROW(Expenses!A$3:A$999)-2),3)),0)+IFERROR(INDEX(Income!C$3:C$502,SMALL(IF((Income!D$3:D$502="INR")*(Income!A$3:A$502=DATE(2026,5,29)),ROW(Income!A$3:A$502)-2),3)),0))</f>
        <v/>
      </c>
      <c r="L111" s="126">
        <f t="array" ref="L111">IF(IFERROR(INDEX(Expenses!B$3:B$999,SMALL(IF((Expenses!E$3:E$999="INR")*(Expenses!A$3:A$999=DATE(2026,5,29)),ROW(Expenses!A$3:A$999)-2),3)),"")&lt;&gt;"",IFERROR(INDEX(Expenses!B$3:B$999,SMALL(IF((Expenses!E$3:E$999="INR")*(Expenses!A$3:A$999=DATE(2026,5,29)),ROW(Expenses!A$3:A$999)-2),3)),""),IF(IFERROR(INDEX(Income!B$3:B$502,SMALL(IF((Income!D$3:D$502="INR")*(Income!A$3:A$502=DATE(2026,5,29)),ROW(Income!A$3:A$502)-2),3)),"")&lt;&gt;"",IFERROR(INDEX(Income!B$3:B$502,SMALL(IF((Income!D$3:D$502="INR")*(Income!A$3:A$502=DATE(2026,5,29)),ROW(Income!A$3:A$502)-2),3)),""),""))</f>
        <v/>
      </c>
      <c r="M111" s="153">
        <f t="array" ref="M111">IF(IFERROR(-INDEX(Expenses!D$3:D$999,SMALL(IF((Expenses!E$3:E$999="INR")*(Expenses!A$3:A$999=DATE(2026,5,30)),ROW(Expenses!A$3:A$999)-2),3)),0)+IFERROR(INDEX(Income!C$3:C$502,SMALL(IF((Income!D$3:D$502="INR")*(Income!A$3:A$502=DATE(2026,5,30)),ROW(Income!A$3:A$502)-2),3)),0)=0,"",IFERROR(-INDEX(Expenses!D$3:D$999,SMALL(IF((Expenses!E$3:E$999="INR")*(Expenses!A$3:A$999=DATE(2026,5,30)),ROW(Expenses!A$3:A$999)-2),3)),0)+IFERROR(INDEX(Income!C$3:C$502,SMALL(IF((Income!D$3:D$502="INR")*(Income!A$3:A$502=DATE(2026,5,30)),ROW(Income!A$3:A$502)-2),3)),0))</f>
        <v/>
      </c>
      <c r="N111" s="126">
        <f t="array" ref="N111">IF(IFERROR(INDEX(Expenses!B$3:B$999,SMALL(IF((Expenses!E$3:E$999="INR")*(Expenses!A$3:A$999=DATE(2026,5,30)),ROW(Expenses!A$3:A$999)-2),3)),"")&lt;&gt;"",IFERROR(INDEX(Expenses!B$3:B$999,SMALL(IF((Expenses!E$3:E$999="INR")*(Expenses!A$3:A$999=DATE(2026,5,30)),ROW(Expenses!A$3:A$999)-2),3)),""),IF(IFERROR(INDEX(Income!B$3:B$502,SMALL(IF((Income!D$3:D$502="INR")*(Income!A$3:A$502=DATE(2026,5,30)),ROW(Income!A$3:A$502)-2),3)),"")&lt;&gt;"",IFERROR(INDEX(Income!B$3:B$502,SMALL(IF((Income!D$3:D$502="INR")*(Income!A$3:A$502=DATE(2026,5,30)),ROW(Income!A$3:A$502)-2),3)),""),""))</f>
        <v/>
      </c>
      <c r="O111" s="153">
        <f t="array" ref="O111">IF(IFERROR(-INDEX(Expenses!D$3:D$999,SMALL(IF((Expenses!E$3:E$999="INR")*(Expenses!A$3:A$999=DATE(2026,5,31)),ROW(Expenses!A$3:A$999)-2),3)),0)+IFERROR(INDEX(Income!C$3:C$502,SMALL(IF((Income!D$3:D$502="INR")*(Income!A$3:A$502=DATE(2026,5,31)),ROW(Income!A$3:A$502)-2),3)),0)=0,"",IFERROR(-INDEX(Expenses!D$3:D$999,SMALL(IF((Expenses!E$3:E$999="INR")*(Expenses!A$3:A$999=DATE(2026,5,31)),ROW(Expenses!A$3:A$999)-2),3)),0)+IFERROR(INDEX(Income!C$3:C$502,SMALL(IF((Income!D$3:D$502="INR")*(Income!A$3:A$502=DATE(2026,5,31)),ROW(Income!A$3:A$502)-2),3)),0))</f>
        <v/>
      </c>
      <c r="P111" s="126">
        <f t="array" ref="P111">IF(IFERROR(INDEX(Expenses!B$3:B$999,SMALL(IF((Expenses!E$3:E$999="INR")*(Expenses!A$3:A$999=DATE(2026,5,31)),ROW(Expenses!A$3:A$999)-2),3)),"")&lt;&gt;"",IFERROR(INDEX(Expenses!B$3:B$999,SMALL(IF((Expenses!E$3:E$999="INR")*(Expenses!A$3:A$999=DATE(2026,5,31)),ROW(Expenses!A$3:A$999)-2),3)),""),IF(IFERROR(INDEX(Income!B$3:B$502,SMALL(IF((Income!D$3:D$502="INR")*(Income!A$3:A$502=DATE(2026,5,31)),ROW(Income!A$3:A$502)-2),3)),"")&lt;&gt;"",IFERROR(INDEX(Income!B$3:B$502,SMALL(IF((Income!D$3:D$502="INR")*(Income!A$3:A$502=DATE(2026,5,31)),ROW(Income!A$3:A$502)-2),3)),""),""))</f>
        <v/>
      </c>
      <c r="Q111" s="9" t="n"/>
      <c r="R111" s="9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68">
      <c r="A112" s="9" t="n"/>
      <c r="B112" s="9" t="n"/>
      <c r="C112" s="153">
        <f t="array" ref="C112">IF(IFERROR(-INDEX(Expenses!D$3:D$999,SMALL(IF((Expenses!E$3:E$999="INR")*(Expenses!A$3:A$999=DATE(2026,5,25)),ROW(Expenses!A$3:A$999)-2),4)),0)+IFERROR(INDEX(Income!C$3:C$502,SMALL(IF((Income!D$3:D$502="INR")*(Income!A$3:A$502=DATE(2026,5,25)),ROW(Income!A$3:A$502)-2),4)),0)=0,"",IFERROR(-INDEX(Expenses!D$3:D$999,SMALL(IF((Expenses!E$3:E$999="INR")*(Expenses!A$3:A$999=DATE(2026,5,25)),ROW(Expenses!A$3:A$999)-2),4)),0)+IFERROR(INDEX(Income!C$3:C$502,SMALL(IF((Income!D$3:D$502="INR")*(Income!A$3:A$502=DATE(2026,5,25)),ROW(Income!A$3:A$502)-2),4)),0))</f>
        <v/>
      </c>
      <c r="D112" s="126">
        <f t="array" ref="D112">IF(IFERROR(INDEX(Expenses!B$3:B$999,SMALL(IF((Expenses!E$3:E$999="INR")*(Expenses!A$3:A$999=DATE(2026,5,25)),ROW(Expenses!A$3:A$999)-2),4)),"")&lt;&gt;"",IFERROR(INDEX(Expenses!B$3:B$999,SMALL(IF((Expenses!E$3:E$999="INR")*(Expenses!A$3:A$999=DATE(2026,5,25)),ROW(Expenses!A$3:A$999)-2),4)),""),IF(IFERROR(INDEX(Income!B$3:B$502,SMALL(IF((Income!D$3:D$502="INR")*(Income!A$3:A$502=DATE(2026,5,25)),ROW(Income!A$3:A$502)-2),4)),"")&lt;&gt;"",IFERROR(INDEX(Income!B$3:B$502,SMALL(IF((Income!D$3:D$502="INR")*(Income!A$3:A$502=DATE(2026,5,25)),ROW(Income!A$3:A$502)-2),4)),""),""))</f>
        <v/>
      </c>
      <c r="E112" s="153">
        <f t="array" ref="E112">IF(IFERROR(-INDEX(Expenses!D$3:D$999,SMALL(IF((Expenses!E$3:E$999="INR")*(Expenses!A$3:A$999=DATE(2026,5,26)),ROW(Expenses!A$3:A$999)-2),4)),0)+IFERROR(INDEX(Income!C$3:C$502,SMALL(IF((Income!D$3:D$502="INR")*(Income!A$3:A$502=DATE(2026,5,26)),ROW(Income!A$3:A$502)-2),4)),0)=0,"",IFERROR(-INDEX(Expenses!D$3:D$999,SMALL(IF((Expenses!E$3:E$999="INR")*(Expenses!A$3:A$999=DATE(2026,5,26)),ROW(Expenses!A$3:A$999)-2),4)),0)+IFERROR(INDEX(Income!C$3:C$502,SMALL(IF((Income!D$3:D$502="INR")*(Income!A$3:A$502=DATE(2026,5,26)),ROW(Income!A$3:A$502)-2),4)),0))</f>
        <v/>
      </c>
      <c r="F112" s="126">
        <f t="array" ref="F112">IF(IFERROR(INDEX(Expenses!B$3:B$999,SMALL(IF((Expenses!E$3:E$999="INR")*(Expenses!A$3:A$999=DATE(2026,5,26)),ROW(Expenses!A$3:A$999)-2),4)),"")&lt;&gt;"",IFERROR(INDEX(Expenses!B$3:B$999,SMALL(IF((Expenses!E$3:E$999="INR")*(Expenses!A$3:A$999=DATE(2026,5,26)),ROW(Expenses!A$3:A$999)-2),4)),""),IF(IFERROR(INDEX(Income!B$3:B$502,SMALL(IF((Income!D$3:D$502="INR")*(Income!A$3:A$502=DATE(2026,5,26)),ROW(Income!A$3:A$502)-2),4)),"")&lt;&gt;"",IFERROR(INDEX(Income!B$3:B$502,SMALL(IF((Income!D$3:D$502="INR")*(Income!A$3:A$502=DATE(2026,5,26)),ROW(Income!A$3:A$502)-2),4)),""),""))</f>
        <v/>
      </c>
      <c r="G112" s="153">
        <f t="array" ref="G112">IF(IFERROR(-INDEX(Expenses!D$3:D$999,SMALL(IF((Expenses!E$3:E$999="INR")*(Expenses!A$3:A$999=DATE(2026,5,27)),ROW(Expenses!A$3:A$999)-2),4)),0)+IFERROR(INDEX(Income!C$3:C$502,SMALL(IF((Income!D$3:D$502="INR")*(Income!A$3:A$502=DATE(2026,5,27)),ROW(Income!A$3:A$502)-2),4)),0)=0,"",IFERROR(-INDEX(Expenses!D$3:D$999,SMALL(IF((Expenses!E$3:E$999="INR")*(Expenses!A$3:A$999=DATE(2026,5,27)),ROW(Expenses!A$3:A$999)-2),4)),0)+IFERROR(INDEX(Income!C$3:C$502,SMALL(IF((Income!D$3:D$502="INR")*(Income!A$3:A$502=DATE(2026,5,27)),ROW(Income!A$3:A$502)-2),4)),0))</f>
        <v/>
      </c>
      <c r="H112" s="126">
        <f t="array" ref="H112">IF(IFERROR(INDEX(Expenses!B$3:B$999,SMALL(IF((Expenses!E$3:E$999="INR")*(Expenses!A$3:A$999=DATE(2026,5,27)),ROW(Expenses!A$3:A$999)-2),4)),"")&lt;&gt;"",IFERROR(INDEX(Expenses!B$3:B$999,SMALL(IF((Expenses!E$3:E$999="INR")*(Expenses!A$3:A$999=DATE(2026,5,27)),ROW(Expenses!A$3:A$999)-2),4)),""),IF(IFERROR(INDEX(Income!B$3:B$502,SMALL(IF((Income!D$3:D$502="INR")*(Income!A$3:A$502=DATE(2026,5,27)),ROW(Income!A$3:A$502)-2),4)),"")&lt;&gt;"",IFERROR(INDEX(Income!B$3:B$502,SMALL(IF((Income!D$3:D$502="INR")*(Income!A$3:A$502=DATE(2026,5,27)),ROW(Income!A$3:A$502)-2),4)),""),""))</f>
        <v/>
      </c>
      <c r="I112" s="153">
        <f t="array" ref="I112">IF(IFERROR(-INDEX(Expenses!D$3:D$999,SMALL(IF((Expenses!E$3:E$999="INR")*(Expenses!A$3:A$999=DATE(2026,5,28)),ROW(Expenses!A$3:A$999)-2),4)),0)+IFERROR(INDEX(Income!C$3:C$502,SMALL(IF((Income!D$3:D$502="INR")*(Income!A$3:A$502=DATE(2026,5,28)),ROW(Income!A$3:A$502)-2),4)),0)=0,"",IFERROR(-INDEX(Expenses!D$3:D$999,SMALL(IF((Expenses!E$3:E$999="INR")*(Expenses!A$3:A$999=DATE(2026,5,28)),ROW(Expenses!A$3:A$999)-2),4)),0)+IFERROR(INDEX(Income!C$3:C$502,SMALL(IF((Income!D$3:D$502="INR")*(Income!A$3:A$502=DATE(2026,5,28)),ROW(Income!A$3:A$502)-2),4)),0))</f>
        <v/>
      </c>
      <c r="J112" s="126">
        <f t="array" ref="J112">IF(IFERROR(INDEX(Expenses!B$3:B$999,SMALL(IF((Expenses!E$3:E$999="INR")*(Expenses!A$3:A$999=DATE(2026,5,28)),ROW(Expenses!A$3:A$999)-2),4)),"")&lt;&gt;"",IFERROR(INDEX(Expenses!B$3:B$999,SMALL(IF((Expenses!E$3:E$999="INR")*(Expenses!A$3:A$999=DATE(2026,5,28)),ROW(Expenses!A$3:A$999)-2),4)),""),IF(IFERROR(INDEX(Income!B$3:B$502,SMALL(IF((Income!D$3:D$502="INR")*(Income!A$3:A$502=DATE(2026,5,28)),ROW(Income!A$3:A$502)-2),4)),"")&lt;&gt;"",IFERROR(INDEX(Income!B$3:B$502,SMALL(IF((Income!D$3:D$502="INR")*(Income!A$3:A$502=DATE(2026,5,28)),ROW(Income!A$3:A$502)-2),4)),""),""))</f>
        <v/>
      </c>
      <c r="K112" s="153">
        <f t="array" ref="K112">IF(IFERROR(-INDEX(Expenses!D$3:D$999,SMALL(IF((Expenses!E$3:E$999="INR")*(Expenses!A$3:A$999=DATE(2026,5,29)),ROW(Expenses!A$3:A$999)-2),4)),0)+IFERROR(INDEX(Income!C$3:C$502,SMALL(IF((Income!D$3:D$502="INR")*(Income!A$3:A$502=DATE(2026,5,29)),ROW(Income!A$3:A$502)-2),4)),0)=0,"",IFERROR(-INDEX(Expenses!D$3:D$999,SMALL(IF((Expenses!E$3:E$999="INR")*(Expenses!A$3:A$999=DATE(2026,5,29)),ROW(Expenses!A$3:A$999)-2),4)),0)+IFERROR(INDEX(Income!C$3:C$502,SMALL(IF((Income!D$3:D$502="INR")*(Income!A$3:A$502=DATE(2026,5,29)),ROW(Income!A$3:A$502)-2),4)),0))</f>
        <v/>
      </c>
      <c r="L112" s="126">
        <f t="array" ref="L112">IF(IFERROR(INDEX(Expenses!B$3:B$999,SMALL(IF((Expenses!E$3:E$999="INR")*(Expenses!A$3:A$999=DATE(2026,5,29)),ROW(Expenses!A$3:A$999)-2),4)),"")&lt;&gt;"",IFERROR(INDEX(Expenses!B$3:B$999,SMALL(IF((Expenses!E$3:E$999="INR")*(Expenses!A$3:A$999=DATE(2026,5,29)),ROW(Expenses!A$3:A$999)-2),4)),""),IF(IFERROR(INDEX(Income!B$3:B$502,SMALL(IF((Income!D$3:D$502="INR")*(Income!A$3:A$502=DATE(2026,5,29)),ROW(Income!A$3:A$502)-2),4)),"")&lt;&gt;"",IFERROR(INDEX(Income!B$3:B$502,SMALL(IF((Income!D$3:D$502="INR")*(Income!A$3:A$502=DATE(2026,5,29)),ROW(Income!A$3:A$502)-2),4)),""),""))</f>
        <v/>
      </c>
      <c r="M112" s="153">
        <f t="array" ref="M112">IF(IFERROR(-INDEX(Expenses!D$3:D$999,SMALL(IF((Expenses!E$3:E$999="INR")*(Expenses!A$3:A$999=DATE(2026,5,30)),ROW(Expenses!A$3:A$999)-2),4)),0)+IFERROR(INDEX(Income!C$3:C$502,SMALL(IF((Income!D$3:D$502="INR")*(Income!A$3:A$502=DATE(2026,5,30)),ROW(Income!A$3:A$502)-2),4)),0)=0,"",IFERROR(-INDEX(Expenses!D$3:D$999,SMALL(IF((Expenses!E$3:E$999="INR")*(Expenses!A$3:A$999=DATE(2026,5,30)),ROW(Expenses!A$3:A$999)-2),4)),0)+IFERROR(INDEX(Income!C$3:C$502,SMALL(IF((Income!D$3:D$502="INR")*(Income!A$3:A$502=DATE(2026,5,30)),ROW(Income!A$3:A$502)-2),4)),0))</f>
        <v/>
      </c>
      <c r="N112" s="126">
        <f t="array" ref="N112">IF(IFERROR(INDEX(Expenses!B$3:B$999,SMALL(IF((Expenses!E$3:E$999="INR")*(Expenses!A$3:A$999=DATE(2026,5,30)),ROW(Expenses!A$3:A$999)-2),4)),"")&lt;&gt;"",IFERROR(INDEX(Expenses!B$3:B$999,SMALL(IF((Expenses!E$3:E$999="INR")*(Expenses!A$3:A$999=DATE(2026,5,30)),ROW(Expenses!A$3:A$999)-2),4)),""),IF(IFERROR(INDEX(Income!B$3:B$502,SMALL(IF((Income!D$3:D$502="INR")*(Income!A$3:A$502=DATE(2026,5,30)),ROW(Income!A$3:A$502)-2),4)),"")&lt;&gt;"",IFERROR(INDEX(Income!B$3:B$502,SMALL(IF((Income!D$3:D$502="INR")*(Income!A$3:A$502=DATE(2026,5,30)),ROW(Income!A$3:A$502)-2),4)),""),""))</f>
        <v/>
      </c>
      <c r="O112" s="153">
        <f t="array" ref="O112">IF(IFERROR(-INDEX(Expenses!D$3:D$999,SMALL(IF((Expenses!E$3:E$999="INR")*(Expenses!A$3:A$999=DATE(2026,5,31)),ROW(Expenses!A$3:A$999)-2),4)),0)+IFERROR(INDEX(Income!C$3:C$502,SMALL(IF((Income!D$3:D$502="INR")*(Income!A$3:A$502=DATE(2026,5,31)),ROW(Income!A$3:A$502)-2),4)),0)=0,"",IFERROR(-INDEX(Expenses!D$3:D$999,SMALL(IF((Expenses!E$3:E$999="INR")*(Expenses!A$3:A$999=DATE(2026,5,31)),ROW(Expenses!A$3:A$999)-2),4)),0)+IFERROR(INDEX(Income!C$3:C$502,SMALL(IF((Income!D$3:D$502="INR")*(Income!A$3:A$502=DATE(2026,5,31)),ROW(Income!A$3:A$502)-2),4)),0))</f>
        <v/>
      </c>
      <c r="P112" s="126">
        <f t="array" ref="P112">IF(IFERROR(INDEX(Expenses!B$3:B$999,SMALL(IF((Expenses!E$3:E$999="INR")*(Expenses!A$3:A$999=DATE(2026,5,31)),ROW(Expenses!A$3:A$999)-2),4)),"")&lt;&gt;"",IFERROR(INDEX(Expenses!B$3:B$999,SMALL(IF((Expenses!E$3:E$999="INR")*(Expenses!A$3:A$999=DATE(2026,5,31)),ROW(Expenses!A$3:A$999)-2),4)),""),IF(IFERROR(INDEX(Income!B$3:B$502,SMALL(IF((Income!D$3:D$502="INR")*(Income!A$3:A$502=DATE(2026,5,31)),ROW(Income!A$3:A$502)-2),4)),"")&lt;&gt;"",IFERROR(INDEX(Income!B$3:B$502,SMALL(IF((Income!D$3:D$502="INR")*(Income!A$3:A$502=DATE(2026,5,31)),ROW(Income!A$3:A$502)-2),4)),""),""))</f>
        <v/>
      </c>
      <c r="Q112" s="9" t="n"/>
      <c r="R112" s="9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68">
      <c r="A113" s="9" t="n"/>
      <c r="B113" s="9" t="n"/>
      <c r="C113" s="153">
        <f t="array" ref="C113">IF(IFERROR(-INDEX(Expenses!D$3:D$999,SMALL(IF((Expenses!E$3:E$999="INR")*(Expenses!A$3:A$999=DATE(2026,5,25)),ROW(Expenses!A$3:A$999)-2),5)),0)+IFERROR(INDEX(Income!C$3:C$502,SMALL(IF((Income!D$3:D$502="INR")*(Income!A$3:A$502=DATE(2026,5,25)),ROW(Income!A$3:A$502)-2),5)),0)=0,"",IFERROR(-INDEX(Expenses!D$3:D$999,SMALL(IF((Expenses!E$3:E$999="INR")*(Expenses!A$3:A$999=DATE(2026,5,25)),ROW(Expenses!A$3:A$999)-2),5)),0)+IFERROR(INDEX(Income!C$3:C$502,SMALL(IF((Income!D$3:D$502="INR")*(Income!A$3:A$502=DATE(2026,5,25)),ROW(Income!A$3:A$502)-2),5)),0))</f>
        <v/>
      </c>
      <c r="D113" s="126">
        <f t="array" ref="D113">IF(IFERROR(INDEX(Expenses!B$3:B$999,SMALL(IF((Expenses!E$3:E$999="INR")*(Expenses!A$3:A$999=DATE(2026,5,25)),ROW(Expenses!A$3:A$999)-2),5)),"")&lt;&gt;"",IFERROR(INDEX(Expenses!B$3:B$999,SMALL(IF((Expenses!E$3:E$999="INR")*(Expenses!A$3:A$999=DATE(2026,5,25)),ROW(Expenses!A$3:A$999)-2),5)),""),IF(IFERROR(INDEX(Income!B$3:B$502,SMALL(IF((Income!D$3:D$502="INR")*(Income!A$3:A$502=DATE(2026,5,25)),ROW(Income!A$3:A$502)-2),5)),"")&lt;&gt;"",IFERROR(INDEX(Income!B$3:B$502,SMALL(IF((Income!D$3:D$502="INR")*(Income!A$3:A$502=DATE(2026,5,25)),ROW(Income!A$3:A$502)-2),5)),""),""))</f>
        <v/>
      </c>
      <c r="E113" s="153">
        <f t="array" ref="E113">IF(IFERROR(-INDEX(Expenses!D$3:D$999,SMALL(IF((Expenses!E$3:E$999="INR")*(Expenses!A$3:A$999=DATE(2026,5,26)),ROW(Expenses!A$3:A$999)-2),5)),0)+IFERROR(INDEX(Income!C$3:C$502,SMALL(IF((Income!D$3:D$502="INR")*(Income!A$3:A$502=DATE(2026,5,26)),ROW(Income!A$3:A$502)-2),5)),0)=0,"",IFERROR(-INDEX(Expenses!D$3:D$999,SMALL(IF((Expenses!E$3:E$999="INR")*(Expenses!A$3:A$999=DATE(2026,5,26)),ROW(Expenses!A$3:A$999)-2),5)),0)+IFERROR(INDEX(Income!C$3:C$502,SMALL(IF((Income!D$3:D$502="INR")*(Income!A$3:A$502=DATE(2026,5,26)),ROW(Income!A$3:A$502)-2),5)),0))</f>
        <v/>
      </c>
      <c r="F113" s="126">
        <f t="array" ref="F113">IF(IFERROR(INDEX(Expenses!B$3:B$999,SMALL(IF((Expenses!E$3:E$999="INR")*(Expenses!A$3:A$999=DATE(2026,5,26)),ROW(Expenses!A$3:A$999)-2),5)),"")&lt;&gt;"",IFERROR(INDEX(Expenses!B$3:B$999,SMALL(IF((Expenses!E$3:E$999="INR")*(Expenses!A$3:A$999=DATE(2026,5,26)),ROW(Expenses!A$3:A$999)-2),5)),""),IF(IFERROR(INDEX(Income!B$3:B$502,SMALL(IF((Income!D$3:D$502="INR")*(Income!A$3:A$502=DATE(2026,5,26)),ROW(Income!A$3:A$502)-2),5)),"")&lt;&gt;"",IFERROR(INDEX(Income!B$3:B$502,SMALL(IF((Income!D$3:D$502="INR")*(Income!A$3:A$502=DATE(2026,5,26)),ROW(Income!A$3:A$502)-2),5)),""),""))</f>
        <v/>
      </c>
      <c r="G113" s="153">
        <f t="array" ref="G113">IF(IFERROR(-INDEX(Expenses!D$3:D$999,SMALL(IF((Expenses!E$3:E$999="INR")*(Expenses!A$3:A$999=DATE(2026,5,27)),ROW(Expenses!A$3:A$999)-2),5)),0)+IFERROR(INDEX(Income!C$3:C$502,SMALL(IF((Income!D$3:D$502="INR")*(Income!A$3:A$502=DATE(2026,5,27)),ROW(Income!A$3:A$502)-2),5)),0)=0,"",IFERROR(-INDEX(Expenses!D$3:D$999,SMALL(IF((Expenses!E$3:E$999="INR")*(Expenses!A$3:A$999=DATE(2026,5,27)),ROW(Expenses!A$3:A$999)-2),5)),0)+IFERROR(INDEX(Income!C$3:C$502,SMALL(IF((Income!D$3:D$502="INR")*(Income!A$3:A$502=DATE(2026,5,27)),ROW(Income!A$3:A$502)-2),5)),0))</f>
        <v/>
      </c>
      <c r="H113" s="126">
        <f t="array" ref="H113">IF(IFERROR(INDEX(Expenses!B$3:B$999,SMALL(IF((Expenses!E$3:E$999="INR")*(Expenses!A$3:A$999=DATE(2026,5,27)),ROW(Expenses!A$3:A$999)-2),5)),"")&lt;&gt;"",IFERROR(INDEX(Expenses!B$3:B$999,SMALL(IF((Expenses!E$3:E$999="INR")*(Expenses!A$3:A$999=DATE(2026,5,27)),ROW(Expenses!A$3:A$999)-2),5)),""),IF(IFERROR(INDEX(Income!B$3:B$502,SMALL(IF((Income!D$3:D$502="INR")*(Income!A$3:A$502=DATE(2026,5,27)),ROW(Income!A$3:A$502)-2),5)),"")&lt;&gt;"",IFERROR(INDEX(Income!B$3:B$502,SMALL(IF((Income!D$3:D$502="INR")*(Income!A$3:A$502=DATE(2026,5,27)),ROW(Income!A$3:A$502)-2),5)),""),""))</f>
        <v/>
      </c>
      <c r="I113" s="153">
        <f t="array" ref="I113">IF(IFERROR(-INDEX(Expenses!D$3:D$999,SMALL(IF((Expenses!E$3:E$999="INR")*(Expenses!A$3:A$999=DATE(2026,5,28)),ROW(Expenses!A$3:A$999)-2),5)),0)+IFERROR(INDEX(Income!C$3:C$502,SMALL(IF((Income!D$3:D$502="INR")*(Income!A$3:A$502=DATE(2026,5,28)),ROW(Income!A$3:A$502)-2),5)),0)=0,"",IFERROR(-INDEX(Expenses!D$3:D$999,SMALL(IF((Expenses!E$3:E$999="INR")*(Expenses!A$3:A$999=DATE(2026,5,28)),ROW(Expenses!A$3:A$999)-2),5)),0)+IFERROR(INDEX(Income!C$3:C$502,SMALL(IF((Income!D$3:D$502="INR")*(Income!A$3:A$502=DATE(2026,5,28)),ROW(Income!A$3:A$502)-2),5)),0))</f>
        <v/>
      </c>
      <c r="J113" s="126">
        <f t="array" ref="J113">IF(IFERROR(INDEX(Expenses!B$3:B$999,SMALL(IF((Expenses!E$3:E$999="INR")*(Expenses!A$3:A$999=DATE(2026,5,28)),ROW(Expenses!A$3:A$999)-2),5)),"")&lt;&gt;"",IFERROR(INDEX(Expenses!B$3:B$999,SMALL(IF((Expenses!E$3:E$999="INR")*(Expenses!A$3:A$999=DATE(2026,5,28)),ROW(Expenses!A$3:A$999)-2),5)),""),IF(IFERROR(INDEX(Income!B$3:B$502,SMALL(IF((Income!D$3:D$502="INR")*(Income!A$3:A$502=DATE(2026,5,28)),ROW(Income!A$3:A$502)-2),5)),"")&lt;&gt;"",IFERROR(INDEX(Income!B$3:B$502,SMALL(IF((Income!D$3:D$502="INR")*(Income!A$3:A$502=DATE(2026,5,28)),ROW(Income!A$3:A$502)-2),5)),""),""))</f>
        <v/>
      </c>
      <c r="K113" s="153">
        <f t="array" ref="K113">IF(IFERROR(-INDEX(Expenses!D$3:D$999,SMALL(IF((Expenses!E$3:E$999="INR")*(Expenses!A$3:A$999=DATE(2026,5,29)),ROW(Expenses!A$3:A$999)-2),5)),0)+IFERROR(INDEX(Income!C$3:C$502,SMALL(IF((Income!D$3:D$502="INR")*(Income!A$3:A$502=DATE(2026,5,29)),ROW(Income!A$3:A$502)-2),5)),0)=0,"",IFERROR(-INDEX(Expenses!D$3:D$999,SMALL(IF((Expenses!E$3:E$999="INR")*(Expenses!A$3:A$999=DATE(2026,5,29)),ROW(Expenses!A$3:A$999)-2),5)),0)+IFERROR(INDEX(Income!C$3:C$502,SMALL(IF((Income!D$3:D$502="INR")*(Income!A$3:A$502=DATE(2026,5,29)),ROW(Income!A$3:A$502)-2),5)),0))</f>
        <v/>
      </c>
      <c r="L113" s="126">
        <f t="array" ref="L113">IF(IFERROR(INDEX(Expenses!B$3:B$999,SMALL(IF((Expenses!E$3:E$999="INR")*(Expenses!A$3:A$999=DATE(2026,5,29)),ROW(Expenses!A$3:A$999)-2),5)),"")&lt;&gt;"",IFERROR(INDEX(Expenses!B$3:B$999,SMALL(IF((Expenses!E$3:E$999="INR")*(Expenses!A$3:A$999=DATE(2026,5,29)),ROW(Expenses!A$3:A$999)-2),5)),""),IF(IFERROR(INDEX(Income!B$3:B$502,SMALL(IF((Income!D$3:D$502="INR")*(Income!A$3:A$502=DATE(2026,5,29)),ROW(Income!A$3:A$502)-2),5)),"")&lt;&gt;"",IFERROR(INDEX(Income!B$3:B$502,SMALL(IF((Income!D$3:D$502="INR")*(Income!A$3:A$502=DATE(2026,5,29)),ROW(Income!A$3:A$502)-2),5)),""),""))</f>
        <v/>
      </c>
      <c r="M113" s="153">
        <f t="array" ref="M113">IF(IFERROR(-INDEX(Expenses!D$3:D$999,SMALL(IF((Expenses!E$3:E$999="INR")*(Expenses!A$3:A$999=DATE(2026,5,30)),ROW(Expenses!A$3:A$999)-2),5)),0)+IFERROR(INDEX(Income!C$3:C$502,SMALL(IF((Income!D$3:D$502="INR")*(Income!A$3:A$502=DATE(2026,5,30)),ROW(Income!A$3:A$502)-2),5)),0)=0,"",IFERROR(-INDEX(Expenses!D$3:D$999,SMALL(IF((Expenses!E$3:E$999="INR")*(Expenses!A$3:A$999=DATE(2026,5,30)),ROW(Expenses!A$3:A$999)-2),5)),0)+IFERROR(INDEX(Income!C$3:C$502,SMALL(IF((Income!D$3:D$502="INR")*(Income!A$3:A$502=DATE(2026,5,30)),ROW(Income!A$3:A$502)-2),5)),0))</f>
        <v/>
      </c>
      <c r="N113" s="126">
        <f t="array" ref="N113">IF(IFERROR(INDEX(Expenses!B$3:B$999,SMALL(IF((Expenses!E$3:E$999="INR")*(Expenses!A$3:A$999=DATE(2026,5,30)),ROW(Expenses!A$3:A$999)-2),5)),"")&lt;&gt;"",IFERROR(INDEX(Expenses!B$3:B$999,SMALL(IF((Expenses!E$3:E$999="INR")*(Expenses!A$3:A$999=DATE(2026,5,30)),ROW(Expenses!A$3:A$999)-2),5)),""),IF(IFERROR(INDEX(Income!B$3:B$502,SMALL(IF((Income!D$3:D$502="INR")*(Income!A$3:A$502=DATE(2026,5,30)),ROW(Income!A$3:A$502)-2),5)),"")&lt;&gt;"",IFERROR(INDEX(Income!B$3:B$502,SMALL(IF((Income!D$3:D$502="INR")*(Income!A$3:A$502=DATE(2026,5,30)),ROW(Income!A$3:A$502)-2),5)),""),""))</f>
        <v/>
      </c>
      <c r="O113" s="153">
        <f t="array" ref="O113">IF(IFERROR(-INDEX(Expenses!D$3:D$999,SMALL(IF((Expenses!E$3:E$999="INR")*(Expenses!A$3:A$999=DATE(2026,5,31)),ROW(Expenses!A$3:A$999)-2),5)),0)+IFERROR(INDEX(Income!C$3:C$502,SMALL(IF((Income!D$3:D$502="INR")*(Income!A$3:A$502=DATE(2026,5,31)),ROW(Income!A$3:A$502)-2),5)),0)=0,"",IFERROR(-INDEX(Expenses!D$3:D$999,SMALL(IF((Expenses!E$3:E$999="INR")*(Expenses!A$3:A$999=DATE(2026,5,31)),ROW(Expenses!A$3:A$999)-2),5)),0)+IFERROR(INDEX(Income!C$3:C$502,SMALL(IF((Income!D$3:D$502="INR")*(Income!A$3:A$502=DATE(2026,5,31)),ROW(Income!A$3:A$502)-2),5)),0))</f>
        <v/>
      </c>
      <c r="P113" s="126">
        <f t="array" ref="P113">IF(IFERROR(INDEX(Expenses!B$3:B$999,SMALL(IF((Expenses!E$3:E$999="INR")*(Expenses!A$3:A$999=DATE(2026,5,31)),ROW(Expenses!A$3:A$999)-2),5)),"")&lt;&gt;"",IFERROR(INDEX(Expenses!B$3:B$999,SMALL(IF((Expenses!E$3:E$999="INR")*(Expenses!A$3:A$999=DATE(2026,5,31)),ROW(Expenses!A$3:A$999)-2),5)),""),IF(IFERROR(INDEX(Income!B$3:B$502,SMALL(IF((Income!D$3:D$502="INR")*(Income!A$3:A$502=DATE(2026,5,31)),ROW(Income!A$3:A$502)-2),5)),"")&lt;&gt;"",IFERROR(INDEX(Income!B$3:B$502,SMALL(IF((Income!D$3:D$502="INR")*(Income!A$3:A$502=DATE(2026,5,31)),ROW(Income!A$3:A$502)-2),5)),""),""))</f>
        <v/>
      </c>
      <c r="Q113" s="9" t="n"/>
      <c r="R113" s="9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68">
      <c r="A114" s="151" t="n">
        <v>46174</v>
      </c>
      <c r="B114" s="103" t="n">
        <v>23</v>
      </c>
      <c r="C114" s="153">
        <f t="array" ref="C114">IF(IFERROR(-INDEX(Expenses!D$3:D$999,SMALL(IF((Expenses!E$3:E$999="INR")*(Expenses!A$3:A$999=DATE(2026,6,1)),ROW(Expenses!A$3:A$999)-2),1)),0)+IFERROR(INDEX(Income!C$3:C$502,SMALL(IF((Income!D$3:D$502="INR")*(Income!A$3:A$502=DATE(2026,6,1)),ROW(Income!A$3:A$502)-2),1)),0)=0,"",IFERROR(-INDEX(Expenses!D$3:D$999,SMALL(IF((Expenses!E$3:E$999="INR")*(Expenses!A$3:A$999=DATE(2026,6,1)),ROW(Expenses!A$3:A$999)-2),1)),0)+IFERROR(INDEX(Income!C$3:C$502,SMALL(IF((Income!D$3:D$502="INR")*(Income!A$3:A$502=DATE(2026,6,1)),ROW(Income!A$3:A$502)-2),1)),0))</f>
        <v/>
      </c>
      <c r="D114" s="126">
        <f t="array" ref="D114">IF(IFERROR(INDEX(Expenses!B$3:B$999,SMALL(IF((Expenses!E$3:E$999="INR")*(Expenses!A$3:A$999=DATE(2026,6,1)),ROW(Expenses!A$3:A$999)-2),1)),"")&lt;&gt;"",IFERROR(INDEX(Expenses!B$3:B$999,SMALL(IF((Expenses!E$3:E$999="INR")*(Expenses!A$3:A$999=DATE(2026,6,1)),ROW(Expenses!A$3:A$999)-2),1)),""),IF(IFERROR(INDEX(Income!B$3:B$502,SMALL(IF((Income!D$3:D$502="INR")*(Income!A$3:A$502=DATE(2026,6,1)),ROW(Income!A$3:A$502)-2),1)),"")&lt;&gt;"",IFERROR(INDEX(Income!B$3:B$502,SMALL(IF((Income!D$3:D$502="INR")*(Income!A$3:A$502=DATE(2026,6,1)),ROW(Income!A$3:A$502)-2),1)),""),""))</f>
        <v/>
      </c>
      <c r="E114" s="153">
        <f t="array" ref="E114">IF(IFERROR(-INDEX(Expenses!D$3:D$999,SMALL(IF((Expenses!E$3:E$999="INR")*(Expenses!A$3:A$999=DATE(2026,6,2)),ROW(Expenses!A$3:A$999)-2),1)),0)+IFERROR(INDEX(Income!C$3:C$502,SMALL(IF((Income!D$3:D$502="INR")*(Income!A$3:A$502=DATE(2026,6,2)),ROW(Income!A$3:A$502)-2),1)),0)=0,"",IFERROR(-INDEX(Expenses!D$3:D$999,SMALL(IF((Expenses!E$3:E$999="INR")*(Expenses!A$3:A$999=DATE(2026,6,2)),ROW(Expenses!A$3:A$999)-2),1)),0)+IFERROR(INDEX(Income!C$3:C$502,SMALL(IF((Income!D$3:D$502="INR")*(Income!A$3:A$502=DATE(2026,6,2)),ROW(Income!A$3:A$502)-2),1)),0))</f>
        <v/>
      </c>
      <c r="F114" s="126">
        <f t="array" ref="F114">IF(IFERROR(INDEX(Expenses!B$3:B$999,SMALL(IF((Expenses!E$3:E$999="INR")*(Expenses!A$3:A$999=DATE(2026,6,2)),ROW(Expenses!A$3:A$999)-2),1)),"")&lt;&gt;"",IFERROR(INDEX(Expenses!B$3:B$999,SMALL(IF((Expenses!E$3:E$999="INR")*(Expenses!A$3:A$999=DATE(2026,6,2)),ROW(Expenses!A$3:A$999)-2),1)),""),IF(IFERROR(INDEX(Income!B$3:B$502,SMALL(IF((Income!D$3:D$502="INR")*(Income!A$3:A$502=DATE(2026,6,2)),ROW(Income!A$3:A$502)-2),1)),"")&lt;&gt;"",IFERROR(INDEX(Income!B$3:B$502,SMALL(IF((Income!D$3:D$502="INR")*(Income!A$3:A$502=DATE(2026,6,2)),ROW(Income!A$3:A$502)-2),1)),""),""))</f>
        <v/>
      </c>
      <c r="G114" s="153">
        <f t="array" ref="G114">IF(IFERROR(-INDEX(Expenses!D$3:D$999,SMALL(IF((Expenses!E$3:E$999="INR")*(Expenses!A$3:A$999=DATE(2026,6,3)),ROW(Expenses!A$3:A$999)-2),1)),0)+IFERROR(INDEX(Income!C$3:C$502,SMALL(IF((Income!D$3:D$502="INR")*(Income!A$3:A$502=DATE(2026,6,3)),ROW(Income!A$3:A$502)-2),1)),0)=0,"",IFERROR(-INDEX(Expenses!D$3:D$999,SMALL(IF((Expenses!E$3:E$999="INR")*(Expenses!A$3:A$999=DATE(2026,6,3)),ROW(Expenses!A$3:A$999)-2),1)),0)+IFERROR(INDEX(Income!C$3:C$502,SMALL(IF((Income!D$3:D$502="INR")*(Income!A$3:A$502=DATE(2026,6,3)),ROW(Income!A$3:A$502)-2),1)),0))</f>
        <v/>
      </c>
      <c r="H114" s="126">
        <f t="array" ref="H114">IF(IFERROR(INDEX(Expenses!B$3:B$999,SMALL(IF((Expenses!E$3:E$999="INR")*(Expenses!A$3:A$999=DATE(2026,6,3)),ROW(Expenses!A$3:A$999)-2),1)),"")&lt;&gt;"",IFERROR(INDEX(Expenses!B$3:B$999,SMALL(IF((Expenses!E$3:E$999="INR")*(Expenses!A$3:A$999=DATE(2026,6,3)),ROW(Expenses!A$3:A$999)-2),1)),""),IF(IFERROR(INDEX(Income!B$3:B$502,SMALL(IF((Income!D$3:D$502="INR")*(Income!A$3:A$502=DATE(2026,6,3)),ROW(Income!A$3:A$502)-2),1)),"")&lt;&gt;"",IFERROR(INDEX(Income!B$3:B$502,SMALL(IF((Income!D$3:D$502="INR")*(Income!A$3:A$502=DATE(2026,6,3)),ROW(Income!A$3:A$502)-2),1)),""),""))</f>
        <v/>
      </c>
      <c r="I114" s="153">
        <f t="array" ref="I114">IF(IFERROR(-INDEX(Expenses!D$3:D$999,SMALL(IF((Expenses!E$3:E$999="INR")*(Expenses!A$3:A$999=DATE(2026,6,4)),ROW(Expenses!A$3:A$999)-2),1)),0)+IFERROR(INDEX(Income!C$3:C$502,SMALL(IF((Income!D$3:D$502="INR")*(Income!A$3:A$502=DATE(2026,6,4)),ROW(Income!A$3:A$502)-2),1)),0)=0,"",IFERROR(-INDEX(Expenses!D$3:D$999,SMALL(IF((Expenses!E$3:E$999="INR")*(Expenses!A$3:A$999=DATE(2026,6,4)),ROW(Expenses!A$3:A$999)-2),1)),0)+IFERROR(INDEX(Income!C$3:C$502,SMALL(IF((Income!D$3:D$502="INR")*(Income!A$3:A$502=DATE(2026,6,4)),ROW(Income!A$3:A$502)-2),1)),0))</f>
        <v/>
      </c>
      <c r="J114" s="126">
        <f t="array" ref="J114">IF(IFERROR(INDEX(Expenses!B$3:B$999,SMALL(IF((Expenses!E$3:E$999="INR")*(Expenses!A$3:A$999=DATE(2026,6,4)),ROW(Expenses!A$3:A$999)-2),1)),"")&lt;&gt;"",IFERROR(INDEX(Expenses!B$3:B$999,SMALL(IF((Expenses!E$3:E$999="INR")*(Expenses!A$3:A$999=DATE(2026,6,4)),ROW(Expenses!A$3:A$999)-2),1)),""),IF(IFERROR(INDEX(Income!B$3:B$502,SMALL(IF((Income!D$3:D$502="INR")*(Income!A$3:A$502=DATE(2026,6,4)),ROW(Income!A$3:A$502)-2),1)),"")&lt;&gt;"",IFERROR(INDEX(Income!B$3:B$502,SMALL(IF((Income!D$3:D$502="INR")*(Income!A$3:A$502=DATE(2026,6,4)),ROW(Income!A$3:A$502)-2),1)),""),""))</f>
        <v/>
      </c>
      <c r="K114" s="153">
        <f t="array" ref="K114">IF(IFERROR(-INDEX(Expenses!D$3:D$999,SMALL(IF((Expenses!E$3:E$999="INR")*(Expenses!A$3:A$999=DATE(2026,6,5)),ROW(Expenses!A$3:A$999)-2),1)),0)+IFERROR(INDEX(Income!C$3:C$502,SMALL(IF((Income!D$3:D$502="INR")*(Income!A$3:A$502=DATE(2026,6,5)),ROW(Income!A$3:A$502)-2),1)),0)=0,"",IFERROR(-INDEX(Expenses!D$3:D$999,SMALL(IF((Expenses!E$3:E$999="INR")*(Expenses!A$3:A$999=DATE(2026,6,5)),ROW(Expenses!A$3:A$999)-2),1)),0)+IFERROR(INDEX(Income!C$3:C$502,SMALL(IF((Income!D$3:D$502="INR")*(Income!A$3:A$502=DATE(2026,6,5)),ROW(Income!A$3:A$502)-2),1)),0))</f>
        <v/>
      </c>
      <c r="L114" s="126">
        <f t="array" ref="L114">IF(IFERROR(INDEX(Expenses!B$3:B$999,SMALL(IF((Expenses!E$3:E$999="INR")*(Expenses!A$3:A$999=DATE(2026,6,5)),ROW(Expenses!A$3:A$999)-2),1)),"")&lt;&gt;"",IFERROR(INDEX(Expenses!B$3:B$999,SMALL(IF((Expenses!E$3:E$999="INR")*(Expenses!A$3:A$999=DATE(2026,6,5)),ROW(Expenses!A$3:A$999)-2),1)),""),IF(IFERROR(INDEX(Income!B$3:B$502,SMALL(IF((Income!D$3:D$502="INR")*(Income!A$3:A$502=DATE(2026,6,5)),ROW(Income!A$3:A$502)-2),1)),"")&lt;&gt;"",IFERROR(INDEX(Income!B$3:B$502,SMALL(IF((Income!D$3:D$502="INR")*(Income!A$3:A$502=DATE(2026,6,5)),ROW(Income!A$3:A$502)-2),1)),""),""))</f>
        <v/>
      </c>
      <c r="M114" s="153">
        <f t="array" ref="M114">IF(IFERROR(-INDEX(Expenses!D$3:D$999,SMALL(IF((Expenses!E$3:E$999="INR")*(Expenses!A$3:A$999=DATE(2026,6,6)),ROW(Expenses!A$3:A$999)-2),1)),0)+IFERROR(INDEX(Income!C$3:C$502,SMALL(IF((Income!D$3:D$502="INR")*(Income!A$3:A$502=DATE(2026,6,6)),ROW(Income!A$3:A$502)-2),1)),0)=0,"",IFERROR(-INDEX(Expenses!D$3:D$999,SMALL(IF((Expenses!E$3:E$999="INR")*(Expenses!A$3:A$999=DATE(2026,6,6)),ROW(Expenses!A$3:A$999)-2),1)),0)+IFERROR(INDEX(Income!C$3:C$502,SMALL(IF((Income!D$3:D$502="INR")*(Income!A$3:A$502=DATE(2026,6,6)),ROW(Income!A$3:A$502)-2),1)),0))</f>
        <v/>
      </c>
      <c r="N114" s="126">
        <f t="array" ref="N114">IF(IFERROR(INDEX(Expenses!B$3:B$999,SMALL(IF((Expenses!E$3:E$999="INR")*(Expenses!A$3:A$999=DATE(2026,6,6)),ROW(Expenses!A$3:A$999)-2),1)),"")&lt;&gt;"",IFERROR(INDEX(Expenses!B$3:B$999,SMALL(IF((Expenses!E$3:E$999="INR")*(Expenses!A$3:A$999=DATE(2026,6,6)),ROW(Expenses!A$3:A$999)-2),1)),""),IF(IFERROR(INDEX(Income!B$3:B$502,SMALL(IF((Income!D$3:D$502="INR")*(Income!A$3:A$502=DATE(2026,6,6)),ROW(Income!A$3:A$502)-2),1)),"")&lt;&gt;"",IFERROR(INDEX(Income!B$3:B$502,SMALL(IF((Income!D$3:D$502="INR")*(Income!A$3:A$502=DATE(2026,6,6)),ROW(Income!A$3:A$502)-2),1)),""),""))</f>
        <v/>
      </c>
      <c r="O114" s="153">
        <f t="array" ref="O114">IF(IFERROR(-INDEX(Expenses!D$3:D$999,SMALL(IF((Expenses!E$3:E$999="INR")*(Expenses!A$3:A$999=DATE(2026,6,7)),ROW(Expenses!A$3:A$999)-2),1)),0)+IFERROR(INDEX(Income!C$3:C$502,SMALL(IF((Income!D$3:D$502="INR")*(Income!A$3:A$502=DATE(2026,6,7)),ROW(Income!A$3:A$502)-2),1)),0)=0,"",IFERROR(-INDEX(Expenses!D$3:D$999,SMALL(IF((Expenses!E$3:E$999="INR")*(Expenses!A$3:A$999=DATE(2026,6,7)),ROW(Expenses!A$3:A$999)-2),1)),0)+IFERROR(INDEX(Income!C$3:C$502,SMALL(IF((Income!D$3:D$502="INR")*(Income!A$3:A$502=DATE(2026,6,7)),ROW(Income!A$3:A$502)-2),1)),0))</f>
        <v/>
      </c>
      <c r="P114" s="126">
        <f t="array" ref="P114">IF(IFERROR(INDEX(Expenses!B$3:B$999,SMALL(IF((Expenses!E$3:E$999="INR")*(Expenses!A$3:A$999=DATE(2026,6,7)),ROW(Expenses!A$3:A$999)-2),1)),"")&lt;&gt;"",IFERROR(INDEX(Expenses!B$3:B$999,SMALL(IF((Expenses!E$3:E$999="INR")*(Expenses!A$3:A$999=DATE(2026,6,7)),ROW(Expenses!A$3:A$999)-2),1)),""),IF(IFERROR(INDEX(Income!B$3:B$502,SMALL(IF((Income!D$3:D$502="INR")*(Income!A$3:A$502=DATE(2026,6,7)),ROW(Income!A$3:A$502)-2),1)),"")&lt;&gt;"",IFERROR(INDEX(Income!B$3:B$502,SMALL(IF((Income!D$3:D$502="INR")*(Income!A$3:A$502=DATE(2026,6,7)),ROW(Income!A$3:A$502)-2),1)),""),""))</f>
        <v/>
      </c>
      <c r="Q114" s="103" t="n">
        <v>23</v>
      </c>
      <c r="R114" s="142">
        <f>SUM(C114:C118)+SUM(E114:E118)+SUM(G114:G118)+SUM(I114:I118)+SUM(K114:K118)+SUM(M114:M118)+SUM(O114:O118)</f>
        <v/>
      </c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68">
      <c r="A115" s="9" t="n"/>
      <c r="B115" s="9" t="n"/>
      <c r="C115" s="153">
        <f t="array" ref="C115">IF(IFERROR(-INDEX(Expenses!D$3:D$999,SMALL(IF((Expenses!E$3:E$999="INR")*(Expenses!A$3:A$999=DATE(2026,6,1)),ROW(Expenses!A$3:A$999)-2),2)),0)+IFERROR(INDEX(Income!C$3:C$502,SMALL(IF((Income!D$3:D$502="INR")*(Income!A$3:A$502=DATE(2026,6,1)),ROW(Income!A$3:A$502)-2),2)),0)=0,"",IFERROR(-INDEX(Expenses!D$3:D$999,SMALL(IF((Expenses!E$3:E$999="INR")*(Expenses!A$3:A$999=DATE(2026,6,1)),ROW(Expenses!A$3:A$999)-2),2)),0)+IFERROR(INDEX(Income!C$3:C$502,SMALL(IF((Income!D$3:D$502="INR")*(Income!A$3:A$502=DATE(2026,6,1)),ROW(Income!A$3:A$502)-2),2)),0))</f>
        <v/>
      </c>
      <c r="D115" s="126">
        <f t="array" ref="D115">IF(IFERROR(INDEX(Expenses!B$3:B$999,SMALL(IF((Expenses!E$3:E$999="INR")*(Expenses!A$3:A$999=DATE(2026,6,1)),ROW(Expenses!A$3:A$999)-2),2)),"")&lt;&gt;"",IFERROR(INDEX(Expenses!B$3:B$999,SMALL(IF((Expenses!E$3:E$999="INR")*(Expenses!A$3:A$999=DATE(2026,6,1)),ROW(Expenses!A$3:A$999)-2),2)),""),IF(IFERROR(INDEX(Income!B$3:B$502,SMALL(IF((Income!D$3:D$502="INR")*(Income!A$3:A$502=DATE(2026,6,1)),ROW(Income!A$3:A$502)-2),2)),"")&lt;&gt;"",IFERROR(INDEX(Income!B$3:B$502,SMALL(IF((Income!D$3:D$502="INR")*(Income!A$3:A$502=DATE(2026,6,1)),ROW(Income!A$3:A$502)-2),2)),""),""))</f>
        <v/>
      </c>
      <c r="E115" s="153">
        <f t="array" ref="E115">IF(IFERROR(-INDEX(Expenses!D$3:D$999,SMALL(IF((Expenses!E$3:E$999="INR")*(Expenses!A$3:A$999=DATE(2026,6,2)),ROW(Expenses!A$3:A$999)-2),2)),0)+IFERROR(INDEX(Income!C$3:C$502,SMALL(IF((Income!D$3:D$502="INR")*(Income!A$3:A$502=DATE(2026,6,2)),ROW(Income!A$3:A$502)-2),2)),0)=0,"",IFERROR(-INDEX(Expenses!D$3:D$999,SMALL(IF((Expenses!E$3:E$999="INR")*(Expenses!A$3:A$999=DATE(2026,6,2)),ROW(Expenses!A$3:A$999)-2),2)),0)+IFERROR(INDEX(Income!C$3:C$502,SMALL(IF((Income!D$3:D$502="INR")*(Income!A$3:A$502=DATE(2026,6,2)),ROW(Income!A$3:A$502)-2),2)),0))</f>
        <v/>
      </c>
      <c r="F115" s="126">
        <f t="array" ref="F115">IF(IFERROR(INDEX(Expenses!B$3:B$999,SMALL(IF((Expenses!E$3:E$999="INR")*(Expenses!A$3:A$999=DATE(2026,6,2)),ROW(Expenses!A$3:A$999)-2),2)),"")&lt;&gt;"",IFERROR(INDEX(Expenses!B$3:B$999,SMALL(IF((Expenses!E$3:E$999="INR")*(Expenses!A$3:A$999=DATE(2026,6,2)),ROW(Expenses!A$3:A$999)-2),2)),""),IF(IFERROR(INDEX(Income!B$3:B$502,SMALL(IF((Income!D$3:D$502="INR")*(Income!A$3:A$502=DATE(2026,6,2)),ROW(Income!A$3:A$502)-2),2)),"")&lt;&gt;"",IFERROR(INDEX(Income!B$3:B$502,SMALL(IF((Income!D$3:D$502="INR")*(Income!A$3:A$502=DATE(2026,6,2)),ROW(Income!A$3:A$502)-2),2)),""),""))</f>
        <v/>
      </c>
      <c r="G115" s="153">
        <f t="array" ref="G115">IF(IFERROR(-INDEX(Expenses!D$3:D$999,SMALL(IF((Expenses!E$3:E$999="INR")*(Expenses!A$3:A$999=DATE(2026,6,3)),ROW(Expenses!A$3:A$999)-2),2)),0)+IFERROR(INDEX(Income!C$3:C$502,SMALL(IF((Income!D$3:D$502="INR")*(Income!A$3:A$502=DATE(2026,6,3)),ROW(Income!A$3:A$502)-2),2)),0)=0,"",IFERROR(-INDEX(Expenses!D$3:D$999,SMALL(IF((Expenses!E$3:E$999="INR")*(Expenses!A$3:A$999=DATE(2026,6,3)),ROW(Expenses!A$3:A$999)-2),2)),0)+IFERROR(INDEX(Income!C$3:C$502,SMALL(IF((Income!D$3:D$502="INR")*(Income!A$3:A$502=DATE(2026,6,3)),ROW(Income!A$3:A$502)-2),2)),0))</f>
        <v/>
      </c>
      <c r="H115" s="126">
        <f t="array" ref="H115">IF(IFERROR(INDEX(Expenses!B$3:B$999,SMALL(IF((Expenses!E$3:E$999="INR")*(Expenses!A$3:A$999=DATE(2026,6,3)),ROW(Expenses!A$3:A$999)-2),2)),"")&lt;&gt;"",IFERROR(INDEX(Expenses!B$3:B$999,SMALL(IF((Expenses!E$3:E$999="INR")*(Expenses!A$3:A$999=DATE(2026,6,3)),ROW(Expenses!A$3:A$999)-2),2)),""),IF(IFERROR(INDEX(Income!B$3:B$502,SMALL(IF((Income!D$3:D$502="INR")*(Income!A$3:A$502=DATE(2026,6,3)),ROW(Income!A$3:A$502)-2),2)),"")&lt;&gt;"",IFERROR(INDEX(Income!B$3:B$502,SMALL(IF((Income!D$3:D$502="INR")*(Income!A$3:A$502=DATE(2026,6,3)),ROW(Income!A$3:A$502)-2),2)),""),""))</f>
        <v/>
      </c>
      <c r="I115" s="153">
        <f t="array" ref="I115">IF(IFERROR(-INDEX(Expenses!D$3:D$999,SMALL(IF((Expenses!E$3:E$999="INR")*(Expenses!A$3:A$999=DATE(2026,6,4)),ROW(Expenses!A$3:A$999)-2),2)),0)+IFERROR(INDEX(Income!C$3:C$502,SMALL(IF((Income!D$3:D$502="INR")*(Income!A$3:A$502=DATE(2026,6,4)),ROW(Income!A$3:A$502)-2),2)),0)=0,"",IFERROR(-INDEX(Expenses!D$3:D$999,SMALL(IF((Expenses!E$3:E$999="INR")*(Expenses!A$3:A$999=DATE(2026,6,4)),ROW(Expenses!A$3:A$999)-2),2)),0)+IFERROR(INDEX(Income!C$3:C$502,SMALL(IF((Income!D$3:D$502="INR")*(Income!A$3:A$502=DATE(2026,6,4)),ROW(Income!A$3:A$502)-2),2)),0))</f>
        <v/>
      </c>
      <c r="J115" s="126">
        <f t="array" ref="J115">IF(IFERROR(INDEX(Expenses!B$3:B$999,SMALL(IF((Expenses!E$3:E$999="INR")*(Expenses!A$3:A$999=DATE(2026,6,4)),ROW(Expenses!A$3:A$999)-2),2)),"")&lt;&gt;"",IFERROR(INDEX(Expenses!B$3:B$999,SMALL(IF((Expenses!E$3:E$999="INR")*(Expenses!A$3:A$999=DATE(2026,6,4)),ROW(Expenses!A$3:A$999)-2),2)),""),IF(IFERROR(INDEX(Income!B$3:B$502,SMALL(IF((Income!D$3:D$502="INR")*(Income!A$3:A$502=DATE(2026,6,4)),ROW(Income!A$3:A$502)-2),2)),"")&lt;&gt;"",IFERROR(INDEX(Income!B$3:B$502,SMALL(IF((Income!D$3:D$502="INR")*(Income!A$3:A$502=DATE(2026,6,4)),ROW(Income!A$3:A$502)-2),2)),""),""))</f>
        <v/>
      </c>
      <c r="K115" s="153">
        <f t="array" ref="K115">IF(IFERROR(-INDEX(Expenses!D$3:D$999,SMALL(IF((Expenses!E$3:E$999="INR")*(Expenses!A$3:A$999=DATE(2026,6,5)),ROW(Expenses!A$3:A$999)-2),2)),0)+IFERROR(INDEX(Income!C$3:C$502,SMALL(IF((Income!D$3:D$502="INR")*(Income!A$3:A$502=DATE(2026,6,5)),ROW(Income!A$3:A$502)-2),2)),0)=0,"",IFERROR(-INDEX(Expenses!D$3:D$999,SMALL(IF((Expenses!E$3:E$999="INR")*(Expenses!A$3:A$999=DATE(2026,6,5)),ROW(Expenses!A$3:A$999)-2),2)),0)+IFERROR(INDEX(Income!C$3:C$502,SMALL(IF((Income!D$3:D$502="INR")*(Income!A$3:A$502=DATE(2026,6,5)),ROW(Income!A$3:A$502)-2),2)),0))</f>
        <v/>
      </c>
      <c r="L115" s="126">
        <f t="array" ref="L115">IF(IFERROR(INDEX(Expenses!B$3:B$999,SMALL(IF((Expenses!E$3:E$999="INR")*(Expenses!A$3:A$999=DATE(2026,6,5)),ROW(Expenses!A$3:A$999)-2),2)),"")&lt;&gt;"",IFERROR(INDEX(Expenses!B$3:B$999,SMALL(IF((Expenses!E$3:E$999="INR")*(Expenses!A$3:A$999=DATE(2026,6,5)),ROW(Expenses!A$3:A$999)-2),2)),""),IF(IFERROR(INDEX(Income!B$3:B$502,SMALL(IF((Income!D$3:D$502="INR")*(Income!A$3:A$502=DATE(2026,6,5)),ROW(Income!A$3:A$502)-2),2)),"")&lt;&gt;"",IFERROR(INDEX(Income!B$3:B$502,SMALL(IF((Income!D$3:D$502="INR")*(Income!A$3:A$502=DATE(2026,6,5)),ROW(Income!A$3:A$502)-2),2)),""),""))</f>
        <v/>
      </c>
      <c r="M115" s="153">
        <f t="array" ref="M115">IF(IFERROR(-INDEX(Expenses!D$3:D$999,SMALL(IF((Expenses!E$3:E$999="INR")*(Expenses!A$3:A$999=DATE(2026,6,6)),ROW(Expenses!A$3:A$999)-2),2)),0)+IFERROR(INDEX(Income!C$3:C$502,SMALL(IF((Income!D$3:D$502="INR")*(Income!A$3:A$502=DATE(2026,6,6)),ROW(Income!A$3:A$502)-2),2)),0)=0,"",IFERROR(-INDEX(Expenses!D$3:D$999,SMALL(IF((Expenses!E$3:E$999="INR")*(Expenses!A$3:A$999=DATE(2026,6,6)),ROW(Expenses!A$3:A$999)-2),2)),0)+IFERROR(INDEX(Income!C$3:C$502,SMALL(IF((Income!D$3:D$502="INR")*(Income!A$3:A$502=DATE(2026,6,6)),ROW(Income!A$3:A$502)-2),2)),0))</f>
        <v/>
      </c>
      <c r="N115" s="126">
        <f t="array" ref="N115">IF(IFERROR(INDEX(Expenses!B$3:B$999,SMALL(IF((Expenses!E$3:E$999="INR")*(Expenses!A$3:A$999=DATE(2026,6,6)),ROW(Expenses!A$3:A$999)-2),2)),"")&lt;&gt;"",IFERROR(INDEX(Expenses!B$3:B$999,SMALL(IF((Expenses!E$3:E$999="INR")*(Expenses!A$3:A$999=DATE(2026,6,6)),ROW(Expenses!A$3:A$999)-2),2)),""),IF(IFERROR(INDEX(Income!B$3:B$502,SMALL(IF((Income!D$3:D$502="INR")*(Income!A$3:A$502=DATE(2026,6,6)),ROW(Income!A$3:A$502)-2),2)),"")&lt;&gt;"",IFERROR(INDEX(Income!B$3:B$502,SMALL(IF((Income!D$3:D$502="INR")*(Income!A$3:A$502=DATE(2026,6,6)),ROW(Income!A$3:A$502)-2),2)),""),""))</f>
        <v/>
      </c>
      <c r="O115" s="153">
        <f t="array" ref="O115">IF(IFERROR(-INDEX(Expenses!D$3:D$999,SMALL(IF((Expenses!E$3:E$999="INR")*(Expenses!A$3:A$999=DATE(2026,6,7)),ROW(Expenses!A$3:A$999)-2),2)),0)+IFERROR(INDEX(Income!C$3:C$502,SMALL(IF((Income!D$3:D$502="INR")*(Income!A$3:A$502=DATE(2026,6,7)),ROW(Income!A$3:A$502)-2),2)),0)=0,"",IFERROR(-INDEX(Expenses!D$3:D$999,SMALL(IF((Expenses!E$3:E$999="INR")*(Expenses!A$3:A$999=DATE(2026,6,7)),ROW(Expenses!A$3:A$999)-2),2)),0)+IFERROR(INDEX(Income!C$3:C$502,SMALL(IF((Income!D$3:D$502="INR")*(Income!A$3:A$502=DATE(2026,6,7)),ROW(Income!A$3:A$502)-2),2)),0))</f>
        <v/>
      </c>
      <c r="P115" s="126">
        <f t="array" ref="P115">IF(IFERROR(INDEX(Expenses!B$3:B$999,SMALL(IF((Expenses!E$3:E$999="INR")*(Expenses!A$3:A$999=DATE(2026,6,7)),ROW(Expenses!A$3:A$999)-2),2)),"")&lt;&gt;"",IFERROR(INDEX(Expenses!B$3:B$999,SMALL(IF((Expenses!E$3:E$999="INR")*(Expenses!A$3:A$999=DATE(2026,6,7)),ROW(Expenses!A$3:A$999)-2),2)),""),IF(IFERROR(INDEX(Income!B$3:B$502,SMALL(IF((Income!D$3:D$502="INR")*(Income!A$3:A$502=DATE(2026,6,7)),ROW(Income!A$3:A$502)-2),2)),"")&lt;&gt;"",IFERROR(INDEX(Income!B$3:B$502,SMALL(IF((Income!D$3:D$502="INR")*(Income!A$3:A$502=DATE(2026,6,7)),ROW(Income!A$3:A$502)-2),2)),""),""))</f>
        <v/>
      </c>
      <c r="Q115" s="9" t="n"/>
      <c r="R115" s="9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68">
      <c r="A116" s="9" t="n"/>
      <c r="B116" s="9" t="n"/>
      <c r="C116" s="153">
        <f t="array" ref="C116">IF(IFERROR(-INDEX(Expenses!D$3:D$999,SMALL(IF((Expenses!E$3:E$999="INR")*(Expenses!A$3:A$999=DATE(2026,6,1)),ROW(Expenses!A$3:A$999)-2),3)),0)+IFERROR(INDEX(Income!C$3:C$502,SMALL(IF((Income!D$3:D$502="INR")*(Income!A$3:A$502=DATE(2026,6,1)),ROW(Income!A$3:A$502)-2),3)),0)=0,"",IFERROR(-INDEX(Expenses!D$3:D$999,SMALL(IF((Expenses!E$3:E$999="INR")*(Expenses!A$3:A$999=DATE(2026,6,1)),ROW(Expenses!A$3:A$999)-2),3)),0)+IFERROR(INDEX(Income!C$3:C$502,SMALL(IF((Income!D$3:D$502="INR")*(Income!A$3:A$502=DATE(2026,6,1)),ROW(Income!A$3:A$502)-2),3)),0))</f>
        <v/>
      </c>
      <c r="D116" s="126">
        <f t="array" ref="D116">IF(IFERROR(INDEX(Expenses!B$3:B$999,SMALL(IF((Expenses!E$3:E$999="INR")*(Expenses!A$3:A$999=DATE(2026,6,1)),ROW(Expenses!A$3:A$999)-2),3)),"")&lt;&gt;"",IFERROR(INDEX(Expenses!B$3:B$999,SMALL(IF((Expenses!E$3:E$999="INR")*(Expenses!A$3:A$999=DATE(2026,6,1)),ROW(Expenses!A$3:A$999)-2),3)),""),IF(IFERROR(INDEX(Income!B$3:B$502,SMALL(IF((Income!D$3:D$502="INR")*(Income!A$3:A$502=DATE(2026,6,1)),ROW(Income!A$3:A$502)-2),3)),"")&lt;&gt;"",IFERROR(INDEX(Income!B$3:B$502,SMALL(IF((Income!D$3:D$502="INR")*(Income!A$3:A$502=DATE(2026,6,1)),ROW(Income!A$3:A$502)-2),3)),""),""))</f>
        <v/>
      </c>
      <c r="E116" s="153">
        <f t="array" ref="E116">IF(IFERROR(-INDEX(Expenses!D$3:D$999,SMALL(IF((Expenses!E$3:E$999="INR")*(Expenses!A$3:A$999=DATE(2026,6,2)),ROW(Expenses!A$3:A$999)-2),3)),0)+IFERROR(INDEX(Income!C$3:C$502,SMALL(IF((Income!D$3:D$502="INR")*(Income!A$3:A$502=DATE(2026,6,2)),ROW(Income!A$3:A$502)-2),3)),0)=0,"",IFERROR(-INDEX(Expenses!D$3:D$999,SMALL(IF((Expenses!E$3:E$999="INR")*(Expenses!A$3:A$999=DATE(2026,6,2)),ROW(Expenses!A$3:A$999)-2),3)),0)+IFERROR(INDEX(Income!C$3:C$502,SMALL(IF((Income!D$3:D$502="INR")*(Income!A$3:A$502=DATE(2026,6,2)),ROW(Income!A$3:A$502)-2),3)),0))</f>
        <v/>
      </c>
      <c r="F116" s="126">
        <f t="array" ref="F116">IF(IFERROR(INDEX(Expenses!B$3:B$999,SMALL(IF((Expenses!E$3:E$999="INR")*(Expenses!A$3:A$999=DATE(2026,6,2)),ROW(Expenses!A$3:A$999)-2),3)),"")&lt;&gt;"",IFERROR(INDEX(Expenses!B$3:B$999,SMALL(IF((Expenses!E$3:E$999="INR")*(Expenses!A$3:A$999=DATE(2026,6,2)),ROW(Expenses!A$3:A$999)-2),3)),""),IF(IFERROR(INDEX(Income!B$3:B$502,SMALL(IF((Income!D$3:D$502="INR")*(Income!A$3:A$502=DATE(2026,6,2)),ROW(Income!A$3:A$502)-2),3)),"")&lt;&gt;"",IFERROR(INDEX(Income!B$3:B$502,SMALL(IF((Income!D$3:D$502="INR")*(Income!A$3:A$502=DATE(2026,6,2)),ROW(Income!A$3:A$502)-2),3)),""),""))</f>
        <v/>
      </c>
      <c r="G116" s="153">
        <f t="array" ref="G116">IF(IFERROR(-INDEX(Expenses!D$3:D$999,SMALL(IF((Expenses!E$3:E$999="INR")*(Expenses!A$3:A$999=DATE(2026,6,3)),ROW(Expenses!A$3:A$999)-2),3)),0)+IFERROR(INDEX(Income!C$3:C$502,SMALL(IF((Income!D$3:D$502="INR")*(Income!A$3:A$502=DATE(2026,6,3)),ROW(Income!A$3:A$502)-2),3)),0)=0,"",IFERROR(-INDEX(Expenses!D$3:D$999,SMALL(IF((Expenses!E$3:E$999="INR")*(Expenses!A$3:A$999=DATE(2026,6,3)),ROW(Expenses!A$3:A$999)-2),3)),0)+IFERROR(INDEX(Income!C$3:C$502,SMALL(IF((Income!D$3:D$502="INR")*(Income!A$3:A$502=DATE(2026,6,3)),ROW(Income!A$3:A$502)-2),3)),0))</f>
        <v/>
      </c>
      <c r="H116" s="126">
        <f t="array" ref="H116">IF(IFERROR(INDEX(Expenses!B$3:B$999,SMALL(IF((Expenses!E$3:E$999="INR")*(Expenses!A$3:A$999=DATE(2026,6,3)),ROW(Expenses!A$3:A$999)-2),3)),"")&lt;&gt;"",IFERROR(INDEX(Expenses!B$3:B$999,SMALL(IF((Expenses!E$3:E$999="INR")*(Expenses!A$3:A$999=DATE(2026,6,3)),ROW(Expenses!A$3:A$999)-2),3)),""),IF(IFERROR(INDEX(Income!B$3:B$502,SMALL(IF((Income!D$3:D$502="INR")*(Income!A$3:A$502=DATE(2026,6,3)),ROW(Income!A$3:A$502)-2),3)),"")&lt;&gt;"",IFERROR(INDEX(Income!B$3:B$502,SMALL(IF((Income!D$3:D$502="INR")*(Income!A$3:A$502=DATE(2026,6,3)),ROW(Income!A$3:A$502)-2),3)),""),""))</f>
        <v/>
      </c>
      <c r="I116" s="153">
        <f t="array" ref="I116">IF(IFERROR(-INDEX(Expenses!D$3:D$999,SMALL(IF((Expenses!E$3:E$999="INR")*(Expenses!A$3:A$999=DATE(2026,6,4)),ROW(Expenses!A$3:A$999)-2),3)),0)+IFERROR(INDEX(Income!C$3:C$502,SMALL(IF((Income!D$3:D$502="INR")*(Income!A$3:A$502=DATE(2026,6,4)),ROW(Income!A$3:A$502)-2),3)),0)=0,"",IFERROR(-INDEX(Expenses!D$3:D$999,SMALL(IF((Expenses!E$3:E$999="INR")*(Expenses!A$3:A$999=DATE(2026,6,4)),ROW(Expenses!A$3:A$999)-2),3)),0)+IFERROR(INDEX(Income!C$3:C$502,SMALL(IF((Income!D$3:D$502="INR")*(Income!A$3:A$502=DATE(2026,6,4)),ROW(Income!A$3:A$502)-2),3)),0))</f>
        <v/>
      </c>
      <c r="J116" s="126">
        <f t="array" ref="J116">IF(IFERROR(INDEX(Expenses!B$3:B$999,SMALL(IF((Expenses!E$3:E$999="INR")*(Expenses!A$3:A$999=DATE(2026,6,4)),ROW(Expenses!A$3:A$999)-2),3)),"")&lt;&gt;"",IFERROR(INDEX(Expenses!B$3:B$999,SMALL(IF((Expenses!E$3:E$999="INR")*(Expenses!A$3:A$999=DATE(2026,6,4)),ROW(Expenses!A$3:A$999)-2),3)),""),IF(IFERROR(INDEX(Income!B$3:B$502,SMALL(IF((Income!D$3:D$502="INR")*(Income!A$3:A$502=DATE(2026,6,4)),ROW(Income!A$3:A$502)-2),3)),"")&lt;&gt;"",IFERROR(INDEX(Income!B$3:B$502,SMALL(IF((Income!D$3:D$502="INR")*(Income!A$3:A$502=DATE(2026,6,4)),ROW(Income!A$3:A$502)-2),3)),""),""))</f>
        <v/>
      </c>
      <c r="K116" s="153">
        <f t="array" ref="K116">IF(IFERROR(-INDEX(Expenses!D$3:D$999,SMALL(IF((Expenses!E$3:E$999="INR")*(Expenses!A$3:A$999=DATE(2026,6,5)),ROW(Expenses!A$3:A$999)-2),3)),0)+IFERROR(INDEX(Income!C$3:C$502,SMALL(IF((Income!D$3:D$502="INR")*(Income!A$3:A$502=DATE(2026,6,5)),ROW(Income!A$3:A$502)-2),3)),0)=0,"",IFERROR(-INDEX(Expenses!D$3:D$999,SMALL(IF((Expenses!E$3:E$999="INR")*(Expenses!A$3:A$999=DATE(2026,6,5)),ROW(Expenses!A$3:A$999)-2),3)),0)+IFERROR(INDEX(Income!C$3:C$502,SMALL(IF((Income!D$3:D$502="INR")*(Income!A$3:A$502=DATE(2026,6,5)),ROW(Income!A$3:A$502)-2),3)),0))</f>
        <v/>
      </c>
      <c r="L116" s="126">
        <f t="array" ref="L116">IF(IFERROR(INDEX(Expenses!B$3:B$999,SMALL(IF((Expenses!E$3:E$999="INR")*(Expenses!A$3:A$999=DATE(2026,6,5)),ROW(Expenses!A$3:A$999)-2),3)),"")&lt;&gt;"",IFERROR(INDEX(Expenses!B$3:B$999,SMALL(IF((Expenses!E$3:E$999="INR")*(Expenses!A$3:A$999=DATE(2026,6,5)),ROW(Expenses!A$3:A$999)-2),3)),""),IF(IFERROR(INDEX(Income!B$3:B$502,SMALL(IF((Income!D$3:D$502="INR")*(Income!A$3:A$502=DATE(2026,6,5)),ROW(Income!A$3:A$502)-2),3)),"")&lt;&gt;"",IFERROR(INDEX(Income!B$3:B$502,SMALL(IF((Income!D$3:D$502="INR")*(Income!A$3:A$502=DATE(2026,6,5)),ROW(Income!A$3:A$502)-2),3)),""),""))</f>
        <v/>
      </c>
      <c r="M116" s="153">
        <f t="array" ref="M116">IF(IFERROR(-INDEX(Expenses!D$3:D$999,SMALL(IF((Expenses!E$3:E$999="INR")*(Expenses!A$3:A$999=DATE(2026,6,6)),ROW(Expenses!A$3:A$999)-2),3)),0)+IFERROR(INDEX(Income!C$3:C$502,SMALL(IF((Income!D$3:D$502="INR")*(Income!A$3:A$502=DATE(2026,6,6)),ROW(Income!A$3:A$502)-2),3)),0)=0,"",IFERROR(-INDEX(Expenses!D$3:D$999,SMALL(IF((Expenses!E$3:E$999="INR")*(Expenses!A$3:A$999=DATE(2026,6,6)),ROW(Expenses!A$3:A$999)-2),3)),0)+IFERROR(INDEX(Income!C$3:C$502,SMALL(IF((Income!D$3:D$502="INR")*(Income!A$3:A$502=DATE(2026,6,6)),ROW(Income!A$3:A$502)-2),3)),0))</f>
        <v/>
      </c>
      <c r="N116" s="126">
        <f t="array" ref="N116">IF(IFERROR(INDEX(Expenses!B$3:B$999,SMALL(IF((Expenses!E$3:E$999="INR")*(Expenses!A$3:A$999=DATE(2026,6,6)),ROW(Expenses!A$3:A$999)-2),3)),"")&lt;&gt;"",IFERROR(INDEX(Expenses!B$3:B$999,SMALL(IF((Expenses!E$3:E$999="INR")*(Expenses!A$3:A$999=DATE(2026,6,6)),ROW(Expenses!A$3:A$999)-2),3)),""),IF(IFERROR(INDEX(Income!B$3:B$502,SMALL(IF((Income!D$3:D$502="INR")*(Income!A$3:A$502=DATE(2026,6,6)),ROW(Income!A$3:A$502)-2),3)),"")&lt;&gt;"",IFERROR(INDEX(Income!B$3:B$502,SMALL(IF((Income!D$3:D$502="INR")*(Income!A$3:A$502=DATE(2026,6,6)),ROW(Income!A$3:A$502)-2),3)),""),""))</f>
        <v/>
      </c>
      <c r="O116" s="153">
        <f t="array" ref="O116">IF(IFERROR(-INDEX(Expenses!D$3:D$999,SMALL(IF((Expenses!E$3:E$999="INR")*(Expenses!A$3:A$999=DATE(2026,6,7)),ROW(Expenses!A$3:A$999)-2),3)),0)+IFERROR(INDEX(Income!C$3:C$502,SMALL(IF((Income!D$3:D$502="INR")*(Income!A$3:A$502=DATE(2026,6,7)),ROW(Income!A$3:A$502)-2),3)),0)=0,"",IFERROR(-INDEX(Expenses!D$3:D$999,SMALL(IF((Expenses!E$3:E$999="INR")*(Expenses!A$3:A$999=DATE(2026,6,7)),ROW(Expenses!A$3:A$999)-2),3)),0)+IFERROR(INDEX(Income!C$3:C$502,SMALL(IF((Income!D$3:D$502="INR")*(Income!A$3:A$502=DATE(2026,6,7)),ROW(Income!A$3:A$502)-2),3)),0))</f>
        <v/>
      </c>
      <c r="P116" s="126">
        <f t="array" ref="P116">IF(IFERROR(INDEX(Expenses!B$3:B$999,SMALL(IF((Expenses!E$3:E$999="INR")*(Expenses!A$3:A$999=DATE(2026,6,7)),ROW(Expenses!A$3:A$999)-2),3)),"")&lt;&gt;"",IFERROR(INDEX(Expenses!B$3:B$999,SMALL(IF((Expenses!E$3:E$999="INR")*(Expenses!A$3:A$999=DATE(2026,6,7)),ROW(Expenses!A$3:A$999)-2),3)),""),IF(IFERROR(INDEX(Income!B$3:B$502,SMALL(IF((Income!D$3:D$502="INR")*(Income!A$3:A$502=DATE(2026,6,7)),ROW(Income!A$3:A$502)-2),3)),"")&lt;&gt;"",IFERROR(INDEX(Income!B$3:B$502,SMALL(IF((Income!D$3:D$502="INR")*(Income!A$3:A$502=DATE(2026,6,7)),ROW(Income!A$3:A$502)-2),3)),""),""))</f>
        <v/>
      </c>
      <c r="Q116" s="9" t="n"/>
      <c r="R116" s="9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68">
      <c r="A117" s="9" t="n"/>
      <c r="B117" s="9" t="n"/>
      <c r="C117" s="153">
        <f t="array" ref="C117">IF(IFERROR(-INDEX(Expenses!D$3:D$999,SMALL(IF((Expenses!E$3:E$999="INR")*(Expenses!A$3:A$999=DATE(2026,6,1)),ROW(Expenses!A$3:A$999)-2),4)),0)+IFERROR(INDEX(Income!C$3:C$502,SMALL(IF((Income!D$3:D$502="INR")*(Income!A$3:A$502=DATE(2026,6,1)),ROW(Income!A$3:A$502)-2),4)),0)=0,"",IFERROR(-INDEX(Expenses!D$3:D$999,SMALL(IF((Expenses!E$3:E$999="INR")*(Expenses!A$3:A$999=DATE(2026,6,1)),ROW(Expenses!A$3:A$999)-2),4)),0)+IFERROR(INDEX(Income!C$3:C$502,SMALL(IF((Income!D$3:D$502="INR")*(Income!A$3:A$502=DATE(2026,6,1)),ROW(Income!A$3:A$502)-2),4)),0))</f>
        <v/>
      </c>
      <c r="D117" s="126">
        <f t="array" ref="D117">IF(IFERROR(INDEX(Expenses!B$3:B$999,SMALL(IF((Expenses!E$3:E$999="INR")*(Expenses!A$3:A$999=DATE(2026,6,1)),ROW(Expenses!A$3:A$999)-2),4)),"")&lt;&gt;"",IFERROR(INDEX(Expenses!B$3:B$999,SMALL(IF((Expenses!E$3:E$999="INR")*(Expenses!A$3:A$999=DATE(2026,6,1)),ROW(Expenses!A$3:A$999)-2),4)),""),IF(IFERROR(INDEX(Income!B$3:B$502,SMALL(IF((Income!D$3:D$502="INR")*(Income!A$3:A$502=DATE(2026,6,1)),ROW(Income!A$3:A$502)-2),4)),"")&lt;&gt;"",IFERROR(INDEX(Income!B$3:B$502,SMALL(IF((Income!D$3:D$502="INR")*(Income!A$3:A$502=DATE(2026,6,1)),ROW(Income!A$3:A$502)-2),4)),""),""))</f>
        <v/>
      </c>
      <c r="E117" s="153">
        <f t="array" ref="E117">IF(IFERROR(-INDEX(Expenses!D$3:D$999,SMALL(IF((Expenses!E$3:E$999="INR")*(Expenses!A$3:A$999=DATE(2026,6,2)),ROW(Expenses!A$3:A$999)-2),4)),0)+IFERROR(INDEX(Income!C$3:C$502,SMALL(IF((Income!D$3:D$502="INR")*(Income!A$3:A$502=DATE(2026,6,2)),ROW(Income!A$3:A$502)-2),4)),0)=0,"",IFERROR(-INDEX(Expenses!D$3:D$999,SMALL(IF((Expenses!E$3:E$999="INR")*(Expenses!A$3:A$999=DATE(2026,6,2)),ROW(Expenses!A$3:A$999)-2),4)),0)+IFERROR(INDEX(Income!C$3:C$502,SMALL(IF((Income!D$3:D$502="INR")*(Income!A$3:A$502=DATE(2026,6,2)),ROW(Income!A$3:A$502)-2),4)),0))</f>
        <v/>
      </c>
      <c r="F117" s="126">
        <f t="array" ref="F117">IF(IFERROR(INDEX(Expenses!B$3:B$999,SMALL(IF((Expenses!E$3:E$999="INR")*(Expenses!A$3:A$999=DATE(2026,6,2)),ROW(Expenses!A$3:A$999)-2),4)),"")&lt;&gt;"",IFERROR(INDEX(Expenses!B$3:B$999,SMALL(IF((Expenses!E$3:E$999="INR")*(Expenses!A$3:A$999=DATE(2026,6,2)),ROW(Expenses!A$3:A$999)-2),4)),""),IF(IFERROR(INDEX(Income!B$3:B$502,SMALL(IF((Income!D$3:D$502="INR")*(Income!A$3:A$502=DATE(2026,6,2)),ROW(Income!A$3:A$502)-2),4)),"")&lt;&gt;"",IFERROR(INDEX(Income!B$3:B$502,SMALL(IF((Income!D$3:D$502="INR")*(Income!A$3:A$502=DATE(2026,6,2)),ROW(Income!A$3:A$502)-2),4)),""),""))</f>
        <v/>
      </c>
      <c r="G117" s="153">
        <f t="array" ref="G117">IF(IFERROR(-INDEX(Expenses!D$3:D$999,SMALL(IF((Expenses!E$3:E$999="INR")*(Expenses!A$3:A$999=DATE(2026,6,3)),ROW(Expenses!A$3:A$999)-2),4)),0)+IFERROR(INDEX(Income!C$3:C$502,SMALL(IF((Income!D$3:D$502="INR")*(Income!A$3:A$502=DATE(2026,6,3)),ROW(Income!A$3:A$502)-2),4)),0)=0,"",IFERROR(-INDEX(Expenses!D$3:D$999,SMALL(IF((Expenses!E$3:E$999="INR")*(Expenses!A$3:A$999=DATE(2026,6,3)),ROW(Expenses!A$3:A$999)-2),4)),0)+IFERROR(INDEX(Income!C$3:C$502,SMALL(IF((Income!D$3:D$502="INR")*(Income!A$3:A$502=DATE(2026,6,3)),ROW(Income!A$3:A$502)-2),4)),0))</f>
        <v/>
      </c>
      <c r="H117" s="126">
        <f t="array" ref="H117">IF(IFERROR(INDEX(Expenses!B$3:B$999,SMALL(IF((Expenses!E$3:E$999="INR")*(Expenses!A$3:A$999=DATE(2026,6,3)),ROW(Expenses!A$3:A$999)-2),4)),"")&lt;&gt;"",IFERROR(INDEX(Expenses!B$3:B$999,SMALL(IF((Expenses!E$3:E$999="INR")*(Expenses!A$3:A$999=DATE(2026,6,3)),ROW(Expenses!A$3:A$999)-2),4)),""),IF(IFERROR(INDEX(Income!B$3:B$502,SMALL(IF((Income!D$3:D$502="INR")*(Income!A$3:A$502=DATE(2026,6,3)),ROW(Income!A$3:A$502)-2),4)),"")&lt;&gt;"",IFERROR(INDEX(Income!B$3:B$502,SMALL(IF((Income!D$3:D$502="INR")*(Income!A$3:A$502=DATE(2026,6,3)),ROW(Income!A$3:A$502)-2),4)),""),""))</f>
        <v/>
      </c>
      <c r="I117" s="153">
        <f t="array" ref="I117">IF(IFERROR(-INDEX(Expenses!D$3:D$999,SMALL(IF((Expenses!E$3:E$999="INR")*(Expenses!A$3:A$999=DATE(2026,6,4)),ROW(Expenses!A$3:A$999)-2),4)),0)+IFERROR(INDEX(Income!C$3:C$502,SMALL(IF((Income!D$3:D$502="INR")*(Income!A$3:A$502=DATE(2026,6,4)),ROW(Income!A$3:A$502)-2),4)),0)=0,"",IFERROR(-INDEX(Expenses!D$3:D$999,SMALL(IF((Expenses!E$3:E$999="INR")*(Expenses!A$3:A$999=DATE(2026,6,4)),ROW(Expenses!A$3:A$999)-2),4)),0)+IFERROR(INDEX(Income!C$3:C$502,SMALL(IF((Income!D$3:D$502="INR")*(Income!A$3:A$502=DATE(2026,6,4)),ROW(Income!A$3:A$502)-2),4)),0))</f>
        <v/>
      </c>
      <c r="J117" s="126">
        <f t="array" ref="J117">IF(IFERROR(INDEX(Expenses!B$3:B$999,SMALL(IF((Expenses!E$3:E$999="INR")*(Expenses!A$3:A$999=DATE(2026,6,4)),ROW(Expenses!A$3:A$999)-2),4)),"")&lt;&gt;"",IFERROR(INDEX(Expenses!B$3:B$999,SMALL(IF((Expenses!E$3:E$999="INR")*(Expenses!A$3:A$999=DATE(2026,6,4)),ROW(Expenses!A$3:A$999)-2),4)),""),IF(IFERROR(INDEX(Income!B$3:B$502,SMALL(IF((Income!D$3:D$502="INR")*(Income!A$3:A$502=DATE(2026,6,4)),ROW(Income!A$3:A$502)-2),4)),"")&lt;&gt;"",IFERROR(INDEX(Income!B$3:B$502,SMALL(IF((Income!D$3:D$502="INR")*(Income!A$3:A$502=DATE(2026,6,4)),ROW(Income!A$3:A$502)-2),4)),""),""))</f>
        <v/>
      </c>
      <c r="K117" s="153">
        <f t="array" ref="K117">IF(IFERROR(-INDEX(Expenses!D$3:D$999,SMALL(IF((Expenses!E$3:E$999="INR")*(Expenses!A$3:A$999=DATE(2026,6,5)),ROW(Expenses!A$3:A$999)-2),4)),0)+IFERROR(INDEX(Income!C$3:C$502,SMALL(IF((Income!D$3:D$502="INR")*(Income!A$3:A$502=DATE(2026,6,5)),ROW(Income!A$3:A$502)-2),4)),0)=0,"",IFERROR(-INDEX(Expenses!D$3:D$999,SMALL(IF((Expenses!E$3:E$999="INR")*(Expenses!A$3:A$999=DATE(2026,6,5)),ROW(Expenses!A$3:A$999)-2),4)),0)+IFERROR(INDEX(Income!C$3:C$502,SMALL(IF((Income!D$3:D$502="INR")*(Income!A$3:A$502=DATE(2026,6,5)),ROW(Income!A$3:A$502)-2),4)),0))</f>
        <v/>
      </c>
      <c r="L117" s="126">
        <f t="array" ref="L117">IF(IFERROR(INDEX(Expenses!B$3:B$999,SMALL(IF((Expenses!E$3:E$999="INR")*(Expenses!A$3:A$999=DATE(2026,6,5)),ROW(Expenses!A$3:A$999)-2),4)),"")&lt;&gt;"",IFERROR(INDEX(Expenses!B$3:B$999,SMALL(IF((Expenses!E$3:E$999="INR")*(Expenses!A$3:A$999=DATE(2026,6,5)),ROW(Expenses!A$3:A$999)-2),4)),""),IF(IFERROR(INDEX(Income!B$3:B$502,SMALL(IF((Income!D$3:D$502="INR")*(Income!A$3:A$502=DATE(2026,6,5)),ROW(Income!A$3:A$502)-2),4)),"")&lt;&gt;"",IFERROR(INDEX(Income!B$3:B$502,SMALL(IF((Income!D$3:D$502="INR")*(Income!A$3:A$502=DATE(2026,6,5)),ROW(Income!A$3:A$502)-2),4)),""),""))</f>
        <v/>
      </c>
      <c r="M117" s="153">
        <f t="array" ref="M117">IF(IFERROR(-INDEX(Expenses!D$3:D$999,SMALL(IF((Expenses!E$3:E$999="INR")*(Expenses!A$3:A$999=DATE(2026,6,6)),ROW(Expenses!A$3:A$999)-2),4)),0)+IFERROR(INDEX(Income!C$3:C$502,SMALL(IF((Income!D$3:D$502="INR")*(Income!A$3:A$502=DATE(2026,6,6)),ROW(Income!A$3:A$502)-2),4)),0)=0,"",IFERROR(-INDEX(Expenses!D$3:D$999,SMALL(IF((Expenses!E$3:E$999="INR")*(Expenses!A$3:A$999=DATE(2026,6,6)),ROW(Expenses!A$3:A$999)-2),4)),0)+IFERROR(INDEX(Income!C$3:C$502,SMALL(IF((Income!D$3:D$502="INR")*(Income!A$3:A$502=DATE(2026,6,6)),ROW(Income!A$3:A$502)-2),4)),0))</f>
        <v/>
      </c>
      <c r="N117" s="126">
        <f t="array" ref="N117">IF(IFERROR(INDEX(Expenses!B$3:B$999,SMALL(IF((Expenses!E$3:E$999="INR")*(Expenses!A$3:A$999=DATE(2026,6,6)),ROW(Expenses!A$3:A$999)-2),4)),"")&lt;&gt;"",IFERROR(INDEX(Expenses!B$3:B$999,SMALL(IF((Expenses!E$3:E$999="INR")*(Expenses!A$3:A$999=DATE(2026,6,6)),ROW(Expenses!A$3:A$999)-2),4)),""),IF(IFERROR(INDEX(Income!B$3:B$502,SMALL(IF((Income!D$3:D$502="INR")*(Income!A$3:A$502=DATE(2026,6,6)),ROW(Income!A$3:A$502)-2),4)),"")&lt;&gt;"",IFERROR(INDEX(Income!B$3:B$502,SMALL(IF((Income!D$3:D$502="INR")*(Income!A$3:A$502=DATE(2026,6,6)),ROW(Income!A$3:A$502)-2),4)),""),""))</f>
        <v/>
      </c>
      <c r="O117" s="153">
        <f t="array" ref="O117">IF(IFERROR(-INDEX(Expenses!D$3:D$999,SMALL(IF((Expenses!E$3:E$999="INR")*(Expenses!A$3:A$999=DATE(2026,6,7)),ROW(Expenses!A$3:A$999)-2),4)),0)+IFERROR(INDEX(Income!C$3:C$502,SMALL(IF((Income!D$3:D$502="INR")*(Income!A$3:A$502=DATE(2026,6,7)),ROW(Income!A$3:A$502)-2),4)),0)=0,"",IFERROR(-INDEX(Expenses!D$3:D$999,SMALL(IF((Expenses!E$3:E$999="INR")*(Expenses!A$3:A$999=DATE(2026,6,7)),ROW(Expenses!A$3:A$999)-2),4)),0)+IFERROR(INDEX(Income!C$3:C$502,SMALL(IF((Income!D$3:D$502="INR")*(Income!A$3:A$502=DATE(2026,6,7)),ROW(Income!A$3:A$502)-2),4)),0))</f>
        <v/>
      </c>
      <c r="P117" s="126">
        <f t="array" ref="P117">IF(IFERROR(INDEX(Expenses!B$3:B$999,SMALL(IF((Expenses!E$3:E$999="INR")*(Expenses!A$3:A$999=DATE(2026,6,7)),ROW(Expenses!A$3:A$999)-2),4)),"")&lt;&gt;"",IFERROR(INDEX(Expenses!B$3:B$999,SMALL(IF((Expenses!E$3:E$999="INR")*(Expenses!A$3:A$999=DATE(2026,6,7)),ROW(Expenses!A$3:A$999)-2),4)),""),IF(IFERROR(INDEX(Income!B$3:B$502,SMALL(IF((Income!D$3:D$502="INR")*(Income!A$3:A$502=DATE(2026,6,7)),ROW(Income!A$3:A$502)-2),4)),"")&lt;&gt;"",IFERROR(INDEX(Income!B$3:B$502,SMALL(IF((Income!D$3:D$502="INR")*(Income!A$3:A$502=DATE(2026,6,7)),ROW(Income!A$3:A$502)-2),4)),""),""))</f>
        <v/>
      </c>
      <c r="Q117" s="9" t="n"/>
      <c r="R117" s="9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68">
      <c r="A118" s="9" t="n"/>
      <c r="B118" s="9" t="n"/>
      <c r="C118" s="153">
        <f t="array" ref="C118">IF(IFERROR(-INDEX(Expenses!D$3:D$999,SMALL(IF((Expenses!E$3:E$999="INR")*(Expenses!A$3:A$999=DATE(2026,6,1)),ROW(Expenses!A$3:A$999)-2),5)),0)+IFERROR(INDEX(Income!C$3:C$502,SMALL(IF((Income!D$3:D$502="INR")*(Income!A$3:A$502=DATE(2026,6,1)),ROW(Income!A$3:A$502)-2),5)),0)=0,"",IFERROR(-INDEX(Expenses!D$3:D$999,SMALL(IF((Expenses!E$3:E$999="INR")*(Expenses!A$3:A$999=DATE(2026,6,1)),ROW(Expenses!A$3:A$999)-2),5)),0)+IFERROR(INDEX(Income!C$3:C$502,SMALL(IF((Income!D$3:D$502="INR")*(Income!A$3:A$502=DATE(2026,6,1)),ROW(Income!A$3:A$502)-2),5)),0))</f>
        <v/>
      </c>
      <c r="D118" s="126">
        <f t="array" ref="D118">IF(IFERROR(INDEX(Expenses!B$3:B$999,SMALL(IF((Expenses!E$3:E$999="INR")*(Expenses!A$3:A$999=DATE(2026,6,1)),ROW(Expenses!A$3:A$999)-2),5)),"")&lt;&gt;"",IFERROR(INDEX(Expenses!B$3:B$999,SMALL(IF((Expenses!E$3:E$999="INR")*(Expenses!A$3:A$999=DATE(2026,6,1)),ROW(Expenses!A$3:A$999)-2),5)),""),IF(IFERROR(INDEX(Income!B$3:B$502,SMALL(IF((Income!D$3:D$502="INR")*(Income!A$3:A$502=DATE(2026,6,1)),ROW(Income!A$3:A$502)-2),5)),"")&lt;&gt;"",IFERROR(INDEX(Income!B$3:B$502,SMALL(IF((Income!D$3:D$502="INR")*(Income!A$3:A$502=DATE(2026,6,1)),ROW(Income!A$3:A$502)-2),5)),""),""))</f>
        <v/>
      </c>
      <c r="E118" s="153">
        <f t="array" ref="E118">IF(IFERROR(-INDEX(Expenses!D$3:D$999,SMALL(IF((Expenses!E$3:E$999="INR")*(Expenses!A$3:A$999=DATE(2026,6,2)),ROW(Expenses!A$3:A$999)-2),5)),0)+IFERROR(INDEX(Income!C$3:C$502,SMALL(IF((Income!D$3:D$502="INR")*(Income!A$3:A$502=DATE(2026,6,2)),ROW(Income!A$3:A$502)-2),5)),0)=0,"",IFERROR(-INDEX(Expenses!D$3:D$999,SMALL(IF((Expenses!E$3:E$999="INR")*(Expenses!A$3:A$999=DATE(2026,6,2)),ROW(Expenses!A$3:A$999)-2),5)),0)+IFERROR(INDEX(Income!C$3:C$502,SMALL(IF((Income!D$3:D$502="INR")*(Income!A$3:A$502=DATE(2026,6,2)),ROW(Income!A$3:A$502)-2),5)),0))</f>
        <v/>
      </c>
      <c r="F118" s="126">
        <f t="array" ref="F118">IF(IFERROR(INDEX(Expenses!B$3:B$999,SMALL(IF((Expenses!E$3:E$999="INR")*(Expenses!A$3:A$999=DATE(2026,6,2)),ROW(Expenses!A$3:A$999)-2),5)),"")&lt;&gt;"",IFERROR(INDEX(Expenses!B$3:B$999,SMALL(IF((Expenses!E$3:E$999="INR")*(Expenses!A$3:A$999=DATE(2026,6,2)),ROW(Expenses!A$3:A$999)-2),5)),""),IF(IFERROR(INDEX(Income!B$3:B$502,SMALL(IF((Income!D$3:D$502="INR")*(Income!A$3:A$502=DATE(2026,6,2)),ROW(Income!A$3:A$502)-2),5)),"")&lt;&gt;"",IFERROR(INDEX(Income!B$3:B$502,SMALL(IF((Income!D$3:D$502="INR")*(Income!A$3:A$502=DATE(2026,6,2)),ROW(Income!A$3:A$502)-2),5)),""),""))</f>
        <v/>
      </c>
      <c r="G118" s="153">
        <f t="array" ref="G118">IF(IFERROR(-INDEX(Expenses!D$3:D$999,SMALL(IF((Expenses!E$3:E$999="INR")*(Expenses!A$3:A$999=DATE(2026,6,3)),ROW(Expenses!A$3:A$999)-2),5)),0)+IFERROR(INDEX(Income!C$3:C$502,SMALL(IF((Income!D$3:D$502="INR")*(Income!A$3:A$502=DATE(2026,6,3)),ROW(Income!A$3:A$502)-2),5)),0)=0,"",IFERROR(-INDEX(Expenses!D$3:D$999,SMALL(IF((Expenses!E$3:E$999="INR")*(Expenses!A$3:A$999=DATE(2026,6,3)),ROW(Expenses!A$3:A$999)-2),5)),0)+IFERROR(INDEX(Income!C$3:C$502,SMALL(IF((Income!D$3:D$502="INR")*(Income!A$3:A$502=DATE(2026,6,3)),ROW(Income!A$3:A$502)-2),5)),0))</f>
        <v/>
      </c>
      <c r="H118" s="126">
        <f t="array" ref="H118">IF(IFERROR(INDEX(Expenses!B$3:B$999,SMALL(IF((Expenses!E$3:E$999="INR")*(Expenses!A$3:A$999=DATE(2026,6,3)),ROW(Expenses!A$3:A$999)-2),5)),"")&lt;&gt;"",IFERROR(INDEX(Expenses!B$3:B$999,SMALL(IF((Expenses!E$3:E$999="INR")*(Expenses!A$3:A$999=DATE(2026,6,3)),ROW(Expenses!A$3:A$999)-2),5)),""),IF(IFERROR(INDEX(Income!B$3:B$502,SMALL(IF((Income!D$3:D$502="INR")*(Income!A$3:A$502=DATE(2026,6,3)),ROW(Income!A$3:A$502)-2),5)),"")&lt;&gt;"",IFERROR(INDEX(Income!B$3:B$502,SMALL(IF((Income!D$3:D$502="INR")*(Income!A$3:A$502=DATE(2026,6,3)),ROW(Income!A$3:A$502)-2),5)),""),""))</f>
        <v/>
      </c>
      <c r="I118" s="153">
        <f t="array" ref="I118">IF(IFERROR(-INDEX(Expenses!D$3:D$999,SMALL(IF((Expenses!E$3:E$999="INR")*(Expenses!A$3:A$999=DATE(2026,6,4)),ROW(Expenses!A$3:A$999)-2),5)),0)+IFERROR(INDEX(Income!C$3:C$502,SMALL(IF((Income!D$3:D$502="INR")*(Income!A$3:A$502=DATE(2026,6,4)),ROW(Income!A$3:A$502)-2),5)),0)=0,"",IFERROR(-INDEX(Expenses!D$3:D$999,SMALL(IF((Expenses!E$3:E$999="INR")*(Expenses!A$3:A$999=DATE(2026,6,4)),ROW(Expenses!A$3:A$999)-2),5)),0)+IFERROR(INDEX(Income!C$3:C$502,SMALL(IF((Income!D$3:D$502="INR")*(Income!A$3:A$502=DATE(2026,6,4)),ROW(Income!A$3:A$502)-2),5)),0))</f>
        <v/>
      </c>
      <c r="J118" s="126">
        <f t="array" ref="J118">IF(IFERROR(INDEX(Expenses!B$3:B$999,SMALL(IF((Expenses!E$3:E$999="INR")*(Expenses!A$3:A$999=DATE(2026,6,4)),ROW(Expenses!A$3:A$999)-2),5)),"")&lt;&gt;"",IFERROR(INDEX(Expenses!B$3:B$999,SMALL(IF((Expenses!E$3:E$999="INR")*(Expenses!A$3:A$999=DATE(2026,6,4)),ROW(Expenses!A$3:A$999)-2),5)),""),IF(IFERROR(INDEX(Income!B$3:B$502,SMALL(IF((Income!D$3:D$502="INR")*(Income!A$3:A$502=DATE(2026,6,4)),ROW(Income!A$3:A$502)-2),5)),"")&lt;&gt;"",IFERROR(INDEX(Income!B$3:B$502,SMALL(IF((Income!D$3:D$502="INR")*(Income!A$3:A$502=DATE(2026,6,4)),ROW(Income!A$3:A$502)-2),5)),""),""))</f>
        <v/>
      </c>
      <c r="K118" s="153">
        <f t="array" ref="K118">IF(IFERROR(-INDEX(Expenses!D$3:D$999,SMALL(IF((Expenses!E$3:E$999="INR")*(Expenses!A$3:A$999=DATE(2026,6,5)),ROW(Expenses!A$3:A$999)-2),5)),0)+IFERROR(INDEX(Income!C$3:C$502,SMALL(IF((Income!D$3:D$502="INR")*(Income!A$3:A$502=DATE(2026,6,5)),ROW(Income!A$3:A$502)-2),5)),0)=0,"",IFERROR(-INDEX(Expenses!D$3:D$999,SMALL(IF((Expenses!E$3:E$999="INR")*(Expenses!A$3:A$999=DATE(2026,6,5)),ROW(Expenses!A$3:A$999)-2),5)),0)+IFERROR(INDEX(Income!C$3:C$502,SMALL(IF((Income!D$3:D$502="INR")*(Income!A$3:A$502=DATE(2026,6,5)),ROW(Income!A$3:A$502)-2),5)),0))</f>
        <v/>
      </c>
      <c r="L118" s="126">
        <f t="array" ref="L118">IF(IFERROR(INDEX(Expenses!B$3:B$999,SMALL(IF((Expenses!E$3:E$999="INR")*(Expenses!A$3:A$999=DATE(2026,6,5)),ROW(Expenses!A$3:A$999)-2),5)),"")&lt;&gt;"",IFERROR(INDEX(Expenses!B$3:B$999,SMALL(IF((Expenses!E$3:E$999="INR")*(Expenses!A$3:A$999=DATE(2026,6,5)),ROW(Expenses!A$3:A$999)-2),5)),""),IF(IFERROR(INDEX(Income!B$3:B$502,SMALL(IF((Income!D$3:D$502="INR")*(Income!A$3:A$502=DATE(2026,6,5)),ROW(Income!A$3:A$502)-2),5)),"")&lt;&gt;"",IFERROR(INDEX(Income!B$3:B$502,SMALL(IF((Income!D$3:D$502="INR")*(Income!A$3:A$502=DATE(2026,6,5)),ROW(Income!A$3:A$502)-2),5)),""),""))</f>
        <v/>
      </c>
      <c r="M118" s="153">
        <f t="array" ref="M118">IF(IFERROR(-INDEX(Expenses!D$3:D$999,SMALL(IF((Expenses!E$3:E$999="INR")*(Expenses!A$3:A$999=DATE(2026,6,6)),ROW(Expenses!A$3:A$999)-2),5)),0)+IFERROR(INDEX(Income!C$3:C$502,SMALL(IF((Income!D$3:D$502="INR")*(Income!A$3:A$502=DATE(2026,6,6)),ROW(Income!A$3:A$502)-2),5)),0)=0,"",IFERROR(-INDEX(Expenses!D$3:D$999,SMALL(IF((Expenses!E$3:E$999="INR")*(Expenses!A$3:A$999=DATE(2026,6,6)),ROW(Expenses!A$3:A$999)-2),5)),0)+IFERROR(INDEX(Income!C$3:C$502,SMALL(IF((Income!D$3:D$502="INR")*(Income!A$3:A$502=DATE(2026,6,6)),ROW(Income!A$3:A$502)-2),5)),0))</f>
        <v/>
      </c>
      <c r="N118" s="126">
        <f t="array" ref="N118">IF(IFERROR(INDEX(Expenses!B$3:B$999,SMALL(IF((Expenses!E$3:E$999="INR")*(Expenses!A$3:A$999=DATE(2026,6,6)),ROW(Expenses!A$3:A$999)-2),5)),"")&lt;&gt;"",IFERROR(INDEX(Expenses!B$3:B$999,SMALL(IF((Expenses!E$3:E$999="INR")*(Expenses!A$3:A$999=DATE(2026,6,6)),ROW(Expenses!A$3:A$999)-2),5)),""),IF(IFERROR(INDEX(Income!B$3:B$502,SMALL(IF((Income!D$3:D$502="INR")*(Income!A$3:A$502=DATE(2026,6,6)),ROW(Income!A$3:A$502)-2),5)),"")&lt;&gt;"",IFERROR(INDEX(Income!B$3:B$502,SMALL(IF((Income!D$3:D$502="INR")*(Income!A$3:A$502=DATE(2026,6,6)),ROW(Income!A$3:A$502)-2),5)),""),""))</f>
        <v/>
      </c>
      <c r="O118" s="153">
        <f t="array" ref="O118">IF(IFERROR(-INDEX(Expenses!D$3:D$999,SMALL(IF((Expenses!E$3:E$999="INR")*(Expenses!A$3:A$999=DATE(2026,6,7)),ROW(Expenses!A$3:A$999)-2),5)),0)+IFERROR(INDEX(Income!C$3:C$502,SMALL(IF((Income!D$3:D$502="INR")*(Income!A$3:A$502=DATE(2026,6,7)),ROW(Income!A$3:A$502)-2),5)),0)=0,"",IFERROR(-INDEX(Expenses!D$3:D$999,SMALL(IF((Expenses!E$3:E$999="INR")*(Expenses!A$3:A$999=DATE(2026,6,7)),ROW(Expenses!A$3:A$999)-2),5)),0)+IFERROR(INDEX(Income!C$3:C$502,SMALL(IF((Income!D$3:D$502="INR")*(Income!A$3:A$502=DATE(2026,6,7)),ROW(Income!A$3:A$502)-2),5)),0))</f>
        <v/>
      </c>
      <c r="P118" s="126">
        <f t="array" ref="P118">IF(IFERROR(INDEX(Expenses!B$3:B$999,SMALL(IF((Expenses!E$3:E$999="INR")*(Expenses!A$3:A$999=DATE(2026,6,7)),ROW(Expenses!A$3:A$999)-2),5)),"")&lt;&gt;"",IFERROR(INDEX(Expenses!B$3:B$999,SMALL(IF((Expenses!E$3:E$999="INR")*(Expenses!A$3:A$999=DATE(2026,6,7)),ROW(Expenses!A$3:A$999)-2),5)),""),IF(IFERROR(INDEX(Income!B$3:B$502,SMALL(IF((Income!D$3:D$502="INR")*(Income!A$3:A$502=DATE(2026,6,7)),ROW(Income!A$3:A$502)-2),5)),"")&lt;&gt;"",IFERROR(INDEX(Income!B$3:B$502,SMALL(IF((Income!D$3:D$502="INR")*(Income!A$3:A$502=DATE(2026,6,7)),ROW(Income!A$3:A$502)-2),5)),""),""))</f>
        <v/>
      </c>
      <c r="Q118" s="9" t="n"/>
      <c r="R118" s="9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68">
      <c r="A119" s="151" t="n">
        <v>46181</v>
      </c>
      <c r="B119" s="103" t="n">
        <v>24</v>
      </c>
      <c r="C119" s="153">
        <f t="array" ref="C119">IF(IFERROR(-INDEX(Expenses!D$3:D$999,SMALL(IF((Expenses!E$3:E$999="INR")*(Expenses!A$3:A$999=DATE(2026,6,8)),ROW(Expenses!A$3:A$999)-2),1)),0)+IFERROR(INDEX(Income!C$3:C$502,SMALL(IF((Income!D$3:D$502="INR")*(Income!A$3:A$502=DATE(2026,6,8)),ROW(Income!A$3:A$502)-2),1)),0)=0,"",IFERROR(-INDEX(Expenses!D$3:D$999,SMALL(IF((Expenses!E$3:E$999="INR")*(Expenses!A$3:A$999=DATE(2026,6,8)),ROW(Expenses!A$3:A$999)-2),1)),0)+IFERROR(INDEX(Income!C$3:C$502,SMALL(IF((Income!D$3:D$502="INR")*(Income!A$3:A$502=DATE(2026,6,8)),ROW(Income!A$3:A$502)-2),1)),0))</f>
        <v/>
      </c>
      <c r="D119" s="126">
        <f t="array" ref="D119">IF(IFERROR(INDEX(Expenses!B$3:B$999,SMALL(IF((Expenses!E$3:E$999="INR")*(Expenses!A$3:A$999=DATE(2026,6,8)),ROW(Expenses!A$3:A$999)-2),1)),"")&lt;&gt;"",IFERROR(INDEX(Expenses!B$3:B$999,SMALL(IF((Expenses!E$3:E$999="INR")*(Expenses!A$3:A$999=DATE(2026,6,8)),ROW(Expenses!A$3:A$999)-2),1)),""),IF(IFERROR(INDEX(Income!B$3:B$502,SMALL(IF((Income!D$3:D$502="INR")*(Income!A$3:A$502=DATE(2026,6,8)),ROW(Income!A$3:A$502)-2),1)),"")&lt;&gt;"",IFERROR(INDEX(Income!B$3:B$502,SMALL(IF((Income!D$3:D$502="INR")*(Income!A$3:A$502=DATE(2026,6,8)),ROW(Income!A$3:A$502)-2),1)),""),""))</f>
        <v/>
      </c>
      <c r="E119" s="153">
        <f t="array" ref="E119">IF(IFERROR(-INDEX(Expenses!D$3:D$999,SMALL(IF((Expenses!E$3:E$999="INR")*(Expenses!A$3:A$999=DATE(2026,6,9)),ROW(Expenses!A$3:A$999)-2),1)),0)+IFERROR(INDEX(Income!C$3:C$502,SMALL(IF((Income!D$3:D$502="INR")*(Income!A$3:A$502=DATE(2026,6,9)),ROW(Income!A$3:A$502)-2),1)),0)=0,"",IFERROR(-INDEX(Expenses!D$3:D$999,SMALL(IF((Expenses!E$3:E$999="INR")*(Expenses!A$3:A$999=DATE(2026,6,9)),ROW(Expenses!A$3:A$999)-2),1)),0)+IFERROR(INDEX(Income!C$3:C$502,SMALL(IF((Income!D$3:D$502="INR")*(Income!A$3:A$502=DATE(2026,6,9)),ROW(Income!A$3:A$502)-2),1)),0))</f>
        <v/>
      </c>
      <c r="F119" s="126">
        <f t="array" ref="F119">IF(IFERROR(INDEX(Expenses!B$3:B$999,SMALL(IF((Expenses!E$3:E$999="INR")*(Expenses!A$3:A$999=DATE(2026,6,9)),ROW(Expenses!A$3:A$999)-2),1)),"")&lt;&gt;"",IFERROR(INDEX(Expenses!B$3:B$999,SMALL(IF((Expenses!E$3:E$999="INR")*(Expenses!A$3:A$999=DATE(2026,6,9)),ROW(Expenses!A$3:A$999)-2),1)),""),IF(IFERROR(INDEX(Income!B$3:B$502,SMALL(IF((Income!D$3:D$502="INR")*(Income!A$3:A$502=DATE(2026,6,9)),ROW(Income!A$3:A$502)-2),1)),"")&lt;&gt;"",IFERROR(INDEX(Income!B$3:B$502,SMALL(IF((Income!D$3:D$502="INR")*(Income!A$3:A$502=DATE(2026,6,9)),ROW(Income!A$3:A$502)-2),1)),""),""))</f>
        <v/>
      </c>
      <c r="G119" s="153">
        <f t="array" ref="G119">IF(IFERROR(-INDEX(Expenses!D$3:D$999,SMALL(IF((Expenses!E$3:E$999="INR")*(Expenses!A$3:A$999=DATE(2026,6,10)),ROW(Expenses!A$3:A$999)-2),1)),0)+IFERROR(INDEX(Income!C$3:C$502,SMALL(IF((Income!D$3:D$502="INR")*(Income!A$3:A$502=DATE(2026,6,10)),ROW(Income!A$3:A$502)-2),1)),0)=0,"",IFERROR(-INDEX(Expenses!D$3:D$999,SMALL(IF((Expenses!E$3:E$999="INR")*(Expenses!A$3:A$999=DATE(2026,6,10)),ROW(Expenses!A$3:A$999)-2),1)),0)+IFERROR(INDEX(Income!C$3:C$502,SMALL(IF((Income!D$3:D$502="INR")*(Income!A$3:A$502=DATE(2026,6,10)),ROW(Income!A$3:A$502)-2),1)),0))</f>
        <v/>
      </c>
      <c r="H119" s="126">
        <f t="array" ref="H119">IF(IFERROR(INDEX(Expenses!B$3:B$999,SMALL(IF((Expenses!E$3:E$999="INR")*(Expenses!A$3:A$999=DATE(2026,6,10)),ROW(Expenses!A$3:A$999)-2),1)),"")&lt;&gt;"",IFERROR(INDEX(Expenses!B$3:B$999,SMALL(IF((Expenses!E$3:E$999="INR")*(Expenses!A$3:A$999=DATE(2026,6,10)),ROW(Expenses!A$3:A$999)-2),1)),""),IF(IFERROR(INDEX(Income!B$3:B$502,SMALL(IF((Income!D$3:D$502="INR")*(Income!A$3:A$502=DATE(2026,6,10)),ROW(Income!A$3:A$502)-2),1)),"")&lt;&gt;"",IFERROR(INDEX(Income!B$3:B$502,SMALL(IF((Income!D$3:D$502="INR")*(Income!A$3:A$502=DATE(2026,6,10)),ROW(Income!A$3:A$502)-2),1)),""),""))</f>
        <v/>
      </c>
      <c r="I119" s="153">
        <f t="array" ref="I119">IF(IFERROR(-INDEX(Expenses!D$3:D$999,SMALL(IF((Expenses!E$3:E$999="INR")*(Expenses!A$3:A$999=DATE(2026,6,11)),ROW(Expenses!A$3:A$999)-2),1)),0)+IFERROR(INDEX(Income!C$3:C$502,SMALL(IF((Income!D$3:D$502="INR")*(Income!A$3:A$502=DATE(2026,6,11)),ROW(Income!A$3:A$502)-2),1)),0)=0,"",IFERROR(-INDEX(Expenses!D$3:D$999,SMALL(IF((Expenses!E$3:E$999="INR")*(Expenses!A$3:A$999=DATE(2026,6,11)),ROW(Expenses!A$3:A$999)-2),1)),0)+IFERROR(INDEX(Income!C$3:C$502,SMALL(IF((Income!D$3:D$502="INR")*(Income!A$3:A$502=DATE(2026,6,11)),ROW(Income!A$3:A$502)-2),1)),0))</f>
        <v/>
      </c>
      <c r="J119" s="126">
        <f t="array" ref="J119">IF(IFERROR(INDEX(Expenses!B$3:B$999,SMALL(IF((Expenses!E$3:E$999="INR")*(Expenses!A$3:A$999=DATE(2026,6,11)),ROW(Expenses!A$3:A$999)-2),1)),"")&lt;&gt;"",IFERROR(INDEX(Expenses!B$3:B$999,SMALL(IF((Expenses!E$3:E$999="INR")*(Expenses!A$3:A$999=DATE(2026,6,11)),ROW(Expenses!A$3:A$999)-2),1)),""),IF(IFERROR(INDEX(Income!B$3:B$502,SMALL(IF((Income!D$3:D$502="INR")*(Income!A$3:A$502=DATE(2026,6,11)),ROW(Income!A$3:A$502)-2),1)),"")&lt;&gt;"",IFERROR(INDEX(Income!B$3:B$502,SMALL(IF((Income!D$3:D$502="INR")*(Income!A$3:A$502=DATE(2026,6,11)),ROW(Income!A$3:A$502)-2),1)),""),""))</f>
        <v/>
      </c>
      <c r="K119" s="153">
        <f t="array" ref="K119">IF(IFERROR(-INDEX(Expenses!D$3:D$999,SMALL(IF((Expenses!E$3:E$999="INR")*(Expenses!A$3:A$999=DATE(2026,6,12)),ROW(Expenses!A$3:A$999)-2),1)),0)+IFERROR(INDEX(Income!C$3:C$502,SMALL(IF((Income!D$3:D$502="INR")*(Income!A$3:A$502=DATE(2026,6,12)),ROW(Income!A$3:A$502)-2),1)),0)=0,"",IFERROR(-INDEX(Expenses!D$3:D$999,SMALL(IF((Expenses!E$3:E$999="INR")*(Expenses!A$3:A$999=DATE(2026,6,12)),ROW(Expenses!A$3:A$999)-2),1)),0)+IFERROR(INDEX(Income!C$3:C$502,SMALL(IF((Income!D$3:D$502="INR")*(Income!A$3:A$502=DATE(2026,6,12)),ROW(Income!A$3:A$502)-2),1)),0))</f>
        <v/>
      </c>
      <c r="L119" s="126">
        <f t="array" ref="L119">IF(IFERROR(INDEX(Expenses!B$3:B$999,SMALL(IF((Expenses!E$3:E$999="INR")*(Expenses!A$3:A$999=DATE(2026,6,12)),ROW(Expenses!A$3:A$999)-2),1)),"")&lt;&gt;"",IFERROR(INDEX(Expenses!B$3:B$999,SMALL(IF((Expenses!E$3:E$999="INR")*(Expenses!A$3:A$999=DATE(2026,6,12)),ROW(Expenses!A$3:A$999)-2),1)),""),IF(IFERROR(INDEX(Income!B$3:B$502,SMALL(IF((Income!D$3:D$502="INR")*(Income!A$3:A$502=DATE(2026,6,12)),ROW(Income!A$3:A$502)-2),1)),"")&lt;&gt;"",IFERROR(INDEX(Income!B$3:B$502,SMALL(IF((Income!D$3:D$502="INR")*(Income!A$3:A$502=DATE(2026,6,12)),ROW(Income!A$3:A$502)-2),1)),""),""))</f>
        <v/>
      </c>
      <c r="M119" s="153">
        <f t="array" ref="M119">IF(IFERROR(-INDEX(Expenses!D$3:D$999,SMALL(IF((Expenses!E$3:E$999="INR")*(Expenses!A$3:A$999=DATE(2026,6,13)),ROW(Expenses!A$3:A$999)-2),1)),0)+IFERROR(INDEX(Income!C$3:C$502,SMALL(IF((Income!D$3:D$502="INR")*(Income!A$3:A$502=DATE(2026,6,13)),ROW(Income!A$3:A$502)-2),1)),0)=0,"",IFERROR(-INDEX(Expenses!D$3:D$999,SMALL(IF((Expenses!E$3:E$999="INR")*(Expenses!A$3:A$999=DATE(2026,6,13)),ROW(Expenses!A$3:A$999)-2),1)),0)+IFERROR(INDEX(Income!C$3:C$502,SMALL(IF((Income!D$3:D$502="INR")*(Income!A$3:A$502=DATE(2026,6,13)),ROW(Income!A$3:A$502)-2),1)),0))</f>
        <v/>
      </c>
      <c r="N119" s="126">
        <f t="array" ref="N119">IF(IFERROR(INDEX(Expenses!B$3:B$999,SMALL(IF((Expenses!E$3:E$999="INR")*(Expenses!A$3:A$999=DATE(2026,6,13)),ROW(Expenses!A$3:A$999)-2),1)),"")&lt;&gt;"",IFERROR(INDEX(Expenses!B$3:B$999,SMALL(IF((Expenses!E$3:E$999="INR")*(Expenses!A$3:A$999=DATE(2026,6,13)),ROW(Expenses!A$3:A$999)-2),1)),""),IF(IFERROR(INDEX(Income!B$3:B$502,SMALL(IF((Income!D$3:D$502="INR")*(Income!A$3:A$502=DATE(2026,6,13)),ROW(Income!A$3:A$502)-2),1)),"")&lt;&gt;"",IFERROR(INDEX(Income!B$3:B$502,SMALL(IF((Income!D$3:D$502="INR")*(Income!A$3:A$502=DATE(2026,6,13)),ROW(Income!A$3:A$502)-2),1)),""),""))</f>
        <v/>
      </c>
      <c r="O119" s="153">
        <f t="array" ref="O119">IF(IFERROR(-INDEX(Expenses!D$3:D$999,SMALL(IF((Expenses!E$3:E$999="INR")*(Expenses!A$3:A$999=DATE(2026,6,14)),ROW(Expenses!A$3:A$999)-2),1)),0)+IFERROR(INDEX(Income!C$3:C$502,SMALL(IF((Income!D$3:D$502="INR")*(Income!A$3:A$502=DATE(2026,6,14)),ROW(Income!A$3:A$502)-2),1)),0)=0,"",IFERROR(-INDEX(Expenses!D$3:D$999,SMALL(IF((Expenses!E$3:E$999="INR")*(Expenses!A$3:A$999=DATE(2026,6,14)),ROW(Expenses!A$3:A$999)-2),1)),0)+IFERROR(INDEX(Income!C$3:C$502,SMALL(IF((Income!D$3:D$502="INR")*(Income!A$3:A$502=DATE(2026,6,14)),ROW(Income!A$3:A$502)-2),1)),0))</f>
        <v/>
      </c>
      <c r="P119" s="126">
        <f t="array" ref="P119">IF(IFERROR(INDEX(Expenses!B$3:B$999,SMALL(IF((Expenses!E$3:E$999="INR")*(Expenses!A$3:A$999=DATE(2026,6,14)),ROW(Expenses!A$3:A$999)-2),1)),"")&lt;&gt;"",IFERROR(INDEX(Expenses!B$3:B$999,SMALL(IF((Expenses!E$3:E$999="INR")*(Expenses!A$3:A$999=DATE(2026,6,14)),ROW(Expenses!A$3:A$999)-2),1)),""),IF(IFERROR(INDEX(Income!B$3:B$502,SMALL(IF((Income!D$3:D$502="INR")*(Income!A$3:A$502=DATE(2026,6,14)),ROW(Income!A$3:A$502)-2),1)),"")&lt;&gt;"",IFERROR(INDEX(Income!B$3:B$502,SMALL(IF((Income!D$3:D$502="INR")*(Income!A$3:A$502=DATE(2026,6,14)),ROW(Income!A$3:A$502)-2),1)),""),""))</f>
        <v/>
      </c>
      <c r="Q119" s="103" t="n">
        <v>24</v>
      </c>
      <c r="R119" s="142">
        <f>SUM(C119:C123)+SUM(E119:E123)+SUM(G119:G123)+SUM(I119:I123)+SUM(K119:K123)+SUM(M119:M123)+SUM(O119:O123)</f>
        <v/>
      </c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68">
      <c r="A120" s="9" t="n"/>
      <c r="B120" s="9" t="n"/>
      <c r="C120" s="153">
        <f t="array" ref="C120">IF(IFERROR(-INDEX(Expenses!D$3:D$999,SMALL(IF((Expenses!E$3:E$999="INR")*(Expenses!A$3:A$999=DATE(2026,6,8)),ROW(Expenses!A$3:A$999)-2),2)),0)+IFERROR(INDEX(Income!C$3:C$502,SMALL(IF((Income!D$3:D$502="INR")*(Income!A$3:A$502=DATE(2026,6,8)),ROW(Income!A$3:A$502)-2),2)),0)=0,"",IFERROR(-INDEX(Expenses!D$3:D$999,SMALL(IF((Expenses!E$3:E$999="INR")*(Expenses!A$3:A$999=DATE(2026,6,8)),ROW(Expenses!A$3:A$999)-2),2)),0)+IFERROR(INDEX(Income!C$3:C$502,SMALL(IF((Income!D$3:D$502="INR")*(Income!A$3:A$502=DATE(2026,6,8)),ROW(Income!A$3:A$502)-2),2)),0))</f>
        <v/>
      </c>
      <c r="D120" s="126">
        <f t="array" ref="D120">IF(IFERROR(INDEX(Expenses!B$3:B$999,SMALL(IF((Expenses!E$3:E$999="INR")*(Expenses!A$3:A$999=DATE(2026,6,8)),ROW(Expenses!A$3:A$999)-2),2)),"")&lt;&gt;"",IFERROR(INDEX(Expenses!B$3:B$999,SMALL(IF((Expenses!E$3:E$999="INR")*(Expenses!A$3:A$999=DATE(2026,6,8)),ROW(Expenses!A$3:A$999)-2),2)),""),IF(IFERROR(INDEX(Income!B$3:B$502,SMALL(IF((Income!D$3:D$502="INR")*(Income!A$3:A$502=DATE(2026,6,8)),ROW(Income!A$3:A$502)-2),2)),"")&lt;&gt;"",IFERROR(INDEX(Income!B$3:B$502,SMALL(IF((Income!D$3:D$502="INR")*(Income!A$3:A$502=DATE(2026,6,8)),ROW(Income!A$3:A$502)-2),2)),""),""))</f>
        <v/>
      </c>
      <c r="E120" s="153">
        <f t="array" ref="E120">IF(IFERROR(-INDEX(Expenses!D$3:D$999,SMALL(IF((Expenses!E$3:E$999="INR")*(Expenses!A$3:A$999=DATE(2026,6,9)),ROW(Expenses!A$3:A$999)-2),2)),0)+IFERROR(INDEX(Income!C$3:C$502,SMALL(IF((Income!D$3:D$502="INR")*(Income!A$3:A$502=DATE(2026,6,9)),ROW(Income!A$3:A$502)-2),2)),0)=0,"",IFERROR(-INDEX(Expenses!D$3:D$999,SMALL(IF((Expenses!E$3:E$999="INR")*(Expenses!A$3:A$999=DATE(2026,6,9)),ROW(Expenses!A$3:A$999)-2),2)),0)+IFERROR(INDEX(Income!C$3:C$502,SMALL(IF((Income!D$3:D$502="INR")*(Income!A$3:A$502=DATE(2026,6,9)),ROW(Income!A$3:A$502)-2),2)),0))</f>
        <v/>
      </c>
      <c r="F120" s="126">
        <f t="array" ref="F120">IF(IFERROR(INDEX(Expenses!B$3:B$999,SMALL(IF((Expenses!E$3:E$999="INR")*(Expenses!A$3:A$999=DATE(2026,6,9)),ROW(Expenses!A$3:A$999)-2),2)),"")&lt;&gt;"",IFERROR(INDEX(Expenses!B$3:B$999,SMALL(IF((Expenses!E$3:E$999="INR")*(Expenses!A$3:A$999=DATE(2026,6,9)),ROW(Expenses!A$3:A$999)-2),2)),""),IF(IFERROR(INDEX(Income!B$3:B$502,SMALL(IF((Income!D$3:D$502="INR")*(Income!A$3:A$502=DATE(2026,6,9)),ROW(Income!A$3:A$502)-2),2)),"")&lt;&gt;"",IFERROR(INDEX(Income!B$3:B$502,SMALL(IF((Income!D$3:D$502="INR")*(Income!A$3:A$502=DATE(2026,6,9)),ROW(Income!A$3:A$502)-2),2)),""),""))</f>
        <v/>
      </c>
      <c r="G120" s="153">
        <f t="array" ref="G120">IF(IFERROR(-INDEX(Expenses!D$3:D$999,SMALL(IF((Expenses!E$3:E$999="INR")*(Expenses!A$3:A$999=DATE(2026,6,10)),ROW(Expenses!A$3:A$999)-2),2)),0)+IFERROR(INDEX(Income!C$3:C$502,SMALL(IF((Income!D$3:D$502="INR")*(Income!A$3:A$502=DATE(2026,6,10)),ROW(Income!A$3:A$502)-2),2)),0)=0,"",IFERROR(-INDEX(Expenses!D$3:D$999,SMALL(IF((Expenses!E$3:E$999="INR")*(Expenses!A$3:A$999=DATE(2026,6,10)),ROW(Expenses!A$3:A$999)-2),2)),0)+IFERROR(INDEX(Income!C$3:C$502,SMALL(IF((Income!D$3:D$502="INR")*(Income!A$3:A$502=DATE(2026,6,10)),ROW(Income!A$3:A$502)-2),2)),0))</f>
        <v/>
      </c>
      <c r="H120" s="126">
        <f t="array" ref="H120">IF(IFERROR(INDEX(Expenses!B$3:B$999,SMALL(IF((Expenses!E$3:E$999="INR")*(Expenses!A$3:A$999=DATE(2026,6,10)),ROW(Expenses!A$3:A$999)-2),2)),"")&lt;&gt;"",IFERROR(INDEX(Expenses!B$3:B$999,SMALL(IF((Expenses!E$3:E$999="INR")*(Expenses!A$3:A$999=DATE(2026,6,10)),ROW(Expenses!A$3:A$999)-2),2)),""),IF(IFERROR(INDEX(Income!B$3:B$502,SMALL(IF((Income!D$3:D$502="INR")*(Income!A$3:A$502=DATE(2026,6,10)),ROW(Income!A$3:A$502)-2),2)),"")&lt;&gt;"",IFERROR(INDEX(Income!B$3:B$502,SMALL(IF((Income!D$3:D$502="INR")*(Income!A$3:A$502=DATE(2026,6,10)),ROW(Income!A$3:A$502)-2),2)),""),""))</f>
        <v/>
      </c>
      <c r="I120" s="153">
        <f t="array" ref="I120">IF(IFERROR(-INDEX(Expenses!D$3:D$999,SMALL(IF((Expenses!E$3:E$999="INR")*(Expenses!A$3:A$999=DATE(2026,6,11)),ROW(Expenses!A$3:A$999)-2),2)),0)+IFERROR(INDEX(Income!C$3:C$502,SMALL(IF((Income!D$3:D$502="INR")*(Income!A$3:A$502=DATE(2026,6,11)),ROW(Income!A$3:A$502)-2),2)),0)=0,"",IFERROR(-INDEX(Expenses!D$3:D$999,SMALL(IF((Expenses!E$3:E$999="INR")*(Expenses!A$3:A$999=DATE(2026,6,11)),ROW(Expenses!A$3:A$999)-2),2)),0)+IFERROR(INDEX(Income!C$3:C$502,SMALL(IF((Income!D$3:D$502="INR")*(Income!A$3:A$502=DATE(2026,6,11)),ROW(Income!A$3:A$502)-2),2)),0))</f>
        <v/>
      </c>
      <c r="J120" s="126">
        <f t="array" ref="J120">IF(IFERROR(INDEX(Expenses!B$3:B$999,SMALL(IF((Expenses!E$3:E$999="INR")*(Expenses!A$3:A$999=DATE(2026,6,11)),ROW(Expenses!A$3:A$999)-2),2)),"")&lt;&gt;"",IFERROR(INDEX(Expenses!B$3:B$999,SMALL(IF((Expenses!E$3:E$999="INR")*(Expenses!A$3:A$999=DATE(2026,6,11)),ROW(Expenses!A$3:A$999)-2),2)),""),IF(IFERROR(INDEX(Income!B$3:B$502,SMALL(IF((Income!D$3:D$502="INR")*(Income!A$3:A$502=DATE(2026,6,11)),ROW(Income!A$3:A$502)-2),2)),"")&lt;&gt;"",IFERROR(INDEX(Income!B$3:B$502,SMALL(IF((Income!D$3:D$502="INR")*(Income!A$3:A$502=DATE(2026,6,11)),ROW(Income!A$3:A$502)-2),2)),""),""))</f>
        <v/>
      </c>
      <c r="K120" s="153">
        <f t="array" ref="K120">IF(IFERROR(-INDEX(Expenses!D$3:D$999,SMALL(IF((Expenses!E$3:E$999="INR")*(Expenses!A$3:A$999=DATE(2026,6,12)),ROW(Expenses!A$3:A$999)-2),2)),0)+IFERROR(INDEX(Income!C$3:C$502,SMALL(IF((Income!D$3:D$502="INR")*(Income!A$3:A$502=DATE(2026,6,12)),ROW(Income!A$3:A$502)-2),2)),0)=0,"",IFERROR(-INDEX(Expenses!D$3:D$999,SMALL(IF((Expenses!E$3:E$999="INR")*(Expenses!A$3:A$999=DATE(2026,6,12)),ROW(Expenses!A$3:A$999)-2),2)),0)+IFERROR(INDEX(Income!C$3:C$502,SMALL(IF((Income!D$3:D$502="INR")*(Income!A$3:A$502=DATE(2026,6,12)),ROW(Income!A$3:A$502)-2),2)),0))</f>
        <v/>
      </c>
      <c r="L120" s="126">
        <f t="array" ref="L120">IF(IFERROR(INDEX(Expenses!B$3:B$999,SMALL(IF((Expenses!E$3:E$999="INR")*(Expenses!A$3:A$999=DATE(2026,6,12)),ROW(Expenses!A$3:A$999)-2),2)),"")&lt;&gt;"",IFERROR(INDEX(Expenses!B$3:B$999,SMALL(IF((Expenses!E$3:E$999="INR")*(Expenses!A$3:A$999=DATE(2026,6,12)),ROW(Expenses!A$3:A$999)-2),2)),""),IF(IFERROR(INDEX(Income!B$3:B$502,SMALL(IF((Income!D$3:D$502="INR")*(Income!A$3:A$502=DATE(2026,6,12)),ROW(Income!A$3:A$502)-2),2)),"")&lt;&gt;"",IFERROR(INDEX(Income!B$3:B$502,SMALL(IF((Income!D$3:D$502="INR")*(Income!A$3:A$502=DATE(2026,6,12)),ROW(Income!A$3:A$502)-2),2)),""),""))</f>
        <v/>
      </c>
      <c r="M120" s="153">
        <f t="array" ref="M120">IF(IFERROR(-INDEX(Expenses!D$3:D$999,SMALL(IF((Expenses!E$3:E$999="INR")*(Expenses!A$3:A$999=DATE(2026,6,13)),ROW(Expenses!A$3:A$999)-2),2)),0)+IFERROR(INDEX(Income!C$3:C$502,SMALL(IF((Income!D$3:D$502="INR")*(Income!A$3:A$502=DATE(2026,6,13)),ROW(Income!A$3:A$502)-2),2)),0)=0,"",IFERROR(-INDEX(Expenses!D$3:D$999,SMALL(IF((Expenses!E$3:E$999="INR")*(Expenses!A$3:A$999=DATE(2026,6,13)),ROW(Expenses!A$3:A$999)-2),2)),0)+IFERROR(INDEX(Income!C$3:C$502,SMALL(IF((Income!D$3:D$502="INR")*(Income!A$3:A$502=DATE(2026,6,13)),ROW(Income!A$3:A$502)-2),2)),0))</f>
        <v/>
      </c>
      <c r="N120" s="126">
        <f t="array" ref="N120">IF(IFERROR(INDEX(Expenses!B$3:B$999,SMALL(IF((Expenses!E$3:E$999="INR")*(Expenses!A$3:A$999=DATE(2026,6,13)),ROW(Expenses!A$3:A$999)-2),2)),"")&lt;&gt;"",IFERROR(INDEX(Expenses!B$3:B$999,SMALL(IF((Expenses!E$3:E$999="INR")*(Expenses!A$3:A$999=DATE(2026,6,13)),ROW(Expenses!A$3:A$999)-2),2)),""),IF(IFERROR(INDEX(Income!B$3:B$502,SMALL(IF((Income!D$3:D$502="INR")*(Income!A$3:A$502=DATE(2026,6,13)),ROW(Income!A$3:A$502)-2),2)),"")&lt;&gt;"",IFERROR(INDEX(Income!B$3:B$502,SMALL(IF((Income!D$3:D$502="INR")*(Income!A$3:A$502=DATE(2026,6,13)),ROW(Income!A$3:A$502)-2),2)),""),""))</f>
        <v/>
      </c>
      <c r="O120" s="153">
        <f t="array" ref="O120">IF(IFERROR(-INDEX(Expenses!D$3:D$999,SMALL(IF((Expenses!E$3:E$999="INR")*(Expenses!A$3:A$999=DATE(2026,6,14)),ROW(Expenses!A$3:A$999)-2),2)),0)+IFERROR(INDEX(Income!C$3:C$502,SMALL(IF((Income!D$3:D$502="INR")*(Income!A$3:A$502=DATE(2026,6,14)),ROW(Income!A$3:A$502)-2),2)),0)=0,"",IFERROR(-INDEX(Expenses!D$3:D$999,SMALL(IF((Expenses!E$3:E$999="INR")*(Expenses!A$3:A$999=DATE(2026,6,14)),ROW(Expenses!A$3:A$999)-2),2)),0)+IFERROR(INDEX(Income!C$3:C$502,SMALL(IF((Income!D$3:D$502="INR")*(Income!A$3:A$502=DATE(2026,6,14)),ROW(Income!A$3:A$502)-2),2)),0))</f>
        <v/>
      </c>
      <c r="P120" s="126">
        <f t="array" ref="P120">IF(IFERROR(INDEX(Expenses!B$3:B$999,SMALL(IF((Expenses!E$3:E$999="INR")*(Expenses!A$3:A$999=DATE(2026,6,14)),ROW(Expenses!A$3:A$999)-2),2)),"")&lt;&gt;"",IFERROR(INDEX(Expenses!B$3:B$999,SMALL(IF((Expenses!E$3:E$999="INR")*(Expenses!A$3:A$999=DATE(2026,6,14)),ROW(Expenses!A$3:A$999)-2),2)),""),IF(IFERROR(INDEX(Income!B$3:B$502,SMALL(IF((Income!D$3:D$502="INR")*(Income!A$3:A$502=DATE(2026,6,14)),ROW(Income!A$3:A$502)-2),2)),"")&lt;&gt;"",IFERROR(INDEX(Income!B$3:B$502,SMALL(IF((Income!D$3:D$502="INR")*(Income!A$3:A$502=DATE(2026,6,14)),ROW(Income!A$3:A$502)-2),2)),""),""))</f>
        <v/>
      </c>
      <c r="Q120" s="9" t="n"/>
      <c r="R120" s="9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68">
      <c r="A121" s="9" t="n"/>
      <c r="B121" s="9" t="n"/>
      <c r="C121" s="153">
        <f t="array" ref="C121">IF(IFERROR(-INDEX(Expenses!D$3:D$999,SMALL(IF((Expenses!E$3:E$999="INR")*(Expenses!A$3:A$999=DATE(2026,6,8)),ROW(Expenses!A$3:A$999)-2),3)),0)+IFERROR(INDEX(Income!C$3:C$502,SMALL(IF((Income!D$3:D$502="INR")*(Income!A$3:A$502=DATE(2026,6,8)),ROW(Income!A$3:A$502)-2),3)),0)=0,"",IFERROR(-INDEX(Expenses!D$3:D$999,SMALL(IF((Expenses!E$3:E$999="INR")*(Expenses!A$3:A$999=DATE(2026,6,8)),ROW(Expenses!A$3:A$999)-2),3)),0)+IFERROR(INDEX(Income!C$3:C$502,SMALL(IF((Income!D$3:D$502="INR")*(Income!A$3:A$502=DATE(2026,6,8)),ROW(Income!A$3:A$502)-2),3)),0))</f>
        <v/>
      </c>
      <c r="D121" s="126">
        <f t="array" ref="D121">IF(IFERROR(INDEX(Expenses!B$3:B$999,SMALL(IF((Expenses!E$3:E$999="INR")*(Expenses!A$3:A$999=DATE(2026,6,8)),ROW(Expenses!A$3:A$999)-2),3)),"")&lt;&gt;"",IFERROR(INDEX(Expenses!B$3:B$999,SMALL(IF((Expenses!E$3:E$999="INR")*(Expenses!A$3:A$999=DATE(2026,6,8)),ROW(Expenses!A$3:A$999)-2),3)),""),IF(IFERROR(INDEX(Income!B$3:B$502,SMALL(IF((Income!D$3:D$502="INR")*(Income!A$3:A$502=DATE(2026,6,8)),ROW(Income!A$3:A$502)-2),3)),"")&lt;&gt;"",IFERROR(INDEX(Income!B$3:B$502,SMALL(IF((Income!D$3:D$502="INR")*(Income!A$3:A$502=DATE(2026,6,8)),ROW(Income!A$3:A$502)-2),3)),""),""))</f>
        <v/>
      </c>
      <c r="E121" s="153">
        <f t="array" ref="E121">IF(IFERROR(-INDEX(Expenses!D$3:D$999,SMALL(IF((Expenses!E$3:E$999="INR")*(Expenses!A$3:A$999=DATE(2026,6,9)),ROW(Expenses!A$3:A$999)-2),3)),0)+IFERROR(INDEX(Income!C$3:C$502,SMALL(IF((Income!D$3:D$502="INR")*(Income!A$3:A$502=DATE(2026,6,9)),ROW(Income!A$3:A$502)-2),3)),0)=0,"",IFERROR(-INDEX(Expenses!D$3:D$999,SMALL(IF((Expenses!E$3:E$999="INR")*(Expenses!A$3:A$999=DATE(2026,6,9)),ROW(Expenses!A$3:A$999)-2),3)),0)+IFERROR(INDEX(Income!C$3:C$502,SMALL(IF((Income!D$3:D$502="INR")*(Income!A$3:A$502=DATE(2026,6,9)),ROW(Income!A$3:A$502)-2),3)),0))</f>
        <v/>
      </c>
      <c r="F121" s="126">
        <f t="array" ref="F121">IF(IFERROR(INDEX(Expenses!B$3:B$999,SMALL(IF((Expenses!E$3:E$999="INR")*(Expenses!A$3:A$999=DATE(2026,6,9)),ROW(Expenses!A$3:A$999)-2),3)),"")&lt;&gt;"",IFERROR(INDEX(Expenses!B$3:B$999,SMALL(IF((Expenses!E$3:E$999="INR")*(Expenses!A$3:A$999=DATE(2026,6,9)),ROW(Expenses!A$3:A$999)-2),3)),""),IF(IFERROR(INDEX(Income!B$3:B$502,SMALL(IF((Income!D$3:D$502="INR")*(Income!A$3:A$502=DATE(2026,6,9)),ROW(Income!A$3:A$502)-2),3)),"")&lt;&gt;"",IFERROR(INDEX(Income!B$3:B$502,SMALL(IF((Income!D$3:D$502="INR")*(Income!A$3:A$502=DATE(2026,6,9)),ROW(Income!A$3:A$502)-2),3)),""),""))</f>
        <v/>
      </c>
      <c r="G121" s="153">
        <f t="array" ref="G121">IF(IFERROR(-INDEX(Expenses!D$3:D$999,SMALL(IF((Expenses!E$3:E$999="INR")*(Expenses!A$3:A$999=DATE(2026,6,10)),ROW(Expenses!A$3:A$999)-2),3)),0)+IFERROR(INDEX(Income!C$3:C$502,SMALL(IF((Income!D$3:D$502="INR")*(Income!A$3:A$502=DATE(2026,6,10)),ROW(Income!A$3:A$502)-2),3)),0)=0,"",IFERROR(-INDEX(Expenses!D$3:D$999,SMALL(IF((Expenses!E$3:E$999="INR")*(Expenses!A$3:A$999=DATE(2026,6,10)),ROW(Expenses!A$3:A$999)-2),3)),0)+IFERROR(INDEX(Income!C$3:C$502,SMALL(IF((Income!D$3:D$502="INR")*(Income!A$3:A$502=DATE(2026,6,10)),ROW(Income!A$3:A$502)-2),3)),0))</f>
        <v/>
      </c>
      <c r="H121" s="126">
        <f t="array" ref="H121">IF(IFERROR(INDEX(Expenses!B$3:B$999,SMALL(IF((Expenses!E$3:E$999="INR")*(Expenses!A$3:A$999=DATE(2026,6,10)),ROW(Expenses!A$3:A$999)-2),3)),"")&lt;&gt;"",IFERROR(INDEX(Expenses!B$3:B$999,SMALL(IF((Expenses!E$3:E$999="INR")*(Expenses!A$3:A$999=DATE(2026,6,10)),ROW(Expenses!A$3:A$999)-2),3)),""),IF(IFERROR(INDEX(Income!B$3:B$502,SMALL(IF((Income!D$3:D$502="INR")*(Income!A$3:A$502=DATE(2026,6,10)),ROW(Income!A$3:A$502)-2),3)),"")&lt;&gt;"",IFERROR(INDEX(Income!B$3:B$502,SMALL(IF((Income!D$3:D$502="INR")*(Income!A$3:A$502=DATE(2026,6,10)),ROW(Income!A$3:A$502)-2),3)),""),""))</f>
        <v/>
      </c>
      <c r="I121" s="153">
        <f t="array" ref="I121">IF(IFERROR(-INDEX(Expenses!D$3:D$999,SMALL(IF((Expenses!E$3:E$999="INR")*(Expenses!A$3:A$999=DATE(2026,6,11)),ROW(Expenses!A$3:A$999)-2),3)),0)+IFERROR(INDEX(Income!C$3:C$502,SMALL(IF((Income!D$3:D$502="INR")*(Income!A$3:A$502=DATE(2026,6,11)),ROW(Income!A$3:A$502)-2),3)),0)=0,"",IFERROR(-INDEX(Expenses!D$3:D$999,SMALL(IF((Expenses!E$3:E$999="INR")*(Expenses!A$3:A$999=DATE(2026,6,11)),ROW(Expenses!A$3:A$999)-2),3)),0)+IFERROR(INDEX(Income!C$3:C$502,SMALL(IF((Income!D$3:D$502="INR")*(Income!A$3:A$502=DATE(2026,6,11)),ROW(Income!A$3:A$502)-2),3)),0))</f>
        <v/>
      </c>
      <c r="J121" s="126">
        <f t="array" ref="J121">IF(IFERROR(INDEX(Expenses!B$3:B$999,SMALL(IF((Expenses!E$3:E$999="INR")*(Expenses!A$3:A$999=DATE(2026,6,11)),ROW(Expenses!A$3:A$999)-2),3)),"")&lt;&gt;"",IFERROR(INDEX(Expenses!B$3:B$999,SMALL(IF((Expenses!E$3:E$999="INR")*(Expenses!A$3:A$999=DATE(2026,6,11)),ROW(Expenses!A$3:A$999)-2),3)),""),IF(IFERROR(INDEX(Income!B$3:B$502,SMALL(IF((Income!D$3:D$502="INR")*(Income!A$3:A$502=DATE(2026,6,11)),ROW(Income!A$3:A$502)-2),3)),"")&lt;&gt;"",IFERROR(INDEX(Income!B$3:B$502,SMALL(IF((Income!D$3:D$502="INR")*(Income!A$3:A$502=DATE(2026,6,11)),ROW(Income!A$3:A$502)-2),3)),""),""))</f>
        <v/>
      </c>
      <c r="K121" s="153">
        <f t="array" ref="K121">IF(IFERROR(-INDEX(Expenses!D$3:D$999,SMALL(IF((Expenses!E$3:E$999="INR")*(Expenses!A$3:A$999=DATE(2026,6,12)),ROW(Expenses!A$3:A$999)-2),3)),0)+IFERROR(INDEX(Income!C$3:C$502,SMALL(IF((Income!D$3:D$502="INR")*(Income!A$3:A$502=DATE(2026,6,12)),ROW(Income!A$3:A$502)-2),3)),0)=0,"",IFERROR(-INDEX(Expenses!D$3:D$999,SMALL(IF((Expenses!E$3:E$999="INR")*(Expenses!A$3:A$999=DATE(2026,6,12)),ROW(Expenses!A$3:A$999)-2),3)),0)+IFERROR(INDEX(Income!C$3:C$502,SMALL(IF((Income!D$3:D$502="INR")*(Income!A$3:A$502=DATE(2026,6,12)),ROW(Income!A$3:A$502)-2),3)),0))</f>
        <v/>
      </c>
      <c r="L121" s="126">
        <f t="array" ref="L121">IF(IFERROR(INDEX(Expenses!B$3:B$999,SMALL(IF((Expenses!E$3:E$999="INR")*(Expenses!A$3:A$999=DATE(2026,6,12)),ROW(Expenses!A$3:A$999)-2),3)),"")&lt;&gt;"",IFERROR(INDEX(Expenses!B$3:B$999,SMALL(IF((Expenses!E$3:E$999="INR")*(Expenses!A$3:A$999=DATE(2026,6,12)),ROW(Expenses!A$3:A$999)-2),3)),""),IF(IFERROR(INDEX(Income!B$3:B$502,SMALL(IF((Income!D$3:D$502="INR")*(Income!A$3:A$502=DATE(2026,6,12)),ROW(Income!A$3:A$502)-2),3)),"")&lt;&gt;"",IFERROR(INDEX(Income!B$3:B$502,SMALL(IF((Income!D$3:D$502="INR")*(Income!A$3:A$502=DATE(2026,6,12)),ROW(Income!A$3:A$502)-2),3)),""),""))</f>
        <v/>
      </c>
      <c r="M121" s="153">
        <f t="array" ref="M121">IF(IFERROR(-INDEX(Expenses!D$3:D$999,SMALL(IF((Expenses!E$3:E$999="INR")*(Expenses!A$3:A$999=DATE(2026,6,13)),ROW(Expenses!A$3:A$999)-2),3)),0)+IFERROR(INDEX(Income!C$3:C$502,SMALL(IF((Income!D$3:D$502="INR")*(Income!A$3:A$502=DATE(2026,6,13)),ROW(Income!A$3:A$502)-2),3)),0)=0,"",IFERROR(-INDEX(Expenses!D$3:D$999,SMALL(IF((Expenses!E$3:E$999="INR")*(Expenses!A$3:A$999=DATE(2026,6,13)),ROW(Expenses!A$3:A$999)-2),3)),0)+IFERROR(INDEX(Income!C$3:C$502,SMALL(IF((Income!D$3:D$502="INR")*(Income!A$3:A$502=DATE(2026,6,13)),ROW(Income!A$3:A$502)-2),3)),0))</f>
        <v/>
      </c>
      <c r="N121" s="126">
        <f t="array" ref="N121">IF(IFERROR(INDEX(Expenses!B$3:B$999,SMALL(IF((Expenses!E$3:E$999="INR")*(Expenses!A$3:A$999=DATE(2026,6,13)),ROW(Expenses!A$3:A$999)-2),3)),"")&lt;&gt;"",IFERROR(INDEX(Expenses!B$3:B$999,SMALL(IF((Expenses!E$3:E$999="INR")*(Expenses!A$3:A$999=DATE(2026,6,13)),ROW(Expenses!A$3:A$999)-2),3)),""),IF(IFERROR(INDEX(Income!B$3:B$502,SMALL(IF((Income!D$3:D$502="INR")*(Income!A$3:A$502=DATE(2026,6,13)),ROW(Income!A$3:A$502)-2),3)),"")&lt;&gt;"",IFERROR(INDEX(Income!B$3:B$502,SMALL(IF((Income!D$3:D$502="INR")*(Income!A$3:A$502=DATE(2026,6,13)),ROW(Income!A$3:A$502)-2),3)),""),""))</f>
        <v/>
      </c>
      <c r="O121" s="153">
        <f t="array" ref="O121">IF(IFERROR(-INDEX(Expenses!D$3:D$999,SMALL(IF((Expenses!E$3:E$999="INR")*(Expenses!A$3:A$999=DATE(2026,6,14)),ROW(Expenses!A$3:A$999)-2),3)),0)+IFERROR(INDEX(Income!C$3:C$502,SMALL(IF((Income!D$3:D$502="INR")*(Income!A$3:A$502=DATE(2026,6,14)),ROW(Income!A$3:A$502)-2),3)),0)=0,"",IFERROR(-INDEX(Expenses!D$3:D$999,SMALL(IF((Expenses!E$3:E$999="INR")*(Expenses!A$3:A$999=DATE(2026,6,14)),ROW(Expenses!A$3:A$999)-2),3)),0)+IFERROR(INDEX(Income!C$3:C$502,SMALL(IF((Income!D$3:D$502="INR")*(Income!A$3:A$502=DATE(2026,6,14)),ROW(Income!A$3:A$502)-2),3)),0))</f>
        <v/>
      </c>
      <c r="P121" s="126">
        <f t="array" ref="P121">IF(IFERROR(INDEX(Expenses!B$3:B$999,SMALL(IF((Expenses!E$3:E$999="INR")*(Expenses!A$3:A$999=DATE(2026,6,14)),ROW(Expenses!A$3:A$999)-2),3)),"")&lt;&gt;"",IFERROR(INDEX(Expenses!B$3:B$999,SMALL(IF((Expenses!E$3:E$999="INR")*(Expenses!A$3:A$999=DATE(2026,6,14)),ROW(Expenses!A$3:A$999)-2),3)),""),IF(IFERROR(INDEX(Income!B$3:B$502,SMALL(IF((Income!D$3:D$502="INR")*(Income!A$3:A$502=DATE(2026,6,14)),ROW(Income!A$3:A$502)-2),3)),"")&lt;&gt;"",IFERROR(INDEX(Income!B$3:B$502,SMALL(IF((Income!D$3:D$502="INR")*(Income!A$3:A$502=DATE(2026,6,14)),ROW(Income!A$3:A$502)-2),3)),""),""))</f>
        <v/>
      </c>
      <c r="Q121" s="9" t="n"/>
      <c r="R121" s="9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68">
      <c r="A122" s="9" t="n"/>
      <c r="B122" s="9" t="n"/>
      <c r="C122" s="153">
        <f t="array" ref="C122">IF(IFERROR(-INDEX(Expenses!D$3:D$999,SMALL(IF((Expenses!E$3:E$999="INR")*(Expenses!A$3:A$999=DATE(2026,6,8)),ROW(Expenses!A$3:A$999)-2),4)),0)+IFERROR(INDEX(Income!C$3:C$502,SMALL(IF((Income!D$3:D$502="INR")*(Income!A$3:A$502=DATE(2026,6,8)),ROW(Income!A$3:A$502)-2),4)),0)=0,"",IFERROR(-INDEX(Expenses!D$3:D$999,SMALL(IF((Expenses!E$3:E$999="INR")*(Expenses!A$3:A$999=DATE(2026,6,8)),ROW(Expenses!A$3:A$999)-2),4)),0)+IFERROR(INDEX(Income!C$3:C$502,SMALL(IF((Income!D$3:D$502="INR")*(Income!A$3:A$502=DATE(2026,6,8)),ROW(Income!A$3:A$502)-2),4)),0))</f>
        <v/>
      </c>
      <c r="D122" s="126">
        <f t="array" ref="D122">IF(IFERROR(INDEX(Expenses!B$3:B$999,SMALL(IF((Expenses!E$3:E$999="INR")*(Expenses!A$3:A$999=DATE(2026,6,8)),ROW(Expenses!A$3:A$999)-2),4)),"")&lt;&gt;"",IFERROR(INDEX(Expenses!B$3:B$999,SMALL(IF((Expenses!E$3:E$999="INR")*(Expenses!A$3:A$999=DATE(2026,6,8)),ROW(Expenses!A$3:A$999)-2),4)),""),IF(IFERROR(INDEX(Income!B$3:B$502,SMALL(IF((Income!D$3:D$502="INR")*(Income!A$3:A$502=DATE(2026,6,8)),ROW(Income!A$3:A$502)-2),4)),"")&lt;&gt;"",IFERROR(INDEX(Income!B$3:B$502,SMALL(IF((Income!D$3:D$502="INR")*(Income!A$3:A$502=DATE(2026,6,8)),ROW(Income!A$3:A$502)-2),4)),""),""))</f>
        <v/>
      </c>
      <c r="E122" s="153">
        <f t="array" ref="E122">IF(IFERROR(-INDEX(Expenses!D$3:D$999,SMALL(IF((Expenses!E$3:E$999="INR")*(Expenses!A$3:A$999=DATE(2026,6,9)),ROW(Expenses!A$3:A$999)-2),4)),0)+IFERROR(INDEX(Income!C$3:C$502,SMALL(IF((Income!D$3:D$502="INR")*(Income!A$3:A$502=DATE(2026,6,9)),ROW(Income!A$3:A$502)-2),4)),0)=0,"",IFERROR(-INDEX(Expenses!D$3:D$999,SMALL(IF((Expenses!E$3:E$999="INR")*(Expenses!A$3:A$999=DATE(2026,6,9)),ROW(Expenses!A$3:A$999)-2),4)),0)+IFERROR(INDEX(Income!C$3:C$502,SMALL(IF((Income!D$3:D$502="INR")*(Income!A$3:A$502=DATE(2026,6,9)),ROW(Income!A$3:A$502)-2),4)),0))</f>
        <v/>
      </c>
      <c r="F122" s="126">
        <f t="array" ref="F122">IF(IFERROR(INDEX(Expenses!B$3:B$999,SMALL(IF((Expenses!E$3:E$999="INR")*(Expenses!A$3:A$999=DATE(2026,6,9)),ROW(Expenses!A$3:A$999)-2),4)),"")&lt;&gt;"",IFERROR(INDEX(Expenses!B$3:B$999,SMALL(IF((Expenses!E$3:E$999="INR")*(Expenses!A$3:A$999=DATE(2026,6,9)),ROW(Expenses!A$3:A$999)-2),4)),""),IF(IFERROR(INDEX(Income!B$3:B$502,SMALL(IF((Income!D$3:D$502="INR")*(Income!A$3:A$502=DATE(2026,6,9)),ROW(Income!A$3:A$502)-2),4)),"")&lt;&gt;"",IFERROR(INDEX(Income!B$3:B$502,SMALL(IF((Income!D$3:D$502="INR")*(Income!A$3:A$502=DATE(2026,6,9)),ROW(Income!A$3:A$502)-2),4)),""),""))</f>
        <v/>
      </c>
      <c r="G122" s="153">
        <f t="array" ref="G122">IF(IFERROR(-INDEX(Expenses!D$3:D$999,SMALL(IF((Expenses!E$3:E$999="INR")*(Expenses!A$3:A$999=DATE(2026,6,10)),ROW(Expenses!A$3:A$999)-2),4)),0)+IFERROR(INDEX(Income!C$3:C$502,SMALL(IF((Income!D$3:D$502="INR")*(Income!A$3:A$502=DATE(2026,6,10)),ROW(Income!A$3:A$502)-2),4)),0)=0,"",IFERROR(-INDEX(Expenses!D$3:D$999,SMALL(IF((Expenses!E$3:E$999="INR")*(Expenses!A$3:A$999=DATE(2026,6,10)),ROW(Expenses!A$3:A$999)-2),4)),0)+IFERROR(INDEX(Income!C$3:C$502,SMALL(IF((Income!D$3:D$502="INR")*(Income!A$3:A$502=DATE(2026,6,10)),ROW(Income!A$3:A$502)-2),4)),0))</f>
        <v/>
      </c>
      <c r="H122" s="126">
        <f t="array" ref="H122">IF(IFERROR(INDEX(Expenses!B$3:B$999,SMALL(IF((Expenses!E$3:E$999="INR")*(Expenses!A$3:A$999=DATE(2026,6,10)),ROW(Expenses!A$3:A$999)-2),4)),"")&lt;&gt;"",IFERROR(INDEX(Expenses!B$3:B$999,SMALL(IF((Expenses!E$3:E$999="INR")*(Expenses!A$3:A$999=DATE(2026,6,10)),ROW(Expenses!A$3:A$999)-2),4)),""),IF(IFERROR(INDEX(Income!B$3:B$502,SMALL(IF((Income!D$3:D$502="INR")*(Income!A$3:A$502=DATE(2026,6,10)),ROW(Income!A$3:A$502)-2),4)),"")&lt;&gt;"",IFERROR(INDEX(Income!B$3:B$502,SMALL(IF((Income!D$3:D$502="INR")*(Income!A$3:A$502=DATE(2026,6,10)),ROW(Income!A$3:A$502)-2),4)),""),""))</f>
        <v/>
      </c>
      <c r="I122" s="153">
        <f t="array" ref="I122">IF(IFERROR(-INDEX(Expenses!D$3:D$999,SMALL(IF((Expenses!E$3:E$999="INR")*(Expenses!A$3:A$999=DATE(2026,6,11)),ROW(Expenses!A$3:A$999)-2),4)),0)+IFERROR(INDEX(Income!C$3:C$502,SMALL(IF((Income!D$3:D$502="INR")*(Income!A$3:A$502=DATE(2026,6,11)),ROW(Income!A$3:A$502)-2),4)),0)=0,"",IFERROR(-INDEX(Expenses!D$3:D$999,SMALL(IF((Expenses!E$3:E$999="INR")*(Expenses!A$3:A$999=DATE(2026,6,11)),ROW(Expenses!A$3:A$999)-2),4)),0)+IFERROR(INDEX(Income!C$3:C$502,SMALL(IF((Income!D$3:D$502="INR")*(Income!A$3:A$502=DATE(2026,6,11)),ROW(Income!A$3:A$502)-2),4)),0))</f>
        <v/>
      </c>
      <c r="J122" s="126">
        <f t="array" ref="J122">IF(IFERROR(INDEX(Expenses!B$3:B$999,SMALL(IF((Expenses!E$3:E$999="INR")*(Expenses!A$3:A$999=DATE(2026,6,11)),ROW(Expenses!A$3:A$999)-2),4)),"")&lt;&gt;"",IFERROR(INDEX(Expenses!B$3:B$999,SMALL(IF((Expenses!E$3:E$999="INR")*(Expenses!A$3:A$999=DATE(2026,6,11)),ROW(Expenses!A$3:A$999)-2),4)),""),IF(IFERROR(INDEX(Income!B$3:B$502,SMALL(IF((Income!D$3:D$502="INR")*(Income!A$3:A$502=DATE(2026,6,11)),ROW(Income!A$3:A$502)-2),4)),"")&lt;&gt;"",IFERROR(INDEX(Income!B$3:B$502,SMALL(IF((Income!D$3:D$502="INR")*(Income!A$3:A$502=DATE(2026,6,11)),ROW(Income!A$3:A$502)-2),4)),""),""))</f>
        <v/>
      </c>
      <c r="K122" s="153">
        <f t="array" ref="K122">IF(IFERROR(-INDEX(Expenses!D$3:D$999,SMALL(IF((Expenses!E$3:E$999="INR")*(Expenses!A$3:A$999=DATE(2026,6,12)),ROW(Expenses!A$3:A$999)-2),4)),0)+IFERROR(INDEX(Income!C$3:C$502,SMALL(IF((Income!D$3:D$502="INR")*(Income!A$3:A$502=DATE(2026,6,12)),ROW(Income!A$3:A$502)-2),4)),0)=0,"",IFERROR(-INDEX(Expenses!D$3:D$999,SMALL(IF((Expenses!E$3:E$999="INR")*(Expenses!A$3:A$999=DATE(2026,6,12)),ROW(Expenses!A$3:A$999)-2),4)),0)+IFERROR(INDEX(Income!C$3:C$502,SMALL(IF((Income!D$3:D$502="INR")*(Income!A$3:A$502=DATE(2026,6,12)),ROW(Income!A$3:A$502)-2),4)),0))</f>
        <v/>
      </c>
      <c r="L122" s="126">
        <f t="array" ref="L122">IF(IFERROR(INDEX(Expenses!B$3:B$999,SMALL(IF((Expenses!E$3:E$999="INR")*(Expenses!A$3:A$999=DATE(2026,6,12)),ROW(Expenses!A$3:A$999)-2),4)),"")&lt;&gt;"",IFERROR(INDEX(Expenses!B$3:B$999,SMALL(IF((Expenses!E$3:E$999="INR")*(Expenses!A$3:A$999=DATE(2026,6,12)),ROW(Expenses!A$3:A$999)-2),4)),""),IF(IFERROR(INDEX(Income!B$3:B$502,SMALL(IF((Income!D$3:D$502="INR")*(Income!A$3:A$502=DATE(2026,6,12)),ROW(Income!A$3:A$502)-2),4)),"")&lt;&gt;"",IFERROR(INDEX(Income!B$3:B$502,SMALL(IF((Income!D$3:D$502="INR")*(Income!A$3:A$502=DATE(2026,6,12)),ROW(Income!A$3:A$502)-2),4)),""),""))</f>
        <v/>
      </c>
      <c r="M122" s="153">
        <f t="array" ref="M122">IF(IFERROR(-INDEX(Expenses!D$3:D$999,SMALL(IF((Expenses!E$3:E$999="INR")*(Expenses!A$3:A$999=DATE(2026,6,13)),ROW(Expenses!A$3:A$999)-2),4)),0)+IFERROR(INDEX(Income!C$3:C$502,SMALL(IF((Income!D$3:D$502="INR")*(Income!A$3:A$502=DATE(2026,6,13)),ROW(Income!A$3:A$502)-2),4)),0)=0,"",IFERROR(-INDEX(Expenses!D$3:D$999,SMALL(IF((Expenses!E$3:E$999="INR")*(Expenses!A$3:A$999=DATE(2026,6,13)),ROW(Expenses!A$3:A$999)-2),4)),0)+IFERROR(INDEX(Income!C$3:C$502,SMALL(IF((Income!D$3:D$502="INR")*(Income!A$3:A$502=DATE(2026,6,13)),ROW(Income!A$3:A$502)-2),4)),0))</f>
        <v/>
      </c>
      <c r="N122" s="126">
        <f t="array" ref="N122">IF(IFERROR(INDEX(Expenses!B$3:B$999,SMALL(IF((Expenses!E$3:E$999="INR")*(Expenses!A$3:A$999=DATE(2026,6,13)),ROW(Expenses!A$3:A$999)-2),4)),"")&lt;&gt;"",IFERROR(INDEX(Expenses!B$3:B$999,SMALL(IF((Expenses!E$3:E$999="INR")*(Expenses!A$3:A$999=DATE(2026,6,13)),ROW(Expenses!A$3:A$999)-2),4)),""),IF(IFERROR(INDEX(Income!B$3:B$502,SMALL(IF((Income!D$3:D$502="INR")*(Income!A$3:A$502=DATE(2026,6,13)),ROW(Income!A$3:A$502)-2),4)),"")&lt;&gt;"",IFERROR(INDEX(Income!B$3:B$502,SMALL(IF((Income!D$3:D$502="INR")*(Income!A$3:A$502=DATE(2026,6,13)),ROW(Income!A$3:A$502)-2),4)),""),""))</f>
        <v/>
      </c>
      <c r="O122" s="153">
        <f t="array" ref="O122">IF(IFERROR(-INDEX(Expenses!D$3:D$999,SMALL(IF((Expenses!E$3:E$999="INR")*(Expenses!A$3:A$999=DATE(2026,6,14)),ROW(Expenses!A$3:A$999)-2),4)),0)+IFERROR(INDEX(Income!C$3:C$502,SMALL(IF((Income!D$3:D$502="INR")*(Income!A$3:A$502=DATE(2026,6,14)),ROW(Income!A$3:A$502)-2),4)),0)=0,"",IFERROR(-INDEX(Expenses!D$3:D$999,SMALL(IF((Expenses!E$3:E$999="INR")*(Expenses!A$3:A$999=DATE(2026,6,14)),ROW(Expenses!A$3:A$999)-2),4)),0)+IFERROR(INDEX(Income!C$3:C$502,SMALL(IF((Income!D$3:D$502="INR")*(Income!A$3:A$502=DATE(2026,6,14)),ROW(Income!A$3:A$502)-2),4)),0))</f>
        <v/>
      </c>
      <c r="P122" s="126">
        <f t="array" ref="P122">IF(IFERROR(INDEX(Expenses!B$3:B$999,SMALL(IF((Expenses!E$3:E$999="INR")*(Expenses!A$3:A$999=DATE(2026,6,14)),ROW(Expenses!A$3:A$999)-2),4)),"")&lt;&gt;"",IFERROR(INDEX(Expenses!B$3:B$999,SMALL(IF((Expenses!E$3:E$999="INR")*(Expenses!A$3:A$999=DATE(2026,6,14)),ROW(Expenses!A$3:A$999)-2),4)),""),IF(IFERROR(INDEX(Income!B$3:B$502,SMALL(IF((Income!D$3:D$502="INR")*(Income!A$3:A$502=DATE(2026,6,14)),ROW(Income!A$3:A$502)-2),4)),"")&lt;&gt;"",IFERROR(INDEX(Income!B$3:B$502,SMALL(IF((Income!D$3:D$502="INR")*(Income!A$3:A$502=DATE(2026,6,14)),ROW(Income!A$3:A$502)-2),4)),""),""))</f>
        <v/>
      </c>
      <c r="Q122" s="9" t="n"/>
      <c r="R122" s="9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68">
      <c r="A123" s="9" t="n"/>
      <c r="B123" s="9" t="n"/>
      <c r="C123" s="153">
        <f t="array" ref="C123">IF(IFERROR(-INDEX(Expenses!D$3:D$999,SMALL(IF((Expenses!E$3:E$999="INR")*(Expenses!A$3:A$999=DATE(2026,6,8)),ROW(Expenses!A$3:A$999)-2),5)),0)+IFERROR(INDEX(Income!C$3:C$502,SMALL(IF((Income!D$3:D$502="INR")*(Income!A$3:A$502=DATE(2026,6,8)),ROW(Income!A$3:A$502)-2),5)),0)=0,"",IFERROR(-INDEX(Expenses!D$3:D$999,SMALL(IF((Expenses!E$3:E$999="INR")*(Expenses!A$3:A$999=DATE(2026,6,8)),ROW(Expenses!A$3:A$999)-2),5)),0)+IFERROR(INDEX(Income!C$3:C$502,SMALL(IF((Income!D$3:D$502="INR")*(Income!A$3:A$502=DATE(2026,6,8)),ROW(Income!A$3:A$502)-2),5)),0))</f>
        <v/>
      </c>
      <c r="D123" s="126">
        <f t="array" ref="D123">IF(IFERROR(INDEX(Expenses!B$3:B$999,SMALL(IF((Expenses!E$3:E$999="INR")*(Expenses!A$3:A$999=DATE(2026,6,8)),ROW(Expenses!A$3:A$999)-2),5)),"")&lt;&gt;"",IFERROR(INDEX(Expenses!B$3:B$999,SMALL(IF((Expenses!E$3:E$999="INR")*(Expenses!A$3:A$999=DATE(2026,6,8)),ROW(Expenses!A$3:A$999)-2),5)),""),IF(IFERROR(INDEX(Income!B$3:B$502,SMALL(IF((Income!D$3:D$502="INR")*(Income!A$3:A$502=DATE(2026,6,8)),ROW(Income!A$3:A$502)-2),5)),"")&lt;&gt;"",IFERROR(INDEX(Income!B$3:B$502,SMALL(IF((Income!D$3:D$502="INR")*(Income!A$3:A$502=DATE(2026,6,8)),ROW(Income!A$3:A$502)-2),5)),""),""))</f>
        <v/>
      </c>
      <c r="E123" s="153">
        <f t="array" ref="E123">IF(IFERROR(-INDEX(Expenses!D$3:D$999,SMALL(IF((Expenses!E$3:E$999="INR")*(Expenses!A$3:A$999=DATE(2026,6,9)),ROW(Expenses!A$3:A$999)-2),5)),0)+IFERROR(INDEX(Income!C$3:C$502,SMALL(IF((Income!D$3:D$502="INR")*(Income!A$3:A$502=DATE(2026,6,9)),ROW(Income!A$3:A$502)-2),5)),0)=0,"",IFERROR(-INDEX(Expenses!D$3:D$999,SMALL(IF((Expenses!E$3:E$999="INR")*(Expenses!A$3:A$999=DATE(2026,6,9)),ROW(Expenses!A$3:A$999)-2),5)),0)+IFERROR(INDEX(Income!C$3:C$502,SMALL(IF((Income!D$3:D$502="INR")*(Income!A$3:A$502=DATE(2026,6,9)),ROW(Income!A$3:A$502)-2),5)),0))</f>
        <v/>
      </c>
      <c r="F123" s="126">
        <f t="array" ref="F123">IF(IFERROR(INDEX(Expenses!B$3:B$999,SMALL(IF((Expenses!E$3:E$999="INR")*(Expenses!A$3:A$999=DATE(2026,6,9)),ROW(Expenses!A$3:A$999)-2),5)),"")&lt;&gt;"",IFERROR(INDEX(Expenses!B$3:B$999,SMALL(IF((Expenses!E$3:E$999="INR")*(Expenses!A$3:A$999=DATE(2026,6,9)),ROW(Expenses!A$3:A$999)-2),5)),""),IF(IFERROR(INDEX(Income!B$3:B$502,SMALL(IF((Income!D$3:D$502="INR")*(Income!A$3:A$502=DATE(2026,6,9)),ROW(Income!A$3:A$502)-2),5)),"")&lt;&gt;"",IFERROR(INDEX(Income!B$3:B$502,SMALL(IF((Income!D$3:D$502="INR")*(Income!A$3:A$502=DATE(2026,6,9)),ROW(Income!A$3:A$502)-2),5)),""),""))</f>
        <v/>
      </c>
      <c r="G123" s="153">
        <f t="array" ref="G123">IF(IFERROR(-INDEX(Expenses!D$3:D$999,SMALL(IF((Expenses!E$3:E$999="INR")*(Expenses!A$3:A$999=DATE(2026,6,10)),ROW(Expenses!A$3:A$999)-2),5)),0)+IFERROR(INDEX(Income!C$3:C$502,SMALL(IF((Income!D$3:D$502="INR")*(Income!A$3:A$502=DATE(2026,6,10)),ROW(Income!A$3:A$502)-2),5)),0)=0,"",IFERROR(-INDEX(Expenses!D$3:D$999,SMALL(IF((Expenses!E$3:E$999="INR")*(Expenses!A$3:A$999=DATE(2026,6,10)),ROW(Expenses!A$3:A$999)-2),5)),0)+IFERROR(INDEX(Income!C$3:C$502,SMALL(IF((Income!D$3:D$502="INR")*(Income!A$3:A$502=DATE(2026,6,10)),ROW(Income!A$3:A$502)-2),5)),0))</f>
        <v/>
      </c>
      <c r="H123" s="126">
        <f t="array" ref="H123">IF(IFERROR(INDEX(Expenses!B$3:B$999,SMALL(IF((Expenses!E$3:E$999="INR")*(Expenses!A$3:A$999=DATE(2026,6,10)),ROW(Expenses!A$3:A$999)-2),5)),"")&lt;&gt;"",IFERROR(INDEX(Expenses!B$3:B$999,SMALL(IF((Expenses!E$3:E$999="INR")*(Expenses!A$3:A$999=DATE(2026,6,10)),ROW(Expenses!A$3:A$999)-2),5)),""),IF(IFERROR(INDEX(Income!B$3:B$502,SMALL(IF((Income!D$3:D$502="INR")*(Income!A$3:A$502=DATE(2026,6,10)),ROW(Income!A$3:A$502)-2),5)),"")&lt;&gt;"",IFERROR(INDEX(Income!B$3:B$502,SMALL(IF((Income!D$3:D$502="INR")*(Income!A$3:A$502=DATE(2026,6,10)),ROW(Income!A$3:A$502)-2),5)),""),""))</f>
        <v/>
      </c>
      <c r="I123" s="153">
        <f t="array" ref="I123">IF(IFERROR(-INDEX(Expenses!D$3:D$999,SMALL(IF((Expenses!E$3:E$999="INR")*(Expenses!A$3:A$999=DATE(2026,6,11)),ROW(Expenses!A$3:A$999)-2),5)),0)+IFERROR(INDEX(Income!C$3:C$502,SMALL(IF((Income!D$3:D$502="INR")*(Income!A$3:A$502=DATE(2026,6,11)),ROW(Income!A$3:A$502)-2),5)),0)=0,"",IFERROR(-INDEX(Expenses!D$3:D$999,SMALL(IF((Expenses!E$3:E$999="INR")*(Expenses!A$3:A$999=DATE(2026,6,11)),ROW(Expenses!A$3:A$999)-2),5)),0)+IFERROR(INDEX(Income!C$3:C$502,SMALL(IF((Income!D$3:D$502="INR")*(Income!A$3:A$502=DATE(2026,6,11)),ROW(Income!A$3:A$502)-2),5)),0))</f>
        <v/>
      </c>
      <c r="J123" s="126">
        <f t="array" ref="J123">IF(IFERROR(INDEX(Expenses!B$3:B$999,SMALL(IF((Expenses!E$3:E$999="INR")*(Expenses!A$3:A$999=DATE(2026,6,11)),ROW(Expenses!A$3:A$999)-2),5)),"")&lt;&gt;"",IFERROR(INDEX(Expenses!B$3:B$999,SMALL(IF((Expenses!E$3:E$999="INR")*(Expenses!A$3:A$999=DATE(2026,6,11)),ROW(Expenses!A$3:A$999)-2),5)),""),IF(IFERROR(INDEX(Income!B$3:B$502,SMALL(IF((Income!D$3:D$502="INR")*(Income!A$3:A$502=DATE(2026,6,11)),ROW(Income!A$3:A$502)-2),5)),"")&lt;&gt;"",IFERROR(INDEX(Income!B$3:B$502,SMALL(IF((Income!D$3:D$502="INR")*(Income!A$3:A$502=DATE(2026,6,11)),ROW(Income!A$3:A$502)-2),5)),""),""))</f>
        <v/>
      </c>
      <c r="K123" s="153">
        <f t="array" ref="K123">IF(IFERROR(-INDEX(Expenses!D$3:D$999,SMALL(IF((Expenses!E$3:E$999="INR")*(Expenses!A$3:A$999=DATE(2026,6,12)),ROW(Expenses!A$3:A$999)-2),5)),0)+IFERROR(INDEX(Income!C$3:C$502,SMALL(IF((Income!D$3:D$502="INR")*(Income!A$3:A$502=DATE(2026,6,12)),ROW(Income!A$3:A$502)-2),5)),0)=0,"",IFERROR(-INDEX(Expenses!D$3:D$999,SMALL(IF((Expenses!E$3:E$999="INR")*(Expenses!A$3:A$999=DATE(2026,6,12)),ROW(Expenses!A$3:A$999)-2),5)),0)+IFERROR(INDEX(Income!C$3:C$502,SMALL(IF((Income!D$3:D$502="INR")*(Income!A$3:A$502=DATE(2026,6,12)),ROW(Income!A$3:A$502)-2),5)),0))</f>
        <v/>
      </c>
      <c r="L123" s="126">
        <f t="array" ref="L123">IF(IFERROR(INDEX(Expenses!B$3:B$999,SMALL(IF((Expenses!E$3:E$999="INR")*(Expenses!A$3:A$999=DATE(2026,6,12)),ROW(Expenses!A$3:A$999)-2),5)),"")&lt;&gt;"",IFERROR(INDEX(Expenses!B$3:B$999,SMALL(IF((Expenses!E$3:E$999="INR")*(Expenses!A$3:A$999=DATE(2026,6,12)),ROW(Expenses!A$3:A$999)-2),5)),""),IF(IFERROR(INDEX(Income!B$3:B$502,SMALL(IF((Income!D$3:D$502="INR")*(Income!A$3:A$502=DATE(2026,6,12)),ROW(Income!A$3:A$502)-2),5)),"")&lt;&gt;"",IFERROR(INDEX(Income!B$3:B$502,SMALL(IF((Income!D$3:D$502="INR")*(Income!A$3:A$502=DATE(2026,6,12)),ROW(Income!A$3:A$502)-2),5)),""),""))</f>
        <v/>
      </c>
      <c r="M123" s="153">
        <f t="array" ref="M123">IF(IFERROR(-INDEX(Expenses!D$3:D$999,SMALL(IF((Expenses!E$3:E$999="INR")*(Expenses!A$3:A$999=DATE(2026,6,13)),ROW(Expenses!A$3:A$999)-2),5)),0)+IFERROR(INDEX(Income!C$3:C$502,SMALL(IF((Income!D$3:D$502="INR")*(Income!A$3:A$502=DATE(2026,6,13)),ROW(Income!A$3:A$502)-2),5)),0)=0,"",IFERROR(-INDEX(Expenses!D$3:D$999,SMALL(IF((Expenses!E$3:E$999="INR")*(Expenses!A$3:A$999=DATE(2026,6,13)),ROW(Expenses!A$3:A$999)-2),5)),0)+IFERROR(INDEX(Income!C$3:C$502,SMALL(IF((Income!D$3:D$502="INR")*(Income!A$3:A$502=DATE(2026,6,13)),ROW(Income!A$3:A$502)-2),5)),0))</f>
        <v/>
      </c>
      <c r="N123" s="126">
        <f t="array" ref="N123">IF(IFERROR(INDEX(Expenses!B$3:B$999,SMALL(IF((Expenses!E$3:E$999="INR")*(Expenses!A$3:A$999=DATE(2026,6,13)),ROW(Expenses!A$3:A$999)-2),5)),"")&lt;&gt;"",IFERROR(INDEX(Expenses!B$3:B$999,SMALL(IF((Expenses!E$3:E$999="INR")*(Expenses!A$3:A$999=DATE(2026,6,13)),ROW(Expenses!A$3:A$999)-2),5)),""),IF(IFERROR(INDEX(Income!B$3:B$502,SMALL(IF((Income!D$3:D$502="INR")*(Income!A$3:A$502=DATE(2026,6,13)),ROW(Income!A$3:A$502)-2),5)),"")&lt;&gt;"",IFERROR(INDEX(Income!B$3:B$502,SMALL(IF((Income!D$3:D$502="INR")*(Income!A$3:A$502=DATE(2026,6,13)),ROW(Income!A$3:A$502)-2),5)),""),""))</f>
        <v/>
      </c>
      <c r="O123" s="153">
        <f t="array" ref="O123">IF(IFERROR(-INDEX(Expenses!D$3:D$999,SMALL(IF((Expenses!E$3:E$999="INR")*(Expenses!A$3:A$999=DATE(2026,6,14)),ROW(Expenses!A$3:A$999)-2),5)),0)+IFERROR(INDEX(Income!C$3:C$502,SMALL(IF((Income!D$3:D$502="INR")*(Income!A$3:A$502=DATE(2026,6,14)),ROW(Income!A$3:A$502)-2),5)),0)=0,"",IFERROR(-INDEX(Expenses!D$3:D$999,SMALL(IF((Expenses!E$3:E$999="INR")*(Expenses!A$3:A$999=DATE(2026,6,14)),ROW(Expenses!A$3:A$999)-2),5)),0)+IFERROR(INDEX(Income!C$3:C$502,SMALL(IF((Income!D$3:D$502="INR")*(Income!A$3:A$502=DATE(2026,6,14)),ROW(Income!A$3:A$502)-2),5)),0))</f>
        <v/>
      </c>
      <c r="P123" s="126">
        <f t="array" ref="P123">IF(IFERROR(INDEX(Expenses!B$3:B$999,SMALL(IF((Expenses!E$3:E$999="INR")*(Expenses!A$3:A$999=DATE(2026,6,14)),ROW(Expenses!A$3:A$999)-2),5)),"")&lt;&gt;"",IFERROR(INDEX(Expenses!B$3:B$999,SMALL(IF((Expenses!E$3:E$999="INR")*(Expenses!A$3:A$999=DATE(2026,6,14)),ROW(Expenses!A$3:A$999)-2),5)),""),IF(IFERROR(INDEX(Income!B$3:B$502,SMALL(IF((Income!D$3:D$502="INR")*(Income!A$3:A$502=DATE(2026,6,14)),ROW(Income!A$3:A$502)-2),5)),"")&lt;&gt;"",IFERROR(INDEX(Income!B$3:B$502,SMALL(IF((Income!D$3:D$502="INR")*(Income!A$3:A$502=DATE(2026,6,14)),ROW(Income!A$3:A$502)-2),5)),""),""))</f>
        <v/>
      </c>
      <c r="Q123" s="9" t="n"/>
      <c r="R123" s="9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68">
      <c r="A124" s="151" t="n">
        <v>46188</v>
      </c>
      <c r="B124" s="103" t="n">
        <v>25</v>
      </c>
      <c r="C124" s="153">
        <f t="array" ref="C124">IF(IFERROR(-INDEX(Expenses!D$3:D$999,SMALL(IF((Expenses!E$3:E$999="INR")*(Expenses!A$3:A$999=DATE(2026,6,15)),ROW(Expenses!A$3:A$999)-2),1)),0)+IFERROR(INDEX(Income!C$3:C$502,SMALL(IF((Income!D$3:D$502="INR")*(Income!A$3:A$502=DATE(2026,6,15)),ROW(Income!A$3:A$502)-2),1)),0)=0,"",IFERROR(-INDEX(Expenses!D$3:D$999,SMALL(IF((Expenses!E$3:E$999="INR")*(Expenses!A$3:A$999=DATE(2026,6,15)),ROW(Expenses!A$3:A$999)-2),1)),0)+IFERROR(INDEX(Income!C$3:C$502,SMALL(IF((Income!D$3:D$502="INR")*(Income!A$3:A$502=DATE(2026,6,15)),ROW(Income!A$3:A$502)-2),1)),0))</f>
        <v/>
      </c>
      <c r="D124" s="126">
        <f t="array" ref="D124">IF(IFERROR(INDEX(Expenses!B$3:B$999,SMALL(IF((Expenses!E$3:E$999="INR")*(Expenses!A$3:A$999=DATE(2026,6,15)),ROW(Expenses!A$3:A$999)-2),1)),"")&lt;&gt;"",IFERROR(INDEX(Expenses!B$3:B$999,SMALL(IF((Expenses!E$3:E$999="INR")*(Expenses!A$3:A$999=DATE(2026,6,15)),ROW(Expenses!A$3:A$999)-2),1)),""),IF(IFERROR(INDEX(Income!B$3:B$502,SMALL(IF((Income!D$3:D$502="INR")*(Income!A$3:A$502=DATE(2026,6,15)),ROW(Income!A$3:A$502)-2),1)),"")&lt;&gt;"",IFERROR(INDEX(Income!B$3:B$502,SMALL(IF((Income!D$3:D$502="INR")*(Income!A$3:A$502=DATE(2026,6,15)),ROW(Income!A$3:A$502)-2),1)),""),""))</f>
        <v/>
      </c>
      <c r="E124" s="153">
        <f t="array" ref="E124">IF(IFERROR(-INDEX(Expenses!D$3:D$999,SMALL(IF((Expenses!E$3:E$999="INR")*(Expenses!A$3:A$999=DATE(2026,6,16)),ROW(Expenses!A$3:A$999)-2),1)),0)+IFERROR(INDEX(Income!C$3:C$502,SMALL(IF((Income!D$3:D$502="INR")*(Income!A$3:A$502=DATE(2026,6,16)),ROW(Income!A$3:A$502)-2),1)),0)=0,"",IFERROR(-INDEX(Expenses!D$3:D$999,SMALL(IF((Expenses!E$3:E$999="INR")*(Expenses!A$3:A$999=DATE(2026,6,16)),ROW(Expenses!A$3:A$999)-2),1)),0)+IFERROR(INDEX(Income!C$3:C$502,SMALL(IF((Income!D$3:D$502="INR")*(Income!A$3:A$502=DATE(2026,6,16)),ROW(Income!A$3:A$502)-2),1)),0))</f>
        <v/>
      </c>
      <c r="F124" s="126">
        <f t="array" ref="F124">IF(IFERROR(INDEX(Expenses!B$3:B$999,SMALL(IF((Expenses!E$3:E$999="INR")*(Expenses!A$3:A$999=DATE(2026,6,16)),ROW(Expenses!A$3:A$999)-2),1)),"")&lt;&gt;"",IFERROR(INDEX(Expenses!B$3:B$999,SMALL(IF((Expenses!E$3:E$999="INR")*(Expenses!A$3:A$999=DATE(2026,6,16)),ROW(Expenses!A$3:A$999)-2),1)),""),IF(IFERROR(INDEX(Income!B$3:B$502,SMALL(IF((Income!D$3:D$502="INR")*(Income!A$3:A$502=DATE(2026,6,16)),ROW(Income!A$3:A$502)-2),1)),"")&lt;&gt;"",IFERROR(INDEX(Income!B$3:B$502,SMALL(IF((Income!D$3:D$502="INR")*(Income!A$3:A$502=DATE(2026,6,16)),ROW(Income!A$3:A$502)-2),1)),""),""))</f>
        <v/>
      </c>
      <c r="G124" s="153">
        <f t="array" ref="G124">IF(IFERROR(-INDEX(Expenses!D$3:D$999,SMALL(IF((Expenses!E$3:E$999="INR")*(Expenses!A$3:A$999=DATE(2026,6,17)),ROW(Expenses!A$3:A$999)-2),1)),0)+IFERROR(INDEX(Income!C$3:C$502,SMALL(IF((Income!D$3:D$502="INR")*(Income!A$3:A$502=DATE(2026,6,17)),ROW(Income!A$3:A$502)-2),1)),0)=0,"",IFERROR(-INDEX(Expenses!D$3:D$999,SMALL(IF((Expenses!E$3:E$999="INR")*(Expenses!A$3:A$999=DATE(2026,6,17)),ROW(Expenses!A$3:A$999)-2),1)),0)+IFERROR(INDEX(Income!C$3:C$502,SMALL(IF((Income!D$3:D$502="INR")*(Income!A$3:A$502=DATE(2026,6,17)),ROW(Income!A$3:A$502)-2),1)),0))</f>
        <v/>
      </c>
      <c r="H124" s="126">
        <f t="array" ref="H124">IF(IFERROR(INDEX(Expenses!B$3:B$999,SMALL(IF((Expenses!E$3:E$999="INR")*(Expenses!A$3:A$999=DATE(2026,6,17)),ROW(Expenses!A$3:A$999)-2),1)),"")&lt;&gt;"",IFERROR(INDEX(Expenses!B$3:B$999,SMALL(IF((Expenses!E$3:E$999="INR")*(Expenses!A$3:A$999=DATE(2026,6,17)),ROW(Expenses!A$3:A$999)-2),1)),""),IF(IFERROR(INDEX(Income!B$3:B$502,SMALL(IF((Income!D$3:D$502="INR")*(Income!A$3:A$502=DATE(2026,6,17)),ROW(Income!A$3:A$502)-2),1)),"")&lt;&gt;"",IFERROR(INDEX(Income!B$3:B$502,SMALL(IF((Income!D$3:D$502="INR")*(Income!A$3:A$502=DATE(2026,6,17)),ROW(Income!A$3:A$502)-2),1)),""),""))</f>
        <v/>
      </c>
      <c r="I124" s="153">
        <f t="array" ref="I124">IF(IFERROR(-INDEX(Expenses!D$3:D$999,SMALL(IF((Expenses!E$3:E$999="INR")*(Expenses!A$3:A$999=DATE(2026,6,18)),ROW(Expenses!A$3:A$999)-2),1)),0)+IFERROR(INDEX(Income!C$3:C$502,SMALL(IF((Income!D$3:D$502="INR")*(Income!A$3:A$502=DATE(2026,6,18)),ROW(Income!A$3:A$502)-2),1)),0)=0,"",IFERROR(-INDEX(Expenses!D$3:D$999,SMALL(IF((Expenses!E$3:E$999="INR")*(Expenses!A$3:A$999=DATE(2026,6,18)),ROW(Expenses!A$3:A$999)-2),1)),0)+IFERROR(INDEX(Income!C$3:C$502,SMALL(IF((Income!D$3:D$502="INR")*(Income!A$3:A$502=DATE(2026,6,18)),ROW(Income!A$3:A$502)-2),1)),0))</f>
        <v/>
      </c>
      <c r="J124" s="126">
        <f t="array" ref="J124">IF(IFERROR(INDEX(Expenses!B$3:B$999,SMALL(IF((Expenses!E$3:E$999="INR")*(Expenses!A$3:A$999=DATE(2026,6,18)),ROW(Expenses!A$3:A$999)-2),1)),"")&lt;&gt;"",IFERROR(INDEX(Expenses!B$3:B$999,SMALL(IF((Expenses!E$3:E$999="INR")*(Expenses!A$3:A$999=DATE(2026,6,18)),ROW(Expenses!A$3:A$999)-2),1)),""),IF(IFERROR(INDEX(Income!B$3:B$502,SMALL(IF((Income!D$3:D$502="INR")*(Income!A$3:A$502=DATE(2026,6,18)),ROW(Income!A$3:A$502)-2),1)),"")&lt;&gt;"",IFERROR(INDEX(Income!B$3:B$502,SMALL(IF((Income!D$3:D$502="INR")*(Income!A$3:A$502=DATE(2026,6,18)),ROW(Income!A$3:A$502)-2),1)),""),""))</f>
        <v/>
      </c>
      <c r="K124" s="153">
        <f t="array" ref="K124">IF(IFERROR(-INDEX(Expenses!D$3:D$999,SMALL(IF((Expenses!E$3:E$999="INR")*(Expenses!A$3:A$999=DATE(2026,6,19)),ROW(Expenses!A$3:A$999)-2),1)),0)+IFERROR(INDEX(Income!C$3:C$502,SMALL(IF((Income!D$3:D$502="INR")*(Income!A$3:A$502=DATE(2026,6,19)),ROW(Income!A$3:A$502)-2),1)),0)=0,"",IFERROR(-INDEX(Expenses!D$3:D$999,SMALL(IF((Expenses!E$3:E$999="INR")*(Expenses!A$3:A$999=DATE(2026,6,19)),ROW(Expenses!A$3:A$999)-2),1)),0)+IFERROR(INDEX(Income!C$3:C$502,SMALL(IF((Income!D$3:D$502="INR")*(Income!A$3:A$502=DATE(2026,6,19)),ROW(Income!A$3:A$502)-2),1)),0))</f>
        <v/>
      </c>
      <c r="L124" s="126">
        <f t="array" ref="L124">IF(IFERROR(INDEX(Expenses!B$3:B$999,SMALL(IF((Expenses!E$3:E$999="INR")*(Expenses!A$3:A$999=DATE(2026,6,19)),ROW(Expenses!A$3:A$999)-2),1)),"")&lt;&gt;"",IFERROR(INDEX(Expenses!B$3:B$999,SMALL(IF((Expenses!E$3:E$999="INR")*(Expenses!A$3:A$999=DATE(2026,6,19)),ROW(Expenses!A$3:A$999)-2),1)),""),IF(IFERROR(INDEX(Income!B$3:B$502,SMALL(IF((Income!D$3:D$502="INR")*(Income!A$3:A$502=DATE(2026,6,19)),ROW(Income!A$3:A$502)-2),1)),"")&lt;&gt;"",IFERROR(INDEX(Income!B$3:B$502,SMALL(IF((Income!D$3:D$502="INR")*(Income!A$3:A$502=DATE(2026,6,19)),ROW(Income!A$3:A$502)-2),1)),""),""))</f>
        <v/>
      </c>
      <c r="M124" s="153">
        <f t="array" ref="M124">IF(IFERROR(-INDEX(Expenses!D$3:D$999,SMALL(IF((Expenses!E$3:E$999="INR")*(Expenses!A$3:A$999=DATE(2026,6,20)),ROW(Expenses!A$3:A$999)-2),1)),0)+IFERROR(INDEX(Income!C$3:C$502,SMALL(IF((Income!D$3:D$502="INR")*(Income!A$3:A$502=DATE(2026,6,20)),ROW(Income!A$3:A$502)-2),1)),0)=0,"",IFERROR(-INDEX(Expenses!D$3:D$999,SMALL(IF((Expenses!E$3:E$999="INR")*(Expenses!A$3:A$999=DATE(2026,6,20)),ROW(Expenses!A$3:A$999)-2),1)),0)+IFERROR(INDEX(Income!C$3:C$502,SMALL(IF((Income!D$3:D$502="INR")*(Income!A$3:A$502=DATE(2026,6,20)),ROW(Income!A$3:A$502)-2),1)),0))</f>
        <v/>
      </c>
      <c r="N124" s="126">
        <f t="array" ref="N124">IF(IFERROR(INDEX(Expenses!B$3:B$999,SMALL(IF((Expenses!E$3:E$999="INR")*(Expenses!A$3:A$999=DATE(2026,6,20)),ROW(Expenses!A$3:A$999)-2),1)),"")&lt;&gt;"",IFERROR(INDEX(Expenses!B$3:B$999,SMALL(IF((Expenses!E$3:E$999="INR")*(Expenses!A$3:A$999=DATE(2026,6,20)),ROW(Expenses!A$3:A$999)-2),1)),""),IF(IFERROR(INDEX(Income!B$3:B$502,SMALL(IF((Income!D$3:D$502="INR")*(Income!A$3:A$502=DATE(2026,6,20)),ROW(Income!A$3:A$502)-2),1)),"")&lt;&gt;"",IFERROR(INDEX(Income!B$3:B$502,SMALL(IF((Income!D$3:D$502="INR")*(Income!A$3:A$502=DATE(2026,6,20)),ROW(Income!A$3:A$502)-2),1)),""),""))</f>
        <v/>
      </c>
      <c r="O124" s="153">
        <f t="array" ref="O124">IF(IFERROR(-INDEX(Expenses!D$3:D$999,SMALL(IF((Expenses!E$3:E$999="INR")*(Expenses!A$3:A$999=DATE(2026,6,21)),ROW(Expenses!A$3:A$999)-2),1)),0)+IFERROR(INDEX(Income!C$3:C$502,SMALL(IF((Income!D$3:D$502="INR")*(Income!A$3:A$502=DATE(2026,6,21)),ROW(Income!A$3:A$502)-2),1)),0)=0,"",IFERROR(-INDEX(Expenses!D$3:D$999,SMALL(IF((Expenses!E$3:E$999="INR")*(Expenses!A$3:A$999=DATE(2026,6,21)),ROW(Expenses!A$3:A$999)-2),1)),0)+IFERROR(INDEX(Income!C$3:C$502,SMALL(IF((Income!D$3:D$502="INR")*(Income!A$3:A$502=DATE(2026,6,21)),ROW(Income!A$3:A$502)-2),1)),0))</f>
        <v/>
      </c>
      <c r="P124" s="126">
        <f t="array" ref="P124">IF(IFERROR(INDEX(Expenses!B$3:B$999,SMALL(IF((Expenses!E$3:E$999="INR")*(Expenses!A$3:A$999=DATE(2026,6,21)),ROW(Expenses!A$3:A$999)-2),1)),"")&lt;&gt;"",IFERROR(INDEX(Expenses!B$3:B$999,SMALL(IF((Expenses!E$3:E$999="INR")*(Expenses!A$3:A$999=DATE(2026,6,21)),ROW(Expenses!A$3:A$999)-2),1)),""),IF(IFERROR(INDEX(Income!B$3:B$502,SMALL(IF((Income!D$3:D$502="INR")*(Income!A$3:A$502=DATE(2026,6,21)),ROW(Income!A$3:A$502)-2),1)),"")&lt;&gt;"",IFERROR(INDEX(Income!B$3:B$502,SMALL(IF((Income!D$3:D$502="INR")*(Income!A$3:A$502=DATE(2026,6,21)),ROW(Income!A$3:A$502)-2),1)),""),""))</f>
        <v/>
      </c>
      <c r="Q124" s="103" t="n">
        <v>25</v>
      </c>
      <c r="R124" s="142">
        <f>SUM(C124:C128)+SUM(E124:E128)+SUM(G124:G128)+SUM(I124:I128)+SUM(K124:K128)+SUM(M124:M128)+SUM(O124:O128)</f>
        <v/>
      </c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68">
      <c r="A125" s="9" t="n"/>
      <c r="B125" s="9" t="n"/>
      <c r="C125" s="153">
        <f t="array" ref="C125">IF(IFERROR(-INDEX(Expenses!D$3:D$999,SMALL(IF((Expenses!E$3:E$999="INR")*(Expenses!A$3:A$999=DATE(2026,6,15)),ROW(Expenses!A$3:A$999)-2),2)),0)+IFERROR(INDEX(Income!C$3:C$502,SMALL(IF((Income!D$3:D$502="INR")*(Income!A$3:A$502=DATE(2026,6,15)),ROW(Income!A$3:A$502)-2),2)),0)=0,"",IFERROR(-INDEX(Expenses!D$3:D$999,SMALL(IF((Expenses!E$3:E$999="INR")*(Expenses!A$3:A$999=DATE(2026,6,15)),ROW(Expenses!A$3:A$999)-2),2)),0)+IFERROR(INDEX(Income!C$3:C$502,SMALL(IF((Income!D$3:D$502="INR")*(Income!A$3:A$502=DATE(2026,6,15)),ROW(Income!A$3:A$502)-2),2)),0))</f>
        <v/>
      </c>
      <c r="D125" s="126">
        <f t="array" ref="D125">IF(IFERROR(INDEX(Expenses!B$3:B$999,SMALL(IF((Expenses!E$3:E$999="INR")*(Expenses!A$3:A$999=DATE(2026,6,15)),ROW(Expenses!A$3:A$999)-2),2)),"")&lt;&gt;"",IFERROR(INDEX(Expenses!B$3:B$999,SMALL(IF((Expenses!E$3:E$999="INR")*(Expenses!A$3:A$999=DATE(2026,6,15)),ROW(Expenses!A$3:A$999)-2),2)),""),IF(IFERROR(INDEX(Income!B$3:B$502,SMALL(IF((Income!D$3:D$502="INR")*(Income!A$3:A$502=DATE(2026,6,15)),ROW(Income!A$3:A$502)-2),2)),"")&lt;&gt;"",IFERROR(INDEX(Income!B$3:B$502,SMALL(IF((Income!D$3:D$502="INR")*(Income!A$3:A$502=DATE(2026,6,15)),ROW(Income!A$3:A$502)-2),2)),""),""))</f>
        <v/>
      </c>
      <c r="E125" s="153">
        <f t="array" ref="E125">IF(IFERROR(-INDEX(Expenses!D$3:D$999,SMALL(IF((Expenses!E$3:E$999="INR")*(Expenses!A$3:A$999=DATE(2026,6,16)),ROW(Expenses!A$3:A$999)-2),2)),0)+IFERROR(INDEX(Income!C$3:C$502,SMALL(IF((Income!D$3:D$502="INR")*(Income!A$3:A$502=DATE(2026,6,16)),ROW(Income!A$3:A$502)-2),2)),0)=0,"",IFERROR(-INDEX(Expenses!D$3:D$999,SMALL(IF((Expenses!E$3:E$999="INR")*(Expenses!A$3:A$999=DATE(2026,6,16)),ROW(Expenses!A$3:A$999)-2),2)),0)+IFERROR(INDEX(Income!C$3:C$502,SMALL(IF((Income!D$3:D$502="INR")*(Income!A$3:A$502=DATE(2026,6,16)),ROW(Income!A$3:A$502)-2),2)),0))</f>
        <v/>
      </c>
      <c r="F125" s="126">
        <f t="array" ref="F125">IF(IFERROR(INDEX(Expenses!B$3:B$999,SMALL(IF((Expenses!E$3:E$999="INR")*(Expenses!A$3:A$999=DATE(2026,6,16)),ROW(Expenses!A$3:A$999)-2),2)),"")&lt;&gt;"",IFERROR(INDEX(Expenses!B$3:B$999,SMALL(IF((Expenses!E$3:E$999="INR")*(Expenses!A$3:A$999=DATE(2026,6,16)),ROW(Expenses!A$3:A$999)-2),2)),""),IF(IFERROR(INDEX(Income!B$3:B$502,SMALL(IF((Income!D$3:D$502="INR")*(Income!A$3:A$502=DATE(2026,6,16)),ROW(Income!A$3:A$502)-2),2)),"")&lt;&gt;"",IFERROR(INDEX(Income!B$3:B$502,SMALL(IF((Income!D$3:D$502="INR")*(Income!A$3:A$502=DATE(2026,6,16)),ROW(Income!A$3:A$502)-2),2)),""),""))</f>
        <v/>
      </c>
      <c r="G125" s="153">
        <f t="array" ref="G125">IF(IFERROR(-INDEX(Expenses!D$3:D$999,SMALL(IF((Expenses!E$3:E$999="INR")*(Expenses!A$3:A$999=DATE(2026,6,17)),ROW(Expenses!A$3:A$999)-2),2)),0)+IFERROR(INDEX(Income!C$3:C$502,SMALL(IF((Income!D$3:D$502="INR")*(Income!A$3:A$502=DATE(2026,6,17)),ROW(Income!A$3:A$502)-2),2)),0)=0,"",IFERROR(-INDEX(Expenses!D$3:D$999,SMALL(IF((Expenses!E$3:E$999="INR")*(Expenses!A$3:A$999=DATE(2026,6,17)),ROW(Expenses!A$3:A$999)-2),2)),0)+IFERROR(INDEX(Income!C$3:C$502,SMALL(IF((Income!D$3:D$502="INR")*(Income!A$3:A$502=DATE(2026,6,17)),ROW(Income!A$3:A$502)-2),2)),0))</f>
        <v/>
      </c>
      <c r="H125" s="126">
        <f t="array" ref="H125">IF(IFERROR(INDEX(Expenses!B$3:B$999,SMALL(IF((Expenses!E$3:E$999="INR")*(Expenses!A$3:A$999=DATE(2026,6,17)),ROW(Expenses!A$3:A$999)-2),2)),"")&lt;&gt;"",IFERROR(INDEX(Expenses!B$3:B$999,SMALL(IF((Expenses!E$3:E$999="INR")*(Expenses!A$3:A$999=DATE(2026,6,17)),ROW(Expenses!A$3:A$999)-2),2)),""),IF(IFERROR(INDEX(Income!B$3:B$502,SMALL(IF((Income!D$3:D$502="INR")*(Income!A$3:A$502=DATE(2026,6,17)),ROW(Income!A$3:A$502)-2),2)),"")&lt;&gt;"",IFERROR(INDEX(Income!B$3:B$502,SMALL(IF((Income!D$3:D$502="INR")*(Income!A$3:A$502=DATE(2026,6,17)),ROW(Income!A$3:A$502)-2),2)),""),""))</f>
        <v/>
      </c>
      <c r="I125" s="153">
        <f t="array" ref="I125">IF(IFERROR(-INDEX(Expenses!D$3:D$999,SMALL(IF((Expenses!E$3:E$999="INR")*(Expenses!A$3:A$999=DATE(2026,6,18)),ROW(Expenses!A$3:A$999)-2),2)),0)+IFERROR(INDEX(Income!C$3:C$502,SMALL(IF((Income!D$3:D$502="INR")*(Income!A$3:A$502=DATE(2026,6,18)),ROW(Income!A$3:A$502)-2),2)),0)=0,"",IFERROR(-INDEX(Expenses!D$3:D$999,SMALL(IF((Expenses!E$3:E$999="INR")*(Expenses!A$3:A$999=DATE(2026,6,18)),ROW(Expenses!A$3:A$999)-2),2)),0)+IFERROR(INDEX(Income!C$3:C$502,SMALL(IF((Income!D$3:D$502="INR")*(Income!A$3:A$502=DATE(2026,6,18)),ROW(Income!A$3:A$502)-2),2)),0))</f>
        <v/>
      </c>
      <c r="J125" s="126">
        <f t="array" ref="J125">IF(IFERROR(INDEX(Expenses!B$3:B$999,SMALL(IF((Expenses!E$3:E$999="INR")*(Expenses!A$3:A$999=DATE(2026,6,18)),ROW(Expenses!A$3:A$999)-2),2)),"")&lt;&gt;"",IFERROR(INDEX(Expenses!B$3:B$999,SMALL(IF((Expenses!E$3:E$999="INR")*(Expenses!A$3:A$999=DATE(2026,6,18)),ROW(Expenses!A$3:A$999)-2),2)),""),IF(IFERROR(INDEX(Income!B$3:B$502,SMALL(IF((Income!D$3:D$502="INR")*(Income!A$3:A$502=DATE(2026,6,18)),ROW(Income!A$3:A$502)-2),2)),"")&lt;&gt;"",IFERROR(INDEX(Income!B$3:B$502,SMALL(IF((Income!D$3:D$502="INR")*(Income!A$3:A$502=DATE(2026,6,18)),ROW(Income!A$3:A$502)-2),2)),""),""))</f>
        <v/>
      </c>
      <c r="K125" s="153">
        <f t="array" ref="K125">IF(IFERROR(-INDEX(Expenses!D$3:D$999,SMALL(IF((Expenses!E$3:E$999="INR")*(Expenses!A$3:A$999=DATE(2026,6,19)),ROW(Expenses!A$3:A$999)-2),2)),0)+IFERROR(INDEX(Income!C$3:C$502,SMALL(IF((Income!D$3:D$502="INR")*(Income!A$3:A$502=DATE(2026,6,19)),ROW(Income!A$3:A$502)-2),2)),0)=0,"",IFERROR(-INDEX(Expenses!D$3:D$999,SMALL(IF((Expenses!E$3:E$999="INR")*(Expenses!A$3:A$999=DATE(2026,6,19)),ROW(Expenses!A$3:A$999)-2),2)),0)+IFERROR(INDEX(Income!C$3:C$502,SMALL(IF((Income!D$3:D$502="INR")*(Income!A$3:A$502=DATE(2026,6,19)),ROW(Income!A$3:A$502)-2),2)),0))</f>
        <v/>
      </c>
      <c r="L125" s="126">
        <f t="array" ref="L125">IF(IFERROR(INDEX(Expenses!B$3:B$999,SMALL(IF((Expenses!E$3:E$999="INR")*(Expenses!A$3:A$999=DATE(2026,6,19)),ROW(Expenses!A$3:A$999)-2),2)),"")&lt;&gt;"",IFERROR(INDEX(Expenses!B$3:B$999,SMALL(IF((Expenses!E$3:E$999="INR")*(Expenses!A$3:A$999=DATE(2026,6,19)),ROW(Expenses!A$3:A$999)-2),2)),""),IF(IFERROR(INDEX(Income!B$3:B$502,SMALL(IF((Income!D$3:D$502="INR")*(Income!A$3:A$502=DATE(2026,6,19)),ROW(Income!A$3:A$502)-2),2)),"")&lt;&gt;"",IFERROR(INDEX(Income!B$3:B$502,SMALL(IF((Income!D$3:D$502="INR")*(Income!A$3:A$502=DATE(2026,6,19)),ROW(Income!A$3:A$502)-2),2)),""),""))</f>
        <v/>
      </c>
      <c r="M125" s="153">
        <f t="array" ref="M125">IF(IFERROR(-INDEX(Expenses!D$3:D$999,SMALL(IF((Expenses!E$3:E$999="INR")*(Expenses!A$3:A$999=DATE(2026,6,20)),ROW(Expenses!A$3:A$999)-2),2)),0)+IFERROR(INDEX(Income!C$3:C$502,SMALL(IF((Income!D$3:D$502="INR")*(Income!A$3:A$502=DATE(2026,6,20)),ROW(Income!A$3:A$502)-2),2)),0)=0,"",IFERROR(-INDEX(Expenses!D$3:D$999,SMALL(IF((Expenses!E$3:E$999="INR")*(Expenses!A$3:A$999=DATE(2026,6,20)),ROW(Expenses!A$3:A$999)-2),2)),0)+IFERROR(INDEX(Income!C$3:C$502,SMALL(IF((Income!D$3:D$502="INR")*(Income!A$3:A$502=DATE(2026,6,20)),ROW(Income!A$3:A$502)-2),2)),0))</f>
        <v/>
      </c>
      <c r="N125" s="126">
        <f t="array" ref="N125">IF(IFERROR(INDEX(Expenses!B$3:B$999,SMALL(IF((Expenses!E$3:E$999="INR")*(Expenses!A$3:A$999=DATE(2026,6,20)),ROW(Expenses!A$3:A$999)-2),2)),"")&lt;&gt;"",IFERROR(INDEX(Expenses!B$3:B$999,SMALL(IF((Expenses!E$3:E$999="INR")*(Expenses!A$3:A$999=DATE(2026,6,20)),ROW(Expenses!A$3:A$999)-2),2)),""),IF(IFERROR(INDEX(Income!B$3:B$502,SMALL(IF((Income!D$3:D$502="INR")*(Income!A$3:A$502=DATE(2026,6,20)),ROW(Income!A$3:A$502)-2),2)),"")&lt;&gt;"",IFERROR(INDEX(Income!B$3:B$502,SMALL(IF((Income!D$3:D$502="INR")*(Income!A$3:A$502=DATE(2026,6,20)),ROW(Income!A$3:A$502)-2),2)),""),""))</f>
        <v/>
      </c>
      <c r="O125" s="153">
        <f t="array" ref="O125">IF(IFERROR(-INDEX(Expenses!D$3:D$999,SMALL(IF((Expenses!E$3:E$999="INR")*(Expenses!A$3:A$999=DATE(2026,6,21)),ROW(Expenses!A$3:A$999)-2),2)),0)+IFERROR(INDEX(Income!C$3:C$502,SMALL(IF((Income!D$3:D$502="INR")*(Income!A$3:A$502=DATE(2026,6,21)),ROW(Income!A$3:A$502)-2),2)),0)=0,"",IFERROR(-INDEX(Expenses!D$3:D$999,SMALL(IF((Expenses!E$3:E$999="INR")*(Expenses!A$3:A$999=DATE(2026,6,21)),ROW(Expenses!A$3:A$999)-2),2)),0)+IFERROR(INDEX(Income!C$3:C$502,SMALL(IF((Income!D$3:D$502="INR")*(Income!A$3:A$502=DATE(2026,6,21)),ROW(Income!A$3:A$502)-2),2)),0))</f>
        <v/>
      </c>
      <c r="P125" s="126">
        <f t="array" ref="P125">IF(IFERROR(INDEX(Expenses!B$3:B$999,SMALL(IF((Expenses!E$3:E$999="INR")*(Expenses!A$3:A$999=DATE(2026,6,21)),ROW(Expenses!A$3:A$999)-2),2)),"")&lt;&gt;"",IFERROR(INDEX(Expenses!B$3:B$999,SMALL(IF((Expenses!E$3:E$999="INR")*(Expenses!A$3:A$999=DATE(2026,6,21)),ROW(Expenses!A$3:A$999)-2),2)),""),IF(IFERROR(INDEX(Income!B$3:B$502,SMALL(IF((Income!D$3:D$502="INR")*(Income!A$3:A$502=DATE(2026,6,21)),ROW(Income!A$3:A$502)-2),2)),"")&lt;&gt;"",IFERROR(INDEX(Income!B$3:B$502,SMALL(IF((Income!D$3:D$502="INR")*(Income!A$3:A$502=DATE(2026,6,21)),ROW(Income!A$3:A$502)-2),2)),""),""))</f>
        <v/>
      </c>
      <c r="Q125" s="9" t="n"/>
      <c r="R125" s="9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68">
      <c r="A126" s="9" t="n"/>
      <c r="B126" s="9" t="n"/>
      <c r="C126" s="153">
        <f t="array" ref="C126">IF(IFERROR(-INDEX(Expenses!D$3:D$999,SMALL(IF((Expenses!E$3:E$999="INR")*(Expenses!A$3:A$999=DATE(2026,6,15)),ROW(Expenses!A$3:A$999)-2),3)),0)+IFERROR(INDEX(Income!C$3:C$502,SMALL(IF((Income!D$3:D$502="INR")*(Income!A$3:A$502=DATE(2026,6,15)),ROW(Income!A$3:A$502)-2),3)),0)=0,"",IFERROR(-INDEX(Expenses!D$3:D$999,SMALL(IF((Expenses!E$3:E$999="INR")*(Expenses!A$3:A$999=DATE(2026,6,15)),ROW(Expenses!A$3:A$999)-2),3)),0)+IFERROR(INDEX(Income!C$3:C$502,SMALL(IF((Income!D$3:D$502="INR")*(Income!A$3:A$502=DATE(2026,6,15)),ROW(Income!A$3:A$502)-2),3)),0))</f>
        <v/>
      </c>
      <c r="D126" s="126">
        <f t="array" ref="D126">IF(IFERROR(INDEX(Expenses!B$3:B$999,SMALL(IF((Expenses!E$3:E$999="INR")*(Expenses!A$3:A$999=DATE(2026,6,15)),ROW(Expenses!A$3:A$999)-2),3)),"")&lt;&gt;"",IFERROR(INDEX(Expenses!B$3:B$999,SMALL(IF((Expenses!E$3:E$999="INR")*(Expenses!A$3:A$999=DATE(2026,6,15)),ROW(Expenses!A$3:A$999)-2),3)),""),IF(IFERROR(INDEX(Income!B$3:B$502,SMALL(IF((Income!D$3:D$502="INR")*(Income!A$3:A$502=DATE(2026,6,15)),ROW(Income!A$3:A$502)-2),3)),"")&lt;&gt;"",IFERROR(INDEX(Income!B$3:B$502,SMALL(IF((Income!D$3:D$502="INR")*(Income!A$3:A$502=DATE(2026,6,15)),ROW(Income!A$3:A$502)-2),3)),""),""))</f>
        <v/>
      </c>
      <c r="E126" s="153">
        <f t="array" ref="E126">IF(IFERROR(-INDEX(Expenses!D$3:D$999,SMALL(IF((Expenses!E$3:E$999="INR")*(Expenses!A$3:A$999=DATE(2026,6,16)),ROW(Expenses!A$3:A$999)-2),3)),0)+IFERROR(INDEX(Income!C$3:C$502,SMALL(IF((Income!D$3:D$502="INR")*(Income!A$3:A$502=DATE(2026,6,16)),ROW(Income!A$3:A$502)-2),3)),0)=0,"",IFERROR(-INDEX(Expenses!D$3:D$999,SMALL(IF((Expenses!E$3:E$999="INR")*(Expenses!A$3:A$999=DATE(2026,6,16)),ROW(Expenses!A$3:A$999)-2),3)),0)+IFERROR(INDEX(Income!C$3:C$502,SMALL(IF((Income!D$3:D$502="INR")*(Income!A$3:A$502=DATE(2026,6,16)),ROW(Income!A$3:A$502)-2),3)),0))</f>
        <v/>
      </c>
      <c r="F126" s="126">
        <f t="array" ref="F126">IF(IFERROR(INDEX(Expenses!B$3:B$999,SMALL(IF((Expenses!E$3:E$999="INR")*(Expenses!A$3:A$999=DATE(2026,6,16)),ROW(Expenses!A$3:A$999)-2),3)),"")&lt;&gt;"",IFERROR(INDEX(Expenses!B$3:B$999,SMALL(IF((Expenses!E$3:E$999="INR")*(Expenses!A$3:A$999=DATE(2026,6,16)),ROW(Expenses!A$3:A$999)-2),3)),""),IF(IFERROR(INDEX(Income!B$3:B$502,SMALL(IF((Income!D$3:D$502="INR")*(Income!A$3:A$502=DATE(2026,6,16)),ROW(Income!A$3:A$502)-2),3)),"")&lt;&gt;"",IFERROR(INDEX(Income!B$3:B$502,SMALL(IF((Income!D$3:D$502="INR")*(Income!A$3:A$502=DATE(2026,6,16)),ROW(Income!A$3:A$502)-2),3)),""),""))</f>
        <v/>
      </c>
      <c r="G126" s="153">
        <f t="array" ref="G126">IF(IFERROR(-INDEX(Expenses!D$3:D$999,SMALL(IF((Expenses!E$3:E$999="INR")*(Expenses!A$3:A$999=DATE(2026,6,17)),ROW(Expenses!A$3:A$999)-2),3)),0)+IFERROR(INDEX(Income!C$3:C$502,SMALL(IF((Income!D$3:D$502="INR")*(Income!A$3:A$502=DATE(2026,6,17)),ROW(Income!A$3:A$502)-2),3)),0)=0,"",IFERROR(-INDEX(Expenses!D$3:D$999,SMALL(IF((Expenses!E$3:E$999="INR")*(Expenses!A$3:A$999=DATE(2026,6,17)),ROW(Expenses!A$3:A$999)-2),3)),0)+IFERROR(INDEX(Income!C$3:C$502,SMALL(IF((Income!D$3:D$502="INR")*(Income!A$3:A$502=DATE(2026,6,17)),ROW(Income!A$3:A$502)-2),3)),0))</f>
        <v/>
      </c>
      <c r="H126" s="126">
        <f t="array" ref="H126">IF(IFERROR(INDEX(Expenses!B$3:B$999,SMALL(IF((Expenses!E$3:E$999="INR")*(Expenses!A$3:A$999=DATE(2026,6,17)),ROW(Expenses!A$3:A$999)-2),3)),"")&lt;&gt;"",IFERROR(INDEX(Expenses!B$3:B$999,SMALL(IF((Expenses!E$3:E$999="INR")*(Expenses!A$3:A$999=DATE(2026,6,17)),ROW(Expenses!A$3:A$999)-2),3)),""),IF(IFERROR(INDEX(Income!B$3:B$502,SMALL(IF((Income!D$3:D$502="INR")*(Income!A$3:A$502=DATE(2026,6,17)),ROW(Income!A$3:A$502)-2),3)),"")&lt;&gt;"",IFERROR(INDEX(Income!B$3:B$502,SMALL(IF((Income!D$3:D$502="INR")*(Income!A$3:A$502=DATE(2026,6,17)),ROW(Income!A$3:A$502)-2),3)),""),""))</f>
        <v/>
      </c>
      <c r="I126" s="153">
        <f t="array" ref="I126">IF(IFERROR(-INDEX(Expenses!D$3:D$999,SMALL(IF((Expenses!E$3:E$999="INR")*(Expenses!A$3:A$999=DATE(2026,6,18)),ROW(Expenses!A$3:A$999)-2),3)),0)+IFERROR(INDEX(Income!C$3:C$502,SMALL(IF((Income!D$3:D$502="INR")*(Income!A$3:A$502=DATE(2026,6,18)),ROW(Income!A$3:A$502)-2),3)),0)=0,"",IFERROR(-INDEX(Expenses!D$3:D$999,SMALL(IF((Expenses!E$3:E$999="INR")*(Expenses!A$3:A$999=DATE(2026,6,18)),ROW(Expenses!A$3:A$999)-2),3)),0)+IFERROR(INDEX(Income!C$3:C$502,SMALL(IF((Income!D$3:D$502="INR")*(Income!A$3:A$502=DATE(2026,6,18)),ROW(Income!A$3:A$502)-2),3)),0))</f>
        <v/>
      </c>
      <c r="J126" s="126">
        <f t="array" ref="J126">IF(IFERROR(INDEX(Expenses!B$3:B$999,SMALL(IF((Expenses!E$3:E$999="INR")*(Expenses!A$3:A$999=DATE(2026,6,18)),ROW(Expenses!A$3:A$999)-2),3)),"")&lt;&gt;"",IFERROR(INDEX(Expenses!B$3:B$999,SMALL(IF((Expenses!E$3:E$999="INR")*(Expenses!A$3:A$999=DATE(2026,6,18)),ROW(Expenses!A$3:A$999)-2),3)),""),IF(IFERROR(INDEX(Income!B$3:B$502,SMALL(IF((Income!D$3:D$502="INR")*(Income!A$3:A$502=DATE(2026,6,18)),ROW(Income!A$3:A$502)-2),3)),"")&lt;&gt;"",IFERROR(INDEX(Income!B$3:B$502,SMALL(IF((Income!D$3:D$502="INR")*(Income!A$3:A$502=DATE(2026,6,18)),ROW(Income!A$3:A$502)-2),3)),""),""))</f>
        <v/>
      </c>
      <c r="K126" s="153">
        <f t="array" ref="K126">IF(IFERROR(-INDEX(Expenses!D$3:D$999,SMALL(IF((Expenses!E$3:E$999="INR")*(Expenses!A$3:A$999=DATE(2026,6,19)),ROW(Expenses!A$3:A$999)-2),3)),0)+IFERROR(INDEX(Income!C$3:C$502,SMALL(IF((Income!D$3:D$502="INR")*(Income!A$3:A$502=DATE(2026,6,19)),ROW(Income!A$3:A$502)-2),3)),0)=0,"",IFERROR(-INDEX(Expenses!D$3:D$999,SMALL(IF((Expenses!E$3:E$999="INR")*(Expenses!A$3:A$999=DATE(2026,6,19)),ROW(Expenses!A$3:A$999)-2),3)),0)+IFERROR(INDEX(Income!C$3:C$502,SMALL(IF((Income!D$3:D$502="INR")*(Income!A$3:A$502=DATE(2026,6,19)),ROW(Income!A$3:A$502)-2),3)),0))</f>
        <v/>
      </c>
      <c r="L126" s="126">
        <f t="array" ref="L126">IF(IFERROR(INDEX(Expenses!B$3:B$999,SMALL(IF((Expenses!E$3:E$999="INR")*(Expenses!A$3:A$999=DATE(2026,6,19)),ROW(Expenses!A$3:A$999)-2),3)),"")&lt;&gt;"",IFERROR(INDEX(Expenses!B$3:B$999,SMALL(IF((Expenses!E$3:E$999="INR")*(Expenses!A$3:A$999=DATE(2026,6,19)),ROW(Expenses!A$3:A$999)-2),3)),""),IF(IFERROR(INDEX(Income!B$3:B$502,SMALL(IF((Income!D$3:D$502="INR")*(Income!A$3:A$502=DATE(2026,6,19)),ROW(Income!A$3:A$502)-2),3)),"")&lt;&gt;"",IFERROR(INDEX(Income!B$3:B$502,SMALL(IF((Income!D$3:D$502="INR")*(Income!A$3:A$502=DATE(2026,6,19)),ROW(Income!A$3:A$502)-2),3)),""),""))</f>
        <v/>
      </c>
      <c r="M126" s="153">
        <f t="array" ref="M126">IF(IFERROR(-INDEX(Expenses!D$3:D$999,SMALL(IF((Expenses!E$3:E$999="INR")*(Expenses!A$3:A$999=DATE(2026,6,20)),ROW(Expenses!A$3:A$999)-2),3)),0)+IFERROR(INDEX(Income!C$3:C$502,SMALL(IF((Income!D$3:D$502="INR")*(Income!A$3:A$502=DATE(2026,6,20)),ROW(Income!A$3:A$502)-2),3)),0)=0,"",IFERROR(-INDEX(Expenses!D$3:D$999,SMALL(IF((Expenses!E$3:E$999="INR")*(Expenses!A$3:A$999=DATE(2026,6,20)),ROW(Expenses!A$3:A$999)-2),3)),0)+IFERROR(INDEX(Income!C$3:C$502,SMALL(IF((Income!D$3:D$502="INR")*(Income!A$3:A$502=DATE(2026,6,20)),ROW(Income!A$3:A$502)-2),3)),0))</f>
        <v/>
      </c>
      <c r="N126" s="126">
        <f t="array" ref="N126">IF(IFERROR(INDEX(Expenses!B$3:B$999,SMALL(IF((Expenses!E$3:E$999="INR")*(Expenses!A$3:A$999=DATE(2026,6,20)),ROW(Expenses!A$3:A$999)-2),3)),"")&lt;&gt;"",IFERROR(INDEX(Expenses!B$3:B$999,SMALL(IF((Expenses!E$3:E$999="INR")*(Expenses!A$3:A$999=DATE(2026,6,20)),ROW(Expenses!A$3:A$999)-2),3)),""),IF(IFERROR(INDEX(Income!B$3:B$502,SMALL(IF((Income!D$3:D$502="INR")*(Income!A$3:A$502=DATE(2026,6,20)),ROW(Income!A$3:A$502)-2),3)),"")&lt;&gt;"",IFERROR(INDEX(Income!B$3:B$502,SMALL(IF((Income!D$3:D$502="INR")*(Income!A$3:A$502=DATE(2026,6,20)),ROW(Income!A$3:A$502)-2),3)),""),""))</f>
        <v/>
      </c>
      <c r="O126" s="153">
        <f t="array" ref="O126">IF(IFERROR(-INDEX(Expenses!D$3:D$999,SMALL(IF((Expenses!E$3:E$999="INR")*(Expenses!A$3:A$999=DATE(2026,6,21)),ROW(Expenses!A$3:A$999)-2),3)),0)+IFERROR(INDEX(Income!C$3:C$502,SMALL(IF((Income!D$3:D$502="INR")*(Income!A$3:A$502=DATE(2026,6,21)),ROW(Income!A$3:A$502)-2),3)),0)=0,"",IFERROR(-INDEX(Expenses!D$3:D$999,SMALL(IF((Expenses!E$3:E$999="INR")*(Expenses!A$3:A$999=DATE(2026,6,21)),ROW(Expenses!A$3:A$999)-2),3)),0)+IFERROR(INDEX(Income!C$3:C$502,SMALL(IF((Income!D$3:D$502="INR")*(Income!A$3:A$502=DATE(2026,6,21)),ROW(Income!A$3:A$502)-2),3)),0))</f>
        <v/>
      </c>
      <c r="P126" s="126">
        <f t="array" ref="P126">IF(IFERROR(INDEX(Expenses!B$3:B$999,SMALL(IF((Expenses!E$3:E$999="INR")*(Expenses!A$3:A$999=DATE(2026,6,21)),ROW(Expenses!A$3:A$999)-2),3)),"")&lt;&gt;"",IFERROR(INDEX(Expenses!B$3:B$999,SMALL(IF((Expenses!E$3:E$999="INR")*(Expenses!A$3:A$999=DATE(2026,6,21)),ROW(Expenses!A$3:A$999)-2),3)),""),IF(IFERROR(INDEX(Income!B$3:B$502,SMALL(IF((Income!D$3:D$502="INR")*(Income!A$3:A$502=DATE(2026,6,21)),ROW(Income!A$3:A$502)-2),3)),"")&lt;&gt;"",IFERROR(INDEX(Income!B$3:B$502,SMALL(IF((Income!D$3:D$502="INR")*(Income!A$3:A$502=DATE(2026,6,21)),ROW(Income!A$3:A$502)-2),3)),""),""))</f>
        <v/>
      </c>
      <c r="Q126" s="9" t="n"/>
      <c r="R126" s="9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68">
      <c r="A127" s="9" t="n"/>
      <c r="B127" s="9" t="n"/>
      <c r="C127" s="153">
        <f t="array" ref="C127">IF(IFERROR(-INDEX(Expenses!D$3:D$999,SMALL(IF((Expenses!E$3:E$999="INR")*(Expenses!A$3:A$999=DATE(2026,6,15)),ROW(Expenses!A$3:A$999)-2),4)),0)+IFERROR(INDEX(Income!C$3:C$502,SMALL(IF((Income!D$3:D$502="INR")*(Income!A$3:A$502=DATE(2026,6,15)),ROW(Income!A$3:A$502)-2),4)),0)=0,"",IFERROR(-INDEX(Expenses!D$3:D$999,SMALL(IF((Expenses!E$3:E$999="INR")*(Expenses!A$3:A$999=DATE(2026,6,15)),ROW(Expenses!A$3:A$999)-2),4)),0)+IFERROR(INDEX(Income!C$3:C$502,SMALL(IF((Income!D$3:D$502="INR")*(Income!A$3:A$502=DATE(2026,6,15)),ROW(Income!A$3:A$502)-2),4)),0))</f>
        <v/>
      </c>
      <c r="D127" s="126">
        <f t="array" ref="D127">IF(IFERROR(INDEX(Expenses!B$3:B$999,SMALL(IF((Expenses!E$3:E$999="INR")*(Expenses!A$3:A$999=DATE(2026,6,15)),ROW(Expenses!A$3:A$999)-2),4)),"")&lt;&gt;"",IFERROR(INDEX(Expenses!B$3:B$999,SMALL(IF((Expenses!E$3:E$999="INR")*(Expenses!A$3:A$999=DATE(2026,6,15)),ROW(Expenses!A$3:A$999)-2),4)),""),IF(IFERROR(INDEX(Income!B$3:B$502,SMALL(IF((Income!D$3:D$502="INR")*(Income!A$3:A$502=DATE(2026,6,15)),ROW(Income!A$3:A$502)-2),4)),"")&lt;&gt;"",IFERROR(INDEX(Income!B$3:B$502,SMALL(IF((Income!D$3:D$502="INR")*(Income!A$3:A$502=DATE(2026,6,15)),ROW(Income!A$3:A$502)-2),4)),""),""))</f>
        <v/>
      </c>
      <c r="E127" s="153">
        <f t="array" ref="E127">IF(IFERROR(-INDEX(Expenses!D$3:D$999,SMALL(IF((Expenses!E$3:E$999="INR")*(Expenses!A$3:A$999=DATE(2026,6,16)),ROW(Expenses!A$3:A$999)-2),4)),0)+IFERROR(INDEX(Income!C$3:C$502,SMALL(IF((Income!D$3:D$502="INR")*(Income!A$3:A$502=DATE(2026,6,16)),ROW(Income!A$3:A$502)-2),4)),0)=0,"",IFERROR(-INDEX(Expenses!D$3:D$999,SMALL(IF((Expenses!E$3:E$999="INR")*(Expenses!A$3:A$999=DATE(2026,6,16)),ROW(Expenses!A$3:A$999)-2),4)),0)+IFERROR(INDEX(Income!C$3:C$502,SMALL(IF((Income!D$3:D$502="INR")*(Income!A$3:A$502=DATE(2026,6,16)),ROW(Income!A$3:A$502)-2),4)),0))</f>
        <v/>
      </c>
      <c r="F127" s="126">
        <f t="array" ref="F127">IF(IFERROR(INDEX(Expenses!B$3:B$999,SMALL(IF((Expenses!E$3:E$999="INR")*(Expenses!A$3:A$999=DATE(2026,6,16)),ROW(Expenses!A$3:A$999)-2),4)),"")&lt;&gt;"",IFERROR(INDEX(Expenses!B$3:B$999,SMALL(IF((Expenses!E$3:E$999="INR")*(Expenses!A$3:A$999=DATE(2026,6,16)),ROW(Expenses!A$3:A$999)-2),4)),""),IF(IFERROR(INDEX(Income!B$3:B$502,SMALL(IF((Income!D$3:D$502="INR")*(Income!A$3:A$502=DATE(2026,6,16)),ROW(Income!A$3:A$502)-2),4)),"")&lt;&gt;"",IFERROR(INDEX(Income!B$3:B$502,SMALL(IF((Income!D$3:D$502="INR")*(Income!A$3:A$502=DATE(2026,6,16)),ROW(Income!A$3:A$502)-2),4)),""),""))</f>
        <v/>
      </c>
      <c r="G127" s="153">
        <f t="array" ref="G127">IF(IFERROR(-INDEX(Expenses!D$3:D$999,SMALL(IF((Expenses!E$3:E$999="INR")*(Expenses!A$3:A$999=DATE(2026,6,17)),ROW(Expenses!A$3:A$999)-2),4)),0)+IFERROR(INDEX(Income!C$3:C$502,SMALL(IF((Income!D$3:D$502="INR")*(Income!A$3:A$502=DATE(2026,6,17)),ROW(Income!A$3:A$502)-2),4)),0)=0,"",IFERROR(-INDEX(Expenses!D$3:D$999,SMALL(IF((Expenses!E$3:E$999="INR")*(Expenses!A$3:A$999=DATE(2026,6,17)),ROW(Expenses!A$3:A$999)-2),4)),0)+IFERROR(INDEX(Income!C$3:C$502,SMALL(IF((Income!D$3:D$502="INR")*(Income!A$3:A$502=DATE(2026,6,17)),ROW(Income!A$3:A$502)-2),4)),0))</f>
        <v/>
      </c>
      <c r="H127" s="126">
        <f t="array" ref="H127">IF(IFERROR(INDEX(Expenses!B$3:B$999,SMALL(IF((Expenses!E$3:E$999="INR")*(Expenses!A$3:A$999=DATE(2026,6,17)),ROW(Expenses!A$3:A$999)-2),4)),"")&lt;&gt;"",IFERROR(INDEX(Expenses!B$3:B$999,SMALL(IF((Expenses!E$3:E$999="INR")*(Expenses!A$3:A$999=DATE(2026,6,17)),ROW(Expenses!A$3:A$999)-2),4)),""),IF(IFERROR(INDEX(Income!B$3:B$502,SMALL(IF((Income!D$3:D$502="INR")*(Income!A$3:A$502=DATE(2026,6,17)),ROW(Income!A$3:A$502)-2),4)),"")&lt;&gt;"",IFERROR(INDEX(Income!B$3:B$502,SMALL(IF((Income!D$3:D$502="INR")*(Income!A$3:A$502=DATE(2026,6,17)),ROW(Income!A$3:A$502)-2),4)),""),""))</f>
        <v/>
      </c>
      <c r="I127" s="153">
        <f t="array" ref="I127">IF(IFERROR(-INDEX(Expenses!D$3:D$999,SMALL(IF((Expenses!E$3:E$999="INR")*(Expenses!A$3:A$999=DATE(2026,6,18)),ROW(Expenses!A$3:A$999)-2),4)),0)+IFERROR(INDEX(Income!C$3:C$502,SMALL(IF((Income!D$3:D$502="INR")*(Income!A$3:A$502=DATE(2026,6,18)),ROW(Income!A$3:A$502)-2),4)),0)=0,"",IFERROR(-INDEX(Expenses!D$3:D$999,SMALL(IF((Expenses!E$3:E$999="INR")*(Expenses!A$3:A$999=DATE(2026,6,18)),ROW(Expenses!A$3:A$999)-2),4)),0)+IFERROR(INDEX(Income!C$3:C$502,SMALL(IF((Income!D$3:D$502="INR")*(Income!A$3:A$502=DATE(2026,6,18)),ROW(Income!A$3:A$502)-2),4)),0))</f>
        <v/>
      </c>
      <c r="J127" s="126">
        <f t="array" ref="J127">IF(IFERROR(INDEX(Expenses!B$3:B$999,SMALL(IF((Expenses!E$3:E$999="INR")*(Expenses!A$3:A$999=DATE(2026,6,18)),ROW(Expenses!A$3:A$999)-2),4)),"")&lt;&gt;"",IFERROR(INDEX(Expenses!B$3:B$999,SMALL(IF((Expenses!E$3:E$999="INR")*(Expenses!A$3:A$999=DATE(2026,6,18)),ROW(Expenses!A$3:A$999)-2),4)),""),IF(IFERROR(INDEX(Income!B$3:B$502,SMALL(IF((Income!D$3:D$502="INR")*(Income!A$3:A$502=DATE(2026,6,18)),ROW(Income!A$3:A$502)-2),4)),"")&lt;&gt;"",IFERROR(INDEX(Income!B$3:B$502,SMALL(IF((Income!D$3:D$502="INR")*(Income!A$3:A$502=DATE(2026,6,18)),ROW(Income!A$3:A$502)-2),4)),""),""))</f>
        <v/>
      </c>
      <c r="K127" s="153">
        <f t="array" ref="K127">IF(IFERROR(-INDEX(Expenses!D$3:D$999,SMALL(IF((Expenses!E$3:E$999="INR")*(Expenses!A$3:A$999=DATE(2026,6,19)),ROW(Expenses!A$3:A$999)-2),4)),0)+IFERROR(INDEX(Income!C$3:C$502,SMALL(IF((Income!D$3:D$502="INR")*(Income!A$3:A$502=DATE(2026,6,19)),ROW(Income!A$3:A$502)-2),4)),0)=0,"",IFERROR(-INDEX(Expenses!D$3:D$999,SMALL(IF((Expenses!E$3:E$999="INR")*(Expenses!A$3:A$999=DATE(2026,6,19)),ROW(Expenses!A$3:A$999)-2),4)),0)+IFERROR(INDEX(Income!C$3:C$502,SMALL(IF((Income!D$3:D$502="INR")*(Income!A$3:A$502=DATE(2026,6,19)),ROW(Income!A$3:A$502)-2),4)),0))</f>
        <v/>
      </c>
      <c r="L127" s="126">
        <f t="array" ref="L127">IF(IFERROR(INDEX(Expenses!B$3:B$999,SMALL(IF((Expenses!E$3:E$999="INR")*(Expenses!A$3:A$999=DATE(2026,6,19)),ROW(Expenses!A$3:A$999)-2),4)),"")&lt;&gt;"",IFERROR(INDEX(Expenses!B$3:B$999,SMALL(IF((Expenses!E$3:E$999="INR")*(Expenses!A$3:A$999=DATE(2026,6,19)),ROW(Expenses!A$3:A$999)-2),4)),""),IF(IFERROR(INDEX(Income!B$3:B$502,SMALL(IF((Income!D$3:D$502="INR")*(Income!A$3:A$502=DATE(2026,6,19)),ROW(Income!A$3:A$502)-2),4)),"")&lt;&gt;"",IFERROR(INDEX(Income!B$3:B$502,SMALL(IF((Income!D$3:D$502="INR")*(Income!A$3:A$502=DATE(2026,6,19)),ROW(Income!A$3:A$502)-2),4)),""),""))</f>
        <v/>
      </c>
      <c r="M127" s="153">
        <f t="array" ref="M127">IF(IFERROR(-INDEX(Expenses!D$3:D$999,SMALL(IF((Expenses!E$3:E$999="INR")*(Expenses!A$3:A$999=DATE(2026,6,20)),ROW(Expenses!A$3:A$999)-2),4)),0)+IFERROR(INDEX(Income!C$3:C$502,SMALL(IF((Income!D$3:D$502="INR")*(Income!A$3:A$502=DATE(2026,6,20)),ROW(Income!A$3:A$502)-2),4)),0)=0,"",IFERROR(-INDEX(Expenses!D$3:D$999,SMALL(IF((Expenses!E$3:E$999="INR")*(Expenses!A$3:A$999=DATE(2026,6,20)),ROW(Expenses!A$3:A$999)-2),4)),0)+IFERROR(INDEX(Income!C$3:C$502,SMALL(IF((Income!D$3:D$502="INR")*(Income!A$3:A$502=DATE(2026,6,20)),ROW(Income!A$3:A$502)-2),4)),0))</f>
        <v/>
      </c>
      <c r="N127" s="126">
        <f t="array" ref="N127">IF(IFERROR(INDEX(Expenses!B$3:B$999,SMALL(IF((Expenses!E$3:E$999="INR")*(Expenses!A$3:A$999=DATE(2026,6,20)),ROW(Expenses!A$3:A$999)-2),4)),"")&lt;&gt;"",IFERROR(INDEX(Expenses!B$3:B$999,SMALL(IF((Expenses!E$3:E$999="INR")*(Expenses!A$3:A$999=DATE(2026,6,20)),ROW(Expenses!A$3:A$999)-2),4)),""),IF(IFERROR(INDEX(Income!B$3:B$502,SMALL(IF((Income!D$3:D$502="INR")*(Income!A$3:A$502=DATE(2026,6,20)),ROW(Income!A$3:A$502)-2),4)),"")&lt;&gt;"",IFERROR(INDEX(Income!B$3:B$502,SMALL(IF((Income!D$3:D$502="INR")*(Income!A$3:A$502=DATE(2026,6,20)),ROW(Income!A$3:A$502)-2),4)),""),""))</f>
        <v/>
      </c>
      <c r="O127" s="153">
        <f t="array" ref="O127">IF(IFERROR(-INDEX(Expenses!D$3:D$999,SMALL(IF((Expenses!E$3:E$999="INR")*(Expenses!A$3:A$999=DATE(2026,6,21)),ROW(Expenses!A$3:A$999)-2),4)),0)+IFERROR(INDEX(Income!C$3:C$502,SMALL(IF((Income!D$3:D$502="INR")*(Income!A$3:A$502=DATE(2026,6,21)),ROW(Income!A$3:A$502)-2),4)),0)=0,"",IFERROR(-INDEX(Expenses!D$3:D$999,SMALL(IF((Expenses!E$3:E$999="INR")*(Expenses!A$3:A$999=DATE(2026,6,21)),ROW(Expenses!A$3:A$999)-2),4)),0)+IFERROR(INDEX(Income!C$3:C$502,SMALL(IF((Income!D$3:D$502="INR")*(Income!A$3:A$502=DATE(2026,6,21)),ROW(Income!A$3:A$502)-2),4)),0))</f>
        <v/>
      </c>
      <c r="P127" s="126">
        <f t="array" ref="P127">IF(IFERROR(INDEX(Expenses!B$3:B$999,SMALL(IF((Expenses!E$3:E$999="INR")*(Expenses!A$3:A$999=DATE(2026,6,21)),ROW(Expenses!A$3:A$999)-2),4)),"")&lt;&gt;"",IFERROR(INDEX(Expenses!B$3:B$999,SMALL(IF((Expenses!E$3:E$999="INR")*(Expenses!A$3:A$999=DATE(2026,6,21)),ROW(Expenses!A$3:A$999)-2),4)),""),IF(IFERROR(INDEX(Income!B$3:B$502,SMALL(IF((Income!D$3:D$502="INR")*(Income!A$3:A$502=DATE(2026,6,21)),ROW(Income!A$3:A$502)-2),4)),"")&lt;&gt;"",IFERROR(INDEX(Income!B$3:B$502,SMALL(IF((Income!D$3:D$502="INR")*(Income!A$3:A$502=DATE(2026,6,21)),ROW(Income!A$3:A$502)-2),4)),""),""))</f>
        <v/>
      </c>
      <c r="Q127" s="9" t="n"/>
      <c r="R127" s="9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68">
      <c r="A128" s="9" t="n"/>
      <c r="B128" s="9" t="n"/>
      <c r="C128" s="153">
        <f t="array" ref="C128">IF(IFERROR(-INDEX(Expenses!D$3:D$999,SMALL(IF((Expenses!E$3:E$999="INR")*(Expenses!A$3:A$999=DATE(2026,6,15)),ROW(Expenses!A$3:A$999)-2),5)),0)+IFERROR(INDEX(Income!C$3:C$502,SMALL(IF((Income!D$3:D$502="INR")*(Income!A$3:A$502=DATE(2026,6,15)),ROW(Income!A$3:A$502)-2),5)),0)=0,"",IFERROR(-INDEX(Expenses!D$3:D$999,SMALL(IF((Expenses!E$3:E$999="INR")*(Expenses!A$3:A$999=DATE(2026,6,15)),ROW(Expenses!A$3:A$999)-2),5)),0)+IFERROR(INDEX(Income!C$3:C$502,SMALL(IF((Income!D$3:D$502="INR")*(Income!A$3:A$502=DATE(2026,6,15)),ROW(Income!A$3:A$502)-2),5)),0))</f>
        <v/>
      </c>
      <c r="D128" s="126">
        <f t="array" ref="D128">IF(IFERROR(INDEX(Expenses!B$3:B$999,SMALL(IF((Expenses!E$3:E$999="INR")*(Expenses!A$3:A$999=DATE(2026,6,15)),ROW(Expenses!A$3:A$999)-2),5)),"")&lt;&gt;"",IFERROR(INDEX(Expenses!B$3:B$999,SMALL(IF((Expenses!E$3:E$999="INR")*(Expenses!A$3:A$999=DATE(2026,6,15)),ROW(Expenses!A$3:A$999)-2),5)),""),IF(IFERROR(INDEX(Income!B$3:B$502,SMALL(IF((Income!D$3:D$502="INR")*(Income!A$3:A$502=DATE(2026,6,15)),ROW(Income!A$3:A$502)-2),5)),"")&lt;&gt;"",IFERROR(INDEX(Income!B$3:B$502,SMALL(IF((Income!D$3:D$502="INR")*(Income!A$3:A$502=DATE(2026,6,15)),ROW(Income!A$3:A$502)-2),5)),""),""))</f>
        <v/>
      </c>
      <c r="E128" s="153">
        <f t="array" ref="E128">IF(IFERROR(-INDEX(Expenses!D$3:D$999,SMALL(IF((Expenses!E$3:E$999="INR")*(Expenses!A$3:A$999=DATE(2026,6,16)),ROW(Expenses!A$3:A$999)-2),5)),0)+IFERROR(INDEX(Income!C$3:C$502,SMALL(IF((Income!D$3:D$502="INR")*(Income!A$3:A$502=DATE(2026,6,16)),ROW(Income!A$3:A$502)-2),5)),0)=0,"",IFERROR(-INDEX(Expenses!D$3:D$999,SMALL(IF((Expenses!E$3:E$999="INR")*(Expenses!A$3:A$999=DATE(2026,6,16)),ROW(Expenses!A$3:A$999)-2),5)),0)+IFERROR(INDEX(Income!C$3:C$502,SMALL(IF((Income!D$3:D$502="INR")*(Income!A$3:A$502=DATE(2026,6,16)),ROW(Income!A$3:A$502)-2),5)),0))</f>
        <v/>
      </c>
      <c r="F128" s="126">
        <f t="array" ref="F128">IF(IFERROR(INDEX(Expenses!B$3:B$999,SMALL(IF((Expenses!E$3:E$999="INR")*(Expenses!A$3:A$999=DATE(2026,6,16)),ROW(Expenses!A$3:A$999)-2),5)),"")&lt;&gt;"",IFERROR(INDEX(Expenses!B$3:B$999,SMALL(IF((Expenses!E$3:E$999="INR")*(Expenses!A$3:A$999=DATE(2026,6,16)),ROW(Expenses!A$3:A$999)-2),5)),""),IF(IFERROR(INDEX(Income!B$3:B$502,SMALL(IF((Income!D$3:D$502="INR")*(Income!A$3:A$502=DATE(2026,6,16)),ROW(Income!A$3:A$502)-2),5)),"")&lt;&gt;"",IFERROR(INDEX(Income!B$3:B$502,SMALL(IF((Income!D$3:D$502="INR")*(Income!A$3:A$502=DATE(2026,6,16)),ROW(Income!A$3:A$502)-2),5)),""),""))</f>
        <v/>
      </c>
      <c r="G128" s="153">
        <f t="array" ref="G128">IF(IFERROR(-INDEX(Expenses!D$3:D$999,SMALL(IF((Expenses!E$3:E$999="INR")*(Expenses!A$3:A$999=DATE(2026,6,17)),ROW(Expenses!A$3:A$999)-2),5)),0)+IFERROR(INDEX(Income!C$3:C$502,SMALL(IF((Income!D$3:D$502="INR")*(Income!A$3:A$502=DATE(2026,6,17)),ROW(Income!A$3:A$502)-2),5)),0)=0,"",IFERROR(-INDEX(Expenses!D$3:D$999,SMALL(IF((Expenses!E$3:E$999="INR")*(Expenses!A$3:A$999=DATE(2026,6,17)),ROW(Expenses!A$3:A$999)-2),5)),0)+IFERROR(INDEX(Income!C$3:C$502,SMALL(IF((Income!D$3:D$502="INR")*(Income!A$3:A$502=DATE(2026,6,17)),ROW(Income!A$3:A$502)-2),5)),0))</f>
        <v/>
      </c>
      <c r="H128" s="126">
        <f t="array" ref="H128">IF(IFERROR(INDEX(Expenses!B$3:B$999,SMALL(IF((Expenses!E$3:E$999="INR")*(Expenses!A$3:A$999=DATE(2026,6,17)),ROW(Expenses!A$3:A$999)-2),5)),"")&lt;&gt;"",IFERROR(INDEX(Expenses!B$3:B$999,SMALL(IF((Expenses!E$3:E$999="INR")*(Expenses!A$3:A$999=DATE(2026,6,17)),ROW(Expenses!A$3:A$999)-2),5)),""),IF(IFERROR(INDEX(Income!B$3:B$502,SMALL(IF((Income!D$3:D$502="INR")*(Income!A$3:A$502=DATE(2026,6,17)),ROW(Income!A$3:A$502)-2),5)),"")&lt;&gt;"",IFERROR(INDEX(Income!B$3:B$502,SMALL(IF((Income!D$3:D$502="INR")*(Income!A$3:A$502=DATE(2026,6,17)),ROW(Income!A$3:A$502)-2),5)),""),""))</f>
        <v/>
      </c>
      <c r="I128" s="153">
        <f t="array" ref="I128">IF(IFERROR(-INDEX(Expenses!D$3:D$999,SMALL(IF((Expenses!E$3:E$999="INR")*(Expenses!A$3:A$999=DATE(2026,6,18)),ROW(Expenses!A$3:A$999)-2),5)),0)+IFERROR(INDEX(Income!C$3:C$502,SMALL(IF((Income!D$3:D$502="INR")*(Income!A$3:A$502=DATE(2026,6,18)),ROW(Income!A$3:A$502)-2),5)),0)=0,"",IFERROR(-INDEX(Expenses!D$3:D$999,SMALL(IF((Expenses!E$3:E$999="INR")*(Expenses!A$3:A$999=DATE(2026,6,18)),ROW(Expenses!A$3:A$999)-2),5)),0)+IFERROR(INDEX(Income!C$3:C$502,SMALL(IF((Income!D$3:D$502="INR")*(Income!A$3:A$502=DATE(2026,6,18)),ROW(Income!A$3:A$502)-2),5)),0))</f>
        <v/>
      </c>
      <c r="J128" s="126">
        <f t="array" ref="J128">IF(IFERROR(INDEX(Expenses!B$3:B$999,SMALL(IF((Expenses!E$3:E$999="INR")*(Expenses!A$3:A$999=DATE(2026,6,18)),ROW(Expenses!A$3:A$999)-2),5)),"")&lt;&gt;"",IFERROR(INDEX(Expenses!B$3:B$999,SMALL(IF((Expenses!E$3:E$999="INR")*(Expenses!A$3:A$999=DATE(2026,6,18)),ROW(Expenses!A$3:A$999)-2),5)),""),IF(IFERROR(INDEX(Income!B$3:B$502,SMALL(IF((Income!D$3:D$502="INR")*(Income!A$3:A$502=DATE(2026,6,18)),ROW(Income!A$3:A$502)-2),5)),"")&lt;&gt;"",IFERROR(INDEX(Income!B$3:B$502,SMALL(IF((Income!D$3:D$502="INR")*(Income!A$3:A$502=DATE(2026,6,18)),ROW(Income!A$3:A$502)-2),5)),""),""))</f>
        <v/>
      </c>
      <c r="K128" s="153">
        <f t="array" ref="K128">IF(IFERROR(-INDEX(Expenses!D$3:D$999,SMALL(IF((Expenses!E$3:E$999="INR")*(Expenses!A$3:A$999=DATE(2026,6,19)),ROW(Expenses!A$3:A$999)-2),5)),0)+IFERROR(INDEX(Income!C$3:C$502,SMALL(IF((Income!D$3:D$502="INR")*(Income!A$3:A$502=DATE(2026,6,19)),ROW(Income!A$3:A$502)-2),5)),0)=0,"",IFERROR(-INDEX(Expenses!D$3:D$999,SMALL(IF((Expenses!E$3:E$999="INR")*(Expenses!A$3:A$999=DATE(2026,6,19)),ROW(Expenses!A$3:A$999)-2),5)),0)+IFERROR(INDEX(Income!C$3:C$502,SMALL(IF((Income!D$3:D$502="INR")*(Income!A$3:A$502=DATE(2026,6,19)),ROW(Income!A$3:A$502)-2),5)),0))</f>
        <v/>
      </c>
      <c r="L128" s="126">
        <f t="array" ref="L128">IF(IFERROR(INDEX(Expenses!B$3:B$999,SMALL(IF((Expenses!E$3:E$999="INR")*(Expenses!A$3:A$999=DATE(2026,6,19)),ROW(Expenses!A$3:A$999)-2),5)),"")&lt;&gt;"",IFERROR(INDEX(Expenses!B$3:B$999,SMALL(IF((Expenses!E$3:E$999="INR")*(Expenses!A$3:A$999=DATE(2026,6,19)),ROW(Expenses!A$3:A$999)-2),5)),""),IF(IFERROR(INDEX(Income!B$3:B$502,SMALL(IF((Income!D$3:D$502="INR")*(Income!A$3:A$502=DATE(2026,6,19)),ROW(Income!A$3:A$502)-2),5)),"")&lt;&gt;"",IFERROR(INDEX(Income!B$3:B$502,SMALL(IF((Income!D$3:D$502="INR")*(Income!A$3:A$502=DATE(2026,6,19)),ROW(Income!A$3:A$502)-2),5)),""),""))</f>
        <v/>
      </c>
      <c r="M128" s="153">
        <f t="array" ref="M128">IF(IFERROR(-INDEX(Expenses!D$3:D$999,SMALL(IF((Expenses!E$3:E$999="INR")*(Expenses!A$3:A$999=DATE(2026,6,20)),ROW(Expenses!A$3:A$999)-2),5)),0)+IFERROR(INDEX(Income!C$3:C$502,SMALL(IF((Income!D$3:D$502="INR")*(Income!A$3:A$502=DATE(2026,6,20)),ROW(Income!A$3:A$502)-2),5)),0)=0,"",IFERROR(-INDEX(Expenses!D$3:D$999,SMALL(IF((Expenses!E$3:E$999="INR")*(Expenses!A$3:A$999=DATE(2026,6,20)),ROW(Expenses!A$3:A$999)-2),5)),0)+IFERROR(INDEX(Income!C$3:C$502,SMALL(IF((Income!D$3:D$502="INR")*(Income!A$3:A$502=DATE(2026,6,20)),ROW(Income!A$3:A$502)-2),5)),0))</f>
        <v/>
      </c>
      <c r="N128" s="126">
        <f t="array" ref="N128">IF(IFERROR(INDEX(Expenses!B$3:B$999,SMALL(IF((Expenses!E$3:E$999="INR")*(Expenses!A$3:A$999=DATE(2026,6,20)),ROW(Expenses!A$3:A$999)-2),5)),"")&lt;&gt;"",IFERROR(INDEX(Expenses!B$3:B$999,SMALL(IF((Expenses!E$3:E$999="INR")*(Expenses!A$3:A$999=DATE(2026,6,20)),ROW(Expenses!A$3:A$999)-2),5)),""),IF(IFERROR(INDEX(Income!B$3:B$502,SMALL(IF((Income!D$3:D$502="INR")*(Income!A$3:A$502=DATE(2026,6,20)),ROW(Income!A$3:A$502)-2),5)),"")&lt;&gt;"",IFERROR(INDEX(Income!B$3:B$502,SMALL(IF((Income!D$3:D$502="INR")*(Income!A$3:A$502=DATE(2026,6,20)),ROW(Income!A$3:A$502)-2),5)),""),""))</f>
        <v/>
      </c>
      <c r="O128" s="153">
        <f t="array" ref="O128">IF(IFERROR(-INDEX(Expenses!D$3:D$999,SMALL(IF((Expenses!E$3:E$999="INR")*(Expenses!A$3:A$999=DATE(2026,6,21)),ROW(Expenses!A$3:A$999)-2),5)),0)+IFERROR(INDEX(Income!C$3:C$502,SMALL(IF((Income!D$3:D$502="INR")*(Income!A$3:A$502=DATE(2026,6,21)),ROW(Income!A$3:A$502)-2),5)),0)=0,"",IFERROR(-INDEX(Expenses!D$3:D$999,SMALL(IF((Expenses!E$3:E$999="INR")*(Expenses!A$3:A$999=DATE(2026,6,21)),ROW(Expenses!A$3:A$999)-2),5)),0)+IFERROR(INDEX(Income!C$3:C$502,SMALL(IF((Income!D$3:D$502="INR")*(Income!A$3:A$502=DATE(2026,6,21)),ROW(Income!A$3:A$502)-2),5)),0))</f>
        <v/>
      </c>
      <c r="P128" s="126">
        <f t="array" ref="P128">IF(IFERROR(INDEX(Expenses!B$3:B$999,SMALL(IF((Expenses!E$3:E$999="INR")*(Expenses!A$3:A$999=DATE(2026,6,21)),ROW(Expenses!A$3:A$999)-2),5)),"")&lt;&gt;"",IFERROR(INDEX(Expenses!B$3:B$999,SMALL(IF((Expenses!E$3:E$999="INR")*(Expenses!A$3:A$999=DATE(2026,6,21)),ROW(Expenses!A$3:A$999)-2),5)),""),IF(IFERROR(INDEX(Income!B$3:B$502,SMALL(IF((Income!D$3:D$502="INR")*(Income!A$3:A$502=DATE(2026,6,21)),ROW(Income!A$3:A$502)-2),5)),"")&lt;&gt;"",IFERROR(INDEX(Income!B$3:B$502,SMALL(IF((Income!D$3:D$502="INR")*(Income!A$3:A$502=DATE(2026,6,21)),ROW(Income!A$3:A$502)-2),5)),""),""))</f>
        <v/>
      </c>
      <c r="Q128" s="9" t="n"/>
      <c r="R128" s="9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68">
      <c r="A129" s="151" t="n">
        <v>46195</v>
      </c>
      <c r="B129" s="103" t="n">
        <v>26</v>
      </c>
      <c r="C129" s="153">
        <f t="array" ref="C129">IF(IFERROR(-INDEX(Expenses!D$3:D$999,SMALL(IF((Expenses!E$3:E$999="INR")*(Expenses!A$3:A$999=DATE(2026,6,22)),ROW(Expenses!A$3:A$999)-2),1)),0)+IFERROR(INDEX(Income!C$3:C$502,SMALL(IF((Income!D$3:D$502="INR")*(Income!A$3:A$502=DATE(2026,6,22)),ROW(Income!A$3:A$502)-2),1)),0)=0,"",IFERROR(-INDEX(Expenses!D$3:D$999,SMALL(IF((Expenses!E$3:E$999="INR")*(Expenses!A$3:A$999=DATE(2026,6,22)),ROW(Expenses!A$3:A$999)-2),1)),0)+IFERROR(INDEX(Income!C$3:C$502,SMALL(IF((Income!D$3:D$502="INR")*(Income!A$3:A$502=DATE(2026,6,22)),ROW(Income!A$3:A$502)-2),1)),0))</f>
        <v/>
      </c>
      <c r="D129" s="126">
        <f t="array" ref="D129">IF(IFERROR(INDEX(Expenses!B$3:B$999,SMALL(IF((Expenses!E$3:E$999="INR")*(Expenses!A$3:A$999=DATE(2026,6,22)),ROW(Expenses!A$3:A$999)-2),1)),"")&lt;&gt;"",IFERROR(INDEX(Expenses!B$3:B$999,SMALL(IF((Expenses!E$3:E$999="INR")*(Expenses!A$3:A$999=DATE(2026,6,22)),ROW(Expenses!A$3:A$999)-2),1)),""),IF(IFERROR(INDEX(Income!B$3:B$502,SMALL(IF((Income!D$3:D$502="INR")*(Income!A$3:A$502=DATE(2026,6,22)),ROW(Income!A$3:A$502)-2),1)),"")&lt;&gt;"",IFERROR(INDEX(Income!B$3:B$502,SMALL(IF((Income!D$3:D$502="INR")*(Income!A$3:A$502=DATE(2026,6,22)),ROW(Income!A$3:A$502)-2),1)),""),""))</f>
        <v/>
      </c>
      <c r="E129" s="153">
        <f t="array" ref="E129">IF(IFERROR(-INDEX(Expenses!D$3:D$999,SMALL(IF((Expenses!E$3:E$999="INR")*(Expenses!A$3:A$999=DATE(2026,6,23)),ROW(Expenses!A$3:A$999)-2),1)),0)+IFERROR(INDEX(Income!C$3:C$502,SMALL(IF((Income!D$3:D$502="INR")*(Income!A$3:A$502=DATE(2026,6,23)),ROW(Income!A$3:A$502)-2),1)),0)=0,"",IFERROR(-INDEX(Expenses!D$3:D$999,SMALL(IF((Expenses!E$3:E$999="INR")*(Expenses!A$3:A$999=DATE(2026,6,23)),ROW(Expenses!A$3:A$999)-2),1)),0)+IFERROR(INDEX(Income!C$3:C$502,SMALL(IF((Income!D$3:D$502="INR")*(Income!A$3:A$502=DATE(2026,6,23)),ROW(Income!A$3:A$502)-2),1)),0))</f>
        <v/>
      </c>
      <c r="F129" s="126">
        <f t="array" ref="F129">IF(IFERROR(INDEX(Expenses!B$3:B$999,SMALL(IF((Expenses!E$3:E$999="INR")*(Expenses!A$3:A$999=DATE(2026,6,23)),ROW(Expenses!A$3:A$999)-2),1)),"")&lt;&gt;"",IFERROR(INDEX(Expenses!B$3:B$999,SMALL(IF((Expenses!E$3:E$999="INR")*(Expenses!A$3:A$999=DATE(2026,6,23)),ROW(Expenses!A$3:A$999)-2),1)),""),IF(IFERROR(INDEX(Income!B$3:B$502,SMALL(IF((Income!D$3:D$502="INR")*(Income!A$3:A$502=DATE(2026,6,23)),ROW(Income!A$3:A$502)-2),1)),"")&lt;&gt;"",IFERROR(INDEX(Income!B$3:B$502,SMALL(IF((Income!D$3:D$502="INR")*(Income!A$3:A$502=DATE(2026,6,23)),ROW(Income!A$3:A$502)-2),1)),""),""))</f>
        <v/>
      </c>
      <c r="G129" s="153">
        <f t="array" ref="G129">IF(IFERROR(-INDEX(Expenses!D$3:D$999,SMALL(IF((Expenses!E$3:E$999="INR")*(Expenses!A$3:A$999=DATE(2026,6,24)),ROW(Expenses!A$3:A$999)-2),1)),0)+IFERROR(INDEX(Income!C$3:C$502,SMALL(IF((Income!D$3:D$502="INR")*(Income!A$3:A$502=DATE(2026,6,24)),ROW(Income!A$3:A$502)-2),1)),0)=0,"",IFERROR(-INDEX(Expenses!D$3:D$999,SMALL(IF((Expenses!E$3:E$999="INR")*(Expenses!A$3:A$999=DATE(2026,6,24)),ROW(Expenses!A$3:A$999)-2),1)),0)+IFERROR(INDEX(Income!C$3:C$502,SMALL(IF((Income!D$3:D$502="INR")*(Income!A$3:A$502=DATE(2026,6,24)),ROW(Income!A$3:A$502)-2),1)),0))</f>
        <v/>
      </c>
      <c r="H129" s="126">
        <f t="array" ref="H129">IF(IFERROR(INDEX(Expenses!B$3:B$999,SMALL(IF((Expenses!E$3:E$999="INR")*(Expenses!A$3:A$999=DATE(2026,6,24)),ROW(Expenses!A$3:A$999)-2),1)),"")&lt;&gt;"",IFERROR(INDEX(Expenses!B$3:B$999,SMALL(IF((Expenses!E$3:E$999="INR")*(Expenses!A$3:A$999=DATE(2026,6,24)),ROW(Expenses!A$3:A$999)-2),1)),""),IF(IFERROR(INDEX(Income!B$3:B$502,SMALL(IF((Income!D$3:D$502="INR")*(Income!A$3:A$502=DATE(2026,6,24)),ROW(Income!A$3:A$502)-2),1)),"")&lt;&gt;"",IFERROR(INDEX(Income!B$3:B$502,SMALL(IF((Income!D$3:D$502="INR")*(Income!A$3:A$502=DATE(2026,6,24)),ROW(Income!A$3:A$502)-2),1)),""),""))</f>
        <v/>
      </c>
      <c r="I129" s="153">
        <f t="array" ref="I129">IF(IFERROR(-INDEX(Expenses!D$3:D$999,SMALL(IF((Expenses!E$3:E$999="INR")*(Expenses!A$3:A$999=DATE(2026,6,25)),ROW(Expenses!A$3:A$999)-2),1)),0)+IFERROR(INDEX(Income!C$3:C$502,SMALL(IF((Income!D$3:D$502="INR")*(Income!A$3:A$502=DATE(2026,6,25)),ROW(Income!A$3:A$502)-2),1)),0)=0,"",IFERROR(-INDEX(Expenses!D$3:D$999,SMALL(IF((Expenses!E$3:E$999="INR")*(Expenses!A$3:A$999=DATE(2026,6,25)),ROW(Expenses!A$3:A$999)-2),1)),0)+IFERROR(INDEX(Income!C$3:C$502,SMALL(IF((Income!D$3:D$502="INR")*(Income!A$3:A$502=DATE(2026,6,25)),ROW(Income!A$3:A$502)-2),1)),0))</f>
        <v/>
      </c>
      <c r="J129" s="126">
        <f t="array" ref="J129">IF(IFERROR(INDEX(Expenses!B$3:B$999,SMALL(IF((Expenses!E$3:E$999="INR")*(Expenses!A$3:A$999=DATE(2026,6,25)),ROW(Expenses!A$3:A$999)-2),1)),"")&lt;&gt;"",IFERROR(INDEX(Expenses!B$3:B$999,SMALL(IF((Expenses!E$3:E$999="INR")*(Expenses!A$3:A$999=DATE(2026,6,25)),ROW(Expenses!A$3:A$999)-2),1)),""),IF(IFERROR(INDEX(Income!B$3:B$502,SMALL(IF((Income!D$3:D$502="INR")*(Income!A$3:A$502=DATE(2026,6,25)),ROW(Income!A$3:A$502)-2),1)),"")&lt;&gt;"",IFERROR(INDEX(Income!B$3:B$502,SMALL(IF((Income!D$3:D$502="INR")*(Income!A$3:A$502=DATE(2026,6,25)),ROW(Income!A$3:A$502)-2),1)),""),""))</f>
        <v/>
      </c>
      <c r="K129" s="153">
        <f t="array" ref="K129">IF(IFERROR(-INDEX(Expenses!D$3:D$999,SMALL(IF((Expenses!E$3:E$999="INR")*(Expenses!A$3:A$999=DATE(2026,6,26)),ROW(Expenses!A$3:A$999)-2),1)),0)+IFERROR(INDEX(Income!C$3:C$502,SMALL(IF((Income!D$3:D$502="INR")*(Income!A$3:A$502=DATE(2026,6,26)),ROW(Income!A$3:A$502)-2),1)),0)=0,"",IFERROR(-INDEX(Expenses!D$3:D$999,SMALL(IF((Expenses!E$3:E$999="INR")*(Expenses!A$3:A$999=DATE(2026,6,26)),ROW(Expenses!A$3:A$999)-2),1)),0)+IFERROR(INDEX(Income!C$3:C$502,SMALL(IF((Income!D$3:D$502="INR")*(Income!A$3:A$502=DATE(2026,6,26)),ROW(Income!A$3:A$502)-2),1)),0))</f>
        <v/>
      </c>
      <c r="L129" s="126">
        <f t="array" ref="L129">IF(IFERROR(INDEX(Expenses!B$3:B$999,SMALL(IF((Expenses!E$3:E$999="INR")*(Expenses!A$3:A$999=DATE(2026,6,26)),ROW(Expenses!A$3:A$999)-2),1)),"")&lt;&gt;"",IFERROR(INDEX(Expenses!B$3:B$999,SMALL(IF((Expenses!E$3:E$999="INR")*(Expenses!A$3:A$999=DATE(2026,6,26)),ROW(Expenses!A$3:A$999)-2),1)),""),IF(IFERROR(INDEX(Income!B$3:B$502,SMALL(IF((Income!D$3:D$502="INR")*(Income!A$3:A$502=DATE(2026,6,26)),ROW(Income!A$3:A$502)-2),1)),"")&lt;&gt;"",IFERROR(INDEX(Income!B$3:B$502,SMALL(IF((Income!D$3:D$502="INR")*(Income!A$3:A$502=DATE(2026,6,26)),ROW(Income!A$3:A$502)-2),1)),""),""))</f>
        <v/>
      </c>
      <c r="M129" s="153">
        <f t="array" ref="M129">IF(IFERROR(-INDEX(Expenses!D$3:D$999,SMALL(IF((Expenses!E$3:E$999="INR")*(Expenses!A$3:A$999=DATE(2026,6,27)),ROW(Expenses!A$3:A$999)-2),1)),0)+IFERROR(INDEX(Income!C$3:C$502,SMALL(IF((Income!D$3:D$502="INR")*(Income!A$3:A$502=DATE(2026,6,27)),ROW(Income!A$3:A$502)-2),1)),0)=0,"",IFERROR(-INDEX(Expenses!D$3:D$999,SMALL(IF((Expenses!E$3:E$999="INR")*(Expenses!A$3:A$999=DATE(2026,6,27)),ROW(Expenses!A$3:A$999)-2),1)),0)+IFERROR(INDEX(Income!C$3:C$502,SMALL(IF((Income!D$3:D$502="INR")*(Income!A$3:A$502=DATE(2026,6,27)),ROW(Income!A$3:A$502)-2),1)),0))</f>
        <v/>
      </c>
      <c r="N129" s="126">
        <f t="array" ref="N129">IF(IFERROR(INDEX(Expenses!B$3:B$999,SMALL(IF((Expenses!E$3:E$999="INR")*(Expenses!A$3:A$999=DATE(2026,6,27)),ROW(Expenses!A$3:A$999)-2),1)),"")&lt;&gt;"",IFERROR(INDEX(Expenses!B$3:B$999,SMALL(IF((Expenses!E$3:E$999="INR")*(Expenses!A$3:A$999=DATE(2026,6,27)),ROW(Expenses!A$3:A$999)-2),1)),""),IF(IFERROR(INDEX(Income!B$3:B$502,SMALL(IF((Income!D$3:D$502="INR")*(Income!A$3:A$502=DATE(2026,6,27)),ROW(Income!A$3:A$502)-2),1)),"")&lt;&gt;"",IFERROR(INDEX(Income!B$3:B$502,SMALL(IF((Income!D$3:D$502="INR")*(Income!A$3:A$502=DATE(2026,6,27)),ROW(Income!A$3:A$502)-2),1)),""),""))</f>
        <v/>
      </c>
      <c r="O129" s="153">
        <f t="array" ref="O129">IF(IFERROR(-INDEX(Expenses!D$3:D$999,SMALL(IF((Expenses!E$3:E$999="INR")*(Expenses!A$3:A$999=DATE(2026,6,28)),ROW(Expenses!A$3:A$999)-2),1)),0)+IFERROR(INDEX(Income!C$3:C$502,SMALL(IF((Income!D$3:D$502="INR")*(Income!A$3:A$502=DATE(2026,6,28)),ROW(Income!A$3:A$502)-2),1)),0)=0,"",IFERROR(-INDEX(Expenses!D$3:D$999,SMALL(IF((Expenses!E$3:E$999="INR")*(Expenses!A$3:A$999=DATE(2026,6,28)),ROW(Expenses!A$3:A$999)-2),1)),0)+IFERROR(INDEX(Income!C$3:C$502,SMALL(IF((Income!D$3:D$502="INR")*(Income!A$3:A$502=DATE(2026,6,28)),ROW(Income!A$3:A$502)-2),1)),0))</f>
        <v/>
      </c>
      <c r="P129" s="126">
        <f t="array" ref="P129">IF(IFERROR(INDEX(Expenses!B$3:B$999,SMALL(IF((Expenses!E$3:E$999="INR")*(Expenses!A$3:A$999=DATE(2026,6,28)),ROW(Expenses!A$3:A$999)-2),1)),"")&lt;&gt;"",IFERROR(INDEX(Expenses!B$3:B$999,SMALL(IF((Expenses!E$3:E$999="INR")*(Expenses!A$3:A$999=DATE(2026,6,28)),ROW(Expenses!A$3:A$999)-2),1)),""),IF(IFERROR(INDEX(Income!B$3:B$502,SMALL(IF((Income!D$3:D$502="INR")*(Income!A$3:A$502=DATE(2026,6,28)),ROW(Income!A$3:A$502)-2),1)),"")&lt;&gt;"",IFERROR(INDEX(Income!B$3:B$502,SMALL(IF((Income!D$3:D$502="INR")*(Income!A$3:A$502=DATE(2026,6,28)),ROW(Income!A$3:A$502)-2),1)),""),""))</f>
        <v/>
      </c>
      <c r="Q129" s="103" t="n">
        <v>26</v>
      </c>
      <c r="R129" s="142">
        <f>SUM(C129:C133)+SUM(E129:E133)+SUM(G129:G133)+SUM(I129:I133)+SUM(K129:K133)+SUM(M129:M133)+SUM(O129:O133)</f>
        <v/>
      </c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68">
      <c r="A130" s="9" t="n"/>
      <c r="B130" s="9" t="n"/>
      <c r="C130" s="153">
        <f t="array" ref="C130">IF(IFERROR(-INDEX(Expenses!D$3:D$999,SMALL(IF((Expenses!E$3:E$999="INR")*(Expenses!A$3:A$999=DATE(2026,6,22)),ROW(Expenses!A$3:A$999)-2),2)),0)+IFERROR(INDEX(Income!C$3:C$502,SMALL(IF((Income!D$3:D$502="INR")*(Income!A$3:A$502=DATE(2026,6,22)),ROW(Income!A$3:A$502)-2),2)),0)=0,"",IFERROR(-INDEX(Expenses!D$3:D$999,SMALL(IF((Expenses!E$3:E$999="INR")*(Expenses!A$3:A$999=DATE(2026,6,22)),ROW(Expenses!A$3:A$999)-2),2)),0)+IFERROR(INDEX(Income!C$3:C$502,SMALL(IF((Income!D$3:D$502="INR")*(Income!A$3:A$502=DATE(2026,6,22)),ROW(Income!A$3:A$502)-2),2)),0))</f>
        <v/>
      </c>
      <c r="D130" s="126">
        <f t="array" ref="D130">IF(IFERROR(INDEX(Expenses!B$3:B$999,SMALL(IF((Expenses!E$3:E$999="INR")*(Expenses!A$3:A$999=DATE(2026,6,22)),ROW(Expenses!A$3:A$999)-2),2)),"")&lt;&gt;"",IFERROR(INDEX(Expenses!B$3:B$999,SMALL(IF((Expenses!E$3:E$999="INR")*(Expenses!A$3:A$999=DATE(2026,6,22)),ROW(Expenses!A$3:A$999)-2),2)),""),IF(IFERROR(INDEX(Income!B$3:B$502,SMALL(IF((Income!D$3:D$502="INR")*(Income!A$3:A$502=DATE(2026,6,22)),ROW(Income!A$3:A$502)-2),2)),"")&lt;&gt;"",IFERROR(INDEX(Income!B$3:B$502,SMALL(IF((Income!D$3:D$502="INR")*(Income!A$3:A$502=DATE(2026,6,22)),ROW(Income!A$3:A$502)-2),2)),""),""))</f>
        <v/>
      </c>
      <c r="E130" s="153">
        <f t="array" ref="E130">IF(IFERROR(-INDEX(Expenses!D$3:D$999,SMALL(IF((Expenses!E$3:E$999="INR")*(Expenses!A$3:A$999=DATE(2026,6,23)),ROW(Expenses!A$3:A$999)-2),2)),0)+IFERROR(INDEX(Income!C$3:C$502,SMALL(IF((Income!D$3:D$502="INR")*(Income!A$3:A$502=DATE(2026,6,23)),ROW(Income!A$3:A$502)-2),2)),0)=0,"",IFERROR(-INDEX(Expenses!D$3:D$999,SMALL(IF((Expenses!E$3:E$999="INR")*(Expenses!A$3:A$999=DATE(2026,6,23)),ROW(Expenses!A$3:A$999)-2),2)),0)+IFERROR(INDEX(Income!C$3:C$502,SMALL(IF((Income!D$3:D$502="INR")*(Income!A$3:A$502=DATE(2026,6,23)),ROW(Income!A$3:A$502)-2),2)),0))</f>
        <v/>
      </c>
      <c r="F130" s="126">
        <f t="array" ref="F130">IF(IFERROR(INDEX(Expenses!B$3:B$999,SMALL(IF((Expenses!E$3:E$999="INR")*(Expenses!A$3:A$999=DATE(2026,6,23)),ROW(Expenses!A$3:A$999)-2),2)),"")&lt;&gt;"",IFERROR(INDEX(Expenses!B$3:B$999,SMALL(IF((Expenses!E$3:E$999="INR")*(Expenses!A$3:A$999=DATE(2026,6,23)),ROW(Expenses!A$3:A$999)-2),2)),""),IF(IFERROR(INDEX(Income!B$3:B$502,SMALL(IF((Income!D$3:D$502="INR")*(Income!A$3:A$502=DATE(2026,6,23)),ROW(Income!A$3:A$502)-2),2)),"")&lt;&gt;"",IFERROR(INDEX(Income!B$3:B$502,SMALL(IF((Income!D$3:D$502="INR")*(Income!A$3:A$502=DATE(2026,6,23)),ROW(Income!A$3:A$502)-2),2)),""),""))</f>
        <v/>
      </c>
      <c r="G130" s="153">
        <f t="array" ref="G130">IF(IFERROR(-INDEX(Expenses!D$3:D$999,SMALL(IF((Expenses!E$3:E$999="INR")*(Expenses!A$3:A$999=DATE(2026,6,24)),ROW(Expenses!A$3:A$999)-2),2)),0)+IFERROR(INDEX(Income!C$3:C$502,SMALL(IF((Income!D$3:D$502="INR")*(Income!A$3:A$502=DATE(2026,6,24)),ROW(Income!A$3:A$502)-2),2)),0)=0,"",IFERROR(-INDEX(Expenses!D$3:D$999,SMALL(IF((Expenses!E$3:E$999="INR")*(Expenses!A$3:A$999=DATE(2026,6,24)),ROW(Expenses!A$3:A$999)-2),2)),0)+IFERROR(INDEX(Income!C$3:C$502,SMALL(IF((Income!D$3:D$502="INR")*(Income!A$3:A$502=DATE(2026,6,24)),ROW(Income!A$3:A$502)-2),2)),0))</f>
        <v/>
      </c>
      <c r="H130" s="126">
        <f t="array" ref="H130">IF(IFERROR(INDEX(Expenses!B$3:B$999,SMALL(IF((Expenses!E$3:E$999="INR")*(Expenses!A$3:A$999=DATE(2026,6,24)),ROW(Expenses!A$3:A$999)-2),2)),"")&lt;&gt;"",IFERROR(INDEX(Expenses!B$3:B$999,SMALL(IF((Expenses!E$3:E$999="INR")*(Expenses!A$3:A$999=DATE(2026,6,24)),ROW(Expenses!A$3:A$999)-2),2)),""),IF(IFERROR(INDEX(Income!B$3:B$502,SMALL(IF((Income!D$3:D$502="INR")*(Income!A$3:A$502=DATE(2026,6,24)),ROW(Income!A$3:A$502)-2),2)),"")&lt;&gt;"",IFERROR(INDEX(Income!B$3:B$502,SMALL(IF((Income!D$3:D$502="INR")*(Income!A$3:A$502=DATE(2026,6,24)),ROW(Income!A$3:A$502)-2),2)),""),""))</f>
        <v/>
      </c>
      <c r="I130" s="153">
        <f t="array" ref="I130">IF(IFERROR(-INDEX(Expenses!D$3:D$999,SMALL(IF((Expenses!E$3:E$999="INR")*(Expenses!A$3:A$999=DATE(2026,6,25)),ROW(Expenses!A$3:A$999)-2),2)),0)+IFERROR(INDEX(Income!C$3:C$502,SMALL(IF((Income!D$3:D$502="INR")*(Income!A$3:A$502=DATE(2026,6,25)),ROW(Income!A$3:A$502)-2),2)),0)=0,"",IFERROR(-INDEX(Expenses!D$3:D$999,SMALL(IF((Expenses!E$3:E$999="INR")*(Expenses!A$3:A$999=DATE(2026,6,25)),ROW(Expenses!A$3:A$999)-2),2)),0)+IFERROR(INDEX(Income!C$3:C$502,SMALL(IF((Income!D$3:D$502="INR")*(Income!A$3:A$502=DATE(2026,6,25)),ROW(Income!A$3:A$502)-2),2)),0))</f>
        <v/>
      </c>
      <c r="J130" s="126">
        <f t="array" ref="J130">IF(IFERROR(INDEX(Expenses!B$3:B$999,SMALL(IF((Expenses!E$3:E$999="INR")*(Expenses!A$3:A$999=DATE(2026,6,25)),ROW(Expenses!A$3:A$999)-2),2)),"")&lt;&gt;"",IFERROR(INDEX(Expenses!B$3:B$999,SMALL(IF((Expenses!E$3:E$999="INR")*(Expenses!A$3:A$999=DATE(2026,6,25)),ROW(Expenses!A$3:A$999)-2),2)),""),IF(IFERROR(INDEX(Income!B$3:B$502,SMALL(IF((Income!D$3:D$502="INR")*(Income!A$3:A$502=DATE(2026,6,25)),ROW(Income!A$3:A$502)-2),2)),"")&lt;&gt;"",IFERROR(INDEX(Income!B$3:B$502,SMALL(IF((Income!D$3:D$502="INR")*(Income!A$3:A$502=DATE(2026,6,25)),ROW(Income!A$3:A$502)-2),2)),""),""))</f>
        <v/>
      </c>
      <c r="K130" s="153">
        <f t="array" ref="K130">IF(IFERROR(-INDEX(Expenses!D$3:D$999,SMALL(IF((Expenses!E$3:E$999="INR")*(Expenses!A$3:A$999=DATE(2026,6,26)),ROW(Expenses!A$3:A$999)-2),2)),0)+IFERROR(INDEX(Income!C$3:C$502,SMALL(IF((Income!D$3:D$502="INR")*(Income!A$3:A$502=DATE(2026,6,26)),ROW(Income!A$3:A$502)-2),2)),0)=0,"",IFERROR(-INDEX(Expenses!D$3:D$999,SMALL(IF((Expenses!E$3:E$999="INR")*(Expenses!A$3:A$999=DATE(2026,6,26)),ROW(Expenses!A$3:A$999)-2),2)),0)+IFERROR(INDEX(Income!C$3:C$502,SMALL(IF((Income!D$3:D$502="INR")*(Income!A$3:A$502=DATE(2026,6,26)),ROW(Income!A$3:A$502)-2),2)),0))</f>
        <v/>
      </c>
      <c r="L130" s="126">
        <f t="array" ref="L130">IF(IFERROR(INDEX(Expenses!B$3:B$999,SMALL(IF((Expenses!E$3:E$999="INR")*(Expenses!A$3:A$999=DATE(2026,6,26)),ROW(Expenses!A$3:A$999)-2),2)),"")&lt;&gt;"",IFERROR(INDEX(Expenses!B$3:B$999,SMALL(IF((Expenses!E$3:E$999="INR")*(Expenses!A$3:A$999=DATE(2026,6,26)),ROW(Expenses!A$3:A$999)-2),2)),""),IF(IFERROR(INDEX(Income!B$3:B$502,SMALL(IF((Income!D$3:D$502="INR")*(Income!A$3:A$502=DATE(2026,6,26)),ROW(Income!A$3:A$502)-2),2)),"")&lt;&gt;"",IFERROR(INDEX(Income!B$3:B$502,SMALL(IF((Income!D$3:D$502="INR")*(Income!A$3:A$502=DATE(2026,6,26)),ROW(Income!A$3:A$502)-2),2)),""),""))</f>
        <v/>
      </c>
      <c r="M130" s="153">
        <f t="array" ref="M130">IF(IFERROR(-INDEX(Expenses!D$3:D$999,SMALL(IF((Expenses!E$3:E$999="INR")*(Expenses!A$3:A$999=DATE(2026,6,27)),ROW(Expenses!A$3:A$999)-2),2)),0)+IFERROR(INDEX(Income!C$3:C$502,SMALL(IF((Income!D$3:D$502="INR")*(Income!A$3:A$502=DATE(2026,6,27)),ROW(Income!A$3:A$502)-2),2)),0)=0,"",IFERROR(-INDEX(Expenses!D$3:D$999,SMALL(IF((Expenses!E$3:E$999="INR")*(Expenses!A$3:A$999=DATE(2026,6,27)),ROW(Expenses!A$3:A$999)-2),2)),0)+IFERROR(INDEX(Income!C$3:C$502,SMALL(IF((Income!D$3:D$502="INR")*(Income!A$3:A$502=DATE(2026,6,27)),ROW(Income!A$3:A$502)-2),2)),0))</f>
        <v/>
      </c>
      <c r="N130" s="126">
        <f t="array" ref="N130">IF(IFERROR(INDEX(Expenses!B$3:B$999,SMALL(IF((Expenses!E$3:E$999="INR")*(Expenses!A$3:A$999=DATE(2026,6,27)),ROW(Expenses!A$3:A$999)-2),2)),"")&lt;&gt;"",IFERROR(INDEX(Expenses!B$3:B$999,SMALL(IF((Expenses!E$3:E$999="INR")*(Expenses!A$3:A$999=DATE(2026,6,27)),ROW(Expenses!A$3:A$999)-2),2)),""),IF(IFERROR(INDEX(Income!B$3:B$502,SMALL(IF((Income!D$3:D$502="INR")*(Income!A$3:A$502=DATE(2026,6,27)),ROW(Income!A$3:A$502)-2),2)),"")&lt;&gt;"",IFERROR(INDEX(Income!B$3:B$502,SMALL(IF((Income!D$3:D$502="INR")*(Income!A$3:A$502=DATE(2026,6,27)),ROW(Income!A$3:A$502)-2),2)),""),""))</f>
        <v/>
      </c>
      <c r="O130" s="153">
        <f t="array" ref="O130">IF(IFERROR(-INDEX(Expenses!D$3:D$999,SMALL(IF((Expenses!E$3:E$999="INR")*(Expenses!A$3:A$999=DATE(2026,6,28)),ROW(Expenses!A$3:A$999)-2),2)),0)+IFERROR(INDEX(Income!C$3:C$502,SMALL(IF((Income!D$3:D$502="INR")*(Income!A$3:A$502=DATE(2026,6,28)),ROW(Income!A$3:A$502)-2),2)),0)=0,"",IFERROR(-INDEX(Expenses!D$3:D$999,SMALL(IF((Expenses!E$3:E$999="INR")*(Expenses!A$3:A$999=DATE(2026,6,28)),ROW(Expenses!A$3:A$999)-2),2)),0)+IFERROR(INDEX(Income!C$3:C$502,SMALL(IF((Income!D$3:D$502="INR")*(Income!A$3:A$502=DATE(2026,6,28)),ROW(Income!A$3:A$502)-2),2)),0))</f>
        <v/>
      </c>
      <c r="P130" s="126">
        <f t="array" ref="P130">IF(IFERROR(INDEX(Expenses!B$3:B$999,SMALL(IF((Expenses!E$3:E$999="INR")*(Expenses!A$3:A$999=DATE(2026,6,28)),ROW(Expenses!A$3:A$999)-2),2)),"")&lt;&gt;"",IFERROR(INDEX(Expenses!B$3:B$999,SMALL(IF((Expenses!E$3:E$999="INR")*(Expenses!A$3:A$999=DATE(2026,6,28)),ROW(Expenses!A$3:A$999)-2),2)),""),IF(IFERROR(INDEX(Income!B$3:B$502,SMALL(IF((Income!D$3:D$502="INR")*(Income!A$3:A$502=DATE(2026,6,28)),ROW(Income!A$3:A$502)-2),2)),"")&lt;&gt;"",IFERROR(INDEX(Income!B$3:B$502,SMALL(IF((Income!D$3:D$502="INR")*(Income!A$3:A$502=DATE(2026,6,28)),ROW(Income!A$3:A$502)-2),2)),""),""))</f>
        <v/>
      </c>
      <c r="Q130" s="9" t="n"/>
      <c r="R130" s="9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68">
      <c r="A131" s="9" t="n"/>
      <c r="B131" s="9" t="n"/>
      <c r="C131" s="153">
        <f t="array" ref="C131">IF(IFERROR(-INDEX(Expenses!D$3:D$999,SMALL(IF((Expenses!E$3:E$999="INR")*(Expenses!A$3:A$999=DATE(2026,6,22)),ROW(Expenses!A$3:A$999)-2),3)),0)+IFERROR(INDEX(Income!C$3:C$502,SMALL(IF((Income!D$3:D$502="INR")*(Income!A$3:A$502=DATE(2026,6,22)),ROW(Income!A$3:A$502)-2),3)),0)=0,"",IFERROR(-INDEX(Expenses!D$3:D$999,SMALL(IF((Expenses!E$3:E$999="INR")*(Expenses!A$3:A$999=DATE(2026,6,22)),ROW(Expenses!A$3:A$999)-2),3)),0)+IFERROR(INDEX(Income!C$3:C$502,SMALL(IF((Income!D$3:D$502="INR")*(Income!A$3:A$502=DATE(2026,6,22)),ROW(Income!A$3:A$502)-2),3)),0))</f>
        <v/>
      </c>
      <c r="D131" s="126">
        <f t="array" ref="D131">IF(IFERROR(INDEX(Expenses!B$3:B$999,SMALL(IF((Expenses!E$3:E$999="INR")*(Expenses!A$3:A$999=DATE(2026,6,22)),ROW(Expenses!A$3:A$999)-2),3)),"")&lt;&gt;"",IFERROR(INDEX(Expenses!B$3:B$999,SMALL(IF((Expenses!E$3:E$999="INR")*(Expenses!A$3:A$999=DATE(2026,6,22)),ROW(Expenses!A$3:A$999)-2),3)),""),IF(IFERROR(INDEX(Income!B$3:B$502,SMALL(IF((Income!D$3:D$502="INR")*(Income!A$3:A$502=DATE(2026,6,22)),ROW(Income!A$3:A$502)-2),3)),"")&lt;&gt;"",IFERROR(INDEX(Income!B$3:B$502,SMALL(IF((Income!D$3:D$502="INR")*(Income!A$3:A$502=DATE(2026,6,22)),ROW(Income!A$3:A$502)-2),3)),""),""))</f>
        <v/>
      </c>
      <c r="E131" s="153">
        <f t="array" ref="E131">IF(IFERROR(-INDEX(Expenses!D$3:D$999,SMALL(IF((Expenses!E$3:E$999="INR")*(Expenses!A$3:A$999=DATE(2026,6,23)),ROW(Expenses!A$3:A$999)-2),3)),0)+IFERROR(INDEX(Income!C$3:C$502,SMALL(IF((Income!D$3:D$502="INR")*(Income!A$3:A$502=DATE(2026,6,23)),ROW(Income!A$3:A$502)-2),3)),0)=0,"",IFERROR(-INDEX(Expenses!D$3:D$999,SMALL(IF((Expenses!E$3:E$999="INR")*(Expenses!A$3:A$999=DATE(2026,6,23)),ROW(Expenses!A$3:A$999)-2),3)),0)+IFERROR(INDEX(Income!C$3:C$502,SMALL(IF((Income!D$3:D$502="INR")*(Income!A$3:A$502=DATE(2026,6,23)),ROW(Income!A$3:A$502)-2),3)),0))</f>
        <v/>
      </c>
      <c r="F131" s="126">
        <f t="array" ref="F131">IF(IFERROR(INDEX(Expenses!B$3:B$999,SMALL(IF((Expenses!E$3:E$999="INR")*(Expenses!A$3:A$999=DATE(2026,6,23)),ROW(Expenses!A$3:A$999)-2),3)),"")&lt;&gt;"",IFERROR(INDEX(Expenses!B$3:B$999,SMALL(IF((Expenses!E$3:E$999="INR")*(Expenses!A$3:A$999=DATE(2026,6,23)),ROW(Expenses!A$3:A$999)-2),3)),""),IF(IFERROR(INDEX(Income!B$3:B$502,SMALL(IF((Income!D$3:D$502="INR")*(Income!A$3:A$502=DATE(2026,6,23)),ROW(Income!A$3:A$502)-2),3)),"")&lt;&gt;"",IFERROR(INDEX(Income!B$3:B$502,SMALL(IF((Income!D$3:D$502="INR")*(Income!A$3:A$502=DATE(2026,6,23)),ROW(Income!A$3:A$502)-2),3)),""),""))</f>
        <v/>
      </c>
      <c r="G131" s="153">
        <f t="array" ref="G131">IF(IFERROR(-INDEX(Expenses!D$3:D$999,SMALL(IF((Expenses!E$3:E$999="INR")*(Expenses!A$3:A$999=DATE(2026,6,24)),ROW(Expenses!A$3:A$999)-2),3)),0)+IFERROR(INDEX(Income!C$3:C$502,SMALL(IF((Income!D$3:D$502="INR")*(Income!A$3:A$502=DATE(2026,6,24)),ROW(Income!A$3:A$502)-2),3)),0)=0,"",IFERROR(-INDEX(Expenses!D$3:D$999,SMALL(IF((Expenses!E$3:E$999="INR")*(Expenses!A$3:A$999=DATE(2026,6,24)),ROW(Expenses!A$3:A$999)-2),3)),0)+IFERROR(INDEX(Income!C$3:C$502,SMALL(IF((Income!D$3:D$502="INR")*(Income!A$3:A$502=DATE(2026,6,24)),ROW(Income!A$3:A$502)-2),3)),0))</f>
        <v/>
      </c>
      <c r="H131" s="126">
        <f t="array" ref="H131">IF(IFERROR(INDEX(Expenses!B$3:B$999,SMALL(IF((Expenses!E$3:E$999="INR")*(Expenses!A$3:A$999=DATE(2026,6,24)),ROW(Expenses!A$3:A$999)-2),3)),"")&lt;&gt;"",IFERROR(INDEX(Expenses!B$3:B$999,SMALL(IF((Expenses!E$3:E$999="INR")*(Expenses!A$3:A$999=DATE(2026,6,24)),ROW(Expenses!A$3:A$999)-2),3)),""),IF(IFERROR(INDEX(Income!B$3:B$502,SMALL(IF((Income!D$3:D$502="INR")*(Income!A$3:A$502=DATE(2026,6,24)),ROW(Income!A$3:A$502)-2),3)),"")&lt;&gt;"",IFERROR(INDEX(Income!B$3:B$502,SMALL(IF((Income!D$3:D$502="INR")*(Income!A$3:A$502=DATE(2026,6,24)),ROW(Income!A$3:A$502)-2),3)),""),""))</f>
        <v/>
      </c>
      <c r="I131" s="153">
        <f t="array" ref="I131">IF(IFERROR(-INDEX(Expenses!D$3:D$999,SMALL(IF((Expenses!E$3:E$999="INR")*(Expenses!A$3:A$999=DATE(2026,6,25)),ROW(Expenses!A$3:A$999)-2),3)),0)+IFERROR(INDEX(Income!C$3:C$502,SMALL(IF((Income!D$3:D$502="INR")*(Income!A$3:A$502=DATE(2026,6,25)),ROW(Income!A$3:A$502)-2),3)),0)=0,"",IFERROR(-INDEX(Expenses!D$3:D$999,SMALL(IF((Expenses!E$3:E$999="INR")*(Expenses!A$3:A$999=DATE(2026,6,25)),ROW(Expenses!A$3:A$999)-2),3)),0)+IFERROR(INDEX(Income!C$3:C$502,SMALL(IF((Income!D$3:D$502="INR")*(Income!A$3:A$502=DATE(2026,6,25)),ROW(Income!A$3:A$502)-2),3)),0))</f>
        <v/>
      </c>
      <c r="J131" s="126">
        <f t="array" ref="J131">IF(IFERROR(INDEX(Expenses!B$3:B$999,SMALL(IF((Expenses!E$3:E$999="INR")*(Expenses!A$3:A$999=DATE(2026,6,25)),ROW(Expenses!A$3:A$999)-2),3)),"")&lt;&gt;"",IFERROR(INDEX(Expenses!B$3:B$999,SMALL(IF((Expenses!E$3:E$999="INR")*(Expenses!A$3:A$999=DATE(2026,6,25)),ROW(Expenses!A$3:A$999)-2),3)),""),IF(IFERROR(INDEX(Income!B$3:B$502,SMALL(IF((Income!D$3:D$502="INR")*(Income!A$3:A$502=DATE(2026,6,25)),ROW(Income!A$3:A$502)-2),3)),"")&lt;&gt;"",IFERROR(INDEX(Income!B$3:B$502,SMALL(IF((Income!D$3:D$502="INR")*(Income!A$3:A$502=DATE(2026,6,25)),ROW(Income!A$3:A$502)-2),3)),""),""))</f>
        <v/>
      </c>
      <c r="K131" s="153">
        <f t="array" ref="K131">IF(IFERROR(-INDEX(Expenses!D$3:D$999,SMALL(IF((Expenses!E$3:E$999="INR")*(Expenses!A$3:A$999=DATE(2026,6,26)),ROW(Expenses!A$3:A$999)-2),3)),0)+IFERROR(INDEX(Income!C$3:C$502,SMALL(IF((Income!D$3:D$502="INR")*(Income!A$3:A$502=DATE(2026,6,26)),ROW(Income!A$3:A$502)-2),3)),0)=0,"",IFERROR(-INDEX(Expenses!D$3:D$999,SMALL(IF((Expenses!E$3:E$999="INR")*(Expenses!A$3:A$999=DATE(2026,6,26)),ROW(Expenses!A$3:A$999)-2),3)),0)+IFERROR(INDEX(Income!C$3:C$502,SMALL(IF((Income!D$3:D$502="INR")*(Income!A$3:A$502=DATE(2026,6,26)),ROW(Income!A$3:A$502)-2),3)),0))</f>
        <v/>
      </c>
      <c r="L131" s="126">
        <f t="array" ref="L131">IF(IFERROR(INDEX(Expenses!B$3:B$999,SMALL(IF((Expenses!E$3:E$999="INR")*(Expenses!A$3:A$999=DATE(2026,6,26)),ROW(Expenses!A$3:A$999)-2),3)),"")&lt;&gt;"",IFERROR(INDEX(Expenses!B$3:B$999,SMALL(IF((Expenses!E$3:E$999="INR")*(Expenses!A$3:A$999=DATE(2026,6,26)),ROW(Expenses!A$3:A$999)-2),3)),""),IF(IFERROR(INDEX(Income!B$3:B$502,SMALL(IF((Income!D$3:D$502="INR")*(Income!A$3:A$502=DATE(2026,6,26)),ROW(Income!A$3:A$502)-2),3)),"")&lt;&gt;"",IFERROR(INDEX(Income!B$3:B$502,SMALL(IF((Income!D$3:D$502="INR")*(Income!A$3:A$502=DATE(2026,6,26)),ROW(Income!A$3:A$502)-2),3)),""),""))</f>
        <v/>
      </c>
      <c r="M131" s="153">
        <f t="array" ref="M131">IF(IFERROR(-INDEX(Expenses!D$3:D$999,SMALL(IF((Expenses!E$3:E$999="INR")*(Expenses!A$3:A$999=DATE(2026,6,27)),ROW(Expenses!A$3:A$999)-2),3)),0)+IFERROR(INDEX(Income!C$3:C$502,SMALL(IF((Income!D$3:D$502="INR")*(Income!A$3:A$502=DATE(2026,6,27)),ROW(Income!A$3:A$502)-2),3)),0)=0,"",IFERROR(-INDEX(Expenses!D$3:D$999,SMALL(IF((Expenses!E$3:E$999="INR")*(Expenses!A$3:A$999=DATE(2026,6,27)),ROW(Expenses!A$3:A$999)-2),3)),0)+IFERROR(INDEX(Income!C$3:C$502,SMALL(IF((Income!D$3:D$502="INR")*(Income!A$3:A$502=DATE(2026,6,27)),ROW(Income!A$3:A$502)-2),3)),0))</f>
        <v/>
      </c>
      <c r="N131" s="126">
        <f t="array" ref="N131">IF(IFERROR(INDEX(Expenses!B$3:B$999,SMALL(IF((Expenses!E$3:E$999="INR")*(Expenses!A$3:A$999=DATE(2026,6,27)),ROW(Expenses!A$3:A$999)-2),3)),"")&lt;&gt;"",IFERROR(INDEX(Expenses!B$3:B$999,SMALL(IF((Expenses!E$3:E$999="INR")*(Expenses!A$3:A$999=DATE(2026,6,27)),ROW(Expenses!A$3:A$999)-2),3)),""),IF(IFERROR(INDEX(Income!B$3:B$502,SMALL(IF((Income!D$3:D$502="INR")*(Income!A$3:A$502=DATE(2026,6,27)),ROW(Income!A$3:A$502)-2),3)),"")&lt;&gt;"",IFERROR(INDEX(Income!B$3:B$502,SMALL(IF((Income!D$3:D$502="INR")*(Income!A$3:A$502=DATE(2026,6,27)),ROW(Income!A$3:A$502)-2),3)),""),""))</f>
        <v/>
      </c>
      <c r="O131" s="153">
        <f t="array" ref="O131">IF(IFERROR(-INDEX(Expenses!D$3:D$999,SMALL(IF((Expenses!E$3:E$999="INR")*(Expenses!A$3:A$999=DATE(2026,6,28)),ROW(Expenses!A$3:A$999)-2),3)),0)+IFERROR(INDEX(Income!C$3:C$502,SMALL(IF((Income!D$3:D$502="INR")*(Income!A$3:A$502=DATE(2026,6,28)),ROW(Income!A$3:A$502)-2),3)),0)=0,"",IFERROR(-INDEX(Expenses!D$3:D$999,SMALL(IF((Expenses!E$3:E$999="INR")*(Expenses!A$3:A$999=DATE(2026,6,28)),ROW(Expenses!A$3:A$999)-2),3)),0)+IFERROR(INDEX(Income!C$3:C$502,SMALL(IF((Income!D$3:D$502="INR")*(Income!A$3:A$502=DATE(2026,6,28)),ROW(Income!A$3:A$502)-2),3)),0))</f>
        <v/>
      </c>
      <c r="P131" s="126">
        <f t="array" ref="P131">IF(IFERROR(INDEX(Expenses!B$3:B$999,SMALL(IF((Expenses!E$3:E$999="INR")*(Expenses!A$3:A$999=DATE(2026,6,28)),ROW(Expenses!A$3:A$999)-2),3)),"")&lt;&gt;"",IFERROR(INDEX(Expenses!B$3:B$999,SMALL(IF((Expenses!E$3:E$999="INR")*(Expenses!A$3:A$999=DATE(2026,6,28)),ROW(Expenses!A$3:A$999)-2),3)),""),IF(IFERROR(INDEX(Income!B$3:B$502,SMALL(IF((Income!D$3:D$502="INR")*(Income!A$3:A$502=DATE(2026,6,28)),ROW(Income!A$3:A$502)-2),3)),"")&lt;&gt;"",IFERROR(INDEX(Income!B$3:B$502,SMALL(IF((Income!D$3:D$502="INR")*(Income!A$3:A$502=DATE(2026,6,28)),ROW(Income!A$3:A$502)-2),3)),""),""))</f>
        <v/>
      </c>
      <c r="Q131" s="9" t="n"/>
      <c r="R131" s="9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68">
      <c r="A132" s="9" t="n"/>
      <c r="B132" s="9" t="n"/>
      <c r="C132" s="153">
        <f t="array" ref="C132">IF(IFERROR(-INDEX(Expenses!D$3:D$999,SMALL(IF((Expenses!E$3:E$999="INR")*(Expenses!A$3:A$999=DATE(2026,6,22)),ROW(Expenses!A$3:A$999)-2),4)),0)+IFERROR(INDEX(Income!C$3:C$502,SMALL(IF((Income!D$3:D$502="INR")*(Income!A$3:A$502=DATE(2026,6,22)),ROW(Income!A$3:A$502)-2),4)),0)=0,"",IFERROR(-INDEX(Expenses!D$3:D$999,SMALL(IF((Expenses!E$3:E$999="INR")*(Expenses!A$3:A$999=DATE(2026,6,22)),ROW(Expenses!A$3:A$999)-2),4)),0)+IFERROR(INDEX(Income!C$3:C$502,SMALL(IF((Income!D$3:D$502="INR")*(Income!A$3:A$502=DATE(2026,6,22)),ROW(Income!A$3:A$502)-2),4)),0))</f>
        <v/>
      </c>
      <c r="D132" s="126">
        <f t="array" ref="D132">IF(IFERROR(INDEX(Expenses!B$3:B$999,SMALL(IF((Expenses!E$3:E$999="INR")*(Expenses!A$3:A$999=DATE(2026,6,22)),ROW(Expenses!A$3:A$999)-2),4)),"")&lt;&gt;"",IFERROR(INDEX(Expenses!B$3:B$999,SMALL(IF((Expenses!E$3:E$999="INR")*(Expenses!A$3:A$999=DATE(2026,6,22)),ROW(Expenses!A$3:A$999)-2),4)),""),IF(IFERROR(INDEX(Income!B$3:B$502,SMALL(IF((Income!D$3:D$502="INR")*(Income!A$3:A$502=DATE(2026,6,22)),ROW(Income!A$3:A$502)-2),4)),"")&lt;&gt;"",IFERROR(INDEX(Income!B$3:B$502,SMALL(IF((Income!D$3:D$502="INR")*(Income!A$3:A$502=DATE(2026,6,22)),ROW(Income!A$3:A$502)-2),4)),""),""))</f>
        <v/>
      </c>
      <c r="E132" s="153">
        <f t="array" ref="E132">IF(IFERROR(-INDEX(Expenses!D$3:D$999,SMALL(IF((Expenses!E$3:E$999="INR")*(Expenses!A$3:A$999=DATE(2026,6,23)),ROW(Expenses!A$3:A$999)-2),4)),0)+IFERROR(INDEX(Income!C$3:C$502,SMALL(IF((Income!D$3:D$502="INR")*(Income!A$3:A$502=DATE(2026,6,23)),ROW(Income!A$3:A$502)-2),4)),0)=0,"",IFERROR(-INDEX(Expenses!D$3:D$999,SMALL(IF((Expenses!E$3:E$999="INR")*(Expenses!A$3:A$999=DATE(2026,6,23)),ROW(Expenses!A$3:A$999)-2),4)),0)+IFERROR(INDEX(Income!C$3:C$502,SMALL(IF((Income!D$3:D$502="INR")*(Income!A$3:A$502=DATE(2026,6,23)),ROW(Income!A$3:A$502)-2),4)),0))</f>
        <v/>
      </c>
      <c r="F132" s="126">
        <f t="array" ref="F132">IF(IFERROR(INDEX(Expenses!B$3:B$999,SMALL(IF((Expenses!E$3:E$999="INR")*(Expenses!A$3:A$999=DATE(2026,6,23)),ROW(Expenses!A$3:A$999)-2),4)),"")&lt;&gt;"",IFERROR(INDEX(Expenses!B$3:B$999,SMALL(IF((Expenses!E$3:E$999="INR")*(Expenses!A$3:A$999=DATE(2026,6,23)),ROW(Expenses!A$3:A$999)-2),4)),""),IF(IFERROR(INDEX(Income!B$3:B$502,SMALL(IF((Income!D$3:D$502="INR")*(Income!A$3:A$502=DATE(2026,6,23)),ROW(Income!A$3:A$502)-2),4)),"")&lt;&gt;"",IFERROR(INDEX(Income!B$3:B$502,SMALL(IF((Income!D$3:D$502="INR")*(Income!A$3:A$502=DATE(2026,6,23)),ROW(Income!A$3:A$502)-2),4)),""),""))</f>
        <v/>
      </c>
      <c r="G132" s="153">
        <f t="array" ref="G132">IF(IFERROR(-INDEX(Expenses!D$3:D$999,SMALL(IF((Expenses!E$3:E$999="INR")*(Expenses!A$3:A$999=DATE(2026,6,24)),ROW(Expenses!A$3:A$999)-2),4)),0)+IFERROR(INDEX(Income!C$3:C$502,SMALL(IF((Income!D$3:D$502="INR")*(Income!A$3:A$502=DATE(2026,6,24)),ROW(Income!A$3:A$502)-2),4)),0)=0,"",IFERROR(-INDEX(Expenses!D$3:D$999,SMALL(IF((Expenses!E$3:E$999="INR")*(Expenses!A$3:A$999=DATE(2026,6,24)),ROW(Expenses!A$3:A$999)-2),4)),0)+IFERROR(INDEX(Income!C$3:C$502,SMALL(IF((Income!D$3:D$502="INR")*(Income!A$3:A$502=DATE(2026,6,24)),ROW(Income!A$3:A$502)-2),4)),0))</f>
        <v/>
      </c>
      <c r="H132" s="126">
        <f t="array" ref="H132">IF(IFERROR(INDEX(Expenses!B$3:B$999,SMALL(IF((Expenses!E$3:E$999="INR")*(Expenses!A$3:A$999=DATE(2026,6,24)),ROW(Expenses!A$3:A$999)-2),4)),"")&lt;&gt;"",IFERROR(INDEX(Expenses!B$3:B$999,SMALL(IF((Expenses!E$3:E$999="INR")*(Expenses!A$3:A$999=DATE(2026,6,24)),ROW(Expenses!A$3:A$999)-2),4)),""),IF(IFERROR(INDEX(Income!B$3:B$502,SMALL(IF((Income!D$3:D$502="INR")*(Income!A$3:A$502=DATE(2026,6,24)),ROW(Income!A$3:A$502)-2),4)),"")&lt;&gt;"",IFERROR(INDEX(Income!B$3:B$502,SMALL(IF((Income!D$3:D$502="INR")*(Income!A$3:A$502=DATE(2026,6,24)),ROW(Income!A$3:A$502)-2),4)),""),""))</f>
        <v/>
      </c>
      <c r="I132" s="153">
        <f t="array" ref="I132">IF(IFERROR(-INDEX(Expenses!D$3:D$999,SMALL(IF((Expenses!E$3:E$999="INR")*(Expenses!A$3:A$999=DATE(2026,6,25)),ROW(Expenses!A$3:A$999)-2),4)),0)+IFERROR(INDEX(Income!C$3:C$502,SMALL(IF((Income!D$3:D$502="INR")*(Income!A$3:A$502=DATE(2026,6,25)),ROW(Income!A$3:A$502)-2),4)),0)=0,"",IFERROR(-INDEX(Expenses!D$3:D$999,SMALL(IF((Expenses!E$3:E$999="INR")*(Expenses!A$3:A$999=DATE(2026,6,25)),ROW(Expenses!A$3:A$999)-2),4)),0)+IFERROR(INDEX(Income!C$3:C$502,SMALL(IF((Income!D$3:D$502="INR")*(Income!A$3:A$502=DATE(2026,6,25)),ROW(Income!A$3:A$502)-2),4)),0))</f>
        <v/>
      </c>
      <c r="J132" s="126">
        <f t="array" ref="J132">IF(IFERROR(INDEX(Expenses!B$3:B$999,SMALL(IF((Expenses!E$3:E$999="INR")*(Expenses!A$3:A$999=DATE(2026,6,25)),ROW(Expenses!A$3:A$999)-2),4)),"")&lt;&gt;"",IFERROR(INDEX(Expenses!B$3:B$999,SMALL(IF((Expenses!E$3:E$999="INR")*(Expenses!A$3:A$999=DATE(2026,6,25)),ROW(Expenses!A$3:A$999)-2),4)),""),IF(IFERROR(INDEX(Income!B$3:B$502,SMALL(IF((Income!D$3:D$502="INR")*(Income!A$3:A$502=DATE(2026,6,25)),ROW(Income!A$3:A$502)-2),4)),"")&lt;&gt;"",IFERROR(INDEX(Income!B$3:B$502,SMALL(IF((Income!D$3:D$502="INR")*(Income!A$3:A$502=DATE(2026,6,25)),ROW(Income!A$3:A$502)-2),4)),""),""))</f>
        <v/>
      </c>
      <c r="K132" s="153">
        <f t="array" ref="K132">IF(IFERROR(-INDEX(Expenses!D$3:D$999,SMALL(IF((Expenses!E$3:E$999="INR")*(Expenses!A$3:A$999=DATE(2026,6,26)),ROW(Expenses!A$3:A$999)-2),4)),0)+IFERROR(INDEX(Income!C$3:C$502,SMALL(IF((Income!D$3:D$502="INR")*(Income!A$3:A$502=DATE(2026,6,26)),ROW(Income!A$3:A$502)-2),4)),0)=0,"",IFERROR(-INDEX(Expenses!D$3:D$999,SMALL(IF((Expenses!E$3:E$999="INR")*(Expenses!A$3:A$999=DATE(2026,6,26)),ROW(Expenses!A$3:A$999)-2),4)),0)+IFERROR(INDEX(Income!C$3:C$502,SMALL(IF((Income!D$3:D$502="INR")*(Income!A$3:A$502=DATE(2026,6,26)),ROW(Income!A$3:A$502)-2),4)),0))</f>
        <v/>
      </c>
      <c r="L132" s="126">
        <f t="array" ref="L132">IF(IFERROR(INDEX(Expenses!B$3:B$999,SMALL(IF((Expenses!E$3:E$999="INR")*(Expenses!A$3:A$999=DATE(2026,6,26)),ROW(Expenses!A$3:A$999)-2),4)),"")&lt;&gt;"",IFERROR(INDEX(Expenses!B$3:B$999,SMALL(IF((Expenses!E$3:E$999="INR")*(Expenses!A$3:A$999=DATE(2026,6,26)),ROW(Expenses!A$3:A$999)-2),4)),""),IF(IFERROR(INDEX(Income!B$3:B$502,SMALL(IF((Income!D$3:D$502="INR")*(Income!A$3:A$502=DATE(2026,6,26)),ROW(Income!A$3:A$502)-2),4)),"")&lt;&gt;"",IFERROR(INDEX(Income!B$3:B$502,SMALL(IF((Income!D$3:D$502="INR")*(Income!A$3:A$502=DATE(2026,6,26)),ROW(Income!A$3:A$502)-2),4)),""),""))</f>
        <v/>
      </c>
      <c r="M132" s="153">
        <f t="array" ref="M132">IF(IFERROR(-INDEX(Expenses!D$3:D$999,SMALL(IF((Expenses!E$3:E$999="INR")*(Expenses!A$3:A$999=DATE(2026,6,27)),ROW(Expenses!A$3:A$999)-2),4)),0)+IFERROR(INDEX(Income!C$3:C$502,SMALL(IF((Income!D$3:D$502="INR")*(Income!A$3:A$502=DATE(2026,6,27)),ROW(Income!A$3:A$502)-2),4)),0)=0,"",IFERROR(-INDEX(Expenses!D$3:D$999,SMALL(IF((Expenses!E$3:E$999="INR")*(Expenses!A$3:A$999=DATE(2026,6,27)),ROW(Expenses!A$3:A$999)-2),4)),0)+IFERROR(INDEX(Income!C$3:C$502,SMALL(IF((Income!D$3:D$502="INR")*(Income!A$3:A$502=DATE(2026,6,27)),ROW(Income!A$3:A$502)-2),4)),0))</f>
        <v/>
      </c>
      <c r="N132" s="126">
        <f t="array" ref="N132">IF(IFERROR(INDEX(Expenses!B$3:B$999,SMALL(IF((Expenses!E$3:E$999="INR")*(Expenses!A$3:A$999=DATE(2026,6,27)),ROW(Expenses!A$3:A$999)-2),4)),"")&lt;&gt;"",IFERROR(INDEX(Expenses!B$3:B$999,SMALL(IF((Expenses!E$3:E$999="INR")*(Expenses!A$3:A$999=DATE(2026,6,27)),ROW(Expenses!A$3:A$999)-2),4)),""),IF(IFERROR(INDEX(Income!B$3:B$502,SMALL(IF((Income!D$3:D$502="INR")*(Income!A$3:A$502=DATE(2026,6,27)),ROW(Income!A$3:A$502)-2),4)),"")&lt;&gt;"",IFERROR(INDEX(Income!B$3:B$502,SMALL(IF((Income!D$3:D$502="INR")*(Income!A$3:A$502=DATE(2026,6,27)),ROW(Income!A$3:A$502)-2),4)),""),""))</f>
        <v/>
      </c>
      <c r="O132" s="153">
        <f t="array" ref="O132">IF(IFERROR(-INDEX(Expenses!D$3:D$999,SMALL(IF((Expenses!E$3:E$999="INR")*(Expenses!A$3:A$999=DATE(2026,6,28)),ROW(Expenses!A$3:A$999)-2),4)),0)+IFERROR(INDEX(Income!C$3:C$502,SMALL(IF((Income!D$3:D$502="INR")*(Income!A$3:A$502=DATE(2026,6,28)),ROW(Income!A$3:A$502)-2),4)),0)=0,"",IFERROR(-INDEX(Expenses!D$3:D$999,SMALL(IF((Expenses!E$3:E$999="INR")*(Expenses!A$3:A$999=DATE(2026,6,28)),ROW(Expenses!A$3:A$999)-2),4)),0)+IFERROR(INDEX(Income!C$3:C$502,SMALL(IF((Income!D$3:D$502="INR")*(Income!A$3:A$502=DATE(2026,6,28)),ROW(Income!A$3:A$502)-2),4)),0))</f>
        <v/>
      </c>
      <c r="P132" s="126">
        <f t="array" ref="P132">IF(IFERROR(INDEX(Expenses!B$3:B$999,SMALL(IF((Expenses!E$3:E$999="INR")*(Expenses!A$3:A$999=DATE(2026,6,28)),ROW(Expenses!A$3:A$999)-2),4)),"")&lt;&gt;"",IFERROR(INDEX(Expenses!B$3:B$999,SMALL(IF((Expenses!E$3:E$999="INR")*(Expenses!A$3:A$999=DATE(2026,6,28)),ROW(Expenses!A$3:A$999)-2),4)),""),IF(IFERROR(INDEX(Income!B$3:B$502,SMALL(IF((Income!D$3:D$502="INR")*(Income!A$3:A$502=DATE(2026,6,28)),ROW(Income!A$3:A$502)-2),4)),"")&lt;&gt;"",IFERROR(INDEX(Income!B$3:B$502,SMALL(IF((Income!D$3:D$502="INR")*(Income!A$3:A$502=DATE(2026,6,28)),ROW(Income!A$3:A$502)-2),4)),""),""))</f>
        <v/>
      </c>
      <c r="Q132" s="9" t="n"/>
      <c r="R132" s="9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68">
      <c r="A133" s="9" t="n"/>
      <c r="B133" s="9" t="n"/>
      <c r="C133" s="153">
        <f t="array" ref="C133">IF(IFERROR(-INDEX(Expenses!D$3:D$999,SMALL(IF((Expenses!E$3:E$999="INR")*(Expenses!A$3:A$999=DATE(2026,6,22)),ROW(Expenses!A$3:A$999)-2),5)),0)+IFERROR(INDEX(Income!C$3:C$502,SMALL(IF((Income!D$3:D$502="INR")*(Income!A$3:A$502=DATE(2026,6,22)),ROW(Income!A$3:A$502)-2),5)),0)=0,"",IFERROR(-INDEX(Expenses!D$3:D$999,SMALL(IF((Expenses!E$3:E$999="INR")*(Expenses!A$3:A$999=DATE(2026,6,22)),ROW(Expenses!A$3:A$999)-2),5)),0)+IFERROR(INDEX(Income!C$3:C$502,SMALL(IF((Income!D$3:D$502="INR")*(Income!A$3:A$502=DATE(2026,6,22)),ROW(Income!A$3:A$502)-2),5)),0))</f>
        <v/>
      </c>
      <c r="D133" s="126">
        <f t="array" ref="D133">IF(IFERROR(INDEX(Expenses!B$3:B$999,SMALL(IF((Expenses!E$3:E$999="INR")*(Expenses!A$3:A$999=DATE(2026,6,22)),ROW(Expenses!A$3:A$999)-2),5)),"")&lt;&gt;"",IFERROR(INDEX(Expenses!B$3:B$999,SMALL(IF((Expenses!E$3:E$999="INR")*(Expenses!A$3:A$999=DATE(2026,6,22)),ROW(Expenses!A$3:A$999)-2),5)),""),IF(IFERROR(INDEX(Income!B$3:B$502,SMALL(IF((Income!D$3:D$502="INR")*(Income!A$3:A$502=DATE(2026,6,22)),ROW(Income!A$3:A$502)-2),5)),"")&lt;&gt;"",IFERROR(INDEX(Income!B$3:B$502,SMALL(IF((Income!D$3:D$502="INR")*(Income!A$3:A$502=DATE(2026,6,22)),ROW(Income!A$3:A$502)-2),5)),""),""))</f>
        <v/>
      </c>
      <c r="E133" s="153">
        <f t="array" ref="E133">IF(IFERROR(-INDEX(Expenses!D$3:D$999,SMALL(IF((Expenses!E$3:E$999="INR")*(Expenses!A$3:A$999=DATE(2026,6,23)),ROW(Expenses!A$3:A$999)-2),5)),0)+IFERROR(INDEX(Income!C$3:C$502,SMALL(IF((Income!D$3:D$502="INR")*(Income!A$3:A$502=DATE(2026,6,23)),ROW(Income!A$3:A$502)-2),5)),0)=0,"",IFERROR(-INDEX(Expenses!D$3:D$999,SMALL(IF((Expenses!E$3:E$999="INR")*(Expenses!A$3:A$999=DATE(2026,6,23)),ROW(Expenses!A$3:A$999)-2),5)),0)+IFERROR(INDEX(Income!C$3:C$502,SMALL(IF((Income!D$3:D$502="INR")*(Income!A$3:A$502=DATE(2026,6,23)),ROW(Income!A$3:A$502)-2),5)),0))</f>
        <v/>
      </c>
      <c r="F133" s="126">
        <f t="array" ref="F133">IF(IFERROR(INDEX(Expenses!B$3:B$999,SMALL(IF((Expenses!E$3:E$999="INR")*(Expenses!A$3:A$999=DATE(2026,6,23)),ROW(Expenses!A$3:A$999)-2),5)),"")&lt;&gt;"",IFERROR(INDEX(Expenses!B$3:B$999,SMALL(IF((Expenses!E$3:E$999="INR")*(Expenses!A$3:A$999=DATE(2026,6,23)),ROW(Expenses!A$3:A$999)-2),5)),""),IF(IFERROR(INDEX(Income!B$3:B$502,SMALL(IF((Income!D$3:D$502="INR")*(Income!A$3:A$502=DATE(2026,6,23)),ROW(Income!A$3:A$502)-2),5)),"")&lt;&gt;"",IFERROR(INDEX(Income!B$3:B$502,SMALL(IF((Income!D$3:D$502="INR")*(Income!A$3:A$502=DATE(2026,6,23)),ROW(Income!A$3:A$502)-2),5)),""),""))</f>
        <v/>
      </c>
      <c r="G133" s="153">
        <f t="array" ref="G133">IF(IFERROR(-INDEX(Expenses!D$3:D$999,SMALL(IF((Expenses!E$3:E$999="INR")*(Expenses!A$3:A$999=DATE(2026,6,24)),ROW(Expenses!A$3:A$999)-2),5)),0)+IFERROR(INDEX(Income!C$3:C$502,SMALL(IF((Income!D$3:D$502="INR")*(Income!A$3:A$502=DATE(2026,6,24)),ROW(Income!A$3:A$502)-2),5)),0)=0,"",IFERROR(-INDEX(Expenses!D$3:D$999,SMALL(IF((Expenses!E$3:E$999="INR")*(Expenses!A$3:A$999=DATE(2026,6,24)),ROW(Expenses!A$3:A$999)-2),5)),0)+IFERROR(INDEX(Income!C$3:C$502,SMALL(IF((Income!D$3:D$502="INR")*(Income!A$3:A$502=DATE(2026,6,24)),ROW(Income!A$3:A$502)-2),5)),0))</f>
        <v/>
      </c>
      <c r="H133" s="126">
        <f t="array" ref="H133">IF(IFERROR(INDEX(Expenses!B$3:B$999,SMALL(IF((Expenses!E$3:E$999="INR")*(Expenses!A$3:A$999=DATE(2026,6,24)),ROW(Expenses!A$3:A$999)-2),5)),"")&lt;&gt;"",IFERROR(INDEX(Expenses!B$3:B$999,SMALL(IF((Expenses!E$3:E$999="INR")*(Expenses!A$3:A$999=DATE(2026,6,24)),ROW(Expenses!A$3:A$999)-2),5)),""),IF(IFERROR(INDEX(Income!B$3:B$502,SMALL(IF((Income!D$3:D$502="INR")*(Income!A$3:A$502=DATE(2026,6,24)),ROW(Income!A$3:A$502)-2),5)),"")&lt;&gt;"",IFERROR(INDEX(Income!B$3:B$502,SMALL(IF((Income!D$3:D$502="INR")*(Income!A$3:A$502=DATE(2026,6,24)),ROW(Income!A$3:A$502)-2),5)),""),""))</f>
        <v/>
      </c>
      <c r="I133" s="153">
        <f t="array" ref="I133">IF(IFERROR(-INDEX(Expenses!D$3:D$999,SMALL(IF((Expenses!E$3:E$999="INR")*(Expenses!A$3:A$999=DATE(2026,6,25)),ROW(Expenses!A$3:A$999)-2),5)),0)+IFERROR(INDEX(Income!C$3:C$502,SMALL(IF((Income!D$3:D$502="INR")*(Income!A$3:A$502=DATE(2026,6,25)),ROW(Income!A$3:A$502)-2),5)),0)=0,"",IFERROR(-INDEX(Expenses!D$3:D$999,SMALL(IF((Expenses!E$3:E$999="INR")*(Expenses!A$3:A$999=DATE(2026,6,25)),ROW(Expenses!A$3:A$999)-2),5)),0)+IFERROR(INDEX(Income!C$3:C$502,SMALL(IF((Income!D$3:D$502="INR")*(Income!A$3:A$502=DATE(2026,6,25)),ROW(Income!A$3:A$502)-2),5)),0))</f>
        <v/>
      </c>
      <c r="J133" s="126">
        <f t="array" ref="J133">IF(IFERROR(INDEX(Expenses!B$3:B$999,SMALL(IF((Expenses!E$3:E$999="INR")*(Expenses!A$3:A$999=DATE(2026,6,25)),ROW(Expenses!A$3:A$999)-2),5)),"")&lt;&gt;"",IFERROR(INDEX(Expenses!B$3:B$999,SMALL(IF((Expenses!E$3:E$999="INR")*(Expenses!A$3:A$999=DATE(2026,6,25)),ROW(Expenses!A$3:A$999)-2),5)),""),IF(IFERROR(INDEX(Income!B$3:B$502,SMALL(IF((Income!D$3:D$502="INR")*(Income!A$3:A$502=DATE(2026,6,25)),ROW(Income!A$3:A$502)-2),5)),"")&lt;&gt;"",IFERROR(INDEX(Income!B$3:B$502,SMALL(IF((Income!D$3:D$502="INR")*(Income!A$3:A$502=DATE(2026,6,25)),ROW(Income!A$3:A$502)-2),5)),""),""))</f>
        <v/>
      </c>
      <c r="K133" s="153">
        <f t="array" ref="K133">IF(IFERROR(-INDEX(Expenses!D$3:D$999,SMALL(IF((Expenses!E$3:E$999="INR")*(Expenses!A$3:A$999=DATE(2026,6,26)),ROW(Expenses!A$3:A$999)-2),5)),0)+IFERROR(INDEX(Income!C$3:C$502,SMALL(IF((Income!D$3:D$502="INR")*(Income!A$3:A$502=DATE(2026,6,26)),ROW(Income!A$3:A$502)-2),5)),0)=0,"",IFERROR(-INDEX(Expenses!D$3:D$999,SMALL(IF((Expenses!E$3:E$999="INR")*(Expenses!A$3:A$999=DATE(2026,6,26)),ROW(Expenses!A$3:A$999)-2),5)),0)+IFERROR(INDEX(Income!C$3:C$502,SMALL(IF((Income!D$3:D$502="INR")*(Income!A$3:A$502=DATE(2026,6,26)),ROW(Income!A$3:A$502)-2),5)),0))</f>
        <v/>
      </c>
      <c r="L133" s="126">
        <f t="array" ref="L133">IF(IFERROR(INDEX(Expenses!B$3:B$999,SMALL(IF((Expenses!E$3:E$999="INR")*(Expenses!A$3:A$999=DATE(2026,6,26)),ROW(Expenses!A$3:A$999)-2),5)),"")&lt;&gt;"",IFERROR(INDEX(Expenses!B$3:B$999,SMALL(IF((Expenses!E$3:E$999="INR")*(Expenses!A$3:A$999=DATE(2026,6,26)),ROW(Expenses!A$3:A$999)-2),5)),""),IF(IFERROR(INDEX(Income!B$3:B$502,SMALL(IF((Income!D$3:D$502="INR")*(Income!A$3:A$502=DATE(2026,6,26)),ROW(Income!A$3:A$502)-2),5)),"")&lt;&gt;"",IFERROR(INDEX(Income!B$3:B$502,SMALL(IF((Income!D$3:D$502="INR")*(Income!A$3:A$502=DATE(2026,6,26)),ROW(Income!A$3:A$502)-2),5)),""),""))</f>
        <v/>
      </c>
      <c r="M133" s="153">
        <f t="array" ref="M133">IF(IFERROR(-INDEX(Expenses!D$3:D$999,SMALL(IF((Expenses!E$3:E$999="INR")*(Expenses!A$3:A$999=DATE(2026,6,27)),ROW(Expenses!A$3:A$999)-2),5)),0)+IFERROR(INDEX(Income!C$3:C$502,SMALL(IF((Income!D$3:D$502="INR")*(Income!A$3:A$502=DATE(2026,6,27)),ROW(Income!A$3:A$502)-2),5)),0)=0,"",IFERROR(-INDEX(Expenses!D$3:D$999,SMALL(IF((Expenses!E$3:E$999="INR")*(Expenses!A$3:A$999=DATE(2026,6,27)),ROW(Expenses!A$3:A$999)-2),5)),0)+IFERROR(INDEX(Income!C$3:C$502,SMALL(IF((Income!D$3:D$502="INR")*(Income!A$3:A$502=DATE(2026,6,27)),ROW(Income!A$3:A$502)-2),5)),0))</f>
        <v/>
      </c>
      <c r="N133" s="126">
        <f t="array" ref="N133">IF(IFERROR(INDEX(Expenses!B$3:B$999,SMALL(IF((Expenses!E$3:E$999="INR")*(Expenses!A$3:A$999=DATE(2026,6,27)),ROW(Expenses!A$3:A$999)-2),5)),"")&lt;&gt;"",IFERROR(INDEX(Expenses!B$3:B$999,SMALL(IF((Expenses!E$3:E$999="INR")*(Expenses!A$3:A$999=DATE(2026,6,27)),ROW(Expenses!A$3:A$999)-2),5)),""),IF(IFERROR(INDEX(Income!B$3:B$502,SMALL(IF((Income!D$3:D$502="INR")*(Income!A$3:A$502=DATE(2026,6,27)),ROW(Income!A$3:A$502)-2),5)),"")&lt;&gt;"",IFERROR(INDEX(Income!B$3:B$502,SMALL(IF((Income!D$3:D$502="INR")*(Income!A$3:A$502=DATE(2026,6,27)),ROW(Income!A$3:A$502)-2),5)),""),""))</f>
        <v/>
      </c>
      <c r="O133" s="153">
        <f t="array" ref="O133">IF(IFERROR(-INDEX(Expenses!D$3:D$999,SMALL(IF((Expenses!E$3:E$999="INR")*(Expenses!A$3:A$999=DATE(2026,6,28)),ROW(Expenses!A$3:A$999)-2),5)),0)+IFERROR(INDEX(Income!C$3:C$502,SMALL(IF((Income!D$3:D$502="INR")*(Income!A$3:A$502=DATE(2026,6,28)),ROW(Income!A$3:A$502)-2),5)),0)=0,"",IFERROR(-INDEX(Expenses!D$3:D$999,SMALL(IF((Expenses!E$3:E$999="INR")*(Expenses!A$3:A$999=DATE(2026,6,28)),ROW(Expenses!A$3:A$999)-2),5)),0)+IFERROR(INDEX(Income!C$3:C$502,SMALL(IF((Income!D$3:D$502="INR")*(Income!A$3:A$502=DATE(2026,6,28)),ROW(Income!A$3:A$502)-2),5)),0))</f>
        <v/>
      </c>
      <c r="P133" s="126">
        <f t="array" ref="P133">IF(IFERROR(INDEX(Expenses!B$3:B$999,SMALL(IF((Expenses!E$3:E$999="INR")*(Expenses!A$3:A$999=DATE(2026,6,28)),ROW(Expenses!A$3:A$999)-2),5)),"")&lt;&gt;"",IFERROR(INDEX(Expenses!B$3:B$999,SMALL(IF((Expenses!E$3:E$999="INR")*(Expenses!A$3:A$999=DATE(2026,6,28)),ROW(Expenses!A$3:A$999)-2),5)),""),IF(IFERROR(INDEX(Income!B$3:B$502,SMALL(IF((Income!D$3:D$502="INR")*(Income!A$3:A$502=DATE(2026,6,28)),ROW(Income!A$3:A$502)-2),5)),"")&lt;&gt;"",IFERROR(INDEX(Income!B$3:B$502,SMALL(IF((Income!D$3:D$502="INR")*(Income!A$3:A$502=DATE(2026,6,28)),ROW(Income!A$3:A$502)-2),5)),""),""))</f>
        <v/>
      </c>
      <c r="Q133" s="9" t="n"/>
      <c r="R133" s="9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68">
      <c r="A134" s="151" t="n">
        <v>46202</v>
      </c>
      <c r="B134" s="103" t="n">
        <v>27</v>
      </c>
      <c r="C134" s="153">
        <f t="array" ref="C134">IF(IFERROR(-INDEX(Expenses!D$3:D$999,SMALL(IF((Expenses!E$3:E$999="INR")*(Expenses!A$3:A$999=DATE(2026,6,29)),ROW(Expenses!A$3:A$999)-2),1)),0)+IFERROR(INDEX(Income!C$3:C$502,SMALL(IF((Income!D$3:D$502="INR")*(Income!A$3:A$502=DATE(2026,6,29)),ROW(Income!A$3:A$502)-2),1)),0)=0,"",IFERROR(-INDEX(Expenses!D$3:D$999,SMALL(IF((Expenses!E$3:E$999="INR")*(Expenses!A$3:A$999=DATE(2026,6,29)),ROW(Expenses!A$3:A$999)-2),1)),0)+IFERROR(INDEX(Income!C$3:C$502,SMALL(IF((Income!D$3:D$502="INR")*(Income!A$3:A$502=DATE(2026,6,29)),ROW(Income!A$3:A$502)-2),1)),0))</f>
        <v/>
      </c>
      <c r="D134" s="126">
        <f t="array" ref="D134">IF(IFERROR(INDEX(Expenses!B$3:B$999,SMALL(IF((Expenses!E$3:E$999="INR")*(Expenses!A$3:A$999=DATE(2026,6,29)),ROW(Expenses!A$3:A$999)-2),1)),"")&lt;&gt;"",IFERROR(INDEX(Expenses!B$3:B$999,SMALL(IF((Expenses!E$3:E$999="INR")*(Expenses!A$3:A$999=DATE(2026,6,29)),ROW(Expenses!A$3:A$999)-2),1)),""),IF(IFERROR(INDEX(Income!B$3:B$502,SMALL(IF((Income!D$3:D$502="INR")*(Income!A$3:A$502=DATE(2026,6,29)),ROW(Income!A$3:A$502)-2),1)),"")&lt;&gt;"",IFERROR(INDEX(Income!B$3:B$502,SMALL(IF((Income!D$3:D$502="INR")*(Income!A$3:A$502=DATE(2026,6,29)),ROW(Income!A$3:A$502)-2),1)),""),""))</f>
        <v/>
      </c>
      <c r="E134" s="153">
        <f t="array" ref="E134">IF(IFERROR(-INDEX(Expenses!D$3:D$999,SMALL(IF((Expenses!E$3:E$999="INR")*(Expenses!A$3:A$999=DATE(2026,6,30)),ROW(Expenses!A$3:A$999)-2),1)),0)+IFERROR(INDEX(Income!C$3:C$502,SMALL(IF((Income!D$3:D$502="INR")*(Income!A$3:A$502=DATE(2026,6,30)),ROW(Income!A$3:A$502)-2),1)),0)=0,"",IFERROR(-INDEX(Expenses!D$3:D$999,SMALL(IF((Expenses!E$3:E$999="INR")*(Expenses!A$3:A$999=DATE(2026,6,30)),ROW(Expenses!A$3:A$999)-2),1)),0)+IFERROR(INDEX(Income!C$3:C$502,SMALL(IF((Income!D$3:D$502="INR")*(Income!A$3:A$502=DATE(2026,6,30)),ROW(Income!A$3:A$502)-2),1)),0))</f>
        <v/>
      </c>
      <c r="F134" s="126">
        <f t="array" ref="F134">IF(IFERROR(INDEX(Expenses!B$3:B$999,SMALL(IF((Expenses!E$3:E$999="INR")*(Expenses!A$3:A$999=DATE(2026,6,30)),ROW(Expenses!A$3:A$999)-2),1)),"")&lt;&gt;"",IFERROR(INDEX(Expenses!B$3:B$999,SMALL(IF((Expenses!E$3:E$999="INR")*(Expenses!A$3:A$999=DATE(2026,6,30)),ROW(Expenses!A$3:A$999)-2),1)),""),IF(IFERROR(INDEX(Income!B$3:B$502,SMALL(IF((Income!D$3:D$502="INR")*(Income!A$3:A$502=DATE(2026,6,30)),ROW(Income!A$3:A$502)-2),1)),"")&lt;&gt;"",IFERROR(INDEX(Income!B$3:B$502,SMALL(IF((Income!D$3:D$502="INR")*(Income!A$3:A$502=DATE(2026,6,30)),ROW(Income!A$3:A$502)-2),1)),""),""))</f>
        <v/>
      </c>
      <c r="G134" s="153">
        <f t="array" ref="G134">IF(IFERROR(-INDEX(Expenses!D$3:D$999,SMALL(IF((Expenses!E$3:E$999="INR")*(Expenses!A$3:A$999=DATE(2026,7,1)),ROW(Expenses!A$3:A$999)-2),1)),0)+IFERROR(INDEX(Income!C$3:C$502,SMALL(IF((Income!D$3:D$502="INR")*(Income!A$3:A$502=DATE(2026,7,1)),ROW(Income!A$3:A$502)-2),1)),0)=0,"",IFERROR(-INDEX(Expenses!D$3:D$999,SMALL(IF((Expenses!E$3:E$999="INR")*(Expenses!A$3:A$999=DATE(2026,7,1)),ROW(Expenses!A$3:A$999)-2),1)),0)+IFERROR(INDEX(Income!C$3:C$502,SMALL(IF((Income!D$3:D$502="INR")*(Income!A$3:A$502=DATE(2026,7,1)),ROW(Income!A$3:A$502)-2),1)),0))</f>
        <v/>
      </c>
      <c r="H134" s="126">
        <f t="array" ref="H134">IF(IFERROR(INDEX(Expenses!B$3:B$999,SMALL(IF((Expenses!E$3:E$999="INR")*(Expenses!A$3:A$999=DATE(2026,7,1)),ROW(Expenses!A$3:A$999)-2),1)),"")&lt;&gt;"",IFERROR(INDEX(Expenses!B$3:B$999,SMALL(IF((Expenses!E$3:E$999="INR")*(Expenses!A$3:A$999=DATE(2026,7,1)),ROW(Expenses!A$3:A$999)-2),1)),""),IF(IFERROR(INDEX(Income!B$3:B$502,SMALL(IF((Income!D$3:D$502="INR")*(Income!A$3:A$502=DATE(2026,7,1)),ROW(Income!A$3:A$502)-2),1)),"")&lt;&gt;"",IFERROR(INDEX(Income!B$3:B$502,SMALL(IF((Income!D$3:D$502="INR")*(Income!A$3:A$502=DATE(2026,7,1)),ROW(Income!A$3:A$502)-2),1)),""),""))</f>
        <v/>
      </c>
      <c r="I134" s="153">
        <f t="array" ref="I134">IF(IFERROR(-INDEX(Expenses!D$3:D$999,SMALL(IF((Expenses!E$3:E$999="INR")*(Expenses!A$3:A$999=DATE(2026,7,2)),ROW(Expenses!A$3:A$999)-2),1)),0)+IFERROR(INDEX(Income!C$3:C$502,SMALL(IF((Income!D$3:D$502="INR")*(Income!A$3:A$502=DATE(2026,7,2)),ROW(Income!A$3:A$502)-2),1)),0)=0,"",IFERROR(-INDEX(Expenses!D$3:D$999,SMALL(IF((Expenses!E$3:E$999="INR")*(Expenses!A$3:A$999=DATE(2026,7,2)),ROW(Expenses!A$3:A$999)-2),1)),0)+IFERROR(INDEX(Income!C$3:C$502,SMALL(IF((Income!D$3:D$502="INR")*(Income!A$3:A$502=DATE(2026,7,2)),ROW(Income!A$3:A$502)-2),1)),0))</f>
        <v/>
      </c>
      <c r="J134" s="126">
        <f t="array" ref="J134">IF(IFERROR(INDEX(Expenses!B$3:B$999,SMALL(IF((Expenses!E$3:E$999="INR")*(Expenses!A$3:A$999=DATE(2026,7,2)),ROW(Expenses!A$3:A$999)-2),1)),"")&lt;&gt;"",IFERROR(INDEX(Expenses!B$3:B$999,SMALL(IF((Expenses!E$3:E$999="INR")*(Expenses!A$3:A$999=DATE(2026,7,2)),ROW(Expenses!A$3:A$999)-2),1)),""),IF(IFERROR(INDEX(Income!B$3:B$502,SMALL(IF((Income!D$3:D$502="INR")*(Income!A$3:A$502=DATE(2026,7,2)),ROW(Income!A$3:A$502)-2),1)),"")&lt;&gt;"",IFERROR(INDEX(Income!B$3:B$502,SMALL(IF((Income!D$3:D$502="INR")*(Income!A$3:A$502=DATE(2026,7,2)),ROW(Income!A$3:A$502)-2),1)),""),""))</f>
        <v/>
      </c>
      <c r="K134" s="153">
        <f t="array" ref="K134">IF(IFERROR(-INDEX(Expenses!D$3:D$999,SMALL(IF((Expenses!E$3:E$999="INR")*(Expenses!A$3:A$999=DATE(2026,7,3)),ROW(Expenses!A$3:A$999)-2),1)),0)+IFERROR(INDEX(Income!C$3:C$502,SMALL(IF((Income!D$3:D$502="INR")*(Income!A$3:A$502=DATE(2026,7,3)),ROW(Income!A$3:A$502)-2),1)),0)=0,"",IFERROR(-INDEX(Expenses!D$3:D$999,SMALL(IF((Expenses!E$3:E$999="INR")*(Expenses!A$3:A$999=DATE(2026,7,3)),ROW(Expenses!A$3:A$999)-2),1)),0)+IFERROR(INDEX(Income!C$3:C$502,SMALL(IF((Income!D$3:D$502="INR")*(Income!A$3:A$502=DATE(2026,7,3)),ROW(Income!A$3:A$502)-2),1)),0))</f>
        <v/>
      </c>
      <c r="L134" s="126">
        <f t="array" ref="L134">IF(IFERROR(INDEX(Expenses!B$3:B$999,SMALL(IF((Expenses!E$3:E$999="INR")*(Expenses!A$3:A$999=DATE(2026,7,3)),ROW(Expenses!A$3:A$999)-2),1)),"")&lt;&gt;"",IFERROR(INDEX(Expenses!B$3:B$999,SMALL(IF((Expenses!E$3:E$999="INR")*(Expenses!A$3:A$999=DATE(2026,7,3)),ROW(Expenses!A$3:A$999)-2),1)),""),IF(IFERROR(INDEX(Income!B$3:B$502,SMALL(IF((Income!D$3:D$502="INR")*(Income!A$3:A$502=DATE(2026,7,3)),ROW(Income!A$3:A$502)-2),1)),"")&lt;&gt;"",IFERROR(INDEX(Income!B$3:B$502,SMALL(IF((Income!D$3:D$502="INR")*(Income!A$3:A$502=DATE(2026,7,3)),ROW(Income!A$3:A$502)-2),1)),""),""))</f>
        <v/>
      </c>
      <c r="M134" s="153">
        <f t="array" ref="M134">IF(IFERROR(-INDEX(Expenses!D$3:D$999,SMALL(IF((Expenses!E$3:E$999="INR")*(Expenses!A$3:A$999=DATE(2026,7,4)),ROW(Expenses!A$3:A$999)-2),1)),0)+IFERROR(INDEX(Income!C$3:C$502,SMALL(IF((Income!D$3:D$502="INR")*(Income!A$3:A$502=DATE(2026,7,4)),ROW(Income!A$3:A$502)-2),1)),0)=0,"",IFERROR(-INDEX(Expenses!D$3:D$999,SMALL(IF((Expenses!E$3:E$999="INR")*(Expenses!A$3:A$999=DATE(2026,7,4)),ROW(Expenses!A$3:A$999)-2),1)),0)+IFERROR(INDEX(Income!C$3:C$502,SMALL(IF((Income!D$3:D$502="INR")*(Income!A$3:A$502=DATE(2026,7,4)),ROW(Income!A$3:A$502)-2),1)),0))</f>
        <v/>
      </c>
      <c r="N134" s="126">
        <f t="array" ref="N134">IF(IFERROR(INDEX(Expenses!B$3:B$999,SMALL(IF((Expenses!E$3:E$999="INR")*(Expenses!A$3:A$999=DATE(2026,7,4)),ROW(Expenses!A$3:A$999)-2),1)),"")&lt;&gt;"",IFERROR(INDEX(Expenses!B$3:B$999,SMALL(IF((Expenses!E$3:E$999="INR")*(Expenses!A$3:A$999=DATE(2026,7,4)),ROW(Expenses!A$3:A$999)-2),1)),""),IF(IFERROR(INDEX(Income!B$3:B$502,SMALL(IF((Income!D$3:D$502="INR")*(Income!A$3:A$502=DATE(2026,7,4)),ROW(Income!A$3:A$502)-2),1)),"")&lt;&gt;"",IFERROR(INDEX(Income!B$3:B$502,SMALL(IF((Income!D$3:D$502="INR")*(Income!A$3:A$502=DATE(2026,7,4)),ROW(Income!A$3:A$502)-2),1)),""),""))</f>
        <v/>
      </c>
      <c r="O134" s="153">
        <f t="array" ref="O134">IF(IFERROR(-INDEX(Expenses!D$3:D$999,SMALL(IF((Expenses!E$3:E$999="INR")*(Expenses!A$3:A$999=DATE(2026,7,5)),ROW(Expenses!A$3:A$999)-2),1)),0)+IFERROR(INDEX(Income!C$3:C$502,SMALL(IF((Income!D$3:D$502="INR")*(Income!A$3:A$502=DATE(2026,7,5)),ROW(Income!A$3:A$502)-2),1)),0)=0,"",IFERROR(-INDEX(Expenses!D$3:D$999,SMALL(IF((Expenses!E$3:E$999="INR")*(Expenses!A$3:A$999=DATE(2026,7,5)),ROW(Expenses!A$3:A$999)-2),1)),0)+IFERROR(INDEX(Income!C$3:C$502,SMALL(IF((Income!D$3:D$502="INR")*(Income!A$3:A$502=DATE(2026,7,5)),ROW(Income!A$3:A$502)-2),1)),0))</f>
        <v/>
      </c>
      <c r="P134" s="126">
        <f t="array" ref="P134">IF(IFERROR(INDEX(Expenses!B$3:B$999,SMALL(IF((Expenses!E$3:E$999="INR")*(Expenses!A$3:A$999=DATE(2026,7,5)),ROW(Expenses!A$3:A$999)-2),1)),"")&lt;&gt;"",IFERROR(INDEX(Expenses!B$3:B$999,SMALL(IF((Expenses!E$3:E$999="INR")*(Expenses!A$3:A$999=DATE(2026,7,5)),ROW(Expenses!A$3:A$999)-2),1)),""),IF(IFERROR(INDEX(Income!B$3:B$502,SMALL(IF((Income!D$3:D$502="INR")*(Income!A$3:A$502=DATE(2026,7,5)),ROW(Income!A$3:A$502)-2),1)),"")&lt;&gt;"",IFERROR(INDEX(Income!B$3:B$502,SMALL(IF((Income!D$3:D$502="INR")*(Income!A$3:A$502=DATE(2026,7,5)),ROW(Income!A$3:A$502)-2),1)),""),""))</f>
        <v/>
      </c>
      <c r="Q134" s="103" t="n">
        <v>27</v>
      </c>
      <c r="R134" s="142">
        <f>SUM(C134:C138)+SUM(E134:E138)+SUM(G134:G138)+SUM(I134:I138)+SUM(K134:K138)+SUM(M134:M138)+SUM(O134:O138)</f>
        <v/>
      </c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68">
      <c r="A135" s="9" t="n"/>
      <c r="B135" s="9" t="n"/>
      <c r="C135" s="153">
        <f t="array" ref="C135">IF(IFERROR(-INDEX(Expenses!D$3:D$999,SMALL(IF((Expenses!E$3:E$999="INR")*(Expenses!A$3:A$999=DATE(2026,6,29)),ROW(Expenses!A$3:A$999)-2),2)),0)+IFERROR(INDEX(Income!C$3:C$502,SMALL(IF((Income!D$3:D$502="INR")*(Income!A$3:A$502=DATE(2026,6,29)),ROW(Income!A$3:A$502)-2),2)),0)=0,"",IFERROR(-INDEX(Expenses!D$3:D$999,SMALL(IF((Expenses!E$3:E$999="INR")*(Expenses!A$3:A$999=DATE(2026,6,29)),ROW(Expenses!A$3:A$999)-2),2)),0)+IFERROR(INDEX(Income!C$3:C$502,SMALL(IF((Income!D$3:D$502="INR")*(Income!A$3:A$502=DATE(2026,6,29)),ROW(Income!A$3:A$502)-2),2)),0))</f>
        <v/>
      </c>
      <c r="D135" s="126">
        <f t="array" ref="D135">IF(IFERROR(INDEX(Expenses!B$3:B$999,SMALL(IF((Expenses!E$3:E$999="INR")*(Expenses!A$3:A$999=DATE(2026,6,29)),ROW(Expenses!A$3:A$999)-2),2)),"")&lt;&gt;"",IFERROR(INDEX(Expenses!B$3:B$999,SMALL(IF((Expenses!E$3:E$999="INR")*(Expenses!A$3:A$999=DATE(2026,6,29)),ROW(Expenses!A$3:A$999)-2),2)),""),IF(IFERROR(INDEX(Income!B$3:B$502,SMALL(IF((Income!D$3:D$502="INR")*(Income!A$3:A$502=DATE(2026,6,29)),ROW(Income!A$3:A$502)-2),2)),"")&lt;&gt;"",IFERROR(INDEX(Income!B$3:B$502,SMALL(IF((Income!D$3:D$502="INR")*(Income!A$3:A$502=DATE(2026,6,29)),ROW(Income!A$3:A$502)-2),2)),""),""))</f>
        <v/>
      </c>
      <c r="E135" s="153">
        <f t="array" ref="E135">IF(IFERROR(-INDEX(Expenses!D$3:D$999,SMALL(IF((Expenses!E$3:E$999="INR")*(Expenses!A$3:A$999=DATE(2026,6,30)),ROW(Expenses!A$3:A$999)-2),2)),0)+IFERROR(INDEX(Income!C$3:C$502,SMALL(IF((Income!D$3:D$502="INR")*(Income!A$3:A$502=DATE(2026,6,30)),ROW(Income!A$3:A$502)-2),2)),0)=0,"",IFERROR(-INDEX(Expenses!D$3:D$999,SMALL(IF((Expenses!E$3:E$999="INR")*(Expenses!A$3:A$999=DATE(2026,6,30)),ROW(Expenses!A$3:A$999)-2),2)),0)+IFERROR(INDEX(Income!C$3:C$502,SMALL(IF((Income!D$3:D$502="INR")*(Income!A$3:A$502=DATE(2026,6,30)),ROW(Income!A$3:A$502)-2),2)),0))</f>
        <v/>
      </c>
      <c r="F135" s="126">
        <f t="array" ref="F135">IF(IFERROR(INDEX(Expenses!B$3:B$999,SMALL(IF((Expenses!E$3:E$999="INR")*(Expenses!A$3:A$999=DATE(2026,6,30)),ROW(Expenses!A$3:A$999)-2),2)),"")&lt;&gt;"",IFERROR(INDEX(Expenses!B$3:B$999,SMALL(IF((Expenses!E$3:E$999="INR")*(Expenses!A$3:A$999=DATE(2026,6,30)),ROW(Expenses!A$3:A$999)-2),2)),""),IF(IFERROR(INDEX(Income!B$3:B$502,SMALL(IF((Income!D$3:D$502="INR")*(Income!A$3:A$502=DATE(2026,6,30)),ROW(Income!A$3:A$502)-2),2)),"")&lt;&gt;"",IFERROR(INDEX(Income!B$3:B$502,SMALL(IF((Income!D$3:D$502="INR")*(Income!A$3:A$502=DATE(2026,6,30)),ROW(Income!A$3:A$502)-2),2)),""),""))</f>
        <v/>
      </c>
      <c r="G135" s="153">
        <f t="array" ref="G135">IF(IFERROR(-INDEX(Expenses!D$3:D$999,SMALL(IF((Expenses!E$3:E$999="INR")*(Expenses!A$3:A$999=DATE(2026,7,1)),ROW(Expenses!A$3:A$999)-2),2)),0)+IFERROR(INDEX(Income!C$3:C$502,SMALL(IF((Income!D$3:D$502="INR")*(Income!A$3:A$502=DATE(2026,7,1)),ROW(Income!A$3:A$502)-2),2)),0)=0,"",IFERROR(-INDEX(Expenses!D$3:D$999,SMALL(IF((Expenses!E$3:E$999="INR")*(Expenses!A$3:A$999=DATE(2026,7,1)),ROW(Expenses!A$3:A$999)-2),2)),0)+IFERROR(INDEX(Income!C$3:C$502,SMALL(IF((Income!D$3:D$502="INR")*(Income!A$3:A$502=DATE(2026,7,1)),ROW(Income!A$3:A$502)-2),2)),0))</f>
        <v/>
      </c>
      <c r="H135" s="126">
        <f t="array" ref="H135">IF(IFERROR(INDEX(Expenses!B$3:B$999,SMALL(IF((Expenses!E$3:E$999="INR")*(Expenses!A$3:A$999=DATE(2026,7,1)),ROW(Expenses!A$3:A$999)-2),2)),"")&lt;&gt;"",IFERROR(INDEX(Expenses!B$3:B$999,SMALL(IF((Expenses!E$3:E$999="INR")*(Expenses!A$3:A$999=DATE(2026,7,1)),ROW(Expenses!A$3:A$999)-2),2)),""),IF(IFERROR(INDEX(Income!B$3:B$502,SMALL(IF((Income!D$3:D$502="INR")*(Income!A$3:A$502=DATE(2026,7,1)),ROW(Income!A$3:A$502)-2),2)),"")&lt;&gt;"",IFERROR(INDEX(Income!B$3:B$502,SMALL(IF((Income!D$3:D$502="INR")*(Income!A$3:A$502=DATE(2026,7,1)),ROW(Income!A$3:A$502)-2),2)),""),""))</f>
        <v/>
      </c>
      <c r="I135" s="153">
        <f t="array" ref="I135">IF(IFERROR(-INDEX(Expenses!D$3:D$999,SMALL(IF((Expenses!E$3:E$999="INR")*(Expenses!A$3:A$999=DATE(2026,7,2)),ROW(Expenses!A$3:A$999)-2),2)),0)+IFERROR(INDEX(Income!C$3:C$502,SMALL(IF((Income!D$3:D$502="INR")*(Income!A$3:A$502=DATE(2026,7,2)),ROW(Income!A$3:A$502)-2),2)),0)=0,"",IFERROR(-INDEX(Expenses!D$3:D$999,SMALL(IF((Expenses!E$3:E$999="INR")*(Expenses!A$3:A$999=DATE(2026,7,2)),ROW(Expenses!A$3:A$999)-2),2)),0)+IFERROR(INDEX(Income!C$3:C$502,SMALL(IF((Income!D$3:D$502="INR")*(Income!A$3:A$502=DATE(2026,7,2)),ROW(Income!A$3:A$502)-2),2)),0))</f>
        <v/>
      </c>
      <c r="J135" s="126">
        <f t="array" ref="J135">IF(IFERROR(INDEX(Expenses!B$3:B$999,SMALL(IF((Expenses!E$3:E$999="INR")*(Expenses!A$3:A$999=DATE(2026,7,2)),ROW(Expenses!A$3:A$999)-2),2)),"")&lt;&gt;"",IFERROR(INDEX(Expenses!B$3:B$999,SMALL(IF((Expenses!E$3:E$999="INR")*(Expenses!A$3:A$999=DATE(2026,7,2)),ROW(Expenses!A$3:A$999)-2),2)),""),IF(IFERROR(INDEX(Income!B$3:B$502,SMALL(IF((Income!D$3:D$502="INR")*(Income!A$3:A$502=DATE(2026,7,2)),ROW(Income!A$3:A$502)-2),2)),"")&lt;&gt;"",IFERROR(INDEX(Income!B$3:B$502,SMALL(IF((Income!D$3:D$502="INR")*(Income!A$3:A$502=DATE(2026,7,2)),ROW(Income!A$3:A$502)-2),2)),""),""))</f>
        <v/>
      </c>
      <c r="K135" s="153">
        <f t="array" ref="K135">IF(IFERROR(-INDEX(Expenses!D$3:D$999,SMALL(IF((Expenses!E$3:E$999="INR")*(Expenses!A$3:A$999=DATE(2026,7,3)),ROW(Expenses!A$3:A$999)-2),2)),0)+IFERROR(INDEX(Income!C$3:C$502,SMALL(IF((Income!D$3:D$502="INR")*(Income!A$3:A$502=DATE(2026,7,3)),ROW(Income!A$3:A$502)-2),2)),0)=0,"",IFERROR(-INDEX(Expenses!D$3:D$999,SMALL(IF((Expenses!E$3:E$999="INR")*(Expenses!A$3:A$999=DATE(2026,7,3)),ROW(Expenses!A$3:A$999)-2),2)),0)+IFERROR(INDEX(Income!C$3:C$502,SMALL(IF((Income!D$3:D$502="INR")*(Income!A$3:A$502=DATE(2026,7,3)),ROW(Income!A$3:A$502)-2),2)),0))</f>
        <v/>
      </c>
      <c r="L135" s="126">
        <f t="array" ref="L135">IF(IFERROR(INDEX(Expenses!B$3:B$999,SMALL(IF((Expenses!E$3:E$999="INR")*(Expenses!A$3:A$999=DATE(2026,7,3)),ROW(Expenses!A$3:A$999)-2),2)),"")&lt;&gt;"",IFERROR(INDEX(Expenses!B$3:B$999,SMALL(IF((Expenses!E$3:E$999="INR")*(Expenses!A$3:A$999=DATE(2026,7,3)),ROW(Expenses!A$3:A$999)-2),2)),""),IF(IFERROR(INDEX(Income!B$3:B$502,SMALL(IF((Income!D$3:D$502="INR")*(Income!A$3:A$502=DATE(2026,7,3)),ROW(Income!A$3:A$502)-2),2)),"")&lt;&gt;"",IFERROR(INDEX(Income!B$3:B$502,SMALL(IF((Income!D$3:D$502="INR")*(Income!A$3:A$502=DATE(2026,7,3)),ROW(Income!A$3:A$502)-2),2)),""),""))</f>
        <v/>
      </c>
      <c r="M135" s="153">
        <f t="array" ref="M135">IF(IFERROR(-INDEX(Expenses!D$3:D$999,SMALL(IF((Expenses!E$3:E$999="INR")*(Expenses!A$3:A$999=DATE(2026,7,4)),ROW(Expenses!A$3:A$999)-2),2)),0)+IFERROR(INDEX(Income!C$3:C$502,SMALL(IF((Income!D$3:D$502="INR")*(Income!A$3:A$502=DATE(2026,7,4)),ROW(Income!A$3:A$502)-2),2)),0)=0,"",IFERROR(-INDEX(Expenses!D$3:D$999,SMALL(IF((Expenses!E$3:E$999="INR")*(Expenses!A$3:A$999=DATE(2026,7,4)),ROW(Expenses!A$3:A$999)-2),2)),0)+IFERROR(INDEX(Income!C$3:C$502,SMALL(IF((Income!D$3:D$502="INR")*(Income!A$3:A$502=DATE(2026,7,4)),ROW(Income!A$3:A$502)-2),2)),0))</f>
        <v/>
      </c>
      <c r="N135" s="126">
        <f t="array" ref="N135">IF(IFERROR(INDEX(Expenses!B$3:B$999,SMALL(IF((Expenses!E$3:E$999="INR")*(Expenses!A$3:A$999=DATE(2026,7,4)),ROW(Expenses!A$3:A$999)-2),2)),"")&lt;&gt;"",IFERROR(INDEX(Expenses!B$3:B$999,SMALL(IF((Expenses!E$3:E$999="INR")*(Expenses!A$3:A$999=DATE(2026,7,4)),ROW(Expenses!A$3:A$999)-2),2)),""),IF(IFERROR(INDEX(Income!B$3:B$502,SMALL(IF((Income!D$3:D$502="INR")*(Income!A$3:A$502=DATE(2026,7,4)),ROW(Income!A$3:A$502)-2),2)),"")&lt;&gt;"",IFERROR(INDEX(Income!B$3:B$502,SMALL(IF((Income!D$3:D$502="INR")*(Income!A$3:A$502=DATE(2026,7,4)),ROW(Income!A$3:A$502)-2),2)),""),""))</f>
        <v/>
      </c>
      <c r="O135" s="153">
        <f t="array" ref="O135">IF(IFERROR(-INDEX(Expenses!D$3:D$999,SMALL(IF((Expenses!E$3:E$999="INR")*(Expenses!A$3:A$999=DATE(2026,7,5)),ROW(Expenses!A$3:A$999)-2),2)),0)+IFERROR(INDEX(Income!C$3:C$502,SMALL(IF((Income!D$3:D$502="INR")*(Income!A$3:A$502=DATE(2026,7,5)),ROW(Income!A$3:A$502)-2),2)),0)=0,"",IFERROR(-INDEX(Expenses!D$3:D$999,SMALL(IF((Expenses!E$3:E$999="INR")*(Expenses!A$3:A$999=DATE(2026,7,5)),ROW(Expenses!A$3:A$999)-2),2)),0)+IFERROR(INDEX(Income!C$3:C$502,SMALL(IF((Income!D$3:D$502="INR")*(Income!A$3:A$502=DATE(2026,7,5)),ROW(Income!A$3:A$502)-2),2)),0))</f>
        <v/>
      </c>
      <c r="P135" s="126">
        <f t="array" ref="P135">IF(IFERROR(INDEX(Expenses!B$3:B$999,SMALL(IF((Expenses!E$3:E$999="INR")*(Expenses!A$3:A$999=DATE(2026,7,5)),ROW(Expenses!A$3:A$999)-2),2)),"")&lt;&gt;"",IFERROR(INDEX(Expenses!B$3:B$999,SMALL(IF((Expenses!E$3:E$999="INR")*(Expenses!A$3:A$999=DATE(2026,7,5)),ROW(Expenses!A$3:A$999)-2),2)),""),IF(IFERROR(INDEX(Income!B$3:B$502,SMALL(IF((Income!D$3:D$502="INR")*(Income!A$3:A$502=DATE(2026,7,5)),ROW(Income!A$3:A$502)-2),2)),"")&lt;&gt;"",IFERROR(INDEX(Income!B$3:B$502,SMALL(IF((Income!D$3:D$502="INR")*(Income!A$3:A$502=DATE(2026,7,5)),ROW(Income!A$3:A$502)-2),2)),""),""))</f>
        <v/>
      </c>
      <c r="Q135" s="9" t="n"/>
      <c r="R135" s="9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68">
      <c r="A136" s="9" t="n"/>
      <c r="B136" s="9" t="n"/>
      <c r="C136" s="153">
        <f t="array" ref="C136">IF(IFERROR(-INDEX(Expenses!D$3:D$999,SMALL(IF((Expenses!E$3:E$999="INR")*(Expenses!A$3:A$999=DATE(2026,6,29)),ROW(Expenses!A$3:A$999)-2),3)),0)+IFERROR(INDEX(Income!C$3:C$502,SMALL(IF((Income!D$3:D$502="INR")*(Income!A$3:A$502=DATE(2026,6,29)),ROW(Income!A$3:A$502)-2),3)),0)=0,"",IFERROR(-INDEX(Expenses!D$3:D$999,SMALL(IF((Expenses!E$3:E$999="INR")*(Expenses!A$3:A$999=DATE(2026,6,29)),ROW(Expenses!A$3:A$999)-2),3)),0)+IFERROR(INDEX(Income!C$3:C$502,SMALL(IF((Income!D$3:D$502="INR")*(Income!A$3:A$502=DATE(2026,6,29)),ROW(Income!A$3:A$502)-2),3)),0))</f>
        <v/>
      </c>
      <c r="D136" s="126">
        <f t="array" ref="D136">IF(IFERROR(INDEX(Expenses!B$3:B$999,SMALL(IF((Expenses!E$3:E$999="INR")*(Expenses!A$3:A$999=DATE(2026,6,29)),ROW(Expenses!A$3:A$999)-2),3)),"")&lt;&gt;"",IFERROR(INDEX(Expenses!B$3:B$999,SMALL(IF((Expenses!E$3:E$999="INR")*(Expenses!A$3:A$999=DATE(2026,6,29)),ROW(Expenses!A$3:A$999)-2),3)),""),IF(IFERROR(INDEX(Income!B$3:B$502,SMALL(IF((Income!D$3:D$502="INR")*(Income!A$3:A$502=DATE(2026,6,29)),ROW(Income!A$3:A$502)-2),3)),"")&lt;&gt;"",IFERROR(INDEX(Income!B$3:B$502,SMALL(IF((Income!D$3:D$502="INR")*(Income!A$3:A$502=DATE(2026,6,29)),ROW(Income!A$3:A$502)-2),3)),""),""))</f>
        <v/>
      </c>
      <c r="E136" s="153">
        <f t="array" ref="E136">IF(IFERROR(-INDEX(Expenses!D$3:D$999,SMALL(IF((Expenses!E$3:E$999="INR")*(Expenses!A$3:A$999=DATE(2026,6,30)),ROW(Expenses!A$3:A$999)-2),3)),0)+IFERROR(INDEX(Income!C$3:C$502,SMALL(IF((Income!D$3:D$502="INR")*(Income!A$3:A$502=DATE(2026,6,30)),ROW(Income!A$3:A$502)-2),3)),0)=0,"",IFERROR(-INDEX(Expenses!D$3:D$999,SMALL(IF((Expenses!E$3:E$999="INR")*(Expenses!A$3:A$999=DATE(2026,6,30)),ROW(Expenses!A$3:A$999)-2),3)),0)+IFERROR(INDEX(Income!C$3:C$502,SMALL(IF((Income!D$3:D$502="INR")*(Income!A$3:A$502=DATE(2026,6,30)),ROW(Income!A$3:A$502)-2),3)),0))</f>
        <v/>
      </c>
      <c r="F136" s="126">
        <f t="array" ref="F136">IF(IFERROR(INDEX(Expenses!B$3:B$999,SMALL(IF((Expenses!E$3:E$999="INR")*(Expenses!A$3:A$999=DATE(2026,6,30)),ROW(Expenses!A$3:A$999)-2),3)),"")&lt;&gt;"",IFERROR(INDEX(Expenses!B$3:B$999,SMALL(IF((Expenses!E$3:E$999="INR")*(Expenses!A$3:A$999=DATE(2026,6,30)),ROW(Expenses!A$3:A$999)-2),3)),""),IF(IFERROR(INDEX(Income!B$3:B$502,SMALL(IF((Income!D$3:D$502="INR")*(Income!A$3:A$502=DATE(2026,6,30)),ROW(Income!A$3:A$502)-2),3)),"")&lt;&gt;"",IFERROR(INDEX(Income!B$3:B$502,SMALL(IF((Income!D$3:D$502="INR")*(Income!A$3:A$502=DATE(2026,6,30)),ROW(Income!A$3:A$502)-2),3)),""),""))</f>
        <v/>
      </c>
      <c r="G136" s="153">
        <f t="array" ref="G136">IF(IFERROR(-INDEX(Expenses!D$3:D$999,SMALL(IF((Expenses!E$3:E$999="INR")*(Expenses!A$3:A$999=DATE(2026,7,1)),ROW(Expenses!A$3:A$999)-2),3)),0)+IFERROR(INDEX(Income!C$3:C$502,SMALL(IF((Income!D$3:D$502="INR")*(Income!A$3:A$502=DATE(2026,7,1)),ROW(Income!A$3:A$502)-2),3)),0)=0,"",IFERROR(-INDEX(Expenses!D$3:D$999,SMALL(IF((Expenses!E$3:E$999="INR")*(Expenses!A$3:A$999=DATE(2026,7,1)),ROW(Expenses!A$3:A$999)-2),3)),0)+IFERROR(INDEX(Income!C$3:C$502,SMALL(IF((Income!D$3:D$502="INR")*(Income!A$3:A$502=DATE(2026,7,1)),ROW(Income!A$3:A$502)-2),3)),0))</f>
        <v/>
      </c>
      <c r="H136" s="126">
        <f t="array" ref="H136">IF(IFERROR(INDEX(Expenses!B$3:B$999,SMALL(IF((Expenses!E$3:E$999="INR")*(Expenses!A$3:A$999=DATE(2026,7,1)),ROW(Expenses!A$3:A$999)-2),3)),"")&lt;&gt;"",IFERROR(INDEX(Expenses!B$3:B$999,SMALL(IF((Expenses!E$3:E$999="INR")*(Expenses!A$3:A$999=DATE(2026,7,1)),ROW(Expenses!A$3:A$999)-2),3)),""),IF(IFERROR(INDEX(Income!B$3:B$502,SMALL(IF((Income!D$3:D$502="INR")*(Income!A$3:A$502=DATE(2026,7,1)),ROW(Income!A$3:A$502)-2),3)),"")&lt;&gt;"",IFERROR(INDEX(Income!B$3:B$502,SMALL(IF((Income!D$3:D$502="INR")*(Income!A$3:A$502=DATE(2026,7,1)),ROW(Income!A$3:A$502)-2),3)),""),""))</f>
        <v/>
      </c>
      <c r="I136" s="153">
        <f t="array" ref="I136">IF(IFERROR(-INDEX(Expenses!D$3:D$999,SMALL(IF((Expenses!E$3:E$999="INR")*(Expenses!A$3:A$999=DATE(2026,7,2)),ROW(Expenses!A$3:A$999)-2),3)),0)+IFERROR(INDEX(Income!C$3:C$502,SMALL(IF((Income!D$3:D$502="INR")*(Income!A$3:A$502=DATE(2026,7,2)),ROW(Income!A$3:A$502)-2),3)),0)=0,"",IFERROR(-INDEX(Expenses!D$3:D$999,SMALL(IF((Expenses!E$3:E$999="INR")*(Expenses!A$3:A$999=DATE(2026,7,2)),ROW(Expenses!A$3:A$999)-2),3)),0)+IFERROR(INDEX(Income!C$3:C$502,SMALL(IF((Income!D$3:D$502="INR")*(Income!A$3:A$502=DATE(2026,7,2)),ROW(Income!A$3:A$502)-2),3)),0))</f>
        <v/>
      </c>
      <c r="J136" s="126">
        <f t="array" ref="J136">IF(IFERROR(INDEX(Expenses!B$3:B$999,SMALL(IF((Expenses!E$3:E$999="INR")*(Expenses!A$3:A$999=DATE(2026,7,2)),ROW(Expenses!A$3:A$999)-2),3)),"")&lt;&gt;"",IFERROR(INDEX(Expenses!B$3:B$999,SMALL(IF((Expenses!E$3:E$999="INR")*(Expenses!A$3:A$999=DATE(2026,7,2)),ROW(Expenses!A$3:A$999)-2),3)),""),IF(IFERROR(INDEX(Income!B$3:B$502,SMALL(IF((Income!D$3:D$502="INR")*(Income!A$3:A$502=DATE(2026,7,2)),ROW(Income!A$3:A$502)-2),3)),"")&lt;&gt;"",IFERROR(INDEX(Income!B$3:B$502,SMALL(IF((Income!D$3:D$502="INR")*(Income!A$3:A$502=DATE(2026,7,2)),ROW(Income!A$3:A$502)-2),3)),""),""))</f>
        <v/>
      </c>
      <c r="K136" s="153">
        <f t="array" ref="K136">IF(IFERROR(-INDEX(Expenses!D$3:D$999,SMALL(IF((Expenses!E$3:E$999="INR")*(Expenses!A$3:A$999=DATE(2026,7,3)),ROW(Expenses!A$3:A$999)-2),3)),0)+IFERROR(INDEX(Income!C$3:C$502,SMALL(IF((Income!D$3:D$502="INR")*(Income!A$3:A$502=DATE(2026,7,3)),ROW(Income!A$3:A$502)-2),3)),0)=0,"",IFERROR(-INDEX(Expenses!D$3:D$999,SMALL(IF((Expenses!E$3:E$999="INR")*(Expenses!A$3:A$999=DATE(2026,7,3)),ROW(Expenses!A$3:A$999)-2),3)),0)+IFERROR(INDEX(Income!C$3:C$502,SMALL(IF((Income!D$3:D$502="INR")*(Income!A$3:A$502=DATE(2026,7,3)),ROW(Income!A$3:A$502)-2),3)),0))</f>
        <v/>
      </c>
      <c r="L136" s="126">
        <f t="array" ref="L136">IF(IFERROR(INDEX(Expenses!B$3:B$999,SMALL(IF((Expenses!E$3:E$999="INR")*(Expenses!A$3:A$999=DATE(2026,7,3)),ROW(Expenses!A$3:A$999)-2),3)),"")&lt;&gt;"",IFERROR(INDEX(Expenses!B$3:B$999,SMALL(IF((Expenses!E$3:E$999="INR")*(Expenses!A$3:A$999=DATE(2026,7,3)),ROW(Expenses!A$3:A$999)-2),3)),""),IF(IFERROR(INDEX(Income!B$3:B$502,SMALL(IF((Income!D$3:D$502="INR")*(Income!A$3:A$502=DATE(2026,7,3)),ROW(Income!A$3:A$502)-2),3)),"")&lt;&gt;"",IFERROR(INDEX(Income!B$3:B$502,SMALL(IF((Income!D$3:D$502="INR")*(Income!A$3:A$502=DATE(2026,7,3)),ROW(Income!A$3:A$502)-2),3)),""),""))</f>
        <v/>
      </c>
      <c r="M136" s="153">
        <f t="array" ref="M136">IF(IFERROR(-INDEX(Expenses!D$3:D$999,SMALL(IF((Expenses!E$3:E$999="INR")*(Expenses!A$3:A$999=DATE(2026,7,4)),ROW(Expenses!A$3:A$999)-2),3)),0)+IFERROR(INDEX(Income!C$3:C$502,SMALL(IF((Income!D$3:D$502="INR")*(Income!A$3:A$502=DATE(2026,7,4)),ROW(Income!A$3:A$502)-2),3)),0)=0,"",IFERROR(-INDEX(Expenses!D$3:D$999,SMALL(IF((Expenses!E$3:E$999="INR")*(Expenses!A$3:A$999=DATE(2026,7,4)),ROW(Expenses!A$3:A$999)-2),3)),0)+IFERROR(INDEX(Income!C$3:C$502,SMALL(IF((Income!D$3:D$502="INR")*(Income!A$3:A$502=DATE(2026,7,4)),ROW(Income!A$3:A$502)-2),3)),0))</f>
        <v/>
      </c>
      <c r="N136" s="126">
        <f t="array" ref="N136">IF(IFERROR(INDEX(Expenses!B$3:B$999,SMALL(IF((Expenses!E$3:E$999="INR")*(Expenses!A$3:A$999=DATE(2026,7,4)),ROW(Expenses!A$3:A$999)-2),3)),"")&lt;&gt;"",IFERROR(INDEX(Expenses!B$3:B$999,SMALL(IF((Expenses!E$3:E$999="INR")*(Expenses!A$3:A$999=DATE(2026,7,4)),ROW(Expenses!A$3:A$999)-2),3)),""),IF(IFERROR(INDEX(Income!B$3:B$502,SMALL(IF((Income!D$3:D$502="INR")*(Income!A$3:A$502=DATE(2026,7,4)),ROW(Income!A$3:A$502)-2),3)),"")&lt;&gt;"",IFERROR(INDEX(Income!B$3:B$502,SMALL(IF((Income!D$3:D$502="INR")*(Income!A$3:A$502=DATE(2026,7,4)),ROW(Income!A$3:A$502)-2),3)),""),""))</f>
        <v/>
      </c>
      <c r="O136" s="153">
        <f t="array" ref="O136">IF(IFERROR(-INDEX(Expenses!D$3:D$999,SMALL(IF((Expenses!E$3:E$999="INR")*(Expenses!A$3:A$999=DATE(2026,7,5)),ROW(Expenses!A$3:A$999)-2),3)),0)+IFERROR(INDEX(Income!C$3:C$502,SMALL(IF((Income!D$3:D$502="INR")*(Income!A$3:A$502=DATE(2026,7,5)),ROW(Income!A$3:A$502)-2),3)),0)=0,"",IFERROR(-INDEX(Expenses!D$3:D$999,SMALL(IF((Expenses!E$3:E$999="INR")*(Expenses!A$3:A$999=DATE(2026,7,5)),ROW(Expenses!A$3:A$999)-2),3)),0)+IFERROR(INDEX(Income!C$3:C$502,SMALL(IF((Income!D$3:D$502="INR")*(Income!A$3:A$502=DATE(2026,7,5)),ROW(Income!A$3:A$502)-2),3)),0))</f>
        <v/>
      </c>
      <c r="P136" s="126">
        <f t="array" ref="P136">IF(IFERROR(INDEX(Expenses!B$3:B$999,SMALL(IF((Expenses!E$3:E$999="INR")*(Expenses!A$3:A$999=DATE(2026,7,5)),ROW(Expenses!A$3:A$999)-2),3)),"")&lt;&gt;"",IFERROR(INDEX(Expenses!B$3:B$999,SMALL(IF((Expenses!E$3:E$999="INR")*(Expenses!A$3:A$999=DATE(2026,7,5)),ROW(Expenses!A$3:A$999)-2),3)),""),IF(IFERROR(INDEX(Income!B$3:B$502,SMALL(IF((Income!D$3:D$502="INR")*(Income!A$3:A$502=DATE(2026,7,5)),ROW(Income!A$3:A$502)-2),3)),"")&lt;&gt;"",IFERROR(INDEX(Income!B$3:B$502,SMALL(IF((Income!D$3:D$502="INR")*(Income!A$3:A$502=DATE(2026,7,5)),ROW(Income!A$3:A$502)-2),3)),""),""))</f>
        <v/>
      </c>
      <c r="Q136" s="9" t="n"/>
      <c r="R136" s="9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68">
      <c r="A137" s="9" t="n"/>
      <c r="B137" s="9" t="n"/>
      <c r="C137" s="153">
        <f t="array" ref="C137">IF(IFERROR(-INDEX(Expenses!D$3:D$999,SMALL(IF((Expenses!E$3:E$999="INR")*(Expenses!A$3:A$999=DATE(2026,6,29)),ROW(Expenses!A$3:A$999)-2),4)),0)+IFERROR(INDEX(Income!C$3:C$502,SMALL(IF((Income!D$3:D$502="INR")*(Income!A$3:A$502=DATE(2026,6,29)),ROW(Income!A$3:A$502)-2),4)),0)=0,"",IFERROR(-INDEX(Expenses!D$3:D$999,SMALL(IF((Expenses!E$3:E$999="INR")*(Expenses!A$3:A$999=DATE(2026,6,29)),ROW(Expenses!A$3:A$999)-2),4)),0)+IFERROR(INDEX(Income!C$3:C$502,SMALL(IF((Income!D$3:D$502="INR")*(Income!A$3:A$502=DATE(2026,6,29)),ROW(Income!A$3:A$502)-2),4)),0))</f>
        <v/>
      </c>
      <c r="D137" s="126">
        <f t="array" ref="D137">IF(IFERROR(INDEX(Expenses!B$3:B$999,SMALL(IF((Expenses!E$3:E$999="INR")*(Expenses!A$3:A$999=DATE(2026,6,29)),ROW(Expenses!A$3:A$999)-2),4)),"")&lt;&gt;"",IFERROR(INDEX(Expenses!B$3:B$999,SMALL(IF((Expenses!E$3:E$999="INR")*(Expenses!A$3:A$999=DATE(2026,6,29)),ROW(Expenses!A$3:A$999)-2),4)),""),IF(IFERROR(INDEX(Income!B$3:B$502,SMALL(IF((Income!D$3:D$502="INR")*(Income!A$3:A$502=DATE(2026,6,29)),ROW(Income!A$3:A$502)-2),4)),"")&lt;&gt;"",IFERROR(INDEX(Income!B$3:B$502,SMALL(IF((Income!D$3:D$502="INR")*(Income!A$3:A$502=DATE(2026,6,29)),ROW(Income!A$3:A$502)-2),4)),""),""))</f>
        <v/>
      </c>
      <c r="E137" s="153">
        <f t="array" ref="E137">IF(IFERROR(-INDEX(Expenses!D$3:D$999,SMALL(IF((Expenses!E$3:E$999="INR")*(Expenses!A$3:A$999=DATE(2026,6,30)),ROW(Expenses!A$3:A$999)-2),4)),0)+IFERROR(INDEX(Income!C$3:C$502,SMALL(IF((Income!D$3:D$502="INR")*(Income!A$3:A$502=DATE(2026,6,30)),ROW(Income!A$3:A$502)-2),4)),0)=0,"",IFERROR(-INDEX(Expenses!D$3:D$999,SMALL(IF((Expenses!E$3:E$999="INR")*(Expenses!A$3:A$999=DATE(2026,6,30)),ROW(Expenses!A$3:A$999)-2),4)),0)+IFERROR(INDEX(Income!C$3:C$502,SMALL(IF((Income!D$3:D$502="INR")*(Income!A$3:A$502=DATE(2026,6,30)),ROW(Income!A$3:A$502)-2),4)),0))</f>
        <v/>
      </c>
      <c r="F137" s="126">
        <f t="array" ref="F137">IF(IFERROR(INDEX(Expenses!B$3:B$999,SMALL(IF((Expenses!E$3:E$999="INR")*(Expenses!A$3:A$999=DATE(2026,6,30)),ROW(Expenses!A$3:A$999)-2),4)),"")&lt;&gt;"",IFERROR(INDEX(Expenses!B$3:B$999,SMALL(IF((Expenses!E$3:E$999="INR")*(Expenses!A$3:A$999=DATE(2026,6,30)),ROW(Expenses!A$3:A$999)-2),4)),""),IF(IFERROR(INDEX(Income!B$3:B$502,SMALL(IF((Income!D$3:D$502="INR")*(Income!A$3:A$502=DATE(2026,6,30)),ROW(Income!A$3:A$502)-2),4)),"")&lt;&gt;"",IFERROR(INDEX(Income!B$3:B$502,SMALL(IF((Income!D$3:D$502="INR")*(Income!A$3:A$502=DATE(2026,6,30)),ROW(Income!A$3:A$502)-2),4)),""),""))</f>
        <v/>
      </c>
      <c r="G137" s="153">
        <f t="array" ref="G137">IF(IFERROR(-INDEX(Expenses!D$3:D$999,SMALL(IF((Expenses!E$3:E$999="INR")*(Expenses!A$3:A$999=DATE(2026,7,1)),ROW(Expenses!A$3:A$999)-2),4)),0)+IFERROR(INDEX(Income!C$3:C$502,SMALL(IF((Income!D$3:D$502="INR")*(Income!A$3:A$502=DATE(2026,7,1)),ROW(Income!A$3:A$502)-2),4)),0)=0,"",IFERROR(-INDEX(Expenses!D$3:D$999,SMALL(IF((Expenses!E$3:E$999="INR")*(Expenses!A$3:A$999=DATE(2026,7,1)),ROW(Expenses!A$3:A$999)-2),4)),0)+IFERROR(INDEX(Income!C$3:C$502,SMALL(IF((Income!D$3:D$502="INR")*(Income!A$3:A$502=DATE(2026,7,1)),ROW(Income!A$3:A$502)-2),4)),0))</f>
        <v/>
      </c>
      <c r="H137" s="126">
        <f t="array" ref="H137">IF(IFERROR(INDEX(Expenses!B$3:B$999,SMALL(IF((Expenses!E$3:E$999="INR")*(Expenses!A$3:A$999=DATE(2026,7,1)),ROW(Expenses!A$3:A$999)-2),4)),"")&lt;&gt;"",IFERROR(INDEX(Expenses!B$3:B$999,SMALL(IF((Expenses!E$3:E$999="INR")*(Expenses!A$3:A$999=DATE(2026,7,1)),ROW(Expenses!A$3:A$999)-2),4)),""),IF(IFERROR(INDEX(Income!B$3:B$502,SMALL(IF((Income!D$3:D$502="INR")*(Income!A$3:A$502=DATE(2026,7,1)),ROW(Income!A$3:A$502)-2),4)),"")&lt;&gt;"",IFERROR(INDEX(Income!B$3:B$502,SMALL(IF((Income!D$3:D$502="INR")*(Income!A$3:A$502=DATE(2026,7,1)),ROW(Income!A$3:A$502)-2),4)),""),""))</f>
        <v/>
      </c>
      <c r="I137" s="153">
        <f t="array" ref="I137">IF(IFERROR(-INDEX(Expenses!D$3:D$999,SMALL(IF((Expenses!E$3:E$999="INR")*(Expenses!A$3:A$999=DATE(2026,7,2)),ROW(Expenses!A$3:A$999)-2),4)),0)+IFERROR(INDEX(Income!C$3:C$502,SMALL(IF((Income!D$3:D$502="INR")*(Income!A$3:A$502=DATE(2026,7,2)),ROW(Income!A$3:A$502)-2),4)),0)=0,"",IFERROR(-INDEX(Expenses!D$3:D$999,SMALL(IF((Expenses!E$3:E$999="INR")*(Expenses!A$3:A$999=DATE(2026,7,2)),ROW(Expenses!A$3:A$999)-2),4)),0)+IFERROR(INDEX(Income!C$3:C$502,SMALL(IF((Income!D$3:D$502="INR")*(Income!A$3:A$502=DATE(2026,7,2)),ROW(Income!A$3:A$502)-2),4)),0))</f>
        <v/>
      </c>
      <c r="J137" s="126">
        <f t="array" ref="J137">IF(IFERROR(INDEX(Expenses!B$3:B$999,SMALL(IF((Expenses!E$3:E$999="INR")*(Expenses!A$3:A$999=DATE(2026,7,2)),ROW(Expenses!A$3:A$999)-2),4)),"")&lt;&gt;"",IFERROR(INDEX(Expenses!B$3:B$999,SMALL(IF((Expenses!E$3:E$999="INR")*(Expenses!A$3:A$999=DATE(2026,7,2)),ROW(Expenses!A$3:A$999)-2),4)),""),IF(IFERROR(INDEX(Income!B$3:B$502,SMALL(IF((Income!D$3:D$502="INR")*(Income!A$3:A$502=DATE(2026,7,2)),ROW(Income!A$3:A$502)-2),4)),"")&lt;&gt;"",IFERROR(INDEX(Income!B$3:B$502,SMALL(IF((Income!D$3:D$502="INR")*(Income!A$3:A$502=DATE(2026,7,2)),ROW(Income!A$3:A$502)-2),4)),""),""))</f>
        <v/>
      </c>
      <c r="K137" s="153">
        <f t="array" ref="K137">IF(IFERROR(-INDEX(Expenses!D$3:D$999,SMALL(IF((Expenses!E$3:E$999="INR")*(Expenses!A$3:A$999=DATE(2026,7,3)),ROW(Expenses!A$3:A$999)-2),4)),0)+IFERROR(INDEX(Income!C$3:C$502,SMALL(IF((Income!D$3:D$502="INR")*(Income!A$3:A$502=DATE(2026,7,3)),ROW(Income!A$3:A$502)-2),4)),0)=0,"",IFERROR(-INDEX(Expenses!D$3:D$999,SMALL(IF((Expenses!E$3:E$999="INR")*(Expenses!A$3:A$999=DATE(2026,7,3)),ROW(Expenses!A$3:A$999)-2),4)),0)+IFERROR(INDEX(Income!C$3:C$502,SMALL(IF((Income!D$3:D$502="INR")*(Income!A$3:A$502=DATE(2026,7,3)),ROW(Income!A$3:A$502)-2),4)),0))</f>
        <v/>
      </c>
      <c r="L137" s="126">
        <f t="array" ref="L137">IF(IFERROR(INDEX(Expenses!B$3:B$999,SMALL(IF((Expenses!E$3:E$999="INR")*(Expenses!A$3:A$999=DATE(2026,7,3)),ROW(Expenses!A$3:A$999)-2),4)),"")&lt;&gt;"",IFERROR(INDEX(Expenses!B$3:B$999,SMALL(IF((Expenses!E$3:E$999="INR")*(Expenses!A$3:A$999=DATE(2026,7,3)),ROW(Expenses!A$3:A$999)-2),4)),""),IF(IFERROR(INDEX(Income!B$3:B$502,SMALL(IF((Income!D$3:D$502="INR")*(Income!A$3:A$502=DATE(2026,7,3)),ROW(Income!A$3:A$502)-2),4)),"")&lt;&gt;"",IFERROR(INDEX(Income!B$3:B$502,SMALL(IF((Income!D$3:D$502="INR")*(Income!A$3:A$502=DATE(2026,7,3)),ROW(Income!A$3:A$502)-2),4)),""),""))</f>
        <v/>
      </c>
      <c r="M137" s="153">
        <f t="array" ref="M137">IF(IFERROR(-INDEX(Expenses!D$3:D$999,SMALL(IF((Expenses!E$3:E$999="INR")*(Expenses!A$3:A$999=DATE(2026,7,4)),ROW(Expenses!A$3:A$999)-2),4)),0)+IFERROR(INDEX(Income!C$3:C$502,SMALL(IF((Income!D$3:D$502="INR")*(Income!A$3:A$502=DATE(2026,7,4)),ROW(Income!A$3:A$502)-2),4)),0)=0,"",IFERROR(-INDEX(Expenses!D$3:D$999,SMALL(IF((Expenses!E$3:E$999="INR")*(Expenses!A$3:A$999=DATE(2026,7,4)),ROW(Expenses!A$3:A$999)-2),4)),0)+IFERROR(INDEX(Income!C$3:C$502,SMALL(IF((Income!D$3:D$502="INR")*(Income!A$3:A$502=DATE(2026,7,4)),ROW(Income!A$3:A$502)-2),4)),0))</f>
        <v/>
      </c>
      <c r="N137" s="126">
        <f t="array" ref="N137">IF(IFERROR(INDEX(Expenses!B$3:B$999,SMALL(IF((Expenses!E$3:E$999="INR")*(Expenses!A$3:A$999=DATE(2026,7,4)),ROW(Expenses!A$3:A$999)-2),4)),"")&lt;&gt;"",IFERROR(INDEX(Expenses!B$3:B$999,SMALL(IF((Expenses!E$3:E$999="INR")*(Expenses!A$3:A$999=DATE(2026,7,4)),ROW(Expenses!A$3:A$999)-2),4)),""),IF(IFERROR(INDEX(Income!B$3:B$502,SMALL(IF((Income!D$3:D$502="INR")*(Income!A$3:A$502=DATE(2026,7,4)),ROW(Income!A$3:A$502)-2),4)),"")&lt;&gt;"",IFERROR(INDEX(Income!B$3:B$502,SMALL(IF((Income!D$3:D$502="INR")*(Income!A$3:A$502=DATE(2026,7,4)),ROW(Income!A$3:A$502)-2),4)),""),""))</f>
        <v/>
      </c>
      <c r="O137" s="153">
        <f t="array" ref="O137">IF(IFERROR(-INDEX(Expenses!D$3:D$999,SMALL(IF((Expenses!E$3:E$999="INR")*(Expenses!A$3:A$999=DATE(2026,7,5)),ROW(Expenses!A$3:A$999)-2),4)),0)+IFERROR(INDEX(Income!C$3:C$502,SMALL(IF((Income!D$3:D$502="INR")*(Income!A$3:A$502=DATE(2026,7,5)),ROW(Income!A$3:A$502)-2),4)),0)=0,"",IFERROR(-INDEX(Expenses!D$3:D$999,SMALL(IF((Expenses!E$3:E$999="INR")*(Expenses!A$3:A$999=DATE(2026,7,5)),ROW(Expenses!A$3:A$999)-2),4)),0)+IFERROR(INDEX(Income!C$3:C$502,SMALL(IF((Income!D$3:D$502="INR")*(Income!A$3:A$502=DATE(2026,7,5)),ROW(Income!A$3:A$502)-2),4)),0))</f>
        <v/>
      </c>
      <c r="P137" s="126">
        <f t="array" ref="P137">IF(IFERROR(INDEX(Expenses!B$3:B$999,SMALL(IF((Expenses!E$3:E$999="INR")*(Expenses!A$3:A$999=DATE(2026,7,5)),ROW(Expenses!A$3:A$999)-2),4)),"")&lt;&gt;"",IFERROR(INDEX(Expenses!B$3:B$999,SMALL(IF((Expenses!E$3:E$999="INR")*(Expenses!A$3:A$999=DATE(2026,7,5)),ROW(Expenses!A$3:A$999)-2),4)),""),IF(IFERROR(INDEX(Income!B$3:B$502,SMALL(IF((Income!D$3:D$502="INR")*(Income!A$3:A$502=DATE(2026,7,5)),ROW(Income!A$3:A$502)-2),4)),"")&lt;&gt;"",IFERROR(INDEX(Income!B$3:B$502,SMALL(IF((Income!D$3:D$502="INR")*(Income!A$3:A$502=DATE(2026,7,5)),ROW(Income!A$3:A$502)-2),4)),""),""))</f>
        <v/>
      </c>
      <c r="Q137" s="9" t="n"/>
      <c r="R137" s="9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68">
      <c r="A138" s="9" t="n"/>
      <c r="B138" s="9" t="n"/>
      <c r="C138" s="153">
        <f t="array" ref="C138">IF(IFERROR(-INDEX(Expenses!D$3:D$999,SMALL(IF((Expenses!E$3:E$999="INR")*(Expenses!A$3:A$999=DATE(2026,6,29)),ROW(Expenses!A$3:A$999)-2),5)),0)+IFERROR(INDEX(Income!C$3:C$502,SMALL(IF((Income!D$3:D$502="INR")*(Income!A$3:A$502=DATE(2026,6,29)),ROW(Income!A$3:A$502)-2),5)),0)=0,"",IFERROR(-INDEX(Expenses!D$3:D$999,SMALL(IF((Expenses!E$3:E$999="INR")*(Expenses!A$3:A$999=DATE(2026,6,29)),ROW(Expenses!A$3:A$999)-2),5)),0)+IFERROR(INDEX(Income!C$3:C$502,SMALL(IF((Income!D$3:D$502="INR")*(Income!A$3:A$502=DATE(2026,6,29)),ROW(Income!A$3:A$502)-2),5)),0))</f>
        <v/>
      </c>
      <c r="D138" s="126">
        <f t="array" ref="D138">IF(IFERROR(INDEX(Expenses!B$3:B$999,SMALL(IF((Expenses!E$3:E$999="INR")*(Expenses!A$3:A$999=DATE(2026,6,29)),ROW(Expenses!A$3:A$999)-2),5)),"")&lt;&gt;"",IFERROR(INDEX(Expenses!B$3:B$999,SMALL(IF((Expenses!E$3:E$999="INR")*(Expenses!A$3:A$999=DATE(2026,6,29)),ROW(Expenses!A$3:A$999)-2),5)),""),IF(IFERROR(INDEX(Income!B$3:B$502,SMALL(IF((Income!D$3:D$502="INR")*(Income!A$3:A$502=DATE(2026,6,29)),ROW(Income!A$3:A$502)-2),5)),"")&lt;&gt;"",IFERROR(INDEX(Income!B$3:B$502,SMALL(IF((Income!D$3:D$502="INR")*(Income!A$3:A$502=DATE(2026,6,29)),ROW(Income!A$3:A$502)-2),5)),""),""))</f>
        <v/>
      </c>
      <c r="E138" s="153">
        <f t="array" ref="E138">IF(IFERROR(-INDEX(Expenses!D$3:D$999,SMALL(IF((Expenses!E$3:E$999="INR")*(Expenses!A$3:A$999=DATE(2026,6,30)),ROW(Expenses!A$3:A$999)-2),5)),0)+IFERROR(INDEX(Income!C$3:C$502,SMALL(IF((Income!D$3:D$502="INR")*(Income!A$3:A$502=DATE(2026,6,30)),ROW(Income!A$3:A$502)-2),5)),0)=0,"",IFERROR(-INDEX(Expenses!D$3:D$999,SMALL(IF((Expenses!E$3:E$999="INR")*(Expenses!A$3:A$999=DATE(2026,6,30)),ROW(Expenses!A$3:A$999)-2),5)),0)+IFERROR(INDEX(Income!C$3:C$502,SMALL(IF((Income!D$3:D$502="INR")*(Income!A$3:A$502=DATE(2026,6,30)),ROW(Income!A$3:A$502)-2),5)),0))</f>
        <v/>
      </c>
      <c r="F138" s="126">
        <f t="array" ref="F138">IF(IFERROR(INDEX(Expenses!B$3:B$999,SMALL(IF((Expenses!E$3:E$999="INR")*(Expenses!A$3:A$999=DATE(2026,6,30)),ROW(Expenses!A$3:A$999)-2),5)),"")&lt;&gt;"",IFERROR(INDEX(Expenses!B$3:B$999,SMALL(IF((Expenses!E$3:E$999="INR")*(Expenses!A$3:A$999=DATE(2026,6,30)),ROW(Expenses!A$3:A$999)-2),5)),""),IF(IFERROR(INDEX(Income!B$3:B$502,SMALL(IF((Income!D$3:D$502="INR")*(Income!A$3:A$502=DATE(2026,6,30)),ROW(Income!A$3:A$502)-2),5)),"")&lt;&gt;"",IFERROR(INDEX(Income!B$3:B$502,SMALL(IF((Income!D$3:D$502="INR")*(Income!A$3:A$502=DATE(2026,6,30)),ROW(Income!A$3:A$502)-2),5)),""),""))</f>
        <v/>
      </c>
      <c r="G138" s="153">
        <f t="array" ref="G138">IF(IFERROR(-INDEX(Expenses!D$3:D$999,SMALL(IF((Expenses!E$3:E$999="INR")*(Expenses!A$3:A$999=DATE(2026,7,1)),ROW(Expenses!A$3:A$999)-2),5)),0)+IFERROR(INDEX(Income!C$3:C$502,SMALL(IF((Income!D$3:D$502="INR")*(Income!A$3:A$502=DATE(2026,7,1)),ROW(Income!A$3:A$502)-2),5)),0)=0,"",IFERROR(-INDEX(Expenses!D$3:D$999,SMALL(IF((Expenses!E$3:E$999="INR")*(Expenses!A$3:A$999=DATE(2026,7,1)),ROW(Expenses!A$3:A$999)-2),5)),0)+IFERROR(INDEX(Income!C$3:C$502,SMALL(IF((Income!D$3:D$502="INR")*(Income!A$3:A$502=DATE(2026,7,1)),ROW(Income!A$3:A$502)-2),5)),0))</f>
        <v/>
      </c>
      <c r="H138" s="126">
        <f t="array" ref="H138">IF(IFERROR(INDEX(Expenses!B$3:B$999,SMALL(IF((Expenses!E$3:E$999="INR")*(Expenses!A$3:A$999=DATE(2026,7,1)),ROW(Expenses!A$3:A$999)-2),5)),"")&lt;&gt;"",IFERROR(INDEX(Expenses!B$3:B$999,SMALL(IF((Expenses!E$3:E$999="INR")*(Expenses!A$3:A$999=DATE(2026,7,1)),ROW(Expenses!A$3:A$999)-2),5)),""),IF(IFERROR(INDEX(Income!B$3:B$502,SMALL(IF((Income!D$3:D$502="INR")*(Income!A$3:A$502=DATE(2026,7,1)),ROW(Income!A$3:A$502)-2),5)),"")&lt;&gt;"",IFERROR(INDEX(Income!B$3:B$502,SMALL(IF((Income!D$3:D$502="INR")*(Income!A$3:A$502=DATE(2026,7,1)),ROW(Income!A$3:A$502)-2),5)),""),""))</f>
        <v/>
      </c>
      <c r="I138" s="153">
        <f t="array" ref="I138">IF(IFERROR(-INDEX(Expenses!D$3:D$999,SMALL(IF((Expenses!E$3:E$999="INR")*(Expenses!A$3:A$999=DATE(2026,7,2)),ROW(Expenses!A$3:A$999)-2),5)),0)+IFERROR(INDEX(Income!C$3:C$502,SMALL(IF((Income!D$3:D$502="INR")*(Income!A$3:A$502=DATE(2026,7,2)),ROW(Income!A$3:A$502)-2),5)),0)=0,"",IFERROR(-INDEX(Expenses!D$3:D$999,SMALL(IF((Expenses!E$3:E$999="INR")*(Expenses!A$3:A$999=DATE(2026,7,2)),ROW(Expenses!A$3:A$999)-2),5)),0)+IFERROR(INDEX(Income!C$3:C$502,SMALL(IF((Income!D$3:D$502="INR")*(Income!A$3:A$502=DATE(2026,7,2)),ROW(Income!A$3:A$502)-2),5)),0))</f>
        <v/>
      </c>
      <c r="J138" s="126">
        <f t="array" ref="J138">IF(IFERROR(INDEX(Expenses!B$3:B$999,SMALL(IF((Expenses!E$3:E$999="INR")*(Expenses!A$3:A$999=DATE(2026,7,2)),ROW(Expenses!A$3:A$999)-2),5)),"")&lt;&gt;"",IFERROR(INDEX(Expenses!B$3:B$999,SMALL(IF((Expenses!E$3:E$999="INR")*(Expenses!A$3:A$999=DATE(2026,7,2)),ROW(Expenses!A$3:A$999)-2),5)),""),IF(IFERROR(INDEX(Income!B$3:B$502,SMALL(IF((Income!D$3:D$502="INR")*(Income!A$3:A$502=DATE(2026,7,2)),ROW(Income!A$3:A$502)-2),5)),"")&lt;&gt;"",IFERROR(INDEX(Income!B$3:B$502,SMALL(IF((Income!D$3:D$502="INR")*(Income!A$3:A$502=DATE(2026,7,2)),ROW(Income!A$3:A$502)-2),5)),""),""))</f>
        <v/>
      </c>
      <c r="K138" s="153">
        <f t="array" ref="K138">IF(IFERROR(-INDEX(Expenses!D$3:D$999,SMALL(IF((Expenses!E$3:E$999="INR")*(Expenses!A$3:A$999=DATE(2026,7,3)),ROW(Expenses!A$3:A$999)-2),5)),0)+IFERROR(INDEX(Income!C$3:C$502,SMALL(IF((Income!D$3:D$502="INR")*(Income!A$3:A$502=DATE(2026,7,3)),ROW(Income!A$3:A$502)-2),5)),0)=0,"",IFERROR(-INDEX(Expenses!D$3:D$999,SMALL(IF((Expenses!E$3:E$999="INR")*(Expenses!A$3:A$999=DATE(2026,7,3)),ROW(Expenses!A$3:A$999)-2),5)),0)+IFERROR(INDEX(Income!C$3:C$502,SMALL(IF((Income!D$3:D$502="INR")*(Income!A$3:A$502=DATE(2026,7,3)),ROW(Income!A$3:A$502)-2),5)),0))</f>
        <v/>
      </c>
      <c r="L138" s="126">
        <f t="array" ref="L138">IF(IFERROR(INDEX(Expenses!B$3:B$999,SMALL(IF((Expenses!E$3:E$999="INR")*(Expenses!A$3:A$999=DATE(2026,7,3)),ROW(Expenses!A$3:A$999)-2),5)),"")&lt;&gt;"",IFERROR(INDEX(Expenses!B$3:B$999,SMALL(IF((Expenses!E$3:E$999="INR")*(Expenses!A$3:A$999=DATE(2026,7,3)),ROW(Expenses!A$3:A$999)-2),5)),""),IF(IFERROR(INDEX(Income!B$3:B$502,SMALL(IF((Income!D$3:D$502="INR")*(Income!A$3:A$502=DATE(2026,7,3)),ROW(Income!A$3:A$502)-2),5)),"")&lt;&gt;"",IFERROR(INDEX(Income!B$3:B$502,SMALL(IF((Income!D$3:D$502="INR")*(Income!A$3:A$502=DATE(2026,7,3)),ROW(Income!A$3:A$502)-2),5)),""),""))</f>
        <v/>
      </c>
      <c r="M138" s="153">
        <f t="array" ref="M138">IF(IFERROR(-INDEX(Expenses!D$3:D$999,SMALL(IF((Expenses!E$3:E$999="INR")*(Expenses!A$3:A$999=DATE(2026,7,4)),ROW(Expenses!A$3:A$999)-2),5)),0)+IFERROR(INDEX(Income!C$3:C$502,SMALL(IF((Income!D$3:D$502="INR")*(Income!A$3:A$502=DATE(2026,7,4)),ROW(Income!A$3:A$502)-2),5)),0)=0,"",IFERROR(-INDEX(Expenses!D$3:D$999,SMALL(IF((Expenses!E$3:E$999="INR")*(Expenses!A$3:A$999=DATE(2026,7,4)),ROW(Expenses!A$3:A$999)-2),5)),0)+IFERROR(INDEX(Income!C$3:C$502,SMALL(IF((Income!D$3:D$502="INR")*(Income!A$3:A$502=DATE(2026,7,4)),ROW(Income!A$3:A$502)-2),5)),0))</f>
        <v/>
      </c>
      <c r="N138" s="126">
        <f t="array" ref="N138">IF(IFERROR(INDEX(Expenses!B$3:B$999,SMALL(IF((Expenses!E$3:E$999="INR")*(Expenses!A$3:A$999=DATE(2026,7,4)),ROW(Expenses!A$3:A$999)-2),5)),"")&lt;&gt;"",IFERROR(INDEX(Expenses!B$3:B$999,SMALL(IF((Expenses!E$3:E$999="INR")*(Expenses!A$3:A$999=DATE(2026,7,4)),ROW(Expenses!A$3:A$999)-2),5)),""),IF(IFERROR(INDEX(Income!B$3:B$502,SMALL(IF((Income!D$3:D$502="INR")*(Income!A$3:A$502=DATE(2026,7,4)),ROW(Income!A$3:A$502)-2),5)),"")&lt;&gt;"",IFERROR(INDEX(Income!B$3:B$502,SMALL(IF((Income!D$3:D$502="INR")*(Income!A$3:A$502=DATE(2026,7,4)),ROW(Income!A$3:A$502)-2),5)),""),""))</f>
        <v/>
      </c>
      <c r="O138" s="153">
        <f t="array" ref="O138">IF(IFERROR(-INDEX(Expenses!D$3:D$999,SMALL(IF((Expenses!E$3:E$999="INR")*(Expenses!A$3:A$999=DATE(2026,7,5)),ROW(Expenses!A$3:A$999)-2),5)),0)+IFERROR(INDEX(Income!C$3:C$502,SMALL(IF((Income!D$3:D$502="INR")*(Income!A$3:A$502=DATE(2026,7,5)),ROW(Income!A$3:A$502)-2),5)),0)=0,"",IFERROR(-INDEX(Expenses!D$3:D$999,SMALL(IF((Expenses!E$3:E$999="INR")*(Expenses!A$3:A$999=DATE(2026,7,5)),ROW(Expenses!A$3:A$999)-2),5)),0)+IFERROR(INDEX(Income!C$3:C$502,SMALL(IF((Income!D$3:D$502="INR")*(Income!A$3:A$502=DATE(2026,7,5)),ROW(Income!A$3:A$502)-2),5)),0))</f>
        <v/>
      </c>
      <c r="P138" s="126">
        <f t="array" ref="P138">IF(IFERROR(INDEX(Expenses!B$3:B$999,SMALL(IF((Expenses!E$3:E$999="INR")*(Expenses!A$3:A$999=DATE(2026,7,5)),ROW(Expenses!A$3:A$999)-2),5)),"")&lt;&gt;"",IFERROR(INDEX(Expenses!B$3:B$999,SMALL(IF((Expenses!E$3:E$999="INR")*(Expenses!A$3:A$999=DATE(2026,7,5)),ROW(Expenses!A$3:A$999)-2),5)),""),IF(IFERROR(INDEX(Income!B$3:B$502,SMALL(IF((Income!D$3:D$502="INR")*(Income!A$3:A$502=DATE(2026,7,5)),ROW(Income!A$3:A$502)-2),5)),"")&lt;&gt;"",IFERROR(INDEX(Income!B$3:B$502,SMALL(IF((Income!D$3:D$502="INR")*(Income!A$3:A$502=DATE(2026,7,5)),ROW(Income!A$3:A$502)-2),5)),""),""))</f>
        <v/>
      </c>
      <c r="Q138" s="9" t="n"/>
      <c r="R138" s="9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68">
      <c r="A139" s="151" t="n">
        <v>46209</v>
      </c>
      <c r="B139" s="103" t="n">
        <v>28</v>
      </c>
      <c r="C139" s="153">
        <f t="array" ref="C139">IF(IFERROR(-INDEX(Expenses!D$3:D$999,SMALL(IF((Expenses!E$3:E$999="INR")*(Expenses!A$3:A$999=DATE(2026,7,6)),ROW(Expenses!A$3:A$999)-2),1)),0)+IFERROR(INDEX(Income!C$3:C$502,SMALL(IF((Income!D$3:D$502="INR")*(Income!A$3:A$502=DATE(2026,7,6)),ROW(Income!A$3:A$502)-2),1)),0)=0,"",IFERROR(-INDEX(Expenses!D$3:D$999,SMALL(IF((Expenses!E$3:E$999="INR")*(Expenses!A$3:A$999=DATE(2026,7,6)),ROW(Expenses!A$3:A$999)-2),1)),0)+IFERROR(INDEX(Income!C$3:C$502,SMALL(IF((Income!D$3:D$502="INR")*(Income!A$3:A$502=DATE(2026,7,6)),ROW(Income!A$3:A$502)-2),1)),0))</f>
        <v/>
      </c>
      <c r="D139" s="126">
        <f t="array" ref="D139">IF(IFERROR(INDEX(Expenses!B$3:B$999,SMALL(IF((Expenses!E$3:E$999="INR")*(Expenses!A$3:A$999=DATE(2026,7,6)),ROW(Expenses!A$3:A$999)-2),1)),"")&lt;&gt;"",IFERROR(INDEX(Expenses!B$3:B$999,SMALL(IF((Expenses!E$3:E$999="INR")*(Expenses!A$3:A$999=DATE(2026,7,6)),ROW(Expenses!A$3:A$999)-2),1)),""),IF(IFERROR(INDEX(Income!B$3:B$502,SMALL(IF((Income!D$3:D$502="INR")*(Income!A$3:A$502=DATE(2026,7,6)),ROW(Income!A$3:A$502)-2),1)),"")&lt;&gt;"",IFERROR(INDEX(Income!B$3:B$502,SMALL(IF((Income!D$3:D$502="INR")*(Income!A$3:A$502=DATE(2026,7,6)),ROW(Income!A$3:A$502)-2),1)),""),""))</f>
        <v/>
      </c>
      <c r="E139" s="153">
        <f t="array" ref="E139">IF(IFERROR(-INDEX(Expenses!D$3:D$999,SMALL(IF((Expenses!E$3:E$999="INR")*(Expenses!A$3:A$999=DATE(2026,7,7)),ROW(Expenses!A$3:A$999)-2),1)),0)+IFERROR(INDEX(Income!C$3:C$502,SMALL(IF((Income!D$3:D$502="INR")*(Income!A$3:A$502=DATE(2026,7,7)),ROW(Income!A$3:A$502)-2),1)),0)=0,"",IFERROR(-INDEX(Expenses!D$3:D$999,SMALL(IF((Expenses!E$3:E$999="INR")*(Expenses!A$3:A$999=DATE(2026,7,7)),ROW(Expenses!A$3:A$999)-2),1)),0)+IFERROR(INDEX(Income!C$3:C$502,SMALL(IF((Income!D$3:D$502="INR")*(Income!A$3:A$502=DATE(2026,7,7)),ROW(Income!A$3:A$502)-2),1)),0))</f>
        <v/>
      </c>
      <c r="F139" s="126">
        <f t="array" ref="F139">IF(IFERROR(INDEX(Expenses!B$3:B$999,SMALL(IF((Expenses!E$3:E$999="INR")*(Expenses!A$3:A$999=DATE(2026,7,7)),ROW(Expenses!A$3:A$999)-2),1)),"")&lt;&gt;"",IFERROR(INDEX(Expenses!B$3:B$999,SMALL(IF((Expenses!E$3:E$999="INR")*(Expenses!A$3:A$999=DATE(2026,7,7)),ROW(Expenses!A$3:A$999)-2),1)),""),IF(IFERROR(INDEX(Income!B$3:B$502,SMALL(IF((Income!D$3:D$502="INR")*(Income!A$3:A$502=DATE(2026,7,7)),ROW(Income!A$3:A$502)-2),1)),"")&lt;&gt;"",IFERROR(INDEX(Income!B$3:B$502,SMALL(IF((Income!D$3:D$502="INR")*(Income!A$3:A$502=DATE(2026,7,7)),ROW(Income!A$3:A$502)-2),1)),""),""))</f>
        <v/>
      </c>
      <c r="G139" s="153">
        <f t="array" ref="G139">IF(IFERROR(-INDEX(Expenses!D$3:D$999,SMALL(IF((Expenses!E$3:E$999="INR")*(Expenses!A$3:A$999=DATE(2026,7,8)),ROW(Expenses!A$3:A$999)-2),1)),0)+IFERROR(INDEX(Income!C$3:C$502,SMALL(IF((Income!D$3:D$502="INR")*(Income!A$3:A$502=DATE(2026,7,8)),ROW(Income!A$3:A$502)-2),1)),0)=0,"",IFERROR(-INDEX(Expenses!D$3:D$999,SMALL(IF((Expenses!E$3:E$999="INR")*(Expenses!A$3:A$999=DATE(2026,7,8)),ROW(Expenses!A$3:A$999)-2),1)),0)+IFERROR(INDEX(Income!C$3:C$502,SMALL(IF((Income!D$3:D$502="INR")*(Income!A$3:A$502=DATE(2026,7,8)),ROW(Income!A$3:A$502)-2),1)),0))</f>
        <v/>
      </c>
      <c r="H139" s="126">
        <f t="array" ref="H139">IF(IFERROR(INDEX(Expenses!B$3:B$999,SMALL(IF((Expenses!E$3:E$999="INR")*(Expenses!A$3:A$999=DATE(2026,7,8)),ROW(Expenses!A$3:A$999)-2),1)),"")&lt;&gt;"",IFERROR(INDEX(Expenses!B$3:B$999,SMALL(IF((Expenses!E$3:E$999="INR")*(Expenses!A$3:A$999=DATE(2026,7,8)),ROW(Expenses!A$3:A$999)-2),1)),""),IF(IFERROR(INDEX(Income!B$3:B$502,SMALL(IF((Income!D$3:D$502="INR")*(Income!A$3:A$502=DATE(2026,7,8)),ROW(Income!A$3:A$502)-2),1)),"")&lt;&gt;"",IFERROR(INDEX(Income!B$3:B$502,SMALL(IF((Income!D$3:D$502="INR")*(Income!A$3:A$502=DATE(2026,7,8)),ROW(Income!A$3:A$502)-2),1)),""),""))</f>
        <v/>
      </c>
      <c r="I139" s="153">
        <f t="array" ref="I139">IF(IFERROR(-INDEX(Expenses!D$3:D$999,SMALL(IF((Expenses!E$3:E$999="INR")*(Expenses!A$3:A$999=DATE(2026,7,9)),ROW(Expenses!A$3:A$999)-2),1)),0)+IFERROR(INDEX(Income!C$3:C$502,SMALL(IF((Income!D$3:D$502="INR")*(Income!A$3:A$502=DATE(2026,7,9)),ROW(Income!A$3:A$502)-2),1)),0)=0,"",IFERROR(-INDEX(Expenses!D$3:D$999,SMALL(IF((Expenses!E$3:E$999="INR")*(Expenses!A$3:A$999=DATE(2026,7,9)),ROW(Expenses!A$3:A$999)-2),1)),0)+IFERROR(INDEX(Income!C$3:C$502,SMALL(IF((Income!D$3:D$502="INR")*(Income!A$3:A$502=DATE(2026,7,9)),ROW(Income!A$3:A$502)-2),1)),0))</f>
        <v/>
      </c>
      <c r="J139" s="126">
        <f t="array" ref="J139">IF(IFERROR(INDEX(Expenses!B$3:B$999,SMALL(IF((Expenses!E$3:E$999="INR")*(Expenses!A$3:A$999=DATE(2026,7,9)),ROW(Expenses!A$3:A$999)-2),1)),"")&lt;&gt;"",IFERROR(INDEX(Expenses!B$3:B$999,SMALL(IF((Expenses!E$3:E$999="INR")*(Expenses!A$3:A$999=DATE(2026,7,9)),ROW(Expenses!A$3:A$999)-2),1)),""),IF(IFERROR(INDEX(Income!B$3:B$502,SMALL(IF((Income!D$3:D$502="INR")*(Income!A$3:A$502=DATE(2026,7,9)),ROW(Income!A$3:A$502)-2),1)),"")&lt;&gt;"",IFERROR(INDEX(Income!B$3:B$502,SMALL(IF((Income!D$3:D$502="INR")*(Income!A$3:A$502=DATE(2026,7,9)),ROW(Income!A$3:A$502)-2),1)),""),""))</f>
        <v/>
      </c>
      <c r="K139" s="153">
        <f t="array" ref="K139">IF(IFERROR(-INDEX(Expenses!D$3:D$999,SMALL(IF((Expenses!E$3:E$999="INR")*(Expenses!A$3:A$999=DATE(2026,7,10)),ROW(Expenses!A$3:A$999)-2),1)),0)+IFERROR(INDEX(Income!C$3:C$502,SMALL(IF((Income!D$3:D$502="INR")*(Income!A$3:A$502=DATE(2026,7,10)),ROW(Income!A$3:A$502)-2),1)),0)=0,"",IFERROR(-INDEX(Expenses!D$3:D$999,SMALL(IF((Expenses!E$3:E$999="INR")*(Expenses!A$3:A$999=DATE(2026,7,10)),ROW(Expenses!A$3:A$999)-2),1)),0)+IFERROR(INDEX(Income!C$3:C$502,SMALL(IF((Income!D$3:D$502="INR")*(Income!A$3:A$502=DATE(2026,7,10)),ROW(Income!A$3:A$502)-2),1)),0))</f>
        <v/>
      </c>
      <c r="L139" s="126">
        <f t="array" ref="L139">IF(IFERROR(INDEX(Expenses!B$3:B$999,SMALL(IF((Expenses!E$3:E$999="INR")*(Expenses!A$3:A$999=DATE(2026,7,10)),ROW(Expenses!A$3:A$999)-2),1)),"")&lt;&gt;"",IFERROR(INDEX(Expenses!B$3:B$999,SMALL(IF((Expenses!E$3:E$999="INR")*(Expenses!A$3:A$999=DATE(2026,7,10)),ROW(Expenses!A$3:A$999)-2),1)),""),IF(IFERROR(INDEX(Income!B$3:B$502,SMALL(IF((Income!D$3:D$502="INR")*(Income!A$3:A$502=DATE(2026,7,10)),ROW(Income!A$3:A$502)-2),1)),"")&lt;&gt;"",IFERROR(INDEX(Income!B$3:B$502,SMALL(IF((Income!D$3:D$502="INR")*(Income!A$3:A$502=DATE(2026,7,10)),ROW(Income!A$3:A$502)-2),1)),""),""))</f>
        <v/>
      </c>
      <c r="M139" s="153">
        <f t="array" ref="M139">IF(IFERROR(-INDEX(Expenses!D$3:D$999,SMALL(IF((Expenses!E$3:E$999="INR")*(Expenses!A$3:A$999=DATE(2026,7,11)),ROW(Expenses!A$3:A$999)-2),1)),0)+IFERROR(INDEX(Income!C$3:C$502,SMALL(IF((Income!D$3:D$502="INR")*(Income!A$3:A$502=DATE(2026,7,11)),ROW(Income!A$3:A$502)-2),1)),0)=0,"",IFERROR(-INDEX(Expenses!D$3:D$999,SMALL(IF((Expenses!E$3:E$999="INR")*(Expenses!A$3:A$999=DATE(2026,7,11)),ROW(Expenses!A$3:A$999)-2),1)),0)+IFERROR(INDEX(Income!C$3:C$502,SMALL(IF((Income!D$3:D$502="INR")*(Income!A$3:A$502=DATE(2026,7,11)),ROW(Income!A$3:A$502)-2),1)),0))</f>
        <v/>
      </c>
      <c r="N139" s="126">
        <f t="array" ref="N139">IF(IFERROR(INDEX(Expenses!B$3:B$999,SMALL(IF((Expenses!E$3:E$999="INR")*(Expenses!A$3:A$999=DATE(2026,7,11)),ROW(Expenses!A$3:A$999)-2),1)),"")&lt;&gt;"",IFERROR(INDEX(Expenses!B$3:B$999,SMALL(IF((Expenses!E$3:E$999="INR")*(Expenses!A$3:A$999=DATE(2026,7,11)),ROW(Expenses!A$3:A$999)-2),1)),""),IF(IFERROR(INDEX(Income!B$3:B$502,SMALL(IF((Income!D$3:D$502="INR")*(Income!A$3:A$502=DATE(2026,7,11)),ROW(Income!A$3:A$502)-2),1)),"")&lt;&gt;"",IFERROR(INDEX(Income!B$3:B$502,SMALL(IF((Income!D$3:D$502="INR")*(Income!A$3:A$502=DATE(2026,7,11)),ROW(Income!A$3:A$502)-2),1)),""),""))</f>
        <v/>
      </c>
      <c r="O139" s="153">
        <f t="array" ref="O139">IF(IFERROR(-INDEX(Expenses!D$3:D$999,SMALL(IF((Expenses!E$3:E$999="INR")*(Expenses!A$3:A$999=DATE(2026,7,12)),ROW(Expenses!A$3:A$999)-2),1)),0)+IFERROR(INDEX(Income!C$3:C$502,SMALL(IF((Income!D$3:D$502="INR")*(Income!A$3:A$502=DATE(2026,7,12)),ROW(Income!A$3:A$502)-2),1)),0)=0,"",IFERROR(-INDEX(Expenses!D$3:D$999,SMALL(IF((Expenses!E$3:E$999="INR")*(Expenses!A$3:A$999=DATE(2026,7,12)),ROW(Expenses!A$3:A$999)-2),1)),0)+IFERROR(INDEX(Income!C$3:C$502,SMALL(IF((Income!D$3:D$502="INR")*(Income!A$3:A$502=DATE(2026,7,12)),ROW(Income!A$3:A$502)-2),1)),0))</f>
        <v/>
      </c>
      <c r="P139" s="126">
        <f t="array" ref="P139">IF(IFERROR(INDEX(Expenses!B$3:B$999,SMALL(IF((Expenses!E$3:E$999="INR")*(Expenses!A$3:A$999=DATE(2026,7,12)),ROW(Expenses!A$3:A$999)-2),1)),"")&lt;&gt;"",IFERROR(INDEX(Expenses!B$3:B$999,SMALL(IF((Expenses!E$3:E$999="INR")*(Expenses!A$3:A$999=DATE(2026,7,12)),ROW(Expenses!A$3:A$999)-2),1)),""),IF(IFERROR(INDEX(Income!B$3:B$502,SMALL(IF((Income!D$3:D$502="INR")*(Income!A$3:A$502=DATE(2026,7,12)),ROW(Income!A$3:A$502)-2),1)),"")&lt;&gt;"",IFERROR(INDEX(Income!B$3:B$502,SMALL(IF((Income!D$3:D$502="INR")*(Income!A$3:A$502=DATE(2026,7,12)),ROW(Income!A$3:A$502)-2),1)),""),""))</f>
        <v/>
      </c>
      <c r="Q139" s="103" t="n">
        <v>28</v>
      </c>
      <c r="R139" s="142">
        <f>SUM(C139:C143)+SUM(E139:E143)+SUM(G139:G143)+SUM(I139:I143)+SUM(K139:K143)+SUM(M139:M143)+SUM(O139:O143)</f>
        <v/>
      </c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68">
      <c r="A140" s="9" t="n"/>
      <c r="B140" s="9" t="n"/>
      <c r="C140" s="153">
        <f t="array" ref="C140">IF(IFERROR(-INDEX(Expenses!D$3:D$999,SMALL(IF((Expenses!E$3:E$999="INR")*(Expenses!A$3:A$999=DATE(2026,7,6)),ROW(Expenses!A$3:A$999)-2),2)),0)+IFERROR(INDEX(Income!C$3:C$502,SMALL(IF((Income!D$3:D$502="INR")*(Income!A$3:A$502=DATE(2026,7,6)),ROW(Income!A$3:A$502)-2),2)),0)=0,"",IFERROR(-INDEX(Expenses!D$3:D$999,SMALL(IF((Expenses!E$3:E$999="INR")*(Expenses!A$3:A$999=DATE(2026,7,6)),ROW(Expenses!A$3:A$999)-2),2)),0)+IFERROR(INDEX(Income!C$3:C$502,SMALL(IF((Income!D$3:D$502="INR")*(Income!A$3:A$502=DATE(2026,7,6)),ROW(Income!A$3:A$502)-2),2)),0))</f>
        <v/>
      </c>
      <c r="D140" s="126">
        <f t="array" ref="D140">IF(IFERROR(INDEX(Expenses!B$3:B$999,SMALL(IF((Expenses!E$3:E$999="INR")*(Expenses!A$3:A$999=DATE(2026,7,6)),ROW(Expenses!A$3:A$999)-2),2)),"")&lt;&gt;"",IFERROR(INDEX(Expenses!B$3:B$999,SMALL(IF((Expenses!E$3:E$999="INR")*(Expenses!A$3:A$999=DATE(2026,7,6)),ROW(Expenses!A$3:A$999)-2),2)),""),IF(IFERROR(INDEX(Income!B$3:B$502,SMALL(IF((Income!D$3:D$502="INR")*(Income!A$3:A$502=DATE(2026,7,6)),ROW(Income!A$3:A$502)-2),2)),"")&lt;&gt;"",IFERROR(INDEX(Income!B$3:B$502,SMALL(IF((Income!D$3:D$502="INR")*(Income!A$3:A$502=DATE(2026,7,6)),ROW(Income!A$3:A$502)-2),2)),""),""))</f>
        <v/>
      </c>
      <c r="E140" s="153">
        <f t="array" ref="E140">IF(IFERROR(-INDEX(Expenses!D$3:D$999,SMALL(IF((Expenses!E$3:E$999="INR")*(Expenses!A$3:A$999=DATE(2026,7,7)),ROW(Expenses!A$3:A$999)-2),2)),0)+IFERROR(INDEX(Income!C$3:C$502,SMALL(IF((Income!D$3:D$502="INR")*(Income!A$3:A$502=DATE(2026,7,7)),ROW(Income!A$3:A$502)-2),2)),0)=0,"",IFERROR(-INDEX(Expenses!D$3:D$999,SMALL(IF((Expenses!E$3:E$999="INR")*(Expenses!A$3:A$999=DATE(2026,7,7)),ROW(Expenses!A$3:A$999)-2),2)),0)+IFERROR(INDEX(Income!C$3:C$502,SMALL(IF((Income!D$3:D$502="INR")*(Income!A$3:A$502=DATE(2026,7,7)),ROW(Income!A$3:A$502)-2),2)),0))</f>
        <v/>
      </c>
      <c r="F140" s="126">
        <f t="array" ref="F140">IF(IFERROR(INDEX(Expenses!B$3:B$999,SMALL(IF((Expenses!E$3:E$999="INR")*(Expenses!A$3:A$999=DATE(2026,7,7)),ROW(Expenses!A$3:A$999)-2),2)),"")&lt;&gt;"",IFERROR(INDEX(Expenses!B$3:B$999,SMALL(IF((Expenses!E$3:E$999="INR")*(Expenses!A$3:A$999=DATE(2026,7,7)),ROW(Expenses!A$3:A$999)-2),2)),""),IF(IFERROR(INDEX(Income!B$3:B$502,SMALL(IF((Income!D$3:D$502="INR")*(Income!A$3:A$502=DATE(2026,7,7)),ROW(Income!A$3:A$502)-2),2)),"")&lt;&gt;"",IFERROR(INDEX(Income!B$3:B$502,SMALL(IF((Income!D$3:D$502="INR")*(Income!A$3:A$502=DATE(2026,7,7)),ROW(Income!A$3:A$502)-2),2)),""),""))</f>
        <v/>
      </c>
      <c r="G140" s="153">
        <f t="array" ref="G140">IF(IFERROR(-INDEX(Expenses!D$3:D$999,SMALL(IF((Expenses!E$3:E$999="INR")*(Expenses!A$3:A$999=DATE(2026,7,8)),ROW(Expenses!A$3:A$999)-2),2)),0)+IFERROR(INDEX(Income!C$3:C$502,SMALL(IF((Income!D$3:D$502="INR")*(Income!A$3:A$502=DATE(2026,7,8)),ROW(Income!A$3:A$502)-2),2)),0)=0,"",IFERROR(-INDEX(Expenses!D$3:D$999,SMALL(IF((Expenses!E$3:E$999="INR")*(Expenses!A$3:A$999=DATE(2026,7,8)),ROW(Expenses!A$3:A$999)-2),2)),0)+IFERROR(INDEX(Income!C$3:C$502,SMALL(IF((Income!D$3:D$502="INR")*(Income!A$3:A$502=DATE(2026,7,8)),ROW(Income!A$3:A$502)-2),2)),0))</f>
        <v/>
      </c>
      <c r="H140" s="126">
        <f t="array" ref="H140">IF(IFERROR(INDEX(Expenses!B$3:B$999,SMALL(IF((Expenses!E$3:E$999="INR")*(Expenses!A$3:A$999=DATE(2026,7,8)),ROW(Expenses!A$3:A$999)-2),2)),"")&lt;&gt;"",IFERROR(INDEX(Expenses!B$3:B$999,SMALL(IF((Expenses!E$3:E$999="INR")*(Expenses!A$3:A$999=DATE(2026,7,8)),ROW(Expenses!A$3:A$999)-2),2)),""),IF(IFERROR(INDEX(Income!B$3:B$502,SMALL(IF((Income!D$3:D$502="INR")*(Income!A$3:A$502=DATE(2026,7,8)),ROW(Income!A$3:A$502)-2),2)),"")&lt;&gt;"",IFERROR(INDEX(Income!B$3:B$502,SMALL(IF((Income!D$3:D$502="INR")*(Income!A$3:A$502=DATE(2026,7,8)),ROW(Income!A$3:A$502)-2),2)),""),""))</f>
        <v/>
      </c>
      <c r="I140" s="153">
        <f t="array" ref="I140">IF(IFERROR(-INDEX(Expenses!D$3:D$999,SMALL(IF((Expenses!E$3:E$999="INR")*(Expenses!A$3:A$999=DATE(2026,7,9)),ROW(Expenses!A$3:A$999)-2),2)),0)+IFERROR(INDEX(Income!C$3:C$502,SMALL(IF((Income!D$3:D$502="INR")*(Income!A$3:A$502=DATE(2026,7,9)),ROW(Income!A$3:A$502)-2),2)),0)=0,"",IFERROR(-INDEX(Expenses!D$3:D$999,SMALL(IF((Expenses!E$3:E$999="INR")*(Expenses!A$3:A$999=DATE(2026,7,9)),ROW(Expenses!A$3:A$999)-2),2)),0)+IFERROR(INDEX(Income!C$3:C$502,SMALL(IF((Income!D$3:D$502="INR")*(Income!A$3:A$502=DATE(2026,7,9)),ROW(Income!A$3:A$502)-2),2)),0))</f>
        <v/>
      </c>
      <c r="J140" s="126">
        <f t="array" ref="J140">IF(IFERROR(INDEX(Expenses!B$3:B$999,SMALL(IF((Expenses!E$3:E$999="INR")*(Expenses!A$3:A$999=DATE(2026,7,9)),ROW(Expenses!A$3:A$999)-2),2)),"")&lt;&gt;"",IFERROR(INDEX(Expenses!B$3:B$999,SMALL(IF((Expenses!E$3:E$999="INR")*(Expenses!A$3:A$999=DATE(2026,7,9)),ROW(Expenses!A$3:A$999)-2),2)),""),IF(IFERROR(INDEX(Income!B$3:B$502,SMALL(IF((Income!D$3:D$502="INR")*(Income!A$3:A$502=DATE(2026,7,9)),ROW(Income!A$3:A$502)-2),2)),"")&lt;&gt;"",IFERROR(INDEX(Income!B$3:B$502,SMALL(IF((Income!D$3:D$502="INR")*(Income!A$3:A$502=DATE(2026,7,9)),ROW(Income!A$3:A$502)-2),2)),""),""))</f>
        <v/>
      </c>
      <c r="K140" s="153">
        <f t="array" ref="K140">IF(IFERROR(-INDEX(Expenses!D$3:D$999,SMALL(IF((Expenses!E$3:E$999="INR")*(Expenses!A$3:A$999=DATE(2026,7,10)),ROW(Expenses!A$3:A$999)-2),2)),0)+IFERROR(INDEX(Income!C$3:C$502,SMALL(IF((Income!D$3:D$502="INR")*(Income!A$3:A$502=DATE(2026,7,10)),ROW(Income!A$3:A$502)-2),2)),0)=0,"",IFERROR(-INDEX(Expenses!D$3:D$999,SMALL(IF((Expenses!E$3:E$999="INR")*(Expenses!A$3:A$999=DATE(2026,7,10)),ROW(Expenses!A$3:A$999)-2),2)),0)+IFERROR(INDEX(Income!C$3:C$502,SMALL(IF((Income!D$3:D$502="INR")*(Income!A$3:A$502=DATE(2026,7,10)),ROW(Income!A$3:A$502)-2),2)),0))</f>
        <v/>
      </c>
      <c r="L140" s="126">
        <f t="array" ref="L140">IF(IFERROR(INDEX(Expenses!B$3:B$999,SMALL(IF((Expenses!E$3:E$999="INR")*(Expenses!A$3:A$999=DATE(2026,7,10)),ROW(Expenses!A$3:A$999)-2),2)),"")&lt;&gt;"",IFERROR(INDEX(Expenses!B$3:B$999,SMALL(IF((Expenses!E$3:E$999="INR")*(Expenses!A$3:A$999=DATE(2026,7,10)),ROW(Expenses!A$3:A$999)-2),2)),""),IF(IFERROR(INDEX(Income!B$3:B$502,SMALL(IF((Income!D$3:D$502="INR")*(Income!A$3:A$502=DATE(2026,7,10)),ROW(Income!A$3:A$502)-2),2)),"")&lt;&gt;"",IFERROR(INDEX(Income!B$3:B$502,SMALL(IF((Income!D$3:D$502="INR")*(Income!A$3:A$502=DATE(2026,7,10)),ROW(Income!A$3:A$502)-2),2)),""),""))</f>
        <v/>
      </c>
      <c r="M140" s="153">
        <f t="array" ref="M140">IF(IFERROR(-INDEX(Expenses!D$3:D$999,SMALL(IF((Expenses!E$3:E$999="INR")*(Expenses!A$3:A$999=DATE(2026,7,11)),ROW(Expenses!A$3:A$999)-2),2)),0)+IFERROR(INDEX(Income!C$3:C$502,SMALL(IF((Income!D$3:D$502="INR")*(Income!A$3:A$502=DATE(2026,7,11)),ROW(Income!A$3:A$502)-2),2)),0)=0,"",IFERROR(-INDEX(Expenses!D$3:D$999,SMALL(IF((Expenses!E$3:E$999="INR")*(Expenses!A$3:A$999=DATE(2026,7,11)),ROW(Expenses!A$3:A$999)-2),2)),0)+IFERROR(INDEX(Income!C$3:C$502,SMALL(IF((Income!D$3:D$502="INR")*(Income!A$3:A$502=DATE(2026,7,11)),ROW(Income!A$3:A$502)-2),2)),0))</f>
        <v/>
      </c>
      <c r="N140" s="126">
        <f t="array" ref="N140">IF(IFERROR(INDEX(Expenses!B$3:B$999,SMALL(IF((Expenses!E$3:E$999="INR")*(Expenses!A$3:A$999=DATE(2026,7,11)),ROW(Expenses!A$3:A$999)-2),2)),"")&lt;&gt;"",IFERROR(INDEX(Expenses!B$3:B$999,SMALL(IF((Expenses!E$3:E$999="INR")*(Expenses!A$3:A$999=DATE(2026,7,11)),ROW(Expenses!A$3:A$999)-2),2)),""),IF(IFERROR(INDEX(Income!B$3:B$502,SMALL(IF((Income!D$3:D$502="INR")*(Income!A$3:A$502=DATE(2026,7,11)),ROW(Income!A$3:A$502)-2),2)),"")&lt;&gt;"",IFERROR(INDEX(Income!B$3:B$502,SMALL(IF((Income!D$3:D$502="INR")*(Income!A$3:A$502=DATE(2026,7,11)),ROW(Income!A$3:A$502)-2),2)),""),""))</f>
        <v/>
      </c>
      <c r="O140" s="153">
        <f t="array" ref="O140">IF(IFERROR(-INDEX(Expenses!D$3:D$999,SMALL(IF((Expenses!E$3:E$999="INR")*(Expenses!A$3:A$999=DATE(2026,7,12)),ROW(Expenses!A$3:A$999)-2),2)),0)+IFERROR(INDEX(Income!C$3:C$502,SMALL(IF((Income!D$3:D$502="INR")*(Income!A$3:A$502=DATE(2026,7,12)),ROW(Income!A$3:A$502)-2),2)),0)=0,"",IFERROR(-INDEX(Expenses!D$3:D$999,SMALL(IF((Expenses!E$3:E$999="INR")*(Expenses!A$3:A$999=DATE(2026,7,12)),ROW(Expenses!A$3:A$999)-2),2)),0)+IFERROR(INDEX(Income!C$3:C$502,SMALL(IF((Income!D$3:D$502="INR")*(Income!A$3:A$502=DATE(2026,7,12)),ROW(Income!A$3:A$502)-2),2)),0))</f>
        <v/>
      </c>
      <c r="P140" s="126">
        <f t="array" ref="P140">IF(IFERROR(INDEX(Expenses!B$3:B$999,SMALL(IF((Expenses!E$3:E$999="INR")*(Expenses!A$3:A$999=DATE(2026,7,12)),ROW(Expenses!A$3:A$999)-2),2)),"")&lt;&gt;"",IFERROR(INDEX(Expenses!B$3:B$999,SMALL(IF((Expenses!E$3:E$999="INR")*(Expenses!A$3:A$999=DATE(2026,7,12)),ROW(Expenses!A$3:A$999)-2),2)),""),IF(IFERROR(INDEX(Income!B$3:B$502,SMALL(IF((Income!D$3:D$502="INR")*(Income!A$3:A$502=DATE(2026,7,12)),ROW(Income!A$3:A$502)-2),2)),"")&lt;&gt;"",IFERROR(INDEX(Income!B$3:B$502,SMALL(IF((Income!D$3:D$502="INR")*(Income!A$3:A$502=DATE(2026,7,12)),ROW(Income!A$3:A$502)-2),2)),""),""))</f>
        <v/>
      </c>
      <c r="Q140" s="9" t="n"/>
      <c r="R140" s="9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68">
      <c r="A141" s="9" t="n"/>
      <c r="B141" s="9" t="n"/>
      <c r="C141" s="153">
        <f t="array" ref="C141">IF(IFERROR(-INDEX(Expenses!D$3:D$999,SMALL(IF((Expenses!E$3:E$999="INR")*(Expenses!A$3:A$999=DATE(2026,7,6)),ROW(Expenses!A$3:A$999)-2),3)),0)+IFERROR(INDEX(Income!C$3:C$502,SMALL(IF((Income!D$3:D$502="INR")*(Income!A$3:A$502=DATE(2026,7,6)),ROW(Income!A$3:A$502)-2),3)),0)=0,"",IFERROR(-INDEX(Expenses!D$3:D$999,SMALL(IF((Expenses!E$3:E$999="INR")*(Expenses!A$3:A$999=DATE(2026,7,6)),ROW(Expenses!A$3:A$999)-2),3)),0)+IFERROR(INDEX(Income!C$3:C$502,SMALL(IF((Income!D$3:D$502="INR")*(Income!A$3:A$502=DATE(2026,7,6)),ROW(Income!A$3:A$502)-2),3)),0))</f>
        <v/>
      </c>
      <c r="D141" s="126">
        <f t="array" ref="D141">IF(IFERROR(INDEX(Expenses!B$3:B$999,SMALL(IF((Expenses!E$3:E$999="INR")*(Expenses!A$3:A$999=DATE(2026,7,6)),ROW(Expenses!A$3:A$999)-2),3)),"")&lt;&gt;"",IFERROR(INDEX(Expenses!B$3:B$999,SMALL(IF((Expenses!E$3:E$999="INR")*(Expenses!A$3:A$999=DATE(2026,7,6)),ROW(Expenses!A$3:A$999)-2),3)),""),IF(IFERROR(INDEX(Income!B$3:B$502,SMALL(IF((Income!D$3:D$502="INR")*(Income!A$3:A$502=DATE(2026,7,6)),ROW(Income!A$3:A$502)-2),3)),"")&lt;&gt;"",IFERROR(INDEX(Income!B$3:B$502,SMALL(IF((Income!D$3:D$502="INR")*(Income!A$3:A$502=DATE(2026,7,6)),ROW(Income!A$3:A$502)-2),3)),""),""))</f>
        <v/>
      </c>
      <c r="E141" s="153">
        <f t="array" ref="E141">IF(IFERROR(-INDEX(Expenses!D$3:D$999,SMALL(IF((Expenses!E$3:E$999="INR")*(Expenses!A$3:A$999=DATE(2026,7,7)),ROW(Expenses!A$3:A$999)-2),3)),0)+IFERROR(INDEX(Income!C$3:C$502,SMALL(IF((Income!D$3:D$502="INR")*(Income!A$3:A$502=DATE(2026,7,7)),ROW(Income!A$3:A$502)-2),3)),0)=0,"",IFERROR(-INDEX(Expenses!D$3:D$999,SMALL(IF((Expenses!E$3:E$999="INR")*(Expenses!A$3:A$999=DATE(2026,7,7)),ROW(Expenses!A$3:A$999)-2),3)),0)+IFERROR(INDEX(Income!C$3:C$502,SMALL(IF((Income!D$3:D$502="INR")*(Income!A$3:A$502=DATE(2026,7,7)),ROW(Income!A$3:A$502)-2),3)),0))</f>
        <v/>
      </c>
      <c r="F141" s="126">
        <f t="array" ref="F141">IF(IFERROR(INDEX(Expenses!B$3:B$999,SMALL(IF((Expenses!E$3:E$999="INR")*(Expenses!A$3:A$999=DATE(2026,7,7)),ROW(Expenses!A$3:A$999)-2),3)),"")&lt;&gt;"",IFERROR(INDEX(Expenses!B$3:B$999,SMALL(IF((Expenses!E$3:E$999="INR")*(Expenses!A$3:A$999=DATE(2026,7,7)),ROW(Expenses!A$3:A$999)-2),3)),""),IF(IFERROR(INDEX(Income!B$3:B$502,SMALL(IF((Income!D$3:D$502="INR")*(Income!A$3:A$502=DATE(2026,7,7)),ROW(Income!A$3:A$502)-2),3)),"")&lt;&gt;"",IFERROR(INDEX(Income!B$3:B$502,SMALL(IF((Income!D$3:D$502="INR")*(Income!A$3:A$502=DATE(2026,7,7)),ROW(Income!A$3:A$502)-2),3)),""),""))</f>
        <v/>
      </c>
      <c r="G141" s="153">
        <f t="array" ref="G141">IF(IFERROR(-INDEX(Expenses!D$3:D$999,SMALL(IF((Expenses!E$3:E$999="INR")*(Expenses!A$3:A$999=DATE(2026,7,8)),ROW(Expenses!A$3:A$999)-2),3)),0)+IFERROR(INDEX(Income!C$3:C$502,SMALL(IF((Income!D$3:D$502="INR")*(Income!A$3:A$502=DATE(2026,7,8)),ROW(Income!A$3:A$502)-2),3)),0)=0,"",IFERROR(-INDEX(Expenses!D$3:D$999,SMALL(IF((Expenses!E$3:E$999="INR")*(Expenses!A$3:A$999=DATE(2026,7,8)),ROW(Expenses!A$3:A$999)-2),3)),0)+IFERROR(INDEX(Income!C$3:C$502,SMALL(IF((Income!D$3:D$502="INR")*(Income!A$3:A$502=DATE(2026,7,8)),ROW(Income!A$3:A$502)-2),3)),0))</f>
        <v/>
      </c>
      <c r="H141" s="126">
        <f t="array" ref="H141">IF(IFERROR(INDEX(Expenses!B$3:B$999,SMALL(IF((Expenses!E$3:E$999="INR")*(Expenses!A$3:A$999=DATE(2026,7,8)),ROW(Expenses!A$3:A$999)-2),3)),"")&lt;&gt;"",IFERROR(INDEX(Expenses!B$3:B$999,SMALL(IF((Expenses!E$3:E$999="INR")*(Expenses!A$3:A$999=DATE(2026,7,8)),ROW(Expenses!A$3:A$999)-2),3)),""),IF(IFERROR(INDEX(Income!B$3:B$502,SMALL(IF((Income!D$3:D$502="INR")*(Income!A$3:A$502=DATE(2026,7,8)),ROW(Income!A$3:A$502)-2),3)),"")&lt;&gt;"",IFERROR(INDEX(Income!B$3:B$502,SMALL(IF((Income!D$3:D$502="INR")*(Income!A$3:A$502=DATE(2026,7,8)),ROW(Income!A$3:A$502)-2),3)),""),""))</f>
        <v/>
      </c>
      <c r="I141" s="153">
        <f t="array" ref="I141">IF(IFERROR(-INDEX(Expenses!D$3:D$999,SMALL(IF((Expenses!E$3:E$999="INR")*(Expenses!A$3:A$999=DATE(2026,7,9)),ROW(Expenses!A$3:A$999)-2),3)),0)+IFERROR(INDEX(Income!C$3:C$502,SMALL(IF((Income!D$3:D$502="INR")*(Income!A$3:A$502=DATE(2026,7,9)),ROW(Income!A$3:A$502)-2),3)),0)=0,"",IFERROR(-INDEX(Expenses!D$3:D$999,SMALL(IF((Expenses!E$3:E$999="INR")*(Expenses!A$3:A$999=DATE(2026,7,9)),ROW(Expenses!A$3:A$999)-2),3)),0)+IFERROR(INDEX(Income!C$3:C$502,SMALL(IF((Income!D$3:D$502="INR")*(Income!A$3:A$502=DATE(2026,7,9)),ROW(Income!A$3:A$502)-2),3)),0))</f>
        <v/>
      </c>
      <c r="J141" s="126">
        <f t="array" ref="J141">IF(IFERROR(INDEX(Expenses!B$3:B$999,SMALL(IF((Expenses!E$3:E$999="INR")*(Expenses!A$3:A$999=DATE(2026,7,9)),ROW(Expenses!A$3:A$999)-2),3)),"")&lt;&gt;"",IFERROR(INDEX(Expenses!B$3:B$999,SMALL(IF((Expenses!E$3:E$999="INR")*(Expenses!A$3:A$999=DATE(2026,7,9)),ROW(Expenses!A$3:A$999)-2),3)),""),IF(IFERROR(INDEX(Income!B$3:B$502,SMALL(IF((Income!D$3:D$502="INR")*(Income!A$3:A$502=DATE(2026,7,9)),ROW(Income!A$3:A$502)-2),3)),"")&lt;&gt;"",IFERROR(INDEX(Income!B$3:B$502,SMALL(IF((Income!D$3:D$502="INR")*(Income!A$3:A$502=DATE(2026,7,9)),ROW(Income!A$3:A$502)-2),3)),""),""))</f>
        <v/>
      </c>
      <c r="K141" s="153">
        <f t="array" ref="K141">IF(IFERROR(-INDEX(Expenses!D$3:D$999,SMALL(IF((Expenses!E$3:E$999="INR")*(Expenses!A$3:A$999=DATE(2026,7,10)),ROW(Expenses!A$3:A$999)-2),3)),0)+IFERROR(INDEX(Income!C$3:C$502,SMALL(IF((Income!D$3:D$502="INR")*(Income!A$3:A$502=DATE(2026,7,10)),ROW(Income!A$3:A$502)-2),3)),0)=0,"",IFERROR(-INDEX(Expenses!D$3:D$999,SMALL(IF((Expenses!E$3:E$999="INR")*(Expenses!A$3:A$999=DATE(2026,7,10)),ROW(Expenses!A$3:A$999)-2),3)),0)+IFERROR(INDEX(Income!C$3:C$502,SMALL(IF((Income!D$3:D$502="INR")*(Income!A$3:A$502=DATE(2026,7,10)),ROW(Income!A$3:A$502)-2),3)),0))</f>
        <v/>
      </c>
      <c r="L141" s="126">
        <f t="array" ref="L141">IF(IFERROR(INDEX(Expenses!B$3:B$999,SMALL(IF((Expenses!E$3:E$999="INR")*(Expenses!A$3:A$999=DATE(2026,7,10)),ROW(Expenses!A$3:A$999)-2),3)),"")&lt;&gt;"",IFERROR(INDEX(Expenses!B$3:B$999,SMALL(IF((Expenses!E$3:E$999="INR")*(Expenses!A$3:A$999=DATE(2026,7,10)),ROW(Expenses!A$3:A$999)-2),3)),""),IF(IFERROR(INDEX(Income!B$3:B$502,SMALL(IF((Income!D$3:D$502="INR")*(Income!A$3:A$502=DATE(2026,7,10)),ROW(Income!A$3:A$502)-2),3)),"")&lt;&gt;"",IFERROR(INDEX(Income!B$3:B$502,SMALL(IF((Income!D$3:D$502="INR")*(Income!A$3:A$502=DATE(2026,7,10)),ROW(Income!A$3:A$502)-2),3)),""),""))</f>
        <v/>
      </c>
      <c r="M141" s="153">
        <f t="array" ref="M141">IF(IFERROR(-INDEX(Expenses!D$3:D$999,SMALL(IF((Expenses!E$3:E$999="INR")*(Expenses!A$3:A$999=DATE(2026,7,11)),ROW(Expenses!A$3:A$999)-2),3)),0)+IFERROR(INDEX(Income!C$3:C$502,SMALL(IF((Income!D$3:D$502="INR")*(Income!A$3:A$502=DATE(2026,7,11)),ROW(Income!A$3:A$502)-2),3)),0)=0,"",IFERROR(-INDEX(Expenses!D$3:D$999,SMALL(IF((Expenses!E$3:E$999="INR")*(Expenses!A$3:A$999=DATE(2026,7,11)),ROW(Expenses!A$3:A$999)-2),3)),0)+IFERROR(INDEX(Income!C$3:C$502,SMALL(IF((Income!D$3:D$502="INR")*(Income!A$3:A$502=DATE(2026,7,11)),ROW(Income!A$3:A$502)-2),3)),0))</f>
        <v/>
      </c>
      <c r="N141" s="126">
        <f t="array" ref="N141">IF(IFERROR(INDEX(Expenses!B$3:B$999,SMALL(IF((Expenses!E$3:E$999="INR")*(Expenses!A$3:A$999=DATE(2026,7,11)),ROW(Expenses!A$3:A$999)-2),3)),"")&lt;&gt;"",IFERROR(INDEX(Expenses!B$3:B$999,SMALL(IF((Expenses!E$3:E$999="INR")*(Expenses!A$3:A$999=DATE(2026,7,11)),ROW(Expenses!A$3:A$999)-2),3)),""),IF(IFERROR(INDEX(Income!B$3:B$502,SMALL(IF((Income!D$3:D$502="INR")*(Income!A$3:A$502=DATE(2026,7,11)),ROW(Income!A$3:A$502)-2),3)),"")&lt;&gt;"",IFERROR(INDEX(Income!B$3:B$502,SMALL(IF((Income!D$3:D$502="INR")*(Income!A$3:A$502=DATE(2026,7,11)),ROW(Income!A$3:A$502)-2),3)),""),""))</f>
        <v/>
      </c>
      <c r="O141" s="153">
        <f t="array" ref="O141">IF(IFERROR(-INDEX(Expenses!D$3:D$999,SMALL(IF((Expenses!E$3:E$999="INR")*(Expenses!A$3:A$999=DATE(2026,7,12)),ROW(Expenses!A$3:A$999)-2),3)),0)+IFERROR(INDEX(Income!C$3:C$502,SMALL(IF((Income!D$3:D$502="INR")*(Income!A$3:A$502=DATE(2026,7,12)),ROW(Income!A$3:A$502)-2),3)),0)=0,"",IFERROR(-INDEX(Expenses!D$3:D$999,SMALL(IF((Expenses!E$3:E$999="INR")*(Expenses!A$3:A$999=DATE(2026,7,12)),ROW(Expenses!A$3:A$999)-2),3)),0)+IFERROR(INDEX(Income!C$3:C$502,SMALL(IF((Income!D$3:D$502="INR")*(Income!A$3:A$502=DATE(2026,7,12)),ROW(Income!A$3:A$502)-2),3)),0))</f>
        <v/>
      </c>
      <c r="P141" s="126">
        <f t="array" ref="P141">IF(IFERROR(INDEX(Expenses!B$3:B$999,SMALL(IF((Expenses!E$3:E$999="INR")*(Expenses!A$3:A$999=DATE(2026,7,12)),ROW(Expenses!A$3:A$999)-2),3)),"")&lt;&gt;"",IFERROR(INDEX(Expenses!B$3:B$999,SMALL(IF((Expenses!E$3:E$999="INR")*(Expenses!A$3:A$999=DATE(2026,7,12)),ROW(Expenses!A$3:A$999)-2),3)),""),IF(IFERROR(INDEX(Income!B$3:B$502,SMALL(IF((Income!D$3:D$502="INR")*(Income!A$3:A$502=DATE(2026,7,12)),ROW(Income!A$3:A$502)-2),3)),"")&lt;&gt;"",IFERROR(INDEX(Income!B$3:B$502,SMALL(IF((Income!D$3:D$502="INR")*(Income!A$3:A$502=DATE(2026,7,12)),ROW(Income!A$3:A$502)-2),3)),""),""))</f>
        <v/>
      </c>
      <c r="Q141" s="9" t="n"/>
      <c r="R141" s="9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68">
      <c r="A142" s="9" t="n"/>
      <c r="B142" s="9" t="n"/>
      <c r="C142" s="153">
        <f t="array" ref="C142">IF(IFERROR(-INDEX(Expenses!D$3:D$999,SMALL(IF((Expenses!E$3:E$999="INR")*(Expenses!A$3:A$999=DATE(2026,7,6)),ROW(Expenses!A$3:A$999)-2),4)),0)+IFERROR(INDEX(Income!C$3:C$502,SMALL(IF((Income!D$3:D$502="INR")*(Income!A$3:A$502=DATE(2026,7,6)),ROW(Income!A$3:A$502)-2),4)),0)=0,"",IFERROR(-INDEX(Expenses!D$3:D$999,SMALL(IF((Expenses!E$3:E$999="INR")*(Expenses!A$3:A$999=DATE(2026,7,6)),ROW(Expenses!A$3:A$999)-2),4)),0)+IFERROR(INDEX(Income!C$3:C$502,SMALL(IF((Income!D$3:D$502="INR")*(Income!A$3:A$502=DATE(2026,7,6)),ROW(Income!A$3:A$502)-2),4)),0))</f>
        <v/>
      </c>
      <c r="D142" s="126">
        <f t="array" ref="D142">IF(IFERROR(INDEX(Expenses!B$3:B$999,SMALL(IF((Expenses!E$3:E$999="INR")*(Expenses!A$3:A$999=DATE(2026,7,6)),ROW(Expenses!A$3:A$999)-2),4)),"")&lt;&gt;"",IFERROR(INDEX(Expenses!B$3:B$999,SMALL(IF((Expenses!E$3:E$999="INR")*(Expenses!A$3:A$999=DATE(2026,7,6)),ROW(Expenses!A$3:A$999)-2),4)),""),IF(IFERROR(INDEX(Income!B$3:B$502,SMALL(IF((Income!D$3:D$502="INR")*(Income!A$3:A$502=DATE(2026,7,6)),ROW(Income!A$3:A$502)-2),4)),"")&lt;&gt;"",IFERROR(INDEX(Income!B$3:B$502,SMALL(IF((Income!D$3:D$502="INR")*(Income!A$3:A$502=DATE(2026,7,6)),ROW(Income!A$3:A$502)-2),4)),""),""))</f>
        <v/>
      </c>
      <c r="E142" s="153">
        <f t="array" ref="E142">IF(IFERROR(-INDEX(Expenses!D$3:D$999,SMALL(IF((Expenses!E$3:E$999="INR")*(Expenses!A$3:A$999=DATE(2026,7,7)),ROW(Expenses!A$3:A$999)-2),4)),0)+IFERROR(INDEX(Income!C$3:C$502,SMALL(IF((Income!D$3:D$502="INR")*(Income!A$3:A$502=DATE(2026,7,7)),ROW(Income!A$3:A$502)-2),4)),0)=0,"",IFERROR(-INDEX(Expenses!D$3:D$999,SMALL(IF((Expenses!E$3:E$999="INR")*(Expenses!A$3:A$999=DATE(2026,7,7)),ROW(Expenses!A$3:A$999)-2),4)),0)+IFERROR(INDEX(Income!C$3:C$502,SMALL(IF((Income!D$3:D$502="INR")*(Income!A$3:A$502=DATE(2026,7,7)),ROW(Income!A$3:A$502)-2),4)),0))</f>
        <v/>
      </c>
      <c r="F142" s="126">
        <f t="array" ref="F142">IF(IFERROR(INDEX(Expenses!B$3:B$999,SMALL(IF((Expenses!E$3:E$999="INR")*(Expenses!A$3:A$999=DATE(2026,7,7)),ROW(Expenses!A$3:A$999)-2),4)),"")&lt;&gt;"",IFERROR(INDEX(Expenses!B$3:B$999,SMALL(IF((Expenses!E$3:E$999="INR")*(Expenses!A$3:A$999=DATE(2026,7,7)),ROW(Expenses!A$3:A$999)-2),4)),""),IF(IFERROR(INDEX(Income!B$3:B$502,SMALL(IF((Income!D$3:D$502="INR")*(Income!A$3:A$502=DATE(2026,7,7)),ROW(Income!A$3:A$502)-2),4)),"")&lt;&gt;"",IFERROR(INDEX(Income!B$3:B$502,SMALL(IF((Income!D$3:D$502="INR")*(Income!A$3:A$502=DATE(2026,7,7)),ROW(Income!A$3:A$502)-2),4)),""),""))</f>
        <v/>
      </c>
      <c r="G142" s="153">
        <f t="array" ref="G142">IF(IFERROR(-INDEX(Expenses!D$3:D$999,SMALL(IF((Expenses!E$3:E$999="INR")*(Expenses!A$3:A$999=DATE(2026,7,8)),ROW(Expenses!A$3:A$999)-2),4)),0)+IFERROR(INDEX(Income!C$3:C$502,SMALL(IF((Income!D$3:D$502="INR")*(Income!A$3:A$502=DATE(2026,7,8)),ROW(Income!A$3:A$502)-2),4)),0)=0,"",IFERROR(-INDEX(Expenses!D$3:D$999,SMALL(IF((Expenses!E$3:E$999="INR")*(Expenses!A$3:A$999=DATE(2026,7,8)),ROW(Expenses!A$3:A$999)-2),4)),0)+IFERROR(INDEX(Income!C$3:C$502,SMALL(IF((Income!D$3:D$502="INR")*(Income!A$3:A$502=DATE(2026,7,8)),ROW(Income!A$3:A$502)-2),4)),0))</f>
        <v/>
      </c>
      <c r="H142" s="126">
        <f t="array" ref="H142">IF(IFERROR(INDEX(Expenses!B$3:B$999,SMALL(IF((Expenses!E$3:E$999="INR")*(Expenses!A$3:A$999=DATE(2026,7,8)),ROW(Expenses!A$3:A$999)-2),4)),"")&lt;&gt;"",IFERROR(INDEX(Expenses!B$3:B$999,SMALL(IF((Expenses!E$3:E$999="INR")*(Expenses!A$3:A$999=DATE(2026,7,8)),ROW(Expenses!A$3:A$999)-2),4)),""),IF(IFERROR(INDEX(Income!B$3:B$502,SMALL(IF((Income!D$3:D$502="INR")*(Income!A$3:A$502=DATE(2026,7,8)),ROW(Income!A$3:A$502)-2),4)),"")&lt;&gt;"",IFERROR(INDEX(Income!B$3:B$502,SMALL(IF((Income!D$3:D$502="INR")*(Income!A$3:A$502=DATE(2026,7,8)),ROW(Income!A$3:A$502)-2),4)),""),""))</f>
        <v/>
      </c>
      <c r="I142" s="153">
        <f t="array" ref="I142">IF(IFERROR(-INDEX(Expenses!D$3:D$999,SMALL(IF((Expenses!E$3:E$999="INR")*(Expenses!A$3:A$999=DATE(2026,7,9)),ROW(Expenses!A$3:A$999)-2),4)),0)+IFERROR(INDEX(Income!C$3:C$502,SMALL(IF((Income!D$3:D$502="INR")*(Income!A$3:A$502=DATE(2026,7,9)),ROW(Income!A$3:A$502)-2),4)),0)=0,"",IFERROR(-INDEX(Expenses!D$3:D$999,SMALL(IF((Expenses!E$3:E$999="INR")*(Expenses!A$3:A$999=DATE(2026,7,9)),ROW(Expenses!A$3:A$999)-2),4)),0)+IFERROR(INDEX(Income!C$3:C$502,SMALL(IF((Income!D$3:D$502="INR")*(Income!A$3:A$502=DATE(2026,7,9)),ROW(Income!A$3:A$502)-2),4)),0))</f>
        <v/>
      </c>
      <c r="J142" s="126">
        <f t="array" ref="J142">IF(IFERROR(INDEX(Expenses!B$3:B$999,SMALL(IF((Expenses!E$3:E$999="INR")*(Expenses!A$3:A$999=DATE(2026,7,9)),ROW(Expenses!A$3:A$999)-2),4)),"")&lt;&gt;"",IFERROR(INDEX(Expenses!B$3:B$999,SMALL(IF((Expenses!E$3:E$999="INR")*(Expenses!A$3:A$999=DATE(2026,7,9)),ROW(Expenses!A$3:A$999)-2),4)),""),IF(IFERROR(INDEX(Income!B$3:B$502,SMALL(IF((Income!D$3:D$502="INR")*(Income!A$3:A$502=DATE(2026,7,9)),ROW(Income!A$3:A$502)-2),4)),"")&lt;&gt;"",IFERROR(INDEX(Income!B$3:B$502,SMALL(IF((Income!D$3:D$502="INR")*(Income!A$3:A$502=DATE(2026,7,9)),ROW(Income!A$3:A$502)-2),4)),""),""))</f>
        <v/>
      </c>
      <c r="K142" s="153">
        <f t="array" ref="K142">IF(IFERROR(-INDEX(Expenses!D$3:D$999,SMALL(IF((Expenses!E$3:E$999="INR")*(Expenses!A$3:A$999=DATE(2026,7,10)),ROW(Expenses!A$3:A$999)-2),4)),0)+IFERROR(INDEX(Income!C$3:C$502,SMALL(IF((Income!D$3:D$502="INR")*(Income!A$3:A$502=DATE(2026,7,10)),ROW(Income!A$3:A$502)-2),4)),0)=0,"",IFERROR(-INDEX(Expenses!D$3:D$999,SMALL(IF((Expenses!E$3:E$999="INR")*(Expenses!A$3:A$999=DATE(2026,7,10)),ROW(Expenses!A$3:A$999)-2),4)),0)+IFERROR(INDEX(Income!C$3:C$502,SMALL(IF((Income!D$3:D$502="INR")*(Income!A$3:A$502=DATE(2026,7,10)),ROW(Income!A$3:A$502)-2),4)),0))</f>
        <v/>
      </c>
      <c r="L142" s="126">
        <f t="array" ref="L142">IF(IFERROR(INDEX(Expenses!B$3:B$999,SMALL(IF((Expenses!E$3:E$999="INR")*(Expenses!A$3:A$999=DATE(2026,7,10)),ROW(Expenses!A$3:A$999)-2),4)),"")&lt;&gt;"",IFERROR(INDEX(Expenses!B$3:B$999,SMALL(IF((Expenses!E$3:E$999="INR")*(Expenses!A$3:A$999=DATE(2026,7,10)),ROW(Expenses!A$3:A$999)-2),4)),""),IF(IFERROR(INDEX(Income!B$3:B$502,SMALL(IF((Income!D$3:D$502="INR")*(Income!A$3:A$502=DATE(2026,7,10)),ROW(Income!A$3:A$502)-2),4)),"")&lt;&gt;"",IFERROR(INDEX(Income!B$3:B$502,SMALL(IF((Income!D$3:D$502="INR")*(Income!A$3:A$502=DATE(2026,7,10)),ROW(Income!A$3:A$502)-2),4)),""),""))</f>
        <v/>
      </c>
      <c r="M142" s="153">
        <f t="array" ref="M142">IF(IFERROR(-INDEX(Expenses!D$3:D$999,SMALL(IF((Expenses!E$3:E$999="INR")*(Expenses!A$3:A$999=DATE(2026,7,11)),ROW(Expenses!A$3:A$999)-2),4)),0)+IFERROR(INDEX(Income!C$3:C$502,SMALL(IF((Income!D$3:D$502="INR")*(Income!A$3:A$502=DATE(2026,7,11)),ROW(Income!A$3:A$502)-2),4)),0)=0,"",IFERROR(-INDEX(Expenses!D$3:D$999,SMALL(IF((Expenses!E$3:E$999="INR")*(Expenses!A$3:A$999=DATE(2026,7,11)),ROW(Expenses!A$3:A$999)-2),4)),0)+IFERROR(INDEX(Income!C$3:C$502,SMALL(IF((Income!D$3:D$502="INR")*(Income!A$3:A$502=DATE(2026,7,11)),ROW(Income!A$3:A$502)-2),4)),0))</f>
        <v/>
      </c>
      <c r="N142" s="126">
        <f t="array" ref="N142">IF(IFERROR(INDEX(Expenses!B$3:B$999,SMALL(IF((Expenses!E$3:E$999="INR")*(Expenses!A$3:A$999=DATE(2026,7,11)),ROW(Expenses!A$3:A$999)-2),4)),"")&lt;&gt;"",IFERROR(INDEX(Expenses!B$3:B$999,SMALL(IF((Expenses!E$3:E$999="INR")*(Expenses!A$3:A$999=DATE(2026,7,11)),ROW(Expenses!A$3:A$999)-2),4)),""),IF(IFERROR(INDEX(Income!B$3:B$502,SMALL(IF((Income!D$3:D$502="INR")*(Income!A$3:A$502=DATE(2026,7,11)),ROW(Income!A$3:A$502)-2),4)),"")&lt;&gt;"",IFERROR(INDEX(Income!B$3:B$502,SMALL(IF((Income!D$3:D$502="INR")*(Income!A$3:A$502=DATE(2026,7,11)),ROW(Income!A$3:A$502)-2),4)),""),""))</f>
        <v/>
      </c>
      <c r="O142" s="153">
        <f t="array" ref="O142">IF(IFERROR(-INDEX(Expenses!D$3:D$999,SMALL(IF((Expenses!E$3:E$999="INR")*(Expenses!A$3:A$999=DATE(2026,7,12)),ROW(Expenses!A$3:A$999)-2),4)),0)+IFERROR(INDEX(Income!C$3:C$502,SMALL(IF((Income!D$3:D$502="INR")*(Income!A$3:A$502=DATE(2026,7,12)),ROW(Income!A$3:A$502)-2),4)),0)=0,"",IFERROR(-INDEX(Expenses!D$3:D$999,SMALL(IF((Expenses!E$3:E$999="INR")*(Expenses!A$3:A$999=DATE(2026,7,12)),ROW(Expenses!A$3:A$999)-2),4)),0)+IFERROR(INDEX(Income!C$3:C$502,SMALL(IF((Income!D$3:D$502="INR")*(Income!A$3:A$502=DATE(2026,7,12)),ROW(Income!A$3:A$502)-2),4)),0))</f>
        <v/>
      </c>
      <c r="P142" s="126">
        <f t="array" ref="P142">IF(IFERROR(INDEX(Expenses!B$3:B$999,SMALL(IF((Expenses!E$3:E$999="INR")*(Expenses!A$3:A$999=DATE(2026,7,12)),ROW(Expenses!A$3:A$999)-2),4)),"")&lt;&gt;"",IFERROR(INDEX(Expenses!B$3:B$999,SMALL(IF((Expenses!E$3:E$999="INR")*(Expenses!A$3:A$999=DATE(2026,7,12)),ROW(Expenses!A$3:A$999)-2),4)),""),IF(IFERROR(INDEX(Income!B$3:B$502,SMALL(IF((Income!D$3:D$502="INR")*(Income!A$3:A$502=DATE(2026,7,12)),ROW(Income!A$3:A$502)-2),4)),"")&lt;&gt;"",IFERROR(INDEX(Income!B$3:B$502,SMALL(IF((Income!D$3:D$502="INR")*(Income!A$3:A$502=DATE(2026,7,12)),ROW(Income!A$3:A$502)-2),4)),""),""))</f>
        <v/>
      </c>
      <c r="Q142" s="9" t="n"/>
      <c r="R142" s="9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68">
      <c r="A143" s="9" t="n"/>
      <c r="B143" s="9" t="n"/>
      <c r="C143" s="153">
        <f t="array" ref="C143">IF(IFERROR(-INDEX(Expenses!D$3:D$999,SMALL(IF((Expenses!E$3:E$999="INR")*(Expenses!A$3:A$999=DATE(2026,7,6)),ROW(Expenses!A$3:A$999)-2),5)),0)+IFERROR(INDEX(Income!C$3:C$502,SMALL(IF((Income!D$3:D$502="INR")*(Income!A$3:A$502=DATE(2026,7,6)),ROW(Income!A$3:A$502)-2),5)),0)=0,"",IFERROR(-INDEX(Expenses!D$3:D$999,SMALL(IF((Expenses!E$3:E$999="INR")*(Expenses!A$3:A$999=DATE(2026,7,6)),ROW(Expenses!A$3:A$999)-2),5)),0)+IFERROR(INDEX(Income!C$3:C$502,SMALL(IF((Income!D$3:D$502="INR")*(Income!A$3:A$502=DATE(2026,7,6)),ROW(Income!A$3:A$502)-2),5)),0))</f>
        <v/>
      </c>
      <c r="D143" s="126">
        <f t="array" ref="D143">IF(IFERROR(INDEX(Expenses!B$3:B$999,SMALL(IF((Expenses!E$3:E$999="INR")*(Expenses!A$3:A$999=DATE(2026,7,6)),ROW(Expenses!A$3:A$999)-2),5)),"")&lt;&gt;"",IFERROR(INDEX(Expenses!B$3:B$999,SMALL(IF((Expenses!E$3:E$999="INR")*(Expenses!A$3:A$999=DATE(2026,7,6)),ROW(Expenses!A$3:A$999)-2),5)),""),IF(IFERROR(INDEX(Income!B$3:B$502,SMALL(IF((Income!D$3:D$502="INR")*(Income!A$3:A$502=DATE(2026,7,6)),ROW(Income!A$3:A$502)-2),5)),"")&lt;&gt;"",IFERROR(INDEX(Income!B$3:B$502,SMALL(IF((Income!D$3:D$502="INR")*(Income!A$3:A$502=DATE(2026,7,6)),ROW(Income!A$3:A$502)-2),5)),""),""))</f>
        <v/>
      </c>
      <c r="E143" s="153">
        <f t="array" ref="E143">IF(IFERROR(-INDEX(Expenses!D$3:D$999,SMALL(IF((Expenses!E$3:E$999="INR")*(Expenses!A$3:A$999=DATE(2026,7,7)),ROW(Expenses!A$3:A$999)-2),5)),0)+IFERROR(INDEX(Income!C$3:C$502,SMALL(IF((Income!D$3:D$502="INR")*(Income!A$3:A$502=DATE(2026,7,7)),ROW(Income!A$3:A$502)-2),5)),0)=0,"",IFERROR(-INDEX(Expenses!D$3:D$999,SMALL(IF((Expenses!E$3:E$999="INR")*(Expenses!A$3:A$999=DATE(2026,7,7)),ROW(Expenses!A$3:A$999)-2),5)),0)+IFERROR(INDEX(Income!C$3:C$502,SMALL(IF((Income!D$3:D$502="INR")*(Income!A$3:A$502=DATE(2026,7,7)),ROW(Income!A$3:A$502)-2),5)),0))</f>
        <v/>
      </c>
      <c r="F143" s="126">
        <f t="array" ref="F143">IF(IFERROR(INDEX(Expenses!B$3:B$999,SMALL(IF((Expenses!E$3:E$999="INR")*(Expenses!A$3:A$999=DATE(2026,7,7)),ROW(Expenses!A$3:A$999)-2),5)),"")&lt;&gt;"",IFERROR(INDEX(Expenses!B$3:B$999,SMALL(IF((Expenses!E$3:E$999="INR")*(Expenses!A$3:A$999=DATE(2026,7,7)),ROW(Expenses!A$3:A$999)-2),5)),""),IF(IFERROR(INDEX(Income!B$3:B$502,SMALL(IF((Income!D$3:D$502="INR")*(Income!A$3:A$502=DATE(2026,7,7)),ROW(Income!A$3:A$502)-2),5)),"")&lt;&gt;"",IFERROR(INDEX(Income!B$3:B$502,SMALL(IF((Income!D$3:D$502="INR")*(Income!A$3:A$502=DATE(2026,7,7)),ROW(Income!A$3:A$502)-2),5)),""),""))</f>
        <v/>
      </c>
      <c r="G143" s="153">
        <f t="array" ref="G143">IF(IFERROR(-INDEX(Expenses!D$3:D$999,SMALL(IF((Expenses!E$3:E$999="INR")*(Expenses!A$3:A$999=DATE(2026,7,8)),ROW(Expenses!A$3:A$999)-2),5)),0)+IFERROR(INDEX(Income!C$3:C$502,SMALL(IF((Income!D$3:D$502="INR")*(Income!A$3:A$502=DATE(2026,7,8)),ROW(Income!A$3:A$502)-2),5)),0)=0,"",IFERROR(-INDEX(Expenses!D$3:D$999,SMALL(IF((Expenses!E$3:E$999="INR")*(Expenses!A$3:A$999=DATE(2026,7,8)),ROW(Expenses!A$3:A$999)-2),5)),0)+IFERROR(INDEX(Income!C$3:C$502,SMALL(IF((Income!D$3:D$502="INR")*(Income!A$3:A$502=DATE(2026,7,8)),ROW(Income!A$3:A$502)-2),5)),0))</f>
        <v/>
      </c>
      <c r="H143" s="126">
        <f t="array" ref="H143">IF(IFERROR(INDEX(Expenses!B$3:B$999,SMALL(IF((Expenses!E$3:E$999="INR")*(Expenses!A$3:A$999=DATE(2026,7,8)),ROW(Expenses!A$3:A$999)-2),5)),"")&lt;&gt;"",IFERROR(INDEX(Expenses!B$3:B$999,SMALL(IF((Expenses!E$3:E$999="INR")*(Expenses!A$3:A$999=DATE(2026,7,8)),ROW(Expenses!A$3:A$999)-2),5)),""),IF(IFERROR(INDEX(Income!B$3:B$502,SMALL(IF((Income!D$3:D$502="INR")*(Income!A$3:A$502=DATE(2026,7,8)),ROW(Income!A$3:A$502)-2),5)),"")&lt;&gt;"",IFERROR(INDEX(Income!B$3:B$502,SMALL(IF((Income!D$3:D$502="INR")*(Income!A$3:A$502=DATE(2026,7,8)),ROW(Income!A$3:A$502)-2),5)),""),""))</f>
        <v/>
      </c>
      <c r="I143" s="153">
        <f t="array" ref="I143">IF(IFERROR(-INDEX(Expenses!D$3:D$999,SMALL(IF((Expenses!E$3:E$999="INR")*(Expenses!A$3:A$999=DATE(2026,7,9)),ROW(Expenses!A$3:A$999)-2),5)),0)+IFERROR(INDEX(Income!C$3:C$502,SMALL(IF((Income!D$3:D$502="INR")*(Income!A$3:A$502=DATE(2026,7,9)),ROW(Income!A$3:A$502)-2),5)),0)=0,"",IFERROR(-INDEX(Expenses!D$3:D$999,SMALL(IF((Expenses!E$3:E$999="INR")*(Expenses!A$3:A$999=DATE(2026,7,9)),ROW(Expenses!A$3:A$999)-2),5)),0)+IFERROR(INDEX(Income!C$3:C$502,SMALL(IF((Income!D$3:D$502="INR")*(Income!A$3:A$502=DATE(2026,7,9)),ROW(Income!A$3:A$502)-2),5)),0))</f>
        <v/>
      </c>
      <c r="J143" s="126">
        <f t="array" ref="J143">IF(IFERROR(INDEX(Expenses!B$3:B$999,SMALL(IF((Expenses!E$3:E$999="INR")*(Expenses!A$3:A$999=DATE(2026,7,9)),ROW(Expenses!A$3:A$999)-2),5)),"")&lt;&gt;"",IFERROR(INDEX(Expenses!B$3:B$999,SMALL(IF((Expenses!E$3:E$999="INR")*(Expenses!A$3:A$999=DATE(2026,7,9)),ROW(Expenses!A$3:A$999)-2),5)),""),IF(IFERROR(INDEX(Income!B$3:B$502,SMALL(IF((Income!D$3:D$502="INR")*(Income!A$3:A$502=DATE(2026,7,9)),ROW(Income!A$3:A$502)-2),5)),"")&lt;&gt;"",IFERROR(INDEX(Income!B$3:B$502,SMALL(IF((Income!D$3:D$502="INR")*(Income!A$3:A$502=DATE(2026,7,9)),ROW(Income!A$3:A$502)-2),5)),""),""))</f>
        <v/>
      </c>
      <c r="K143" s="153">
        <f t="array" ref="K143">IF(IFERROR(-INDEX(Expenses!D$3:D$999,SMALL(IF((Expenses!E$3:E$999="INR")*(Expenses!A$3:A$999=DATE(2026,7,10)),ROW(Expenses!A$3:A$999)-2),5)),0)+IFERROR(INDEX(Income!C$3:C$502,SMALL(IF((Income!D$3:D$502="INR")*(Income!A$3:A$502=DATE(2026,7,10)),ROW(Income!A$3:A$502)-2),5)),0)=0,"",IFERROR(-INDEX(Expenses!D$3:D$999,SMALL(IF((Expenses!E$3:E$999="INR")*(Expenses!A$3:A$999=DATE(2026,7,10)),ROW(Expenses!A$3:A$999)-2),5)),0)+IFERROR(INDEX(Income!C$3:C$502,SMALL(IF((Income!D$3:D$502="INR")*(Income!A$3:A$502=DATE(2026,7,10)),ROW(Income!A$3:A$502)-2),5)),0))</f>
        <v/>
      </c>
      <c r="L143" s="126">
        <f t="array" ref="L143">IF(IFERROR(INDEX(Expenses!B$3:B$999,SMALL(IF((Expenses!E$3:E$999="INR")*(Expenses!A$3:A$999=DATE(2026,7,10)),ROW(Expenses!A$3:A$999)-2),5)),"")&lt;&gt;"",IFERROR(INDEX(Expenses!B$3:B$999,SMALL(IF((Expenses!E$3:E$999="INR")*(Expenses!A$3:A$999=DATE(2026,7,10)),ROW(Expenses!A$3:A$999)-2),5)),""),IF(IFERROR(INDEX(Income!B$3:B$502,SMALL(IF((Income!D$3:D$502="INR")*(Income!A$3:A$502=DATE(2026,7,10)),ROW(Income!A$3:A$502)-2),5)),"")&lt;&gt;"",IFERROR(INDEX(Income!B$3:B$502,SMALL(IF((Income!D$3:D$502="INR")*(Income!A$3:A$502=DATE(2026,7,10)),ROW(Income!A$3:A$502)-2),5)),""),""))</f>
        <v/>
      </c>
      <c r="M143" s="153">
        <f t="array" ref="M143">IF(IFERROR(-INDEX(Expenses!D$3:D$999,SMALL(IF((Expenses!E$3:E$999="INR")*(Expenses!A$3:A$999=DATE(2026,7,11)),ROW(Expenses!A$3:A$999)-2),5)),0)+IFERROR(INDEX(Income!C$3:C$502,SMALL(IF((Income!D$3:D$502="INR")*(Income!A$3:A$502=DATE(2026,7,11)),ROW(Income!A$3:A$502)-2),5)),0)=0,"",IFERROR(-INDEX(Expenses!D$3:D$999,SMALL(IF((Expenses!E$3:E$999="INR")*(Expenses!A$3:A$999=DATE(2026,7,11)),ROW(Expenses!A$3:A$999)-2),5)),0)+IFERROR(INDEX(Income!C$3:C$502,SMALL(IF((Income!D$3:D$502="INR")*(Income!A$3:A$502=DATE(2026,7,11)),ROW(Income!A$3:A$502)-2),5)),0))</f>
        <v/>
      </c>
      <c r="N143" s="126">
        <f t="array" ref="N143">IF(IFERROR(INDEX(Expenses!B$3:B$999,SMALL(IF((Expenses!E$3:E$999="INR")*(Expenses!A$3:A$999=DATE(2026,7,11)),ROW(Expenses!A$3:A$999)-2),5)),"")&lt;&gt;"",IFERROR(INDEX(Expenses!B$3:B$999,SMALL(IF((Expenses!E$3:E$999="INR")*(Expenses!A$3:A$999=DATE(2026,7,11)),ROW(Expenses!A$3:A$999)-2),5)),""),IF(IFERROR(INDEX(Income!B$3:B$502,SMALL(IF((Income!D$3:D$502="INR")*(Income!A$3:A$502=DATE(2026,7,11)),ROW(Income!A$3:A$502)-2),5)),"")&lt;&gt;"",IFERROR(INDEX(Income!B$3:B$502,SMALL(IF((Income!D$3:D$502="INR")*(Income!A$3:A$502=DATE(2026,7,11)),ROW(Income!A$3:A$502)-2),5)),""),""))</f>
        <v/>
      </c>
      <c r="O143" s="153">
        <f t="array" ref="O143">IF(IFERROR(-INDEX(Expenses!D$3:D$999,SMALL(IF((Expenses!E$3:E$999="INR")*(Expenses!A$3:A$999=DATE(2026,7,12)),ROW(Expenses!A$3:A$999)-2),5)),0)+IFERROR(INDEX(Income!C$3:C$502,SMALL(IF((Income!D$3:D$502="INR")*(Income!A$3:A$502=DATE(2026,7,12)),ROW(Income!A$3:A$502)-2),5)),0)=0,"",IFERROR(-INDEX(Expenses!D$3:D$999,SMALL(IF((Expenses!E$3:E$999="INR")*(Expenses!A$3:A$999=DATE(2026,7,12)),ROW(Expenses!A$3:A$999)-2),5)),0)+IFERROR(INDEX(Income!C$3:C$502,SMALL(IF((Income!D$3:D$502="INR")*(Income!A$3:A$502=DATE(2026,7,12)),ROW(Income!A$3:A$502)-2),5)),0))</f>
        <v/>
      </c>
      <c r="P143" s="126">
        <f t="array" ref="P143">IF(IFERROR(INDEX(Expenses!B$3:B$999,SMALL(IF((Expenses!E$3:E$999="INR")*(Expenses!A$3:A$999=DATE(2026,7,12)),ROW(Expenses!A$3:A$999)-2),5)),"")&lt;&gt;"",IFERROR(INDEX(Expenses!B$3:B$999,SMALL(IF((Expenses!E$3:E$999="INR")*(Expenses!A$3:A$999=DATE(2026,7,12)),ROW(Expenses!A$3:A$999)-2),5)),""),IF(IFERROR(INDEX(Income!B$3:B$502,SMALL(IF((Income!D$3:D$502="INR")*(Income!A$3:A$502=DATE(2026,7,12)),ROW(Income!A$3:A$502)-2),5)),"")&lt;&gt;"",IFERROR(INDEX(Income!B$3:B$502,SMALL(IF((Income!D$3:D$502="INR")*(Income!A$3:A$502=DATE(2026,7,12)),ROW(Income!A$3:A$502)-2),5)),""),""))</f>
        <v/>
      </c>
      <c r="Q143" s="9" t="n"/>
      <c r="R143" s="9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68">
      <c r="A144" s="151" t="n">
        <v>46216</v>
      </c>
      <c r="B144" s="103" t="n">
        <v>29</v>
      </c>
      <c r="C144" s="153">
        <f t="array" ref="C144">IF(IFERROR(-INDEX(Expenses!D$3:D$999,SMALL(IF((Expenses!E$3:E$999="INR")*(Expenses!A$3:A$999=DATE(2026,7,13)),ROW(Expenses!A$3:A$999)-2),1)),0)+IFERROR(INDEX(Income!C$3:C$502,SMALL(IF((Income!D$3:D$502="INR")*(Income!A$3:A$502=DATE(2026,7,13)),ROW(Income!A$3:A$502)-2),1)),0)=0,"",IFERROR(-INDEX(Expenses!D$3:D$999,SMALL(IF((Expenses!E$3:E$999="INR")*(Expenses!A$3:A$999=DATE(2026,7,13)),ROW(Expenses!A$3:A$999)-2),1)),0)+IFERROR(INDEX(Income!C$3:C$502,SMALL(IF((Income!D$3:D$502="INR")*(Income!A$3:A$502=DATE(2026,7,13)),ROW(Income!A$3:A$502)-2),1)),0))</f>
        <v/>
      </c>
      <c r="D144" s="126">
        <f t="array" ref="D144">IF(IFERROR(INDEX(Expenses!B$3:B$999,SMALL(IF((Expenses!E$3:E$999="INR")*(Expenses!A$3:A$999=DATE(2026,7,13)),ROW(Expenses!A$3:A$999)-2),1)),"")&lt;&gt;"",IFERROR(INDEX(Expenses!B$3:B$999,SMALL(IF((Expenses!E$3:E$999="INR")*(Expenses!A$3:A$999=DATE(2026,7,13)),ROW(Expenses!A$3:A$999)-2),1)),""),IF(IFERROR(INDEX(Income!B$3:B$502,SMALL(IF((Income!D$3:D$502="INR")*(Income!A$3:A$502=DATE(2026,7,13)),ROW(Income!A$3:A$502)-2),1)),"")&lt;&gt;"",IFERROR(INDEX(Income!B$3:B$502,SMALL(IF((Income!D$3:D$502="INR")*(Income!A$3:A$502=DATE(2026,7,13)),ROW(Income!A$3:A$502)-2),1)),""),""))</f>
        <v/>
      </c>
      <c r="E144" s="153">
        <f t="array" ref="E144">IF(IFERROR(-INDEX(Expenses!D$3:D$999,SMALL(IF((Expenses!E$3:E$999="INR")*(Expenses!A$3:A$999=DATE(2026,7,14)),ROW(Expenses!A$3:A$999)-2),1)),0)+IFERROR(INDEX(Income!C$3:C$502,SMALL(IF((Income!D$3:D$502="INR")*(Income!A$3:A$502=DATE(2026,7,14)),ROW(Income!A$3:A$502)-2),1)),0)=0,"",IFERROR(-INDEX(Expenses!D$3:D$999,SMALL(IF((Expenses!E$3:E$999="INR")*(Expenses!A$3:A$999=DATE(2026,7,14)),ROW(Expenses!A$3:A$999)-2),1)),0)+IFERROR(INDEX(Income!C$3:C$502,SMALL(IF((Income!D$3:D$502="INR")*(Income!A$3:A$502=DATE(2026,7,14)),ROW(Income!A$3:A$502)-2),1)),0))</f>
        <v/>
      </c>
      <c r="F144" s="126">
        <f t="array" ref="F144">IF(IFERROR(INDEX(Expenses!B$3:B$999,SMALL(IF((Expenses!E$3:E$999="INR")*(Expenses!A$3:A$999=DATE(2026,7,14)),ROW(Expenses!A$3:A$999)-2),1)),"")&lt;&gt;"",IFERROR(INDEX(Expenses!B$3:B$999,SMALL(IF((Expenses!E$3:E$999="INR")*(Expenses!A$3:A$999=DATE(2026,7,14)),ROW(Expenses!A$3:A$999)-2),1)),""),IF(IFERROR(INDEX(Income!B$3:B$502,SMALL(IF((Income!D$3:D$502="INR")*(Income!A$3:A$502=DATE(2026,7,14)),ROW(Income!A$3:A$502)-2),1)),"")&lt;&gt;"",IFERROR(INDEX(Income!B$3:B$502,SMALL(IF((Income!D$3:D$502="INR")*(Income!A$3:A$502=DATE(2026,7,14)),ROW(Income!A$3:A$502)-2),1)),""),""))</f>
        <v/>
      </c>
      <c r="G144" s="153">
        <f t="array" ref="G144">IF(IFERROR(-INDEX(Expenses!D$3:D$999,SMALL(IF((Expenses!E$3:E$999="INR")*(Expenses!A$3:A$999=DATE(2026,7,15)),ROW(Expenses!A$3:A$999)-2),1)),0)+IFERROR(INDEX(Income!C$3:C$502,SMALL(IF((Income!D$3:D$502="INR")*(Income!A$3:A$502=DATE(2026,7,15)),ROW(Income!A$3:A$502)-2),1)),0)=0,"",IFERROR(-INDEX(Expenses!D$3:D$999,SMALL(IF((Expenses!E$3:E$999="INR")*(Expenses!A$3:A$999=DATE(2026,7,15)),ROW(Expenses!A$3:A$999)-2),1)),0)+IFERROR(INDEX(Income!C$3:C$502,SMALL(IF((Income!D$3:D$502="INR")*(Income!A$3:A$502=DATE(2026,7,15)),ROW(Income!A$3:A$502)-2),1)),0))</f>
        <v/>
      </c>
      <c r="H144" s="126">
        <f t="array" ref="H144">IF(IFERROR(INDEX(Expenses!B$3:B$999,SMALL(IF((Expenses!E$3:E$999="INR")*(Expenses!A$3:A$999=DATE(2026,7,15)),ROW(Expenses!A$3:A$999)-2),1)),"")&lt;&gt;"",IFERROR(INDEX(Expenses!B$3:B$999,SMALL(IF((Expenses!E$3:E$999="INR")*(Expenses!A$3:A$999=DATE(2026,7,15)),ROW(Expenses!A$3:A$999)-2),1)),""),IF(IFERROR(INDEX(Income!B$3:B$502,SMALL(IF((Income!D$3:D$502="INR")*(Income!A$3:A$502=DATE(2026,7,15)),ROW(Income!A$3:A$502)-2),1)),"")&lt;&gt;"",IFERROR(INDEX(Income!B$3:B$502,SMALL(IF((Income!D$3:D$502="INR")*(Income!A$3:A$502=DATE(2026,7,15)),ROW(Income!A$3:A$502)-2),1)),""),""))</f>
        <v/>
      </c>
      <c r="I144" s="153">
        <f t="array" ref="I144">IF(IFERROR(-INDEX(Expenses!D$3:D$999,SMALL(IF((Expenses!E$3:E$999="INR")*(Expenses!A$3:A$999=DATE(2026,7,16)),ROW(Expenses!A$3:A$999)-2),1)),0)+IFERROR(INDEX(Income!C$3:C$502,SMALL(IF((Income!D$3:D$502="INR")*(Income!A$3:A$502=DATE(2026,7,16)),ROW(Income!A$3:A$502)-2),1)),0)=0,"",IFERROR(-INDEX(Expenses!D$3:D$999,SMALL(IF((Expenses!E$3:E$999="INR")*(Expenses!A$3:A$999=DATE(2026,7,16)),ROW(Expenses!A$3:A$999)-2),1)),0)+IFERROR(INDEX(Income!C$3:C$502,SMALL(IF((Income!D$3:D$502="INR")*(Income!A$3:A$502=DATE(2026,7,16)),ROW(Income!A$3:A$502)-2),1)),0))</f>
        <v/>
      </c>
      <c r="J144" s="126">
        <f t="array" ref="J144">IF(IFERROR(INDEX(Expenses!B$3:B$999,SMALL(IF((Expenses!E$3:E$999="INR")*(Expenses!A$3:A$999=DATE(2026,7,16)),ROW(Expenses!A$3:A$999)-2),1)),"")&lt;&gt;"",IFERROR(INDEX(Expenses!B$3:B$999,SMALL(IF((Expenses!E$3:E$999="INR")*(Expenses!A$3:A$999=DATE(2026,7,16)),ROW(Expenses!A$3:A$999)-2),1)),""),IF(IFERROR(INDEX(Income!B$3:B$502,SMALL(IF((Income!D$3:D$502="INR")*(Income!A$3:A$502=DATE(2026,7,16)),ROW(Income!A$3:A$502)-2),1)),"")&lt;&gt;"",IFERROR(INDEX(Income!B$3:B$502,SMALL(IF((Income!D$3:D$502="INR")*(Income!A$3:A$502=DATE(2026,7,16)),ROW(Income!A$3:A$502)-2),1)),""),""))</f>
        <v/>
      </c>
      <c r="K144" s="153">
        <f t="array" ref="K144">IF(IFERROR(-INDEX(Expenses!D$3:D$999,SMALL(IF((Expenses!E$3:E$999="INR")*(Expenses!A$3:A$999=DATE(2026,7,17)),ROW(Expenses!A$3:A$999)-2),1)),0)+IFERROR(INDEX(Income!C$3:C$502,SMALL(IF((Income!D$3:D$502="INR")*(Income!A$3:A$502=DATE(2026,7,17)),ROW(Income!A$3:A$502)-2),1)),0)=0,"",IFERROR(-INDEX(Expenses!D$3:D$999,SMALL(IF((Expenses!E$3:E$999="INR")*(Expenses!A$3:A$999=DATE(2026,7,17)),ROW(Expenses!A$3:A$999)-2),1)),0)+IFERROR(INDEX(Income!C$3:C$502,SMALL(IF((Income!D$3:D$502="INR")*(Income!A$3:A$502=DATE(2026,7,17)),ROW(Income!A$3:A$502)-2),1)),0))</f>
        <v/>
      </c>
      <c r="L144" s="126">
        <f t="array" ref="L144">IF(IFERROR(INDEX(Expenses!B$3:B$999,SMALL(IF((Expenses!E$3:E$999="INR")*(Expenses!A$3:A$999=DATE(2026,7,17)),ROW(Expenses!A$3:A$999)-2),1)),"")&lt;&gt;"",IFERROR(INDEX(Expenses!B$3:B$999,SMALL(IF((Expenses!E$3:E$999="INR")*(Expenses!A$3:A$999=DATE(2026,7,17)),ROW(Expenses!A$3:A$999)-2),1)),""),IF(IFERROR(INDEX(Income!B$3:B$502,SMALL(IF((Income!D$3:D$502="INR")*(Income!A$3:A$502=DATE(2026,7,17)),ROW(Income!A$3:A$502)-2),1)),"")&lt;&gt;"",IFERROR(INDEX(Income!B$3:B$502,SMALL(IF((Income!D$3:D$502="INR")*(Income!A$3:A$502=DATE(2026,7,17)),ROW(Income!A$3:A$502)-2),1)),""),""))</f>
        <v/>
      </c>
      <c r="M144" s="153">
        <f t="array" ref="M144">IF(IFERROR(-INDEX(Expenses!D$3:D$999,SMALL(IF((Expenses!E$3:E$999="INR")*(Expenses!A$3:A$999=DATE(2026,7,18)),ROW(Expenses!A$3:A$999)-2),1)),0)+IFERROR(INDEX(Income!C$3:C$502,SMALL(IF((Income!D$3:D$502="INR")*(Income!A$3:A$502=DATE(2026,7,18)),ROW(Income!A$3:A$502)-2),1)),0)=0,"",IFERROR(-INDEX(Expenses!D$3:D$999,SMALL(IF((Expenses!E$3:E$999="INR")*(Expenses!A$3:A$999=DATE(2026,7,18)),ROW(Expenses!A$3:A$999)-2),1)),0)+IFERROR(INDEX(Income!C$3:C$502,SMALL(IF((Income!D$3:D$502="INR")*(Income!A$3:A$502=DATE(2026,7,18)),ROW(Income!A$3:A$502)-2),1)),0))</f>
        <v/>
      </c>
      <c r="N144" s="126">
        <f t="array" ref="N144">IF(IFERROR(INDEX(Expenses!B$3:B$999,SMALL(IF((Expenses!E$3:E$999="INR")*(Expenses!A$3:A$999=DATE(2026,7,18)),ROW(Expenses!A$3:A$999)-2),1)),"")&lt;&gt;"",IFERROR(INDEX(Expenses!B$3:B$999,SMALL(IF((Expenses!E$3:E$999="INR")*(Expenses!A$3:A$999=DATE(2026,7,18)),ROW(Expenses!A$3:A$999)-2),1)),""),IF(IFERROR(INDEX(Income!B$3:B$502,SMALL(IF((Income!D$3:D$502="INR")*(Income!A$3:A$502=DATE(2026,7,18)),ROW(Income!A$3:A$502)-2),1)),"")&lt;&gt;"",IFERROR(INDEX(Income!B$3:B$502,SMALL(IF((Income!D$3:D$502="INR")*(Income!A$3:A$502=DATE(2026,7,18)),ROW(Income!A$3:A$502)-2),1)),""),""))</f>
        <v/>
      </c>
      <c r="O144" s="153">
        <f t="array" ref="O144">IF(IFERROR(-INDEX(Expenses!D$3:D$999,SMALL(IF((Expenses!E$3:E$999="INR")*(Expenses!A$3:A$999=DATE(2026,7,19)),ROW(Expenses!A$3:A$999)-2),1)),0)+IFERROR(INDEX(Income!C$3:C$502,SMALL(IF((Income!D$3:D$502="INR")*(Income!A$3:A$502=DATE(2026,7,19)),ROW(Income!A$3:A$502)-2),1)),0)=0,"",IFERROR(-INDEX(Expenses!D$3:D$999,SMALL(IF((Expenses!E$3:E$999="INR")*(Expenses!A$3:A$999=DATE(2026,7,19)),ROW(Expenses!A$3:A$999)-2),1)),0)+IFERROR(INDEX(Income!C$3:C$502,SMALL(IF((Income!D$3:D$502="INR")*(Income!A$3:A$502=DATE(2026,7,19)),ROW(Income!A$3:A$502)-2),1)),0))</f>
        <v/>
      </c>
      <c r="P144" s="126">
        <f t="array" ref="P144">IF(IFERROR(INDEX(Expenses!B$3:B$999,SMALL(IF((Expenses!E$3:E$999="INR")*(Expenses!A$3:A$999=DATE(2026,7,19)),ROW(Expenses!A$3:A$999)-2),1)),"")&lt;&gt;"",IFERROR(INDEX(Expenses!B$3:B$999,SMALL(IF((Expenses!E$3:E$999="INR")*(Expenses!A$3:A$999=DATE(2026,7,19)),ROW(Expenses!A$3:A$999)-2),1)),""),IF(IFERROR(INDEX(Income!B$3:B$502,SMALL(IF((Income!D$3:D$502="INR")*(Income!A$3:A$502=DATE(2026,7,19)),ROW(Income!A$3:A$502)-2),1)),"")&lt;&gt;"",IFERROR(INDEX(Income!B$3:B$502,SMALL(IF((Income!D$3:D$502="INR")*(Income!A$3:A$502=DATE(2026,7,19)),ROW(Income!A$3:A$502)-2),1)),""),""))</f>
        <v/>
      </c>
      <c r="Q144" s="103" t="n">
        <v>29</v>
      </c>
      <c r="R144" s="142">
        <f>SUM(C144:C148)+SUM(E144:E148)+SUM(G144:G148)+SUM(I144:I148)+SUM(K144:K148)+SUM(M144:M148)+SUM(O144:O148)</f>
        <v/>
      </c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68">
      <c r="A145" s="9" t="n"/>
      <c r="B145" s="9" t="n"/>
      <c r="C145" s="153">
        <f t="array" ref="C145">IF(IFERROR(-INDEX(Expenses!D$3:D$999,SMALL(IF((Expenses!E$3:E$999="INR")*(Expenses!A$3:A$999=DATE(2026,7,13)),ROW(Expenses!A$3:A$999)-2),2)),0)+IFERROR(INDEX(Income!C$3:C$502,SMALL(IF((Income!D$3:D$502="INR")*(Income!A$3:A$502=DATE(2026,7,13)),ROW(Income!A$3:A$502)-2),2)),0)=0,"",IFERROR(-INDEX(Expenses!D$3:D$999,SMALL(IF((Expenses!E$3:E$999="INR")*(Expenses!A$3:A$999=DATE(2026,7,13)),ROW(Expenses!A$3:A$999)-2),2)),0)+IFERROR(INDEX(Income!C$3:C$502,SMALL(IF((Income!D$3:D$502="INR")*(Income!A$3:A$502=DATE(2026,7,13)),ROW(Income!A$3:A$502)-2),2)),0))</f>
        <v/>
      </c>
      <c r="D145" s="126">
        <f t="array" ref="D145">IF(IFERROR(INDEX(Expenses!B$3:B$999,SMALL(IF((Expenses!E$3:E$999="INR")*(Expenses!A$3:A$999=DATE(2026,7,13)),ROW(Expenses!A$3:A$999)-2),2)),"")&lt;&gt;"",IFERROR(INDEX(Expenses!B$3:B$999,SMALL(IF((Expenses!E$3:E$999="INR")*(Expenses!A$3:A$999=DATE(2026,7,13)),ROW(Expenses!A$3:A$999)-2),2)),""),IF(IFERROR(INDEX(Income!B$3:B$502,SMALL(IF((Income!D$3:D$502="INR")*(Income!A$3:A$502=DATE(2026,7,13)),ROW(Income!A$3:A$502)-2),2)),"")&lt;&gt;"",IFERROR(INDEX(Income!B$3:B$502,SMALL(IF((Income!D$3:D$502="INR")*(Income!A$3:A$502=DATE(2026,7,13)),ROW(Income!A$3:A$502)-2),2)),""),""))</f>
        <v/>
      </c>
      <c r="E145" s="153">
        <f t="array" ref="E145">IF(IFERROR(-INDEX(Expenses!D$3:D$999,SMALL(IF((Expenses!E$3:E$999="INR")*(Expenses!A$3:A$999=DATE(2026,7,14)),ROW(Expenses!A$3:A$999)-2),2)),0)+IFERROR(INDEX(Income!C$3:C$502,SMALL(IF((Income!D$3:D$502="INR")*(Income!A$3:A$502=DATE(2026,7,14)),ROW(Income!A$3:A$502)-2),2)),0)=0,"",IFERROR(-INDEX(Expenses!D$3:D$999,SMALL(IF((Expenses!E$3:E$999="INR")*(Expenses!A$3:A$999=DATE(2026,7,14)),ROW(Expenses!A$3:A$999)-2),2)),0)+IFERROR(INDEX(Income!C$3:C$502,SMALL(IF((Income!D$3:D$502="INR")*(Income!A$3:A$502=DATE(2026,7,14)),ROW(Income!A$3:A$502)-2),2)),0))</f>
        <v/>
      </c>
      <c r="F145" s="126">
        <f t="array" ref="F145">IF(IFERROR(INDEX(Expenses!B$3:B$999,SMALL(IF((Expenses!E$3:E$999="INR")*(Expenses!A$3:A$999=DATE(2026,7,14)),ROW(Expenses!A$3:A$999)-2),2)),"")&lt;&gt;"",IFERROR(INDEX(Expenses!B$3:B$999,SMALL(IF((Expenses!E$3:E$999="INR")*(Expenses!A$3:A$999=DATE(2026,7,14)),ROW(Expenses!A$3:A$999)-2),2)),""),IF(IFERROR(INDEX(Income!B$3:B$502,SMALL(IF((Income!D$3:D$502="INR")*(Income!A$3:A$502=DATE(2026,7,14)),ROW(Income!A$3:A$502)-2),2)),"")&lt;&gt;"",IFERROR(INDEX(Income!B$3:B$502,SMALL(IF((Income!D$3:D$502="INR")*(Income!A$3:A$502=DATE(2026,7,14)),ROW(Income!A$3:A$502)-2),2)),""),""))</f>
        <v/>
      </c>
      <c r="G145" s="153">
        <f t="array" ref="G145">IF(IFERROR(-INDEX(Expenses!D$3:D$999,SMALL(IF((Expenses!E$3:E$999="INR")*(Expenses!A$3:A$999=DATE(2026,7,15)),ROW(Expenses!A$3:A$999)-2),2)),0)+IFERROR(INDEX(Income!C$3:C$502,SMALL(IF((Income!D$3:D$502="INR")*(Income!A$3:A$502=DATE(2026,7,15)),ROW(Income!A$3:A$502)-2),2)),0)=0,"",IFERROR(-INDEX(Expenses!D$3:D$999,SMALL(IF((Expenses!E$3:E$999="INR")*(Expenses!A$3:A$999=DATE(2026,7,15)),ROW(Expenses!A$3:A$999)-2),2)),0)+IFERROR(INDEX(Income!C$3:C$502,SMALL(IF((Income!D$3:D$502="INR")*(Income!A$3:A$502=DATE(2026,7,15)),ROW(Income!A$3:A$502)-2),2)),0))</f>
        <v/>
      </c>
      <c r="H145" s="126">
        <f t="array" ref="H145">IF(IFERROR(INDEX(Expenses!B$3:B$999,SMALL(IF((Expenses!E$3:E$999="INR")*(Expenses!A$3:A$999=DATE(2026,7,15)),ROW(Expenses!A$3:A$999)-2),2)),"")&lt;&gt;"",IFERROR(INDEX(Expenses!B$3:B$999,SMALL(IF((Expenses!E$3:E$999="INR")*(Expenses!A$3:A$999=DATE(2026,7,15)),ROW(Expenses!A$3:A$999)-2),2)),""),IF(IFERROR(INDEX(Income!B$3:B$502,SMALL(IF((Income!D$3:D$502="INR")*(Income!A$3:A$502=DATE(2026,7,15)),ROW(Income!A$3:A$502)-2),2)),"")&lt;&gt;"",IFERROR(INDEX(Income!B$3:B$502,SMALL(IF((Income!D$3:D$502="INR")*(Income!A$3:A$502=DATE(2026,7,15)),ROW(Income!A$3:A$502)-2),2)),""),""))</f>
        <v/>
      </c>
      <c r="I145" s="153">
        <f t="array" ref="I145">IF(IFERROR(-INDEX(Expenses!D$3:D$999,SMALL(IF((Expenses!E$3:E$999="INR")*(Expenses!A$3:A$999=DATE(2026,7,16)),ROW(Expenses!A$3:A$999)-2),2)),0)+IFERROR(INDEX(Income!C$3:C$502,SMALL(IF((Income!D$3:D$502="INR")*(Income!A$3:A$502=DATE(2026,7,16)),ROW(Income!A$3:A$502)-2),2)),0)=0,"",IFERROR(-INDEX(Expenses!D$3:D$999,SMALL(IF((Expenses!E$3:E$999="INR")*(Expenses!A$3:A$999=DATE(2026,7,16)),ROW(Expenses!A$3:A$999)-2),2)),0)+IFERROR(INDEX(Income!C$3:C$502,SMALL(IF((Income!D$3:D$502="INR")*(Income!A$3:A$502=DATE(2026,7,16)),ROW(Income!A$3:A$502)-2),2)),0))</f>
        <v/>
      </c>
      <c r="J145" s="126">
        <f t="array" ref="J145">IF(IFERROR(INDEX(Expenses!B$3:B$999,SMALL(IF((Expenses!E$3:E$999="INR")*(Expenses!A$3:A$999=DATE(2026,7,16)),ROW(Expenses!A$3:A$999)-2),2)),"")&lt;&gt;"",IFERROR(INDEX(Expenses!B$3:B$999,SMALL(IF((Expenses!E$3:E$999="INR")*(Expenses!A$3:A$999=DATE(2026,7,16)),ROW(Expenses!A$3:A$999)-2),2)),""),IF(IFERROR(INDEX(Income!B$3:B$502,SMALL(IF((Income!D$3:D$502="INR")*(Income!A$3:A$502=DATE(2026,7,16)),ROW(Income!A$3:A$502)-2),2)),"")&lt;&gt;"",IFERROR(INDEX(Income!B$3:B$502,SMALL(IF((Income!D$3:D$502="INR")*(Income!A$3:A$502=DATE(2026,7,16)),ROW(Income!A$3:A$502)-2),2)),""),""))</f>
        <v/>
      </c>
      <c r="K145" s="153">
        <f t="array" ref="K145">IF(IFERROR(-INDEX(Expenses!D$3:D$999,SMALL(IF((Expenses!E$3:E$999="INR")*(Expenses!A$3:A$999=DATE(2026,7,17)),ROW(Expenses!A$3:A$999)-2),2)),0)+IFERROR(INDEX(Income!C$3:C$502,SMALL(IF((Income!D$3:D$502="INR")*(Income!A$3:A$502=DATE(2026,7,17)),ROW(Income!A$3:A$502)-2),2)),0)=0,"",IFERROR(-INDEX(Expenses!D$3:D$999,SMALL(IF((Expenses!E$3:E$999="INR")*(Expenses!A$3:A$999=DATE(2026,7,17)),ROW(Expenses!A$3:A$999)-2),2)),0)+IFERROR(INDEX(Income!C$3:C$502,SMALL(IF((Income!D$3:D$502="INR")*(Income!A$3:A$502=DATE(2026,7,17)),ROW(Income!A$3:A$502)-2),2)),0))</f>
        <v/>
      </c>
      <c r="L145" s="126">
        <f t="array" ref="L145">IF(IFERROR(INDEX(Expenses!B$3:B$999,SMALL(IF((Expenses!E$3:E$999="INR")*(Expenses!A$3:A$999=DATE(2026,7,17)),ROW(Expenses!A$3:A$999)-2),2)),"")&lt;&gt;"",IFERROR(INDEX(Expenses!B$3:B$999,SMALL(IF((Expenses!E$3:E$999="INR")*(Expenses!A$3:A$999=DATE(2026,7,17)),ROW(Expenses!A$3:A$999)-2),2)),""),IF(IFERROR(INDEX(Income!B$3:B$502,SMALL(IF((Income!D$3:D$502="INR")*(Income!A$3:A$502=DATE(2026,7,17)),ROW(Income!A$3:A$502)-2),2)),"")&lt;&gt;"",IFERROR(INDEX(Income!B$3:B$502,SMALL(IF((Income!D$3:D$502="INR")*(Income!A$3:A$502=DATE(2026,7,17)),ROW(Income!A$3:A$502)-2),2)),""),""))</f>
        <v/>
      </c>
      <c r="M145" s="153">
        <f t="array" ref="M145">IF(IFERROR(-INDEX(Expenses!D$3:D$999,SMALL(IF((Expenses!E$3:E$999="INR")*(Expenses!A$3:A$999=DATE(2026,7,18)),ROW(Expenses!A$3:A$999)-2),2)),0)+IFERROR(INDEX(Income!C$3:C$502,SMALL(IF((Income!D$3:D$502="INR")*(Income!A$3:A$502=DATE(2026,7,18)),ROW(Income!A$3:A$502)-2),2)),0)=0,"",IFERROR(-INDEX(Expenses!D$3:D$999,SMALL(IF((Expenses!E$3:E$999="INR")*(Expenses!A$3:A$999=DATE(2026,7,18)),ROW(Expenses!A$3:A$999)-2),2)),0)+IFERROR(INDEX(Income!C$3:C$502,SMALL(IF((Income!D$3:D$502="INR")*(Income!A$3:A$502=DATE(2026,7,18)),ROW(Income!A$3:A$502)-2),2)),0))</f>
        <v/>
      </c>
      <c r="N145" s="126">
        <f t="array" ref="N145">IF(IFERROR(INDEX(Expenses!B$3:B$999,SMALL(IF((Expenses!E$3:E$999="INR")*(Expenses!A$3:A$999=DATE(2026,7,18)),ROW(Expenses!A$3:A$999)-2),2)),"")&lt;&gt;"",IFERROR(INDEX(Expenses!B$3:B$999,SMALL(IF((Expenses!E$3:E$999="INR")*(Expenses!A$3:A$999=DATE(2026,7,18)),ROW(Expenses!A$3:A$999)-2),2)),""),IF(IFERROR(INDEX(Income!B$3:B$502,SMALL(IF((Income!D$3:D$502="INR")*(Income!A$3:A$502=DATE(2026,7,18)),ROW(Income!A$3:A$502)-2),2)),"")&lt;&gt;"",IFERROR(INDEX(Income!B$3:B$502,SMALL(IF((Income!D$3:D$502="INR")*(Income!A$3:A$502=DATE(2026,7,18)),ROW(Income!A$3:A$502)-2),2)),""),""))</f>
        <v/>
      </c>
      <c r="O145" s="153">
        <f t="array" ref="O145">IF(IFERROR(-INDEX(Expenses!D$3:D$999,SMALL(IF((Expenses!E$3:E$999="INR")*(Expenses!A$3:A$999=DATE(2026,7,19)),ROW(Expenses!A$3:A$999)-2),2)),0)+IFERROR(INDEX(Income!C$3:C$502,SMALL(IF((Income!D$3:D$502="INR")*(Income!A$3:A$502=DATE(2026,7,19)),ROW(Income!A$3:A$502)-2),2)),0)=0,"",IFERROR(-INDEX(Expenses!D$3:D$999,SMALL(IF((Expenses!E$3:E$999="INR")*(Expenses!A$3:A$999=DATE(2026,7,19)),ROW(Expenses!A$3:A$999)-2),2)),0)+IFERROR(INDEX(Income!C$3:C$502,SMALL(IF((Income!D$3:D$502="INR")*(Income!A$3:A$502=DATE(2026,7,19)),ROW(Income!A$3:A$502)-2),2)),0))</f>
        <v/>
      </c>
      <c r="P145" s="126">
        <f t="array" ref="P145">IF(IFERROR(INDEX(Expenses!B$3:B$999,SMALL(IF((Expenses!E$3:E$999="INR")*(Expenses!A$3:A$999=DATE(2026,7,19)),ROW(Expenses!A$3:A$999)-2),2)),"")&lt;&gt;"",IFERROR(INDEX(Expenses!B$3:B$999,SMALL(IF((Expenses!E$3:E$999="INR")*(Expenses!A$3:A$999=DATE(2026,7,19)),ROW(Expenses!A$3:A$999)-2),2)),""),IF(IFERROR(INDEX(Income!B$3:B$502,SMALL(IF((Income!D$3:D$502="INR")*(Income!A$3:A$502=DATE(2026,7,19)),ROW(Income!A$3:A$502)-2),2)),"")&lt;&gt;"",IFERROR(INDEX(Income!B$3:B$502,SMALL(IF((Income!D$3:D$502="INR")*(Income!A$3:A$502=DATE(2026,7,19)),ROW(Income!A$3:A$502)-2),2)),""),""))</f>
        <v/>
      </c>
      <c r="Q145" s="9" t="n"/>
      <c r="R145" s="9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68">
      <c r="A146" s="9" t="n"/>
      <c r="B146" s="9" t="n"/>
      <c r="C146" s="153">
        <f t="array" ref="C146">IF(IFERROR(-INDEX(Expenses!D$3:D$999,SMALL(IF((Expenses!E$3:E$999="INR")*(Expenses!A$3:A$999=DATE(2026,7,13)),ROW(Expenses!A$3:A$999)-2),3)),0)+IFERROR(INDEX(Income!C$3:C$502,SMALL(IF((Income!D$3:D$502="INR")*(Income!A$3:A$502=DATE(2026,7,13)),ROW(Income!A$3:A$502)-2),3)),0)=0,"",IFERROR(-INDEX(Expenses!D$3:D$999,SMALL(IF((Expenses!E$3:E$999="INR")*(Expenses!A$3:A$999=DATE(2026,7,13)),ROW(Expenses!A$3:A$999)-2),3)),0)+IFERROR(INDEX(Income!C$3:C$502,SMALL(IF((Income!D$3:D$502="INR")*(Income!A$3:A$502=DATE(2026,7,13)),ROW(Income!A$3:A$502)-2),3)),0))</f>
        <v/>
      </c>
      <c r="D146" s="126">
        <f t="array" ref="D146">IF(IFERROR(INDEX(Expenses!B$3:B$999,SMALL(IF((Expenses!E$3:E$999="INR")*(Expenses!A$3:A$999=DATE(2026,7,13)),ROW(Expenses!A$3:A$999)-2),3)),"")&lt;&gt;"",IFERROR(INDEX(Expenses!B$3:B$999,SMALL(IF((Expenses!E$3:E$999="INR")*(Expenses!A$3:A$999=DATE(2026,7,13)),ROW(Expenses!A$3:A$999)-2),3)),""),IF(IFERROR(INDEX(Income!B$3:B$502,SMALL(IF((Income!D$3:D$502="INR")*(Income!A$3:A$502=DATE(2026,7,13)),ROW(Income!A$3:A$502)-2),3)),"")&lt;&gt;"",IFERROR(INDEX(Income!B$3:B$502,SMALL(IF((Income!D$3:D$502="INR")*(Income!A$3:A$502=DATE(2026,7,13)),ROW(Income!A$3:A$502)-2),3)),""),""))</f>
        <v/>
      </c>
      <c r="E146" s="153">
        <f t="array" ref="E146">IF(IFERROR(-INDEX(Expenses!D$3:D$999,SMALL(IF((Expenses!E$3:E$999="INR")*(Expenses!A$3:A$999=DATE(2026,7,14)),ROW(Expenses!A$3:A$999)-2),3)),0)+IFERROR(INDEX(Income!C$3:C$502,SMALL(IF((Income!D$3:D$502="INR")*(Income!A$3:A$502=DATE(2026,7,14)),ROW(Income!A$3:A$502)-2),3)),0)=0,"",IFERROR(-INDEX(Expenses!D$3:D$999,SMALL(IF((Expenses!E$3:E$999="INR")*(Expenses!A$3:A$999=DATE(2026,7,14)),ROW(Expenses!A$3:A$999)-2),3)),0)+IFERROR(INDEX(Income!C$3:C$502,SMALL(IF((Income!D$3:D$502="INR")*(Income!A$3:A$502=DATE(2026,7,14)),ROW(Income!A$3:A$502)-2),3)),0))</f>
        <v/>
      </c>
      <c r="F146" s="126">
        <f t="array" ref="F146">IF(IFERROR(INDEX(Expenses!B$3:B$999,SMALL(IF((Expenses!E$3:E$999="INR")*(Expenses!A$3:A$999=DATE(2026,7,14)),ROW(Expenses!A$3:A$999)-2),3)),"")&lt;&gt;"",IFERROR(INDEX(Expenses!B$3:B$999,SMALL(IF((Expenses!E$3:E$999="INR")*(Expenses!A$3:A$999=DATE(2026,7,14)),ROW(Expenses!A$3:A$999)-2),3)),""),IF(IFERROR(INDEX(Income!B$3:B$502,SMALL(IF((Income!D$3:D$502="INR")*(Income!A$3:A$502=DATE(2026,7,14)),ROW(Income!A$3:A$502)-2),3)),"")&lt;&gt;"",IFERROR(INDEX(Income!B$3:B$502,SMALL(IF((Income!D$3:D$502="INR")*(Income!A$3:A$502=DATE(2026,7,14)),ROW(Income!A$3:A$502)-2),3)),""),""))</f>
        <v/>
      </c>
      <c r="G146" s="153">
        <f t="array" ref="G146">IF(IFERROR(-INDEX(Expenses!D$3:D$999,SMALL(IF((Expenses!E$3:E$999="INR")*(Expenses!A$3:A$999=DATE(2026,7,15)),ROW(Expenses!A$3:A$999)-2),3)),0)+IFERROR(INDEX(Income!C$3:C$502,SMALL(IF((Income!D$3:D$502="INR")*(Income!A$3:A$502=DATE(2026,7,15)),ROW(Income!A$3:A$502)-2),3)),0)=0,"",IFERROR(-INDEX(Expenses!D$3:D$999,SMALL(IF((Expenses!E$3:E$999="INR")*(Expenses!A$3:A$999=DATE(2026,7,15)),ROW(Expenses!A$3:A$999)-2),3)),0)+IFERROR(INDEX(Income!C$3:C$502,SMALL(IF((Income!D$3:D$502="INR")*(Income!A$3:A$502=DATE(2026,7,15)),ROW(Income!A$3:A$502)-2),3)),0))</f>
        <v/>
      </c>
      <c r="H146" s="126">
        <f t="array" ref="H146">IF(IFERROR(INDEX(Expenses!B$3:B$999,SMALL(IF((Expenses!E$3:E$999="INR")*(Expenses!A$3:A$999=DATE(2026,7,15)),ROW(Expenses!A$3:A$999)-2),3)),"")&lt;&gt;"",IFERROR(INDEX(Expenses!B$3:B$999,SMALL(IF((Expenses!E$3:E$999="INR")*(Expenses!A$3:A$999=DATE(2026,7,15)),ROW(Expenses!A$3:A$999)-2),3)),""),IF(IFERROR(INDEX(Income!B$3:B$502,SMALL(IF((Income!D$3:D$502="INR")*(Income!A$3:A$502=DATE(2026,7,15)),ROW(Income!A$3:A$502)-2),3)),"")&lt;&gt;"",IFERROR(INDEX(Income!B$3:B$502,SMALL(IF((Income!D$3:D$502="INR")*(Income!A$3:A$502=DATE(2026,7,15)),ROW(Income!A$3:A$502)-2),3)),""),""))</f>
        <v/>
      </c>
      <c r="I146" s="153">
        <f t="array" ref="I146">IF(IFERROR(-INDEX(Expenses!D$3:D$999,SMALL(IF((Expenses!E$3:E$999="INR")*(Expenses!A$3:A$999=DATE(2026,7,16)),ROW(Expenses!A$3:A$999)-2),3)),0)+IFERROR(INDEX(Income!C$3:C$502,SMALL(IF((Income!D$3:D$502="INR")*(Income!A$3:A$502=DATE(2026,7,16)),ROW(Income!A$3:A$502)-2),3)),0)=0,"",IFERROR(-INDEX(Expenses!D$3:D$999,SMALL(IF((Expenses!E$3:E$999="INR")*(Expenses!A$3:A$999=DATE(2026,7,16)),ROW(Expenses!A$3:A$999)-2),3)),0)+IFERROR(INDEX(Income!C$3:C$502,SMALL(IF((Income!D$3:D$502="INR")*(Income!A$3:A$502=DATE(2026,7,16)),ROW(Income!A$3:A$502)-2),3)),0))</f>
        <v/>
      </c>
      <c r="J146" s="126">
        <f t="array" ref="J146">IF(IFERROR(INDEX(Expenses!B$3:B$999,SMALL(IF((Expenses!E$3:E$999="INR")*(Expenses!A$3:A$999=DATE(2026,7,16)),ROW(Expenses!A$3:A$999)-2),3)),"")&lt;&gt;"",IFERROR(INDEX(Expenses!B$3:B$999,SMALL(IF((Expenses!E$3:E$999="INR")*(Expenses!A$3:A$999=DATE(2026,7,16)),ROW(Expenses!A$3:A$999)-2),3)),""),IF(IFERROR(INDEX(Income!B$3:B$502,SMALL(IF((Income!D$3:D$502="INR")*(Income!A$3:A$502=DATE(2026,7,16)),ROW(Income!A$3:A$502)-2),3)),"")&lt;&gt;"",IFERROR(INDEX(Income!B$3:B$502,SMALL(IF((Income!D$3:D$502="INR")*(Income!A$3:A$502=DATE(2026,7,16)),ROW(Income!A$3:A$502)-2),3)),""),""))</f>
        <v/>
      </c>
      <c r="K146" s="153">
        <f t="array" ref="K146">IF(IFERROR(-INDEX(Expenses!D$3:D$999,SMALL(IF((Expenses!E$3:E$999="INR")*(Expenses!A$3:A$999=DATE(2026,7,17)),ROW(Expenses!A$3:A$999)-2),3)),0)+IFERROR(INDEX(Income!C$3:C$502,SMALL(IF((Income!D$3:D$502="INR")*(Income!A$3:A$502=DATE(2026,7,17)),ROW(Income!A$3:A$502)-2),3)),0)=0,"",IFERROR(-INDEX(Expenses!D$3:D$999,SMALL(IF((Expenses!E$3:E$999="INR")*(Expenses!A$3:A$999=DATE(2026,7,17)),ROW(Expenses!A$3:A$999)-2),3)),0)+IFERROR(INDEX(Income!C$3:C$502,SMALL(IF((Income!D$3:D$502="INR")*(Income!A$3:A$502=DATE(2026,7,17)),ROW(Income!A$3:A$502)-2),3)),0))</f>
        <v/>
      </c>
      <c r="L146" s="126">
        <f t="array" ref="L146">IF(IFERROR(INDEX(Expenses!B$3:B$999,SMALL(IF((Expenses!E$3:E$999="INR")*(Expenses!A$3:A$999=DATE(2026,7,17)),ROW(Expenses!A$3:A$999)-2),3)),"")&lt;&gt;"",IFERROR(INDEX(Expenses!B$3:B$999,SMALL(IF((Expenses!E$3:E$999="INR")*(Expenses!A$3:A$999=DATE(2026,7,17)),ROW(Expenses!A$3:A$999)-2),3)),""),IF(IFERROR(INDEX(Income!B$3:B$502,SMALL(IF((Income!D$3:D$502="INR")*(Income!A$3:A$502=DATE(2026,7,17)),ROW(Income!A$3:A$502)-2),3)),"")&lt;&gt;"",IFERROR(INDEX(Income!B$3:B$502,SMALL(IF((Income!D$3:D$502="INR")*(Income!A$3:A$502=DATE(2026,7,17)),ROW(Income!A$3:A$502)-2),3)),""),""))</f>
        <v/>
      </c>
      <c r="M146" s="153">
        <f t="array" ref="M146">IF(IFERROR(-INDEX(Expenses!D$3:D$999,SMALL(IF((Expenses!E$3:E$999="INR")*(Expenses!A$3:A$999=DATE(2026,7,18)),ROW(Expenses!A$3:A$999)-2),3)),0)+IFERROR(INDEX(Income!C$3:C$502,SMALL(IF((Income!D$3:D$502="INR")*(Income!A$3:A$502=DATE(2026,7,18)),ROW(Income!A$3:A$502)-2),3)),0)=0,"",IFERROR(-INDEX(Expenses!D$3:D$999,SMALL(IF((Expenses!E$3:E$999="INR")*(Expenses!A$3:A$999=DATE(2026,7,18)),ROW(Expenses!A$3:A$999)-2),3)),0)+IFERROR(INDEX(Income!C$3:C$502,SMALL(IF((Income!D$3:D$502="INR")*(Income!A$3:A$502=DATE(2026,7,18)),ROW(Income!A$3:A$502)-2),3)),0))</f>
        <v/>
      </c>
      <c r="N146" s="126">
        <f t="array" ref="N146">IF(IFERROR(INDEX(Expenses!B$3:B$999,SMALL(IF((Expenses!E$3:E$999="INR")*(Expenses!A$3:A$999=DATE(2026,7,18)),ROW(Expenses!A$3:A$999)-2),3)),"")&lt;&gt;"",IFERROR(INDEX(Expenses!B$3:B$999,SMALL(IF((Expenses!E$3:E$999="INR")*(Expenses!A$3:A$999=DATE(2026,7,18)),ROW(Expenses!A$3:A$999)-2),3)),""),IF(IFERROR(INDEX(Income!B$3:B$502,SMALL(IF((Income!D$3:D$502="INR")*(Income!A$3:A$502=DATE(2026,7,18)),ROW(Income!A$3:A$502)-2),3)),"")&lt;&gt;"",IFERROR(INDEX(Income!B$3:B$502,SMALL(IF((Income!D$3:D$502="INR")*(Income!A$3:A$502=DATE(2026,7,18)),ROW(Income!A$3:A$502)-2),3)),""),""))</f>
        <v/>
      </c>
      <c r="O146" s="153">
        <f t="array" ref="O146">IF(IFERROR(-INDEX(Expenses!D$3:D$999,SMALL(IF((Expenses!E$3:E$999="INR")*(Expenses!A$3:A$999=DATE(2026,7,19)),ROW(Expenses!A$3:A$999)-2),3)),0)+IFERROR(INDEX(Income!C$3:C$502,SMALL(IF((Income!D$3:D$502="INR")*(Income!A$3:A$502=DATE(2026,7,19)),ROW(Income!A$3:A$502)-2),3)),0)=0,"",IFERROR(-INDEX(Expenses!D$3:D$999,SMALL(IF((Expenses!E$3:E$999="INR")*(Expenses!A$3:A$999=DATE(2026,7,19)),ROW(Expenses!A$3:A$999)-2),3)),0)+IFERROR(INDEX(Income!C$3:C$502,SMALL(IF((Income!D$3:D$502="INR")*(Income!A$3:A$502=DATE(2026,7,19)),ROW(Income!A$3:A$502)-2),3)),0))</f>
        <v/>
      </c>
      <c r="P146" s="126">
        <f t="array" ref="P146">IF(IFERROR(INDEX(Expenses!B$3:B$999,SMALL(IF((Expenses!E$3:E$999="INR")*(Expenses!A$3:A$999=DATE(2026,7,19)),ROW(Expenses!A$3:A$999)-2),3)),"")&lt;&gt;"",IFERROR(INDEX(Expenses!B$3:B$999,SMALL(IF((Expenses!E$3:E$999="INR")*(Expenses!A$3:A$999=DATE(2026,7,19)),ROW(Expenses!A$3:A$999)-2),3)),""),IF(IFERROR(INDEX(Income!B$3:B$502,SMALL(IF((Income!D$3:D$502="INR")*(Income!A$3:A$502=DATE(2026,7,19)),ROW(Income!A$3:A$502)-2),3)),"")&lt;&gt;"",IFERROR(INDEX(Income!B$3:B$502,SMALL(IF((Income!D$3:D$502="INR")*(Income!A$3:A$502=DATE(2026,7,19)),ROW(Income!A$3:A$502)-2),3)),""),""))</f>
        <v/>
      </c>
      <c r="Q146" s="9" t="n"/>
      <c r="R146" s="9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68">
      <c r="A147" s="9" t="n"/>
      <c r="B147" s="9" t="n"/>
      <c r="C147" s="153">
        <f t="array" ref="C147">IF(IFERROR(-INDEX(Expenses!D$3:D$999,SMALL(IF((Expenses!E$3:E$999="INR")*(Expenses!A$3:A$999=DATE(2026,7,13)),ROW(Expenses!A$3:A$999)-2),4)),0)+IFERROR(INDEX(Income!C$3:C$502,SMALL(IF((Income!D$3:D$502="INR")*(Income!A$3:A$502=DATE(2026,7,13)),ROW(Income!A$3:A$502)-2),4)),0)=0,"",IFERROR(-INDEX(Expenses!D$3:D$999,SMALL(IF((Expenses!E$3:E$999="INR")*(Expenses!A$3:A$999=DATE(2026,7,13)),ROW(Expenses!A$3:A$999)-2),4)),0)+IFERROR(INDEX(Income!C$3:C$502,SMALL(IF((Income!D$3:D$502="INR")*(Income!A$3:A$502=DATE(2026,7,13)),ROW(Income!A$3:A$502)-2),4)),0))</f>
        <v/>
      </c>
      <c r="D147" s="126">
        <f t="array" ref="D147">IF(IFERROR(INDEX(Expenses!B$3:B$999,SMALL(IF((Expenses!E$3:E$999="INR")*(Expenses!A$3:A$999=DATE(2026,7,13)),ROW(Expenses!A$3:A$999)-2),4)),"")&lt;&gt;"",IFERROR(INDEX(Expenses!B$3:B$999,SMALL(IF((Expenses!E$3:E$999="INR")*(Expenses!A$3:A$999=DATE(2026,7,13)),ROW(Expenses!A$3:A$999)-2),4)),""),IF(IFERROR(INDEX(Income!B$3:B$502,SMALL(IF((Income!D$3:D$502="INR")*(Income!A$3:A$502=DATE(2026,7,13)),ROW(Income!A$3:A$502)-2),4)),"")&lt;&gt;"",IFERROR(INDEX(Income!B$3:B$502,SMALL(IF((Income!D$3:D$502="INR")*(Income!A$3:A$502=DATE(2026,7,13)),ROW(Income!A$3:A$502)-2),4)),""),""))</f>
        <v/>
      </c>
      <c r="E147" s="153">
        <f t="array" ref="E147">IF(IFERROR(-INDEX(Expenses!D$3:D$999,SMALL(IF((Expenses!E$3:E$999="INR")*(Expenses!A$3:A$999=DATE(2026,7,14)),ROW(Expenses!A$3:A$999)-2),4)),0)+IFERROR(INDEX(Income!C$3:C$502,SMALL(IF((Income!D$3:D$502="INR")*(Income!A$3:A$502=DATE(2026,7,14)),ROW(Income!A$3:A$502)-2),4)),0)=0,"",IFERROR(-INDEX(Expenses!D$3:D$999,SMALL(IF((Expenses!E$3:E$999="INR")*(Expenses!A$3:A$999=DATE(2026,7,14)),ROW(Expenses!A$3:A$999)-2),4)),0)+IFERROR(INDEX(Income!C$3:C$502,SMALL(IF((Income!D$3:D$502="INR")*(Income!A$3:A$502=DATE(2026,7,14)),ROW(Income!A$3:A$502)-2),4)),0))</f>
        <v/>
      </c>
      <c r="F147" s="126">
        <f t="array" ref="F147">IF(IFERROR(INDEX(Expenses!B$3:B$999,SMALL(IF((Expenses!E$3:E$999="INR")*(Expenses!A$3:A$999=DATE(2026,7,14)),ROW(Expenses!A$3:A$999)-2),4)),"")&lt;&gt;"",IFERROR(INDEX(Expenses!B$3:B$999,SMALL(IF((Expenses!E$3:E$999="INR")*(Expenses!A$3:A$999=DATE(2026,7,14)),ROW(Expenses!A$3:A$999)-2),4)),""),IF(IFERROR(INDEX(Income!B$3:B$502,SMALL(IF((Income!D$3:D$502="INR")*(Income!A$3:A$502=DATE(2026,7,14)),ROW(Income!A$3:A$502)-2),4)),"")&lt;&gt;"",IFERROR(INDEX(Income!B$3:B$502,SMALL(IF((Income!D$3:D$502="INR")*(Income!A$3:A$502=DATE(2026,7,14)),ROW(Income!A$3:A$502)-2),4)),""),""))</f>
        <v/>
      </c>
      <c r="G147" s="153">
        <f t="array" ref="G147">IF(IFERROR(-INDEX(Expenses!D$3:D$999,SMALL(IF((Expenses!E$3:E$999="INR")*(Expenses!A$3:A$999=DATE(2026,7,15)),ROW(Expenses!A$3:A$999)-2),4)),0)+IFERROR(INDEX(Income!C$3:C$502,SMALL(IF((Income!D$3:D$502="INR")*(Income!A$3:A$502=DATE(2026,7,15)),ROW(Income!A$3:A$502)-2),4)),0)=0,"",IFERROR(-INDEX(Expenses!D$3:D$999,SMALL(IF((Expenses!E$3:E$999="INR")*(Expenses!A$3:A$999=DATE(2026,7,15)),ROW(Expenses!A$3:A$999)-2),4)),0)+IFERROR(INDEX(Income!C$3:C$502,SMALL(IF((Income!D$3:D$502="INR")*(Income!A$3:A$502=DATE(2026,7,15)),ROW(Income!A$3:A$502)-2),4)),0))</f>
        <v/>
      </c>
      <c r="H147" s="126">
        <f t="array" ref="H147">IF(IFERROR(INDEX(Expenses!B$3:B$999,SMALL(IF((Expenses!E$3:E$999="INR")*(Expenses!A$3:A$999=DATE(2026,7,15)),ROW(Expenses!A$3:A$999)-2),4)),"")&lt;&gt;"",IFERROR(INDEX(Expenses!B$3:B$999,SMALL(IF((Expenses!E$3:E$999="INR")*(Expenses!A$3:A$999=DATE(2026,7,15)),ROW(Expenses!A$3:A$999)-2),4)),""),IF(IFERROR(INDEX(Income!B$3:B$502,SMALL(IF((Income!D$3:D$502="INR")*(Income!A$3:A$502=DATE(2026,7,15)),ROW(Income!A$3:A$502)-2),4)),"")&lt;&gt;"",IFERROR(INDEX(Income!B$3:B$502,SMALL(IF((Income!D$3:D$502="INR")*(Income!A$3:A$502=DATE(2026,7,15)),ROW(Income!A$3:A$502)-2),4)),""),""))</f>
        <v/>
      </c>
      <c r="I147" s="153">
        <f t="array" ref="I147">IF(IFERROR(-INDEX(Expenses!D$3:D$999,SMALL(IF((Expenses!E$3:E$999="INR")*(Expenses!A$3:A$999=DATE(2026,7,16)),ROW(Expenses!A$3:A$999)-2),4)),0)+IFERROR(INDEX(Income!C$3:C$502,SMALL(IF((Income!D$3:D$502="INR")*(Income!A$3:A$502=DATE(2026,7,16)),ROW(Income!A$3:A$502)-2),4)),0)=0,"",IFERROR(-INDEX(Expenses!D$3:D$999,SMALL(IF((Expenses!E$3:E$999="INR")*(Expenses!A$3:A$999=DATE(2026,7,16)),ROW(Expenses!A$3:A$999)-2),4)),0)+IFERROR(INDEX(Income!C$3:C$502,SMALL(IF((Income!D$3:D$502="INR")*(Income!A$3:A$502=DATE(2026,7,16)),ROW(Income!A$3:A$502)-2),4)),0))</f>
        <v/>
      </c>
      <c r="J147" s="126">
        <f t="array" ref="J147">IF(IFERROR(INDEX(Expenses!B$3:B$999,SMALL(IF((Expenses!E$3:E$999="INR")*(Expenses!A$3:A$999=DATE(2026,7,16)),ROW(Expenses!A$3:A$999)-2),4)),"")&lt;&gt;"",IFERROR(INDEX(Expenses!B$3:B$999,SMALL(IF((Expenses!E$3:E$999="INR")*(Expenses!A$3:A$999=DATE(2026,7,16)),ROW(Expenses!A$3:A$999)-2),4)),""),IF(IFERROR(INDEX(Income!B$3:B$502,SMALL(IF((Income!D$3:D$502="INR")*(Income!A$3:A$502=DATE(2026,7,16)),ROW(Income!A$3:A$502)-2),4)),"")&lt;&gt;"",IFERROR(INDEX(Income!B$3:B$502,SMALL(IF((Income!D$3:D$502="INR")*(Income!A$3:A$502=DATE(2026,7,16)),ROW(Income!A$3:A$502)-2),4)),""),""))</f>
        <v/>
      </c>
      <c r="K147" s="153">
        <f t="array" ref="K147">IF(IFERROR(-INDEX(Expenses!D$3:D$999,SMALL(IF((Expenses!E$3:E$999="INR")*(Expenses!A$3:A$999=DATE(2026,7,17)),ROW(Expenses!A$3:A$999)-2),4)),0)+IFERROR(INDEX(Income!C$3:C$502,SMALL(IF((Income!D$3:D$502="INR")*(Income!A$3:A$502=DATE(2026,7,17)),ROW(Income!A$3:A$502)-2),4)),0)=0,"",IFERROR(-INDEX(Expenses!D$3:D$999,SMALL(IF((Expenses!E$3:E$999="INR")*(Expenses!A$3:A$999=DATE(2026,7,17)),ROW(Expenses!A$3:A$999)-2),4)),0)+IFERROR(INDEX(Income!C$3:C$502,SMALL(IF((Income!D$3:D$502="INR")*(Income!A$3:A$502=DATE(2026,7,17)),ROW(Income!A$3:A$502)-2),4)),0))</f>
        <v/>
      </c>
      <c r="L147" s="126">
        <f t="array" ref="L147">IF(IFERROR(INDEX(Expenses!B$3:B$999,SMALL(IF((Expenses!E$3:E$999="INR")*(Expenses!A$3:A$999=DATE(2026,7,17)),ROW(Expenses!A$3:A$999)-2),4)),"")&lt;&gt;"",IFERROR(INDEX(Expenses!B$3:B$999,SMALL(IF((Expenses!E$3:E$999="INR")*(Expenses!A$3:A$999=DATE(2026,7,17)),ROW(Expenses!A$3:A$999)-2),4)),""),IF(IFERROR(INDEX(Income!B$3:B$502,SMALL(IF((Income!D$3:D$502="INR")*(Income!A$3:A$502=DATE(2026,7,17)),ROW(Income!A$3:A$502)-2),4)),"")&lt;&gt;"",IFERROR(INDEX(Income!B$3:B$502,SMALL(IF((Income!D$3:D$502="INR")*(Income!A$3:A$502=DATE(2026,7,17)),ROW(Income!A$3:A$502)-2),4)),""),""))</f>
        <v/>
      </c>
      <c r="M147" s="153">
        <f t="array" ref="M147">IF(IFERROR(-INDEX(Expenses!D$3:D$999,SMALL(IF((Expenses!E$3:E$999="INR")*(Expenses!A$3:A$999=DATE(2026,7,18)),ROW(Expenses!A$3:A$999)-2),4)),0)+IFERROR(INDEX(Income!C$3:C$502,SMALL(IF((Income!D$3:D$502="INR")*(Income!A$3:A$502=DATE(2026,7,18)),ROW(Income!A$3:A$502)-2),4)),0)=0,"",IFERROR(-INDEX(Expenses!D$3:D$999,SMALL(IF((Expenses!E$3:E$999="INR")*(Expenses!A$3:A$999=DATE(2026,7,18)),ROW(Expenses!A$3:A$999)-2),4)),0)+IFERROR(INDEX(Income!C$3:C$502,SMALL(IF((Income!D$3:D$502="INR")*(Income!A$3:A$502=DATE(2026,7,18)),ROW(Income!A$3:A$502)-2),4)),0))</f>
        <v/>
      </c>
      <c r="N147" s="126">
        <f t="array" ref="N147">IF(IFERROR(INDEX(Expenses!B$3:B$999,SMALL(IF((Expenses!E$3:E$999="INR")*(Expenses!A$3:A$999=DATE(2026,7,18)),ROW(Expenses!A$3:A$999)-2),4)),"")&lt;&gt;"",IFERROR(INDEX(Expenses!B$3:B$999,SMALL(IF((Expenses!E$3:E$999="INR")*(Expenses!A$3:A$999=DATE(2026,7,18)),ROW(Expenses!A$3:A$999)-2),4)),""),IF(IFERROR(INDEX(Income!B$3:B$502,SMALL(IF((Income!D$3:D$502="INR")*(Income!A$3:A$502=DATE(2026,7,18)),ROW(Income!A$3:A$502)-2),4)),"")&lt;&gt;"",IFERROR(INDEX(Income!B$3:B$502,SMALL(IF((Income!D$3:D$502="INR")*(Income!A$3:A$502=DATE(2026,7,18)),ROW(Income!A$3:A$502)-2),4)),""),""))</f>
        <v/>
      </c>
      <c r="O147" s="153">
        <f t="array" ref="O147">IF(IFERROR(-INDEX(Expenses!D$3:D$999,SMALL(IF((Expenses!E$3:E$999="INR")*(Expenses!A$3:A$999=DATE(2026,7,19)),ROW(Expenses!A$3:A$999)-2),4)),0)+IFERROR(INDEX(Income!C$3:C$502,SMALL(IF((Income!D$3:D$502="INR")*(Income!A$3:A$502=DATE(2026,7,19)),ROW(Income!A$3:A$502)-2),4)),0)=0,"",IFERROR(-INDEX(Expenses!D$3:D$999,SMALL(IF((Expenses!E$3:E$999="INR")*(Expenses!A$3:A$999=DATE(2026,7,19)),ROW(Expenses!A$3:A$999)-2),4)),0)+IFERROR(INDEX(Income!C$3:C$502,SMALL(IF((Income!D$3:D$502="INR")*(Income!A$3:A$502=DATE(2026,7,19)),ROW(Income!A$3:A$502)-2),4)),0))</f>
        <v/>
      </c>
      <c r="P147" s="126">
        <f t="array" ref="P147">IF(IFERROR(INDEX(Expenses!B$3:B$999,SMALL(IF((Expenses!E$3:E$999="INR")*(Expenses!A$3:A$999=DATE(2026,7,19)),ROW(Expenses!A$3:A$999)-2),4)),"")&lt;&gt;"",IFERROR(INDEX(Expenses!B$3:B$999,SMALL(IF((Expenses!E$3:E$999="INR")*(Expenses!A$3:A$999=DATE(2026,7,19)),ROW(Expenses!A$3:A$999)-2),4)),""),IF(IFERROR(INDEX(Income!B$3:B$502,SMALL(IF((Income!D$3:D$502="INR")*(Income!A$3:A$502=DATE(2026,7,19)),ROW(Income!A$3:A$502)-2),4)),"")&lt;&gt;"",IFERROR(INDEX(Income!B$3:B$502,SMALL(IF((Income!D$3:D$502="INR")*(Income!A$3:A$502=DATE(2026,7,19)),ROW(Income!A$3:A$502)-2),4)),""),""))</f>
        <v/>
      </c>
      <c r="Q147" s="9" t="n"/>
      <c r="R147" s="9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68">
      <c r="A148" s="9" t="n"/>
      <c r="B148" s="9" t="n"/>
      <c r="C148" s="153">
        <f t="array" ref="C148">IF(IFERROR(-INDEX(Expenses!D$3:D$999,SMALL(IF((Expenses!E$3:E$999="INR")*(Expenses!A$3:A$999=DATE(2026,7,13)),ROW(Expenses!A$3:A$999)-2),5)),0)+IFERROR(INDEX(Income!C$3:C$502,SMALL(IF((Income!D$3:D$502="INR")*(Income!A$3:A$502=DATE(2026,7,13)),ROW(Income!A$3:A$502)-2),5)),0)=0,"",IFERROR(-INDEX(Expenses!D$3:D$999,SMALL(IF((Expenses!E$3:E$999="INR")*(Expenses!A$3:A$999=DATE(2026,7,13)),ROW(Expenses!A$3:A$999)-2),5)),0)+IFERROR(INDEX(Income!C$3:C$502,SMALL(IF((Income!D$3:D$502="INR")*(Income!A$3:A$502=DATE(2026,7,13)),ROW(Income!A$3:A$502)-2),5)),0))</f>
        <v/>
      </c>
      <c r="D148" s="126">
        <f t="array" ref="D148">IF(IFERROR(INDEX(Expenses!B$3:B$999,SMALL(IF((Expenses!E$3:E$999="INR")*(Expenses!A$3:A$999=DATE(2026,7,13)),ROW(Expenses!A$3:A$999)-2),5)),"")&lt;&gt;"",IFERROR(INDEX(Expenses!B$3:B$999,SMALL(IF((Expenses!E$3:E$999="INR")*(Expenses!A$3:A$999=DATE(2026,7,13)),ROW(Expenses!A$3:A$999)-2),5)),""),IF(IFERROR(INDEX(Income!B$3:B$502,SMALL(IF((Income!D$3:D$502="INR")*(Income!A$3:A$502=DATE(2026,7,13)),ROW(Income!A$3:A$502)-2),5)),"")&lt;&gt;"",IFERROR(INDEX(Income!B$3:B$502,SMALL(IF((Income!D$3:D$502="INR")*(Income!A$3:A$502=DATE(2026,7,13)),ROW(Income!A$3:A$502)-2),5)),""),""))</f>
        <v/>
      </c>
      <c r="E148" s="153">
        <f t="array" ref="E148">IF(IFERROR(-INDEX(Expenses!D$3:D$999,SMALL(IF((Expenses!E$3:E$999="INR")*(Expenses!A$3:A$999=DATE(2026,7,14)),ROW(Expenses!A$3:A$999)-2),5)),0)+IFERROR(INDEX(Income!C$3:C$502,SMALL(IF((Income!D$3:D$502="INR")*(Income!A$3:A$502=DATE(2026,7,14)),ROW(Income!A$3:A$502)-2),5)),0)=0,"",IFERROR(-INDEX(Expenses!D$3:D$999,SMALL(IF((Expenses!E$3:E$999="INR")*(Expenses!A$3:A$999=DATE(2026,7,14)),ROW(Expenses!A$3:A$999)-2),5)),0)+IFERROR(INDEX(Income!C$3:C$502,SMALL(IF((Income!D$3:D$502="INR")*(Income!A$3:A$502=DATE(2026,7,14)),ROW(Income!A$3:A$502)-2),5)),0))</f>
        <v/>
      </c>
      <c r="F148" s="126">
        <f t="array" ref="F148">IF(IFERROR(INDEX(Expenses!B$3:B$999,SMALL(IF((Expenses!E$3:E$999="INR")*(Expenses!A$3:A$999=DATE(2026,7,14)),ROW(Expenses!A$3:A$999)-2),5)),"")&lt;&gt;"",IFERROR(INDEX(Expenses!B$3:B$999,SMALL(IF((Expenses!E$3:E$999="INR")*(Expenses!A$3:A$999=DATE(2026,7,14)),ROW(Expenses!A$3:A$999)-2),5)),""),IF(IFERROR(INDEX(Income!B$3:B$502,SMALL(IF((Income!D$3:D$502="INR")*(Income!A$3:A$502=DATE(2026,7,14)),ROW(Income!A$3:A$502)-2),5)),"")&lt;&gt;"",IFERROR(INDEX(Income!B$3:B$502,SMALL(IF((Income!D$3:D$502="INR")*(Income!A$3:A$502=DATE(2026,7,14)),ROW(Income!A$3:A$502)-2),5)),""),""))</f>
        <v/>
      </c>
      <c r="G148" s="153">
        <f t="array" ref="G148">IF(IFERROR(-INDEX(Expenses!D$3:D$999,SMALL(IF((Expenses!E$3:E$999="INR")*(Expenses!A$3:A$999=DATE(2026,7,15)),ROW(Expenses!A$3:A$999)-2),5)),0)+IFERROR(INDEX(Income!C$3:C$502,SMALL(IF((Income!D$3:D$502="INR")*(Income!A$3:A$502=DATE(2026,7,15)),ROW(Income!A$3:A$502)-2),5)),0)=0,"",IFERROR(-INDEX(Expenses!D$3:D$999,SMALL(IF((Expenses!E$3:E$999="INR")*(Expenses!A$3:A$999=DATE(2026,7,15)),ROW(Expenses!A$3:A$999)-2),5)),0)+IFERROR(INDEX(Income!C$3:C$502,SMALL(IF((Income!D$3:D$502="INR")*(Income!A$3:A$502=DATE(2026,7,15)),ROW(Income!A$3:A$502)-2),5)),0))</f>
        <v/>
      </c>
      <c r="H148" s="126">
        <f t="array" ref="H148">IF(IFERROR(INDEX(Expenses!B$3:B$999,SMALL(IF((Expenses!E$3:E$999="INR")*(Expenses!A$3:A$999=DATE(2026,7,15)),ROW(Expenses!A$3:A$999)-2),5)),"")&lt;&gt;"",IFERROR(INDEX(Expenses!B$3:B$999,SMALL(IF((Expenses!E$3:E$999="INR")*(Expenses!A$3:A$999=DATE(2026,7,15)),ROW(Expenses!A$3:A$999)-2),5)),""),IF(IFERROR(INDEX(Income!B$3:B$502,SMALL(IF((Income!D$3:D$502="INR")*(Income!A$3:A$502=DATE(2026,7,15)),ROW(Income!A$3:A$502)-2),5)),"")&lt;&gt;"",IFERROR(INDEX(Income!B$3:B$502,SMALL(IF((Income!D$3:D$502="INR")*(Income!A$3:A$502=DATE(2026,7,15)),ROW(Income!A$3:A$502)-2),5)),""),""))</f>
        <v/>
      </c>
      <c r="I148" s="153">
        <f t="array" ref="I148">IF(IFERROR(-INDEX(Expenses!D$3:D$999,SMALL(IF((Expenses!E$3:E$999="INR")*(Expenses!A$3:A$999=DATE(2026,7,16)),ROW(Expenses!A$3:A$999)-2),5)),0)+IFERROR(INDEX(Income!C$3:C$502,SMALL(IF((Income!D$3:D$502="INR")*(Income!A$3:A$502=DATE(2026,7,16)),ROW(Income!A$3:A$502)-2),5)),0)=0,"",IFERROR(-INDEX(Expenses!D$3:D$999,SMALL(IF((Expenses!E$3:E$999="INR")*(Expenses!A$3:A$999=DATE(2026,7,16)),ROW(Expenses!A$3:A$999)-2),5)),0)+IFERROR(INDEX(Income!C$3:C$502,SMALL(IF((Income!D$3:D$502="INR")*(Income!A$3:A$502=DATE(2026,7,16)),ROW(Income!A$3:A$502)-2),5)),0))</f>
        <v/>
      </c>
      <c r="J148" s="126">
        <f t="array" ref="J148">IF(IFERROR(INDEX(Expenses!B$3:B$999,SMALL(IF((Expenses!E$3:E$999="INR")*(Expenses!A$3:A$999=DATE(2026,7,16)),ROW(Expenses!A$3:A$999)-2),5)),"")&lt;&gt;"",IFERROR(INDEX(Expenses!B$3:B$999,SMALL(IF((Expenses!E$3:E$999="INR")*(Expenses!A$3:A$999=DATE(2026,7,16)),ROW(Expenses!A$3:A$999)-2),5)),""),IF(IFERROR(INDEX(Income!B$3:B$502,SMALL(IF((Income!D$3:D$502="INR")*(Income!A$3:A$502=DATE(2026,7,16)),ROW(Income!A$3:A$502)-2),5)),"")&lt;&gt;"",IFERROR(INDEX(Income!B$3:B$502,SMALL(IF((Income!D$3:D$502="INR")*(Income!A$3:A$502=DATE(2026,7,16)),ROW(Income!A$3:A$502)-2),5)),""),""))</f>
        <v/>
      </c>
      <c r="K148" s="153">
        <f t="array" ref="K148">IF(IFERROR(-INDEX(Expenses!D$3:D$999,SMALL(IF((Expenses!E$3:E$999="INR")*(Expenses!A$3:A$999=DATE(2026,7,17)),ROW(Expenses!A$3:A$999)-2),5)),0)+IFERROR(INDEX(Income!C$3:C$502,SMALL(IF((Income!D$3:D$502="INR")*(Income!A$3:A$502=DATE(2026,7,17)),ROW(Income!A$3:A$502)-2),5)),0)=0,"",IFERROR(-INDEX(Expenses!D$3:D$999,SMALL(IF((Expenses!E$3:E$999="INR")*(Expenses!A$3:A$999=DATE(2026,7,17)),ROW(Expenses!A$3:A$999)-2),5)),0)+IFERROR(INDEX(Income!C$3:C$502,SMALL(IF((Income!D$3:D$502="INR")*(Income!A$3:A$502=DATE(2026,7,17)),ROW(Income!A$3:A$502)-2),5)),0))</f>
        <v/>
      </c>
      <c r="L148" s="126">
        <f t="array" ref="L148">IF(IFERROR(INDEX(Expenses!B$3:B$999,SMALL(IF((Expenses!E$3:E$999="INR")*(Expenses!A$3:A$999=DATE(2026,7,17)),ROW(Expenses!A$3:A$999)-2),5)),"")&lt;&gt;"",IFERROR(INDEX(Expenses!B$3:B$999,SMALL(IF((Expenses!E$3:E$999="INR")*(Expenses!A$3:A$999=DATE(2026,7,17)),ROW(Expenses!A$3:A$999)-2),5)),""),IF(IFERROR(INDEX(Income!B$3:B$502,SMALL(IF((Income!D$3:D$502="INR")*(Income!A$3:A$502=DATE(2026,7,17)),ROW(Income!A$3:A$502)-2),5)),"")&lt;&gt;"",IFERROR(INDEX(Income!B$3:B$502,SMALL(IF((Income!D$3:D$502="INR")*(Income!A$3:A$502=DATE(2026,7,17)),ROW(Income!A$3:A$502)-2),5)),""),""))</f>
        <v/>
      </c>
      <c r="M148" s="153">
        <f t="array" ref="M148">IF(IFERROR(-INDEX(Expenses!D$3:D$999,SMALL(IF((Expenses!E$3:E$999="INR")*(Expenses!A$3:A$999=DATE(2026,7,18)),ROW(Expenses!A$3:A$999)-2),5)),0)+IFERROR(INDEX(Income!C$3:C$502,SMALL(IF((Income!D$3:D$502="INR")*(Income!A$3:A$502=DATE(2026,7,18)),ROW(Income!A$3:A$502)-2),5)),0)=0,"",IFERROR(-INDEX(Expenses!D$3:D$999,SMALL(IF((Expenses!E$3:E$999="INR")*(Expenses!A$3:A$999=DATE(2026,7,18)),ROW(Expenses!A$3:A$999)-2),5)),0)+IFERROR(INDEX(Income!C$3:C$502,SMALL(IF((Income!D$3:D$502="INR")*(Income!A$3:A$502=DATE(2026,7,18)),ROW(Income!A$3:A$502)-2),5)),0))</f>
        <v/>
      </c>
      <c r="N148" s="126">
        <f t="array" ref="N148">IF(IFERROR(INDEX(Expenses!B$3:B$999,SMALL(IF((Expenses!E$3:E$999="INR")*(Expenses!A$3:A$999=DATE(2026,7,18)),ROW(Expenses!A$3:A$999)-2),5)),"")&lt;&gt;"",IFERROR(INDEX(Expenses!B$3:B$999,SMALL(IF((Expenses!E$3:E$999="INR")*(Expenses!A$3:A$999=DATE(2026,7,18)),ROW(Expenses!A$3:A$999)-2),5)),""),IF(IFERROR(INDEX(Income!B$3:B$502,SMALL(IF((Income!D$3:D$502="INR")*(Income!A$3:A$502=DATE(2026,7,18)),ROW(Income!A$3:A$502)-2),5)),"")&lt;&gt;"",IFERROR(INDEX(Income!B$3:B$502,SMALL(IF((Income!D$3:D$502="INR")*(Income!A$3:A$502=DATE(2026,7,18)),ROW(Income!A$3:A$502)-2),5)),""),""))</f>
        <v/>
      </c>
      <c r="O148" s="153">
        <f t="array" ref="O148">IF(IFERROR(-INDEX(Expenses!D$3:D$999,SMALL(IF((Expenses!E$3:E$999="INR")*(Expenses!A$3:A$999=DATE(2026,7,19)),ROW(Expenses!A$3:A$999)-2),5)),0)+IFERROR(INDEX(Income!C$3:C$502,SMALL(IF((Income!D$3:D$502="INR")*(Income!A$3:A$502=DATE(2026,7,19)),ROW(Income!A$3:A$502)-2),5)),0)=0,"",IFERROR(-INDEX(Expenses!D$3:D$999,SMALL(IF((Expenses!E$3:E$999="INR")*(Expenses!A$3:A$999=DATE(2026,7,19)),ROW(Expenses!A$3:A$999)-2),5)),0)+IFERROR(INDEX(Income!C$3:C$502,SMALL(IF((Income!D$3:D$502="INR")*(Income!A$3:A$502=DATE(2026,7,19)),ROW(Income!A$3:A$502)-2),5)),0))</f>
        <v/>
      </c>
      <c r="P148" s="126">
        <f t="array" ref="P148">IF(IFERROR(INDEX(Expenses!B$3:B$999,SMALL(IF((Expenses!E$3:E$999="INR")*(Expenses!A$3:A$999=DATE(2026,7,19)),ROW(Expenses!A$3:A$999)-2),5)),"")&lt;&gt;"",IFERROR(INDEX(Expenses!B$3:B$999,SMALL(IF((Expenses!E$3:E$999="INR")*(Expenses!A$3:A$999=DATE(2026,7,19)),ROW(Expenses!A$3:A$999)-2),5)),""),IF(IFERROR(INDEX(Income!B$3:B$502,SMALL(IF((Income!D$3:D$502="INR")*(Income!A$3:A$502=DATE(2026,7,19)),ROW(Income!A$3:A$502)-2),5)),"")&lt;&gt;"",IFERROR(INDEX(Income!B$3:B$502,SMALL(IF((Income!D$3:D$502="INR")*(Income!A$3:A$502=DATE(2026,7,19)),ROW(Income!A$3:A$502)-2),5)),""),""))</f>
        <v/>
      </c>
      <c r="Q148" s="9" t="n"/>
      <c r="R148" s="9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68">
      <c r="A149" s="151" t="n">
        <v>46223</v>
      </c>
      <c r="B149" s="103" t="n">
        <v>30</v>
      </c>
      <c r="C149" s="153">
        <f t="array" ref="C149">IF(IFERROR(-INDEX(Expenses!D$3:D$999,SMALL(IF((Expenses!E$3:E$999="INR")*(Expenses!A$3:A$999=DATE(2026,7,20)),ROW(Expenses!A$3:A$999)-2),1)),0)+IFERROR(INDEX(Income!C$3:C$502,SMALL(IF((Income!D$3:D$502="INR")*(Income!A$3:A$502=DATE(2026,7,20)),ROW(Income!A$3:A$502)-2),1)),0)=0,"",IFERROR(-INDEX(Expenses!D$3:D$999,SMALL(IF((Expenses!E$3:E$999="INR")*(Expenses!A$3:A$999=DATE(2026,7,20)),ROW(Expenses!A$3:A$999)-2),1)),0)+IFERROR(INDEX(Income!C$3:C$502,SMALL(IF((Income!D$3:D$502="INR")*(Income!A$3:A$502=DATE(2026,7,20)),ROW(Income!A$3:A$502)-2),1)),0))</f>
        <v/>
      </c>
      <c r="D149" s="126">
        <f t="array" ref="D149">IF(IFERROR(INDEX(Expenses!B$3:B$999,SMALL(IF((Expenses!E$3:E$999="INR")*(Expenses!A$3:A$999=DATE(2026,7,20)),ROW(Expenses!A$3:A$999)-2),1)),"")&lt;&gt;"",IFERROR(INDEX(Expenses!B$3:B$999,SMALL(IF((Expenses!E$3:E$999="INR")*(Expenses!A$3:A$999=DATE(2026,7,20)),ROW(Expenses!A$3:A$999)-2),1)),""),IF(IFERROR(INDEX(Income!B$3:B$502,SMALL(IF((Income!D$3:D$502="INR")*(Income!A$3:A$502=DATE(2026,7,20)),ROW(Income!A$3:A$502)-2),1)),"")&lt;&gt;"",IFERROR(INDEX(Income!B$3:B$502,SMALL(IF((Income!D$3:D$502="INR")*(Income!A$3:A$502=DATE(2026,7,20)),ROW(Income!A$3:A$502)-2),1)),""),""))</f>
        <v/>
      </c>
      <c r="E149" s="153">
        <f t="array" ref="E149">IF(IFERROR(-INDEX(Expenses!D$3:D$999,SMALL(IF((Expenses!E$3:E$999="INR")*(Expenses!A$3:A$999=DATE(2026,7,21)),ROW(Expenses!A$3:A$999)-2),1)),0)+IFERROR(INDEX(Income!C$3:C$502,SMALL(IF((Income!D$3:D$502="INR")*(Income!A$3:A$502=DATE(2026,7,21)),ROW(Income!A$3:A$502)-2),1)),0)=0,"",IFERROR(-INDEX(Expenses!D$3:D$999,SMALL(IF((Expenses!E$3:E$999="INR")*(Expenses!A$3:A$999=DATE(2026,7,21)),ROW(Expenses!A$3:A$999)-2),1)),0)+IFERROR(INDEX(Income!C$3:C$502,SMALL(IF((Income!D$3:D$502="INR")*(Income!A$3:A$502=DATE(2026,7,21)),ROW(Income!A$3:A$502)-2),1)),0))</f>
        <v/>
      </c>
      <c r="F149" s="126">
        <f t="array" ref="F149">IF(IFERROR(INDEX(Expenses!B$3:B$999,SMALL(IF((Expenses!E$3:E$999="INR")*(Expenses!A$3:A$999=DATE(2026,7,21)),ROW(Expenses!A$3:A$999)-2),1)),"")&lt;&gt;"",IFERROR(INDEX(Expenses!B$3:B$999,SMALL(IF((Expenses!E$3:E$999="INR")*(Expenses!A$3:A$999=DATE(2026,7,21)),ROW(Expenses!A$3:A$999)-2),1)),""),IF(IFERROR(INDEX(Income!B$3:B$502,SMALL(IF((Income!D$3:D$502="INR")*(Income!A$3:A$502=DATE(2026,7,21)),ROW(Income!A$3:A$502)-2),1)),"")&lt;&gt;"",IFERROR(INDEX(Income!B$3:B$502,SMALL(IF((Income!D$3:D$502="INR")*(Income!A$3:A$502=DATE(2026,7,21)),ROW(Income!A$3:A$502)-2),1)),""),""))</f>
        <v/>
      </c>
      <c r="G149" s="153">
        <f t="array" ref="G149">IF(IFERROR(-INDEX(Expenses!D$3:D$999,SMALL(IF((Expenses!E$3:E$999="INR")*(Expenses!A$3:A$999=DATE(2026,7,22)),ROW(Expenses!A$3:A$999)-2),1)),0)+IFERROR(INDEX(Income!C$3:C$502,SMALL(IF((Income!D$3:D$502="INR")*(Income!A$3:A$502=DATE(2026,7,22)),ROW(Income!A$3:A$502)-2),1)),0)=0,"",IFERROR(-INDEX(Expenses!D$3:D$999,SMALL(IF((Expenses!E$3:E$999="INR")*(Expenses!A$3:A$999=DATE(2026,7,22)),ROW(Expenses!A$3:A$999)-2),1)),0)+IFERROR(INDEX(Income!C$3:C$502,SMALL(IF((Income!D$3:D$502="INR")*(Income!A$3:A$502=DATE(2026,7,22)),ROW(Income!A$3:A$502)-2),1)),0))</f>
        <v/>
      </c>
      <c r="H149" s="126">
        <f t="array" ref="H149">IF(IFERROR(INDEX(Expenses!B$3:B$999,SMALL(IF((Expenses!E$3:E$999="INR")*(Expenses!A$3:A$999=DATE(2026,7,22)),ROW(Expenses!A$3:A$999)-2),1)),"")&lt;&gt;"",IFERROR(INDEX(Expenses!B$3:B$999,SMALL(IF((Expenses!E$3:E$999="INR")*(Expenses!A$3:A$999=DATE(2026,7,22)),ROW(Expenses!A$3:A$999)-2),1)),""),IF(IFERROR(INDEX(Income!B$3:B$502,SMALL(IF((Income!D$3:D$502="INR")*(Income!A$3:A$502=DATE(2026,7,22)),ROW(Income!A$3:A$502)-2),1)),"")&lt;&gt;"",IFERROR(INDEX(Income!B$3:B$502,SMALL(IF((Income!D$3:D$502="INR")*(Income!A$3:A$502=DATE(2026,7,22)),ROW(Income!A$3:A$502)-2),1)),""),""))</f>
        <v/>
      </c>
      <c r="I149" s="153">
        <f t="array" ref="I149">IF(IFERROR(-INDEX(Expenses!D$3:D$999,SMALL(IF((Expenses!E$3:E$999="INR")*(Expenses!A$3:A$999=DATE(2026,7,23)),ROW(Expenses!A$3:A$999)-2),1)),0)+IFERROR(INDEX(Income!C$3:C$502,SMALL(IF((Income!D$3:D$502="INR")*(Income!A$3:A$502=DATE(2026,7,23)),ROW(Income!A$3:A$502)-2),1)),0)=0,"",IFERROR(-INDEX(Expenses!D$3:D$999,SMALL(IF((Expenses!E$3:E$999="INR")*(Expenses!A$3:A$999=DATE(2026,7,23)),ROW(Expenses!A$3:A$999)-2),1)),0)+IFERROR(INDEX(Income!C$3:C$502,SMALL(IF((Income!D$3:D$502="INR")*(Income!A$3:A$502=DATE(2026,7,23)),ROW(Income!A$3:A$502)-2),1)),0))</f>
        <v/>
      </c>
      <c r="J149" s="126">
        <f t="array" ref="J149">IF(IFERROR(INDEX(Expenses!B$3:B$999,SMALL(IF((Expenses!E$3:E$999="INR")*(Expenses!A$3:A$999=DATE(2026,7,23)),ROW(Expenses!A$3:A$999)-2),1)),"")&lt;&gt;"",IFERROR(INDEX(Expenses!B$3:B$999,SMALL(IF((Expenses!E$3:E$999="INR")*(Expenses!A$3:A$999=DATE(2026,7,23)),ROW(Expenses!A$3:A$999)-2),1)),""),IF(IFERROR(INDEX(Income!B$3:B$502,SMALL(IF((Income!D$3:D$502="INR")*(Income!A$3:A$502=DATE(2026,7,23)),ROW(Income!A$3:A$502)-2),1)),"")&lt;&gt;"",IFERROR(INDEX(Income!B$3:B$502,SMALL(IF((Income!D$3:D$502="INR")*(Income!A$3:A$502=DATE(2026,7,23)),ROW(Income!A$3:A$502)-2),1)),""),""))</f>
        <v/>
      </c>
      <c r="K149" s="153">
        <f t="array" ref="K149">IF(IFERROR(-INDEX(Expenses!D$3:D$999,SMALL(IF((Expenses!E$3:E$999="INR")*(Expenses!A$3:A$999=DATE(2026,7,24)),ROW(Expenses!A$3:A$999)-2),1)),0)+IFERROR(INDEX(Income!C$3:C$502,SMALL(IF((Income!D$3:D$502="INR")*(Income!A$3:A$502=DATE(2026,7,24)),ROW(Income!A$3:A$502)-2),1)),0)=0,"",IFERROR(-INDEX(Expenses!D$3:D$999,SMALL(IF((Expenses!E$3:E$999="INR")*(Expenses!A$3:A$999=DATE(2026,7,24)),ROW(Expenses!A$3:A$999)-2),1)),0)+IFERROR(INDEX(Income!C$3:C$502,SMALL(IF((Income!D$3:D$502="INR")*(Income!A$3:A$502=DATE(2026,7,24)),ROW(Income!A$3:A$502)-2),1)),0))</f>
        <v/>
      </c>
      <c r="L149" s="126">
        <f t="array" ref="L149">IF(IFERROR(INDEX(Expenses!B$3:B$999,SMALL(IF((Expenses!E$3:E$999="INR")*(Expenses!A$3:A$999=DATE(2026,7,24)),ROW(Expenses!A$3:A$999)-2),1)),"")&lt;&gt;"",IFERROR(INDEX(Expenses!B$3:B$999,SMALL(IF((Expenses!E$3:E$999="INR")*(Expenses!A$3:A$999=DATE(2026,7,24)),ROW(Expenses!A$3:A$999)-2),1)),""),IF(IFERROR(INDEX(Income!B$3:B$502,SMALL(IF((Income!D$3:D$502="INR")*(Income!A$3:A$502=DATE(2026,7,24)),ROW(Income!A$3:A$502)-2),1)),"")&lt;&gt;"",IFERROR(INDEX(Income!B$3:B$502,SMALL(IF((Income!D$3:D$502="INR")*(Income!A$3:A$502=DATE(2026,7,24)),ROW(Income!A$3:A$502)-2),1)),""),""))</f>
        <v/>
      </c>
      <c r="M149" s="153">
        <f t="array" ref="M149">IF(IFERROR(-INDEX(Expenses!D$3:D$999,SMALL(IF((Expenses!E$3:E$999="INR")*(Expenses!A$3:A$999=DATE(2026,7,25)),ROW(Expenses!A$3:A$999)-2),1)),0)+IFERROR(INDEX(Income!C$3:C$502,SMALL(IF((Income!D$3:D$502="INR")*(Income!A$3:A$502=DATE(2026,7,25)),ROW(Income!A$3:A$502)-2),1)),0)=0,"",IFERROR(-INDEX(Expenses!D$3:D$999,SMALL(IF((Expenses!E$3:E$999="INR")*(Expenses!A$3:A$999=DATE(2026,7,25)),ROW(Expenses!A$3:A$999)-2),1)),0)+IFERROR(INDEX(Income!C$3:C$502,SMALL(IF((Income!D$3:D$502="INR")*(Income!A$3:A$502=DATE(2026,7,25)),ROW(Income!A$3:A$502)-2),1)),0))</f>
        <v/>
      </c>
      <c r="N149" s="126">
        <f t="array" ref="N149">IF(IFERROR(INDEX(Expenses!B$3:B$999,SMALL(IF((Expenses!E$3:E$999="INR")*(Expenses!A$3:A$999=DATE(2026,7,25)),ROW(Expenses!A$3:A$999)-2),1)),"")&lt;&gt;"",IFERROR(INDEX(Expenses!B$3:B$999,SMALL(IF((Expenses!E$3:E$999="INR")*(Expenses!A$3:A$999=DATE(2026,7,25)),ROW(Expenses!A$3:A$999)-2),1)),""),IF(IFERROR(INDEX(Income!B$3:B$502,SMALL(IF((Income!D$3:D$502="INR")*(Income!A$3:A$502=DATE(2026,7,25)),ROW(Income!A$3:A$502)-2),1)),"")&lt;&gt;"",IFERROR(INDEX(Income!B$3:B$502,SMALL(IF((Income!D$3:D$502="INR")*(Income!A$3:A$502=DATE(2026,7,25)),ROW(Income!A$3:A$502)-2),1)),""),""))</f>
        <v/>
      </c>
      <c r="O149" s="153">
        <f t="array" ref="O149">IF(IFERROR(-INDEX(Expenses!D$3:D$999,SMALL(IF((Expenses!E$3:E$999="INR")*(Expenses!A$3:A$999=DATE(2026,7,26)),ROW(Expenses!A$3:A$999)-2),1)),0)+IFERROR(INDEX(Income!C$3:C$502,SMALL(IF((Income!D$3:D$502="INR")*(Income!A$3:A$502=DATE(2026,7,26)),ROW(Income!A$3:A$502)-2),1)),0)=0,"",IFERROR(-INDEX(Expenses!D$3:D$999,SMALL(IF((Expenses!E$3:E$999="INR")*(Expenses!A$3:A$999=DATE(2026,7,26)),ROW(Expenses!A$3:A$999)-2),1)),0)+IFERROR(INDEX(Income!C$3:C$502,SMALL(IF((Income!D$3:D$502="INR")*(Income!A$3:A$502=DATE(2026,7,26)),ROW(Income!A$3:A$502)-2),1)),0))</f>
        <v/>
      </c>
      <c r="P149" s="126">
        <f t="array" ref="P149">IF(IFERROR(INDEX(Expenses!B$3:B$999,SMALL(IF((Expenses!E$3:E$999="INR")*(Expenses!A$3:A$999=DATE(2026,7,26)),ROW(Expenses!A$3:A$999)-2),1)),"")&lt;&gt;"",IFERROR(INDEX(Expenses!B$3:B$999,SMALL(IF((Expenses!E$3:E$999="INR")*(Expenses!A$3:A$999=DATE(2026,7,26)),ROW(Expenses!A$3:A$999)-2),1)),""),IF(IFERROR(INDEX(Income!B$3:B$502,SMALL(IF((Income!D$3:D$502="INR")*(Income!A$3:A$502=DATE(2026,7,26)),ROW(Income!A$3:A$502)-2),1)),"")&lt;&gt;"",IFERROR(INDEX(Income!B$3:B$502,SMALL(IF((Income!D$3:D$502="INR")*(Income!A$3:A$502=DATE(2026,7,26)),ROW(Income!A$3:A$502)-2),1)),""),""))</f>
        <v/>
      </c>
      <c r="Q149" s="103" t="n">
        <v>30</v>
      </c>
      <c r="R149" s="142">
        <f>SUM(C149:C153)+SUM(E149:E153)+SUM(G149:G153)+SUM(I149:I153)+SUM(K149:K153)+SUM(M149:M153)+SUM(O149:O153)</f>
        <v/>
      </c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68">
      <c r="A150" s="9" t="n"/>
      <c r="B150" s="9" t="n"/>
      <c r="C150" s="153">
        <f t="array" ref="C150">IF(IFERROR(-INDEX(Expenses!D$3:D$999,SMALL(IF((Expenses!E$3:E$999="INR")*(Expenses!A$3:A$999=DATE(2026,7,20)),ROW(Expenses!A$3:A$999)-2),2)),0)+IFERROR(INDEX(Income!C$3:C$502,SMALL(IF((Income!D$3:D$502="INR")*(Income!A$3:A$502=DATE(2026,7,20)),ROW(Income!A$3:A$502)-2),2)),0)=0,"",IFERROR(-INDEX(Expenses!D$3:D$999,SMALL(IF((Expenses!E$3:E$999="INR")*(Expenses!A$3:A$999=DATE(2026,7,20)),ROW(Expenses!A$3:A$999)-2),2)),0)+IFERROR(INDEX(Income!C$3:C$502,SMALL(IF((Income!D$3:D$502="INR")*(Income!A$3:A$502=DATE(2026,7,20)),ROW(Income!A$3:A$502)-2),2)),0))</f>
        <v/>
      </c>
      <c r="D150" s="126">
        <f t="array" ref="D150">IF(IFERROR(INDEX(Expenses!B$3:B$999,SMALL(IF((Expenses!E$3:E$999="INR")*(Expenses!A$3:A$999=DATE(2026,7,20)),ROW(Expenses!A$3:A$999)-2),2)),"")&lt;&gt;"",IFERROR(INDEX(Expenses!B$3:B$999,SMALL(IF((Expenses!E$3:E$999="INR")*(Expenses!A$3:A$999=DATE(2026,7,20)),ROW(Expenses!A$3:A$999)-2),2)),""),IF(IFERROR(INDEX(Income!B$3:B$502,SMALL(IF((Income!D$3:D$502="INR")*(Income!A$3:A$502=DATE(2026,7,20)),ROW(Income!A$3:A$502)-2),2)),"")&lt;&gt;"",IFERROR(INDEX(Income!B$3:B$502,SMALL(IF((Income!D$3:D$502="INR")*(Income!A$3:A$502=DATE(2026,7,20)),ROW(Income!A$3:A$502)-2),2)),""),""))</f>
        <v/>
      </c>
      <c r="E150" s="153">
        <f t="array" ref="E150">IF(IFERROR(-INDEX(Expenses!D$3:D$999,SMALL(IF((Expenses!E$3:E$999="INR")*(Expenses!A$3:A$999=DATE(2026,7,21)),ROW(Expenses!A$3:A$999)-2),2)),0)+IFERROR(INDEX(Income!C$3:C$502,SMALL(IF((Income!D$3:D$502="INR")*(Income!A$3:A$502=DATE(2026,7,21)),ROW(Income!A$3:A$502)-2),2)),0)=0,"",IFERROR(-INDEX(Expenses!D$3:D$999,SMALL(IF((Expenses!E$3:E$999="INR")*(Expenses!A$3:A$999=DATE(2026,7,21)),ROW(Expenses!A$3:A$999)-2),2)),0)+IFERROR(INDEX(Income!C$3:C$502,SMALL(IF((Income!D$3:D$502="INR")*(Income!A$3:A$502=DATE(2026,7,21)),ROW(Income!A$3:A$502)-2),2)),0))</f>
        <v/>
      </c>
      <c r="F150" s="126">
        <f t="array" ref="F150">IF(IFERROR(INDEX(Expenses!B$3:B$999,SMALL(IF((Expenses!E$3:E$999="INR")*(Expenses!A$3:A$999=DATE(2026,7,21)),ROW(Expenses!A$3:A$999)-2),2)),"")&lt;&gt;"",IFERROR(INDEX(Expenses!B$3:B$999,SMALL(IF((Expenses!E$3:E$999="INR")*(Expenses!A$3:A$999=DATE(2026,7,21)),ROW(Expenses!A$3:A$999)-2),2)),""),IF(IFERROR(INDEX(Income!B$3:B$502,SMALL(IF((Income!D$3:D$502="INR")*(Income!A$3:A$502=DATE(2026,7,21)),ROW(Income!A$3:A$502)-2),2)),"")&lt;&gt;"",IFERROR(INDEX(Income!B$3:B$502,SMALL(IF((Income!D$3:D$502="INR")*(Income!A$3:A$502=DATE(2026,7,21)),ROW(Income!A$3:A$502)-2),2)),""),""))</f>
        <v/>
      </c>
      <c r="G150" s="153">
        <f t="array" ref="G150">IF(IFERROR(-INDEX(Expenses!D$3:D$999,SMALL(IF((Expenses!E$3:E$999="INR")*(Expenses!A$3:A$999=DATE(2026,7,22)),ROW(Expenses!A$3:A$999)-2),2)),0)+IFERROR(INDEX(Income!C$3:C$502,SMALL(IF((Income!D$3:D$502="INR")*(Income!A$3:A$502=DATE(2026,7,22)),ROW(Income!A$3:A$502)-2),2)),0)=0,"",IFERROR(-INDEX(Expenses!D$3:D$999,SMALL(IF((Expenses!E$3:E$999="INR")*(Expenses!A$3:A$999=DATE(2026,7,22)),ROW(Expenses!A$3:A$999)-2),2)),0)+IFERROR(INDEX(Income!C$3:C$502,SMALL(IF((Income!D$3:D$502="INR")*(Income!A$3:A$502=DATE(2026,7,22)),ROW(Income!A$3:A$502)-2),2)),0))</f>
        <v/>
      </c>
      <c r="H150" s="126">
        <f t="array" ref="H150">IF(IFERROR(INDEX(Expenses!B$3:B$999,SMALL(IF((Expenses!E$3:E$999="INR")*(Expenses!A$3:A$999=DATE(2026,7,22)),ROW(Expenses!A$3:A$999)-2),2)),"")&lt;&gt;"",IFERROR(INDEX(Expenses!B$3:B$999,SMALL(IF((Expenses!E$3:E$999="INR")*(Expenses!A$3:A$999=DATE(2026,7,22)),ROW(Expenses!A$3:A$999)-2),2)),""),IF(IFERROR(INDEX(Income!B$3:B$502,SMALL(IF((Income!D$3:D$502="INR")*(Income!A$3:A$502=DATE(2026,7,22)),ROW(Income!A$3:A$502)-2),2)),"")&lt;&gt;"",IFERROR(INDEX(Income!B$3:B$502,SMALL(IF((Income!D$3:D$502="INR")*(Income!A$3:A$502=DATE(2026,7,22)),ROW(Income!A$3:A$502)-2),2)),""),""))</f>
        <v/>
      </c>
      <c r="I150" s="153">
        <f t="array" ref="I150">IF(IFERROR(-INDEX(Expenses!D$3:D$999,SMALL(IF((Expenses!E$3:E$999="INR")*(Expenses!A$3:A$999=DATE(2026,7,23)),ROW(Expenses!A$3:A$999)-2),2)),0)+IFERROR(INDEX(Income!C$3:C$502,SMALL(IF((Income!D$3:D$502="INR")*(Income!A$3:A$502=DATE(2026,7,23)),ROW(Income!A$3:A$502)-2),2)),0)=0,"",IFERROR(-INDEX(Expenses!D$3:D$999,SMALL(IF((Expenses!E$3:E$999="INR")*(Expenses!A$3:A$999=DATE(2026,7,23)),ROW(Expenses!A$3:A$999)-2),2)),0)+IFERROR(INDEX(Income!C$3:C$502,SMALL(IF((Income!D$3:D$502="INR")*(Income!A$3:A$502=DATE(2026,7,23)),ROW(Income!A$3:A$502)-2),2)),0))</f>
        <v/>
      </c>
      <c r="J150" s="126">
        <f t="array" ref="J150">IF(IFERROR(INDEX(Expenses!B$3:B$999,SMALL(IF((Expenses!E$3:E$999="INR")*(Expenses!A$3:A$999=DATE(2026,7,23)),ROW(Expenses!A$3:A$999)-2),2)),"")&lt;&gt;"",IFERROR(INDEX(Expenses!B$3:B$999,SMALL(IF((Expenses!E$3:E$999="INR")*(Expenses!A$3:A$999=DATE(2026,7,23)),ROW(Expenses!A$3:A$999)-2),2)),""),IF(IFERROR(INDEX(Income!B$3:B$502,SMALL(IF((Income!D$3:D$502="INR")*(Income!A$3:A$502=DATE(2026,7,23)),ROW(Income!A$3:A$502)-2),2)),"")&lt;&gt;"",IFERROR(INDEX(Income!B$3:B$502,SMALL(IF((Income!D$3:D$502="INR")*(Income!A$3:A$502=DATE(2026,7,23)),ROW(Income!A$3:A$502)-2),2)),""),""))</f>
        <v/>
      </c>
      <c r="K150" s="153">
        <f t="array" ref="K150">IF(IFERROR(-INDEX(Expenses!D$3:D$999,SMALL(IF((Expenses!E$3:E$999="INR")*(Expenses!A$3:A$999=DATE(2026,7,24)),ROW(Expenses!A$3:A$999)-2),2)),0)+IFERROR(INDEX(Income!C$3:C$502,SMALL(IF((Income!D$3:D$502="INR")*(Income!A$3:A$502=DATE(2026,7,24)),ROW(Income!A$3:A$502)-2),2)),0)=0,"",IFERROR(-INDEX(Expenses!D$3:D$999,SMALL(IF((Expenses!E$3:E$999="INR")*(Expenses!A$3:A$999=DATE(2026,7,24)),ROW(Expenses!A$3:A$999)-2),2)),0)+IFERROR(INDEX(Income!C$3:C$502,SMALL(IF((Income!D$3:D$502="INR")*(Income!A$3:A$502=DATE(2026,7,24)),ROW(Income!A$3:A$502)-2),2)),0))</f>
        <v/>
      </c>
      <c r="L150" s="126">
        <f t="array" ref="L150">IF(IFERROR(INDEX(Expenses!B$3:B$999,SMALL(IF((Expenses!E$3:E$999="INR")*(Expenses!A$3:A$999=DATE(2026,7,24)),ROW(Expenses!A$3:A$999)-2),2)),"")&lt;&gt;"",IFERROR(INDEX(Expenses!B$3:B$999,SMALL(IF((Expenses!E$3:E$999="INR")*(Expenses!A$3:A$999=DATE(2026,7,24)),ROW(Expenses!A$3:A$999)-2),2)),""),IF(IFERROR(INDEX(Income!B$3:B$502,SMALL(IF((Income!D$3:D$502="INR")*(Income!A$3:A$502=DATE(2026,7,24)),ROW(Income!A$3:A$502)-2),2)),"")&lt;&gt;"",IFERROR(INDEX(Income!B$3:B$502,SMALL(IF((Income!D$3:D$502="INR")*(Income!A$3:A$502=DATE(2026,7,24)),ROW(Income!A$3:A$502)-2),2)),""),""))</f>
        <v/>
      </c>
      <c r="M150" s="153">
        <f t="array" ref="M150">IF(IFERROR(-INDEX(Expenses!D$3:D$999,SMALL(IF((Expenses!E$3:E$999="INR")*(Expenses!A$3:A$999=DATE(2026,7,25)),ROW(Expenses!A$3:A$999)-2),2)),0)+IFERROR(INDEX(Income!C$3:C$502,SMALL(IF((Income!D$3:D$502="INR")*(Income!A$3:A$502=DATE(2026,7,25)),ROW(Income!A$3:A$502)-2),2)),0)=0,"",IFERROR(-INDEX(Expenses!D$3:D$999,SMALL(IF((Expenses!E$3:E$999="INR")*(Expenses!A$3:A$999=DATE(2026,7,25)),ROW(Expenses!A$3:A$999)-2),2)),0)+IFERROR(INDEX(Income!C$3:C$502,SMALL(IF((Income!D$3:D$502="INR")*(Income!A$3:A$502=DATE(2026,7,25)),ROW(Income!A$3:A$502)-2),2)),0))</f>
        <v/>
      </c>
      <c r="N150" s="126">
        <f t="array" ref="N150">IF(IFERROR(INDEX(Expenses!B$3:B$999,SMALL(IF((Expenses!E$3:E$999="INR")*(Expenses!A$3:A$999=DATE(2026,7,25)),ROW(Expenses!A$3:A$999)-2),2)),"")&lt;&gt;"",IFERROR(INDEX(Expenses!B$3:B$999,SMALL(IF((Expenses!E$3:E$999="INR")*(Expenses!A$3:A$999=DATE(2026,7,25)),ROW(Expenses!A$3:A$999)-2),2)),""),IF(IFERROR(INDEX(Income!B$3:B$502,SMALL(IF((Income!D$3:D$502="INR")*(Income!A$3:A$502=DATE(2026,7,25)),ROW(Income!A$3:A$502)-2),2)),"")&lt;&gt;"",IFERROR(INDEX(Income!B$3:B$502,SMALL(IF((Income!D$3:D$502="INR")*(Income!A$3:A$502=DATE(2026,7,25)),ROW(Income!A$3:A$502)-2),2)),""),""))</f>
        <v/>
      </c>
      <c r="O150" s="153">
        <f t="array" ref="O150">IF(IFERROR(-INDEX(Expenses!D$3:D$999,SMALL(IF((Expenses!E$3:E$999="INR")*(Expenses!A$3:A$999=DATE(2026,7,26)),ROW(Expenses!A$3:A$999)-2),2)),0)+IFERROR(INDEX(Income!C$3:C$502,SMALL(IF((Income!D$3:D$502="INR")*(Income!A$3:A$502=DATE(2026,7,26)),ROW(Income!A$3:A$502)-2),2)),0)=0,"",IFERROR(-INDEX(Expenses!D$3:D$999,SMALL(IF((Expenses!E$3:E$999="INR")*(Expenses!A$3:A$999=DATE(2026,7,26)),ROW(Expenses!A$3:A$999)-2),2)),0)+IFERROR(INDEX(Income!C$3:C$502,SMALL(IF((Income!D$3:D$502="INR")*(Income!A$3:A$502=DATE(2026,7,26)),ROW(Income!A$3:A$502)-2),2)),0))</f>
        <v/>
      </c>
      <c r="P150" s="126">
        <f t="array" ref="P150">IF(IFERROR(INDEX(Expenses!B$3:B$999,SMALL(IF((Expenses!E$3:E$999="INR")*(Expenses!A$3:A$999=DATE(2026,7,26)),ROW(Expenses!A$3:A$999)-2),2)),"")&lt;&gt;"",IFERROR(INDEX(Expenses!B$3:B$999,SMALL(IF((Expenses!E$3:E$999="INR")*(Expenses!A$3:A$999=DATE(2026,7,26)),ROW(Expenses!A$3:A$999)-2),2)),""),IF(IFERROR(INDEX(Income!B$3:B$502,SMALL(IF((Income!D$3:D$502="INR")*(Income!A$3:A$502=DATE(2026,7,26)),ROW(Income!A$3:A$502)-2),2)),"")&lt;&gt;"",IFERROR(INDEX(Income!B$3:B$502,SMALL(IF((Income!D$3:D$502="INR")*(Income!A$3:A$502=DATE(2026,7,26)),ROW(Income!A$3:A$502)-2),2)),""),""))</f>
        <v/>
      </c>
      <c r="Q150" s="9" t="n"/>
      <c r="R150" s="9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68">
      <c r="A151" s="9" t="n"/>
      <c r="B151" s="9" t="n"/>
      <c r="C151" s="153">
        <f t="array" ref="C151">IF(IFERROR(-INDEX(Expenses!D$3:D$999,SMALL(IF((Expenses!E$3:E$999="INR")*(Expenses!A$3:A$999=DATE(2026,7,20)),ROW(Expenses!A$3:A$999)-2),3)),0)+IFERROR(INDEX(Income!C$3:C$502,SMALL(IF((Income!D$3:D$502="INR")*(Income!A$3:A$502=DATE(2026,7,20)),ROW(Income!A$3:A$502)-2),3)),0)=0,"",IFERROR(-INDEX(Expenses!D$3:D$999,SMALL(IF((Expenses!E$3:E$999="INR")*(Expenses!A$3:A$999=DATE(2026,7,20)),ROW(Expenses!A$3:A$999)-2),3)),0)+IFERROR(INDEX(Income!C$3:C$502,SMALL(IF((Income!D$3:D$502="INR")*(Income!A$3:A$502=DATE(2026,7,20)),ROW(Income!A$3:A$502)-2),3)),0))</f>
        <v/>
      </c>
      <c r="D151" s="126">
        <f t="array" ref="D151">IF(IFERROR(INDEX(Expenses!B$3:B$999,SMALL(IF((Expenses!E$3:E$999="INR")*(Expenses!A$3:A$999=DATE(2026,7,20)),ROW(Expenses!A$3:A$999)-2),3)),"")&lt;&gt;"",IFERROR(INDEX(Expenses!B$3:B$999,SMALL(IF((Expenses!E$3:E$999="INR")*(Expenses!A$3:A$999=DATE(2026,7,20)),ROW(Expenses!A$3:A$999)-2),3)),""),IF(IFERROR(INDEX(Income!B$3:B$502,SMALL(IF((Income!D$3:D$502="INR")*(Income!A$3:A$502=DATE(2026,7,20)),ROW(Income!A$3:A$502)-2),3)),"")&lt;&gt;"",IFERROR(INDEX(Income!B$3:B$502,SMALL(IF((Income!D$3:D$502="INR")*(Income!A$3:A$502=DATE(2026,7,20)),ROW(Income!A$3:A$502)-2),3)),""),""))</f>
        <v/>
      </c>
      <c r="E151" s="153">
        <f t="array" ref="E151">IF(IFERROR(-INDEX(Expenses!D$3:D$999,SMALL(IF((Expenses!E$3:E$999="INR")*(Expenses!A$3:A$999=DATE(2026,7,21)),ROW(Expenses!A$3:A$999)-2),3)),0)+IFERROR(INDEX(Income!C$3:C$502,SMALL(IF((Income!D$3:D$502="INR")*(Income!A$3:A$502=DATE(2026,7,21)),ROW(Income!A$3:A$502)-2),3)),0)=0,"",IFERROR(-INDEX(Expenses!D$3:D$999,SMALL(IF((Expenses!E$3:E$999="INR")*(Expenses!A$3:A$999=DATE(2026,7,21)),ROW(Expenses!A$3:A$999)-2),3)),0)+IFERROR(INDEX(Income!C$3:C$502,SMALL(IF((Income!D$3:D$502="INR")*(Income!A$3:A$502=DATE(2026,7,21)),ROW(Income!A$3:A$502)-2),3)),0))</f>
        <v/>
      </c>
      <c r="F151" s="126">
        <f t="array" ref="F151">IF(IFERROR(INDEX(Expenses!B$3:B$999,SMALL(IF((Expenses!E$3:E$999="INR")*(Expenses!A$3:A$999=DATE(2026,7,21)),ROW(Expenses!A$3:A$999)-2),3)),"")&lt;&gt;"",IFERROR(INDEX(Expenses!B$3:B$999,SMALL(IF((Expenses!E$3:E$999="INR")*(Expenses!A$3:A$999=DATE(2026,7,21)),ROW(Expenses!A$3:A$999)-2),3)),""),IF(IFERROR(INDEX(Income!B$3:B$502,SMALL(IF((Income!D$3:D$502="INR")*(Income!A$3:A$502=DATE(2026,7,21)),ROW(Income!A$3:A$502)-2),3)),"")&lt;&gt;"",IFERROR(INDEX(Income!B$3:B$502,SMALL(IF((Income!D$3:D$502="INR")*(Income!A$3:A$502=DATE(2026,7,21)),ROW(Income!A$3:A$502)-2),3)),""),""))</f>
        <v/>
      </c>
      <c r="G151" s="153">
        <f t="array" ref="G151">IF(IFERROR(-INDEX(Expenses!D$3:D$999,SMALL(IF((Expenses!E$3:E$999="INR")*(Expenses!A$3:A$999=DATE(2026,7,22)),ROW(Expenses!A$3:A$999)-2),3)),0)+IFERROR(INDEX(Income!C$3:C$502,SMALL(IF((Income!D$3:D$502="INR")*(Income!A$3:A$502=DATE(2026,7,22)),ROW(Income!A$3:A$502)-2),3)),0)=0,"",IFERROR(-INDEX(Expenses!D$3:D$999,SMALL(IF((Expenses!E$3:E$999="INR")*(Expenses!A$3:A$999=DATE(2026,7,22)),ROW(Expenses!A$3:A$999)-2),3)),0)+IFERROR(INDEX(Income!C$3:C$502,SMALL(IF((Income!D$3:D$502="INR")*(Income!A$3:A$502=DATE(2026,7,22)),ROW(Income!A$3:A$502)-2),3)),0))</f>
        <v/>
      </c>
      <c r="H151" s="126">
        <f t="array" ref="H151">IF(IFERROR(INDEX(Expenses!B$3:B$999,SMALL(IF((Expenses!E$3:E$999="INR")*(Expenses!A$3:A$999=DATE(2026,7,22)),ROW(Expenses!A$3:A$999)-2),3)),"")&lt;&gt;"",IFERROR(INDEX(Expenses!B$3:B$999,SMALL(IF((Expenses!E$3:E$999="INR")*(Expenses!A$3:A$999=DATE(2026,7,22)),ROW(Expenses!A$3:A$999)-2),3)),""),IF(IFERROR(INDEX(Income!B$3:B$502,SMALL(IF((Income!D$3:D$502="INR")*(Income!A$3:A$502=DATE(2026,7,22)),ROW(Income!A$3:A$502)-2),3)),"")&lt;&gt;"",IFERROR(INDEX(Income!B$3:B$502,SMALL(IF((Income!D$3:D$502="INR")*(Income!A$3:A$502=DATE(2026,7,22)),ROW(Income!A$3:A$502)-2),3)),""),""))</f>
        <v/>
      </c>
      <c r="I151" s="153">
        <f t="array" ref="I151">IF(IFERROR(-INDEX(Expenses!D$3:D$999,SMALL(IF((Expenses!E$3:E$999="INR")*(Expenses!A$3:A$999=DATE(2026,7,23)),ROW(Expenses!A$3:A$999)-2),3)),0)+IFERROR(INDEX(Income!C$3:C$502,SMALL(IF((Income!D$3:D$502="INR")*(Income!A$3:A$502=DATE(2026,7,23)),ROW(Income!A$3:A$502)-2),3)),0)=0,"",IFERROR(-INDEX(Expenses!D$3:D$999,SMALL(IF((Expenses!E$3:E$999="INR")*(Expenses!A$3:A$999=DATE(2026,7,23)),ROW(Expenses!A$3:A$999)-2),3)),0)+IFERROR(INDEX(Income!C$3:C$502,SMALL(IF((Income!D$3:D$502="INR")*(Income!A$3:A$502=DATE(2026,7,23)),ROW(Income!A$3:A$502)-2),3)),0))</f>
        <v/>
      </c>
      <c r="J151" s="126">
        <f t="array" ref="J151">IF(IFERROR(INDEX(Expenses!B$3:B$999,SMALL(IF((Expenses!E$3:E$999="INR")*(Expenses!A$3:A$999=DATE(2026,7,23)),ROW(Expenses!A$3:A$999)-2),3)),"")&lt;&gt;"",IFERROR(INDEX(Expenses!B$3:B$999,SMALL(IF((Expenses!E$3:E$999="INR")*(Expenses!A$3:A$999=DATE(2026,7,23)),ROW(Expenses!A$3:A$999)-2),3)),""),IF(IFERROR(INDEX(Income!B$3:B$502,SMALL(IF((Income!D$3:D$502="INR")*(Income!A$3:A$502=DATE(2026,7,23)),ROW(Income!A$3:A$502)-2),3)),"")&lt;&gt;"",IFERROR(INDEX(Income!B$3:B$502,SMALL(IF((Income!D$3:D$502="INR")*(Income!A$3:A$502=DATE(2026,7,23)),ROW(Income!A$3:A$502)-2),3)),""),""))</f>
        <v/>
      </c>
      <c r="K151" s="153">
        <f t="array" ref="K151">IF(IFERROR(-INDEX(Expenses!D$3:D$999,SMALL(IF((Expenses!E$3:E$999="INR")*(Expenses!A$3:A$999=DATE(2026,7,24)),ROW(Expenses!A$3:A$999)-2),3)),0)+IFERROR(INDEX(Income!C$3:C$502,SMALL(IF((Income!D$3:D$502="INR")*(Income!A$3:A$502=DATE(2026,7,24)),ROW(Income!A$3:A$502)-2),3)),0)=0,"",IFERROR(-INDEX(Expenses!D$3:D$999,SMALL(IF((Expenses!E$3:E$999="INR")*(Expenses!A$3:A$999=DATE(2026,7,24)),ROW(Expenses!A$3:A$999)-2),3)),0)+IFERROR(INDEX(Income!C$3:C$502,SMALL(IF((Income!D$3:D$502="INR")*(Income!A$3:A$502=DATE(2026,7,24)),ROW(Income!A$3:A$502)-2),3)),0))</f>
        <v/>
      </c>
      <c r="L151" s="126">
        <f t="array" ref="L151">IF(IFERROR(INDEX(Expenses!B$3:B$999,SMALL(IF((Expenses!E$3:E$999="INR")*(Expenses!A$3:A$999=DATE(2026,7,24)),ROW(Expenses!A$3:A$999)-2),3)),"")&lt;&gt;"",IFERROR(INDEX(Expenses!B$3:B$999,SMALL(IF((Expenses!E$3:E$999="INR")*(Expenses!A$3:A$999=DATE(2026,7,24)),ROW(Expenses!A$3:A$999)-2),3)),""),IF(IFERROR(INDEX(Income!B$3:B$502,SMALL(IF((Income!D$3:D$502="INR")*(Income!A$3:A$502=DATE(2026,7,24)),ROW(Income!A$3:A$502)-2),3)),"")&lt;&gt;"",IFERROR(INDEX(Income!B$3:B$502,SMALL(IF((Income!D$3:D$502="INR")*(Income!A$3:A$502=DATE(2026,7,24)),ROW(Income!A$3:A$502)-2),3)),""),""))</f>
        <v/>
      </c>
      <c r="M151" s="153">
        <f t="array" ref="M151">IF(IFERROR(-INDEX(Expenses!D$3:D$999,SMALL(IF((Expenses!E$3:E$999="INR")*(Expenses!A$3:A$999=DATE(2026,7,25)),ROW(Expenses!A$3:A$999)-2),3)),0)+IFERROR(INDEX(Income!C$3:C$502,SMALL(IF((Income!D$3:D$502="INR")*(Income!A$3:A$502=DATE(2026,7,25)),ROW(Income!A$3:A$502)-2),3)),0)=0,"",IFERROR(-INDEX(Expenses!D$3:D$999,SMALL(IF((Expenses!E$3:E$999="INR")*(Expenses!A$3:A$999=DATE(2026,7,25)),ROW(Expenses!A$3:A$999)-2),3)),0)+IFERROR(INDEX(Income!C$3:C$502,SMALL(IF((Income!D$3:D$502="INR")*(Income!A$3:A$502=DATE(2026,7,25)),ROW(Income!A$3:A$502)-2),3)),0))</f>
        <v/>
      </c>
      <c r="N151" s="126">
        <f t="array" ref="N151">IF(IFERROR(INDEX(Expenses!B$3:B$999,SMALL(IF((Expenses!E$3:E$999="INR")*(Expenses!A$3:A$999=DATE(2026,7,25)),ROW(Expenses!A$3:A$999)-2),3)),"")&lt;&gt;"",IFERROR(INDEX(Expenses!B$3:B$999,SMALL(IF((Expenses!E$3:E$999="INR")*(Expenses!A$3:A$999=DATE(2026,7,25)),ROW(Expenses!A$3:A$999)-2),3)),""),IF(IFERROR(INDEX(Income!B$3:B$502,SMALL(IF((Income!D$3:D$502="INR")*(Income!A$3:A$502=DATE(2026,7,25)),ROW(Income!A$3:A$502)-2),3)),"")&lt;&gt;"",IFERROR(INDEX(Income!B$3:B$502,SMALL(IF((Income!D$3:D$502="INR")*(Income!A$3:A$502=DATE(2026,7,25)),ROW(Income!A$3:A$502)-2),3)),""),""))</f>
        <v/>
      </c>
      <c r="O151" s="153">
        <f t="array" ref="O151">IF(IFERROR(-INDEX(Expenses!D$3:D$999,SMALL(IF((Expenses!E$3:E$999="INR")*(Expenses!A$3:A$999=DATE(2026,7,26)),ROW(Expenses!A$3:A$999)-2),3)),0)+IFERROR(INDEX(Income!C$3:C$502,SMALL(IF((Income!D$3:D$502="INR")*(Income!A$3:A$502=DATE(2026,7,26)),ROW(Income!A$3:A$502)-2),3)),0)=0,"",IFERROR(-INDEX(Expenses!D$3:D$999,SMALL(IF((Expenses!E$3:E$999="INR")*(Expenses!A$3:A$999=DATE(2026,7,26)),ROW(Expenses!A$3:A$999)-2),3)),0)+IFERROR(INDEX(Income!C$3:C$502,SMALL(IF((Income!D$3:D$502="INR")*(Income!A$3:A$502=DATE(2026,7,26)),ROW(Income!A$3:A$502)-2),3)),0))</f>
        <v/>
      </c>
      <c r="P151" s="126">
        <f t="array" ref="P151">IF(IFERROR(INDEX(Expenses!B$3:B$999,SMALL(IF((Expenses!E$3:E$999="INR")*(Expenses!A$3:A$999=DATE(2026,7,26)),ROW(Expenses!A$3:A$999)-2),3)),"")&lt;&gt;"",IFERROR(INDEX(Expenses!B$3:B$999,SMALL(IF((Expenses!E$3:E$999="INR")*(Expenses!A$3:A$999=DATE(2026,7,26)),ROW(Expenses!A$3:A$999)-2),3)),""),IF(IFERROR(INDEX(Income!B$3:B$502,SMALL(IF((Income!D$3:D$502="INR")*(Income!A$3:A$502=DATE(2026,7,26)),ROW(Income!A$3:A$502)-2),3)),"")&lt;&gt;"",IFERROR(INDEX(Income!B$3:B$502,SMALL(IF((Income!D$3:D$502="INR")*(Income!A$3:A$502=DATE(2026,7,26)),ROW(Income!A$3:A$502)-2),3)),""),""))</f>
        <v/>
      </c>
      <c r="Q151" s="9" t="n"/>
      <c r="R151" s="9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68">
      <c r="A152" s="9" t="n"/>
      <c r="B152" s="9" t="n"/>
      <c r="C152" s="153">
        <f t="array" ref="C152">IF(IFERROR(-INDEX(Expenses!D$3:D$999,SMALL(IF((Expenses!E$3:E$999="INR")*(Expenses!A$3:A$999=DATE(2026,7,20)),ROW(Expenses!A$3:A$999)-2),4)),0)+IFERROR(INDEX(Income!C$3:C$502,SMALL(IF((Income!D$3:D$502="INR")*(Income!A$3:A$502=DATE(2026,7,20)),ROW(Income!A$3:A$502)-2),4)),0)=0,"",IFERROR(-INDEX(Expenses!D$3:D$999,SMALL(IF((Expenses!E$3:E$999="INR")*(Expenses!A$3:A$999=DATE(2026,7,20)),ROW(Expenses!A$3:A$999)-2),4)),0)+IFERROR(INDEX(Income!C$3:C$502,SMALL(IF((Income!D$3:D$502="INR")*(Income!A$3:A$502=DATE(2026,7,20)),ROW(Income!A$3:A$502)-2),4)),0))</f>
        <v/>
      </c>
      <c r="D152" s="126">
        <f t="array" ref="D152">IF(IFERROR(INDEX(Expenses!B$3:B$999,SMALL(IF((Expenses!E$3:E$999="INR")*(Expenses!A$3:A$999=DATE(2026,7,20)),ROW(Expenses!A$3:A$999)-2),4)),"")&lt;&gt;"",IFERROR(INDEX(Expenses!B$3:B$999,SMALL(IF((Expenses!E$3:E$999="INR")*(Expenses!A$3:A$999=DATE(2026,7,20)),ROW(Expenses!A$3:A$999)-2),4)),""),IF(IFERROR(INDEX(Income!B$3:B$502,SMALL(IF((Income!D$3:D$502="INR")*(Income!A$3:A$502=DATE(2026,7,20)),ROW(Income!A$3:A$502)-2),4)),"")&lt;&gt;"",IFERROR(INDEX(Income!B$3:B$502,SMALL(IF((Income!D$3:D$502="INR")*(Income!A$3:A$502=DATE(2026,7,20)),ROW(Income!A$3:A$502)-2),4)),""),""))</f>
        <v/>
      </c>
      <c r="E152" s="153">
        <f t="array" ref="E152">IF(IFERROR(-INDEX(Expenses!D$3:D$999,SMALL(IF((Expenses!E$3:E$999="INR")*(Expenses!A$3:A$999=DATE(2026,7,21)),ROW(Expenses!A$3:A$999)-2),4)),0)+IFERROR(INDEX(Income!C$3:C$502,SMALL(IF((Income!D$3:D$502="INR")*(Income!A$3:A$502=DATE(2026,7,21)),ROW(Income!A$3:A$502)-2),4)),0)=0,"",IFERROR(-INDEX(Expenses!D$3:D$999,SMALL(IF((Expenses!E$3:E$999="INR")*(Expenses!A$3:A$999=DATE(2026,7,21)),ROW(Expenses!A$3:A$999)-2),4)),0)+IFERROR(INDEX(Income!C$3:C$502,SMALL(IF((Income!D$3:D$502="INR")*(Income!A$3:A$502=DATE(2026,7,21)),ROW(Income!A$3:A$502)-2),4)),0))</f>
        <v/>
      </c>
      <c r="F152" s="126">
        <f t="array" ref="F152">IF(IFERROR(INDEX(Expenses!B$3:B$999,SMALL(IF((Expenses!E$3:E$999="INR")*(Expenses!A$3:A$999=DATE(2026,7,21)),ROW(Expenses!A$3:A$999)-2),4)),"")&lt;&gt;"",IFERROR(INDEX(Expenses!B$3:B$999,SMALL(IF((Expenses!E$3:E$999="INR")*(Expenses!A$3:A$999=DATE(2026,7,21)),ROW(Expenses!A$3:A$999)-2),4)),""),IF(IFERROR(INDEX(Income!B$3:B$502,SMALL(IF((Income!D$3:D$502="INR")*(Income!A$3:A$502=DATE(2026,7,21)),ROW(Income!A$3:A$502)-2),4)),"")&lt;&gt;"",IFERROR(INDEX(Income!B$3:B$502,SMALL(IF((Income!D$3:D$502="INR")*(Income!A$3:A$502=DATE(2026,7,21)),ROW(Income!A$3:A$502)-2),4)),""),""))</f>
        <v/>
      </c>
      <c r="G152" s="153">
        <f t="array" ref="G152">IF(IFERROR(-INDEX(Expenses!D$3:D$999,SMALL(IF((Expenses!E$3:E$999="INR")*(Expenses!A$3:A$999=DATE(2026,7,22)),ROW(Expenses!A$3:A$999)-2),4)),0)+IFERROR(INDEX(Income!C$3:C$502,SMALL(IF((Income!D$3:D$502="INR")*(Income!A$3:A$502=DATE(2026,7,22)),ROW(Income!A$3:A$502)-2),4)),0)=0,"",IFERROR(-INDEX(Expenses!D$3:D$999,SMALL(IF((Expenses!E$3:E$999="INR")*(Expenses!A$3:A$999=DATE(2026,7,22)),ROW(Expenses!A$3:A$999)-2),4)),0)+IFERROR(INDEX(Income!C$3:C$502,SMALL(IF((Income!D$3:D$502="INR")*(Income!A$3:A$502=DATE(2026,7,22)),ROW(Income!A$3:A$502)-2),4)),0))</f>
        <v/>
      </c>
      <c r="H152" s="126">
        <f t="array" ref="H152">IF(IFERROR(INDEX(Expenses!B$3:B$999,SMALL(IF((Expenses!E$3:E$999="INR")*(Expenses!A$3:A$999=DATE(2026,7,22)),ROW(Expenses!A$3:A$999)-2),4)),"")&lt;&gt;"",IFERROR(INDEX(Expenses!B$3:B$999,SMALL(IF((Expenses!E$3:E$999="INR")*(Expenses!A$3:A$999=DATE(2026,7,22)),ROW(Expenses!A$3:A$999)-2),4)),""),IF(IFERROR(INDEX(Income!B$3:B$502,SMALL(IF((Income!D$3:D$502="INR")*(Income!A$3:A$502=DATE(2026,7,22)),ROW(Income!A$3:A$502)-2),4)),"")&lt;&gt;"",IFERROR(INDEX(Income!B$3:B$502,SMALL(IF((Income!D$3:D$502="INR")*(Income!A$3:A$502=DATE(2026,7,22)),ROW(Income!A$3:A$502)-2),4)),""),""))</f>
        <v/>
      </c>
      <c r="I152" s="153">
        <f t="array" ref="I152">IF(IFERROR(-INDEX(Expenses!D$3:D$999,SMALL(IF((Expenses!E$3:E$999="INR")*(Expenses!A$3:A$999=DATE(2026,7,23)),ROW(Expenses!A$3:A$999)-2),4)),0)+IFERROR(INDEX(Income!C$3:C$502,SMALL(IF((Income!D$3:D$502="INR")*(Income!A$3:A$502=DATE(2026,7,23)),ROW(Income!A$3:A$502)-2),4)),0)=0,"",IFERROR(-INDEX(Expenses!D$3:D$999,SMALL(IF((Expenses!E$3:E$999="INR")*(Expenses!A$3:A$999=DATE(2026,7,23)),ROW(Expenses!A$3:A$999)-2),4)),0)+IFERROR(INDEX(Income!C$3:C$502,SMALL(IF((Income!D$3:D$502="INR")*(Income!A$3:A$502=DATE(2026,7,23)),ROW(Income!A$3:A$502)-2),4)),0))</f>
        <v/>
      </c>
      <c r="J152" s="126">
        <f t="array" ref="J152">IF(IFERROR(INDEX(Expenses!B$3:B$999,SMALL(IF((Expenses!E$3:E$999="INR")*(Expenses!A$3:A$999=DATE(2026,7,23)),ROW(Expenses!A$3:A$999)-2),4)),"")&lt;&gt;"",IFERROR(INDEX(Expenses!B$3:B$999,SMALL(IF((Expenses!E$3:E$999="INR")*(Expenses!A$3:A$999=DATE(2026,7,23)),ROW(Expenses!A$3:A$999)-2),4)),""),IF(IFERROR(INDEX(Income!B$3:B$502,SMALL(IF((Income!D$3:D$502="INR")*(Income!A$3:A$502=DATE(2026,7,23)),ROW(Income!A$3:A$502)-2),4)),"")&lt;&gt;"",IFERROR(INDEX(Income!B$3:B$502,SMALL(IF((Income!D$3:D$502="INR")*(Income!A$3:A$502=DATE(2026,7,23)),ROW(Income!A$3:A$502)-2),4)),""),""))</f>
        <v/>
      </c>
      <c r="K152" s="153">
        <f t="array" ref="K152">IF(IFERROR(-INDEX(Expenses!D$3:D$999,SMALL(IF((Expenses!E$3:E$999="INR")*(Expenses!A$3:A$999=DATE(2026,7,24)),ROW(Expenses!A$3:A$999)-2),4)),0)+IFERROR(INDEX(Income!C$3:C$502,SMALL(IF((Income!D$3:D$502="INR")*(Income!A$3:A$502=DATE(2026,7,24)),ROW(Income!A$3:A$502)-2),4)),0)=0,"",IFERROR(-INDEX(Expenses!D$3:D$999,SMALL(IF((Expenses!E$3:E$999="INR")*(Expenses!A$3:A$999=DATE(2026,7,24)),ROW(Expenses!A$3:A$999)-2),4)),0)+IFERROR(INDEX(Income!C$3:C$502,SMALL(IF((Income!D$3:D$502="INR")*(Income!A$3:A$502=DATE(2026,7,24)),ROW(Income!A$3:A$502)-2),4)),0))</f>
        <v/>
      </c>
      <c r="L152" s="126">
        <f t="array" ref="L152">IF(IFERROR(INDEX(Expenses!B$3:B$999,SMALL(IF((Expenses!E$3:E$999="INR")*(Expenses!A$3:A$999=DATE(2026,7,24)),ROW(Expenses!A$3:A$999)-2),4)),"")&lt;&gt;"",IFERROR(INDEX(Expenses!B$3:B$999,SMALL(IF((Expenses!E$3:E$999="INR")*(Expenses!A$3:A$999=DATE(2026,7,24)),ROW(Expenses!A$3:A$999)-2),4)),""),IF(IFERROR(INDEX(Income!B$3:B$502,SMALL(IF((Income!D$3:D$502="INR")*(Income!A$3:A$502=DATE(2026,7,24)),ROW(Income!A$3:A$502)-2),4)),"")&lt;&gt;"",IFERROR(INDEX(Income!B$3:B$502,SMALL(IF((Income!D$3:D$502="INR")*(Income!A$3:A$502=DATE(2026,7,24)),ROW(Income!A$3:A$502)-2),4)),""),""))</f>
        <v/>
      </c>
      <c r="M152" s="153">
        <f t="array" ref="M152">IF(IFERROR(-INDEX(Expenses!D$3:D$999,SMALL(IF((Expenses!E$3:E$999="INR")*(Expenses!A$3:A$999=DATE(2026,7,25)),ROW(Expenses!A$3:A$999)-2),4)),0)+IFERROR(INDEX(Income!C$3:C$502,SMALL(IF((Income!D$3:D$502="INR")*(Income!A$3:A$502=DATE(2026,7,25)),ROW(Income!A$3:A$502)-2),4)),0)=0,"",IFERROR(-INDEX(Expenses!D$3:D$999,SMALL(IF((Expenses!E$3:E$999="INR")*(Expenses!A$3:A$999=DATE(2026,7,25)),ROW(Expenses!A$3:A$999)-2),4)),0)+IFERROR(INDEX(Income!C$3:C$502,SMALL(IF((Income!D$3:D$502="INR")*(Income!A$3:A$502=DATE(2026,7,25)),ROW(Income!A$3:A$502)-2),4)),0))</f>
        <v/>
      </c>
      <c r="N152" s="126">
        <f t="array" ref="N152">IF(IFERROR(INDEX(Expenses!B$3:B$999,SMALL(IF((Expenses!E$3:E$999="INR")*(Expenses!A$3:A$999=DATE(2026,7,25)),ROW(Expenses!A$3:A$999)-2),4)),"")&lt;&gt;"",IFERROR(INDEX(Expenses!B$3:B$999,SMALL(IF((Expenses!E$3:E$999="INR")*(Expenses!A$3:A$999=DATE(2026,7,25)),ROW(Expenses!A$3:A$999)-2),4)),""),IF(IFERROR(INDEX(Income!B$3:B$502,SMALL(IF((Income!D$3:D$502="INR")*(Income!A$3:A$502=DATE(2026,7,25)),ROW(Income!A$3:A$502)-2),4)),"")&lt;&gt;"",IFERROR(INDEX(Income!B$3:B$502,SMALL(IF((Income!D$3:D$502="INR")*(Income!A$3:A$502=DATE(2026,7,25)),ROW(Income!A$3:A$502)-2),4)),""),""))</f>
        <v/>
      </c>
      <c r="O152" s="153">
        <f t="array" ref="O152">IF(IFERROR(-INDEX(Expenses!D$3:D$999,SMALL(IF((Expenses!E$3:E$999="INR")*(Expenses!A$3:A$999=DATE(2026,7,26)),ROW(Expenses!A$3:A$999)-2),4)),0)+IFERROR(INDEX(Income!C$3:C$502,SMALL(IF((Income!D$3:D$502="INR")*(Income!A$3:A$502=DATE(2026,7,26)),ROW(Income!A$3:A$502)-2),4)),0)=0,"",IFERROR(-INDEX(Expenses!D$3:D$999,SMALL(IF((Expenses!E$3:E$999="INR")*(Expenses!A$3:A$999=DATE(2026,7,26)),ROW(Expenses!A$3:A$999)-2),4)),0)+IFERROR(INDEX(Income!C$3:C$502,SMALL(IF((Income!D$3:D$502="INR")*(Income!A$3:A$502=DATE(2026,7,26)),ROW(Income!A$3:A$502)-2),4)),0))</f>
        <v/>
      </c>
      <c r="P152" s="126">
        <f t="array" ref="P152">IF(IFERROR(INDEX(Expenses!B$3:B$999,SMALL(IF((Expenses!E$3:E$999="INR")*(Expenses!A$3:A$999=DATE(2026,7,26)),ROW(Expenses!A$3:A$999)-2),4)),"")&lt;&gt;"",IFERROR(INDEX(Expenses!B$3:B$999,SMALL(IF((Expenses!E$3:E$999="INR")*(Expenses!A$3:A$999=DATE(2026,7,26)),ROW(Expenses!A$3:A$999)-2),4)),""),IF(IFERROR(INDEX(Income!B$3:B$502,SMALL(IF((Income!D$3:D$502="INR")*(Income!A$3:A$502=DATE(2026,7,26)),ROW(Income!A$3:A$502)-2),4)),"")&lt;&gt;"",IFERROR(INDEX(Income!B$3:B$502,SMALL(IF((Income!D$3:D$502="INR")*(Income!A$3:A$502=DATE(2026,7,26)),ROW(Income!A$3:A$502)-2),4)),""),""))</f>
        <v/>
      </c>
      <c r="Q152" s="9" t="n"/>
      <c r="R152" s="9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68">
      <c r="A153" s="9" t="n"/>
      <c r="B153" s="9" t="n"/>
      <c r="C153" s="153">
        <f t="array" ref="C153">IF(IFERROR(-INDEX(Expenses!D$3:D$999,SMALL(IF((Expenses!E$3:E$999="INR")*(Expenses!A$3:A$999=DATE(2026,7,20)),ROW(Expenses!A$3:A$999)-2),5)),0)+IFERROR(INDEX(Income!C$3:C$502,SMALL(IF((Income!D$3:D$502="INR")*(Income!A$3:A$502=DATE(2026,7,20)),ROW(Income!A$3:A$502)-2),5)),0)=0,"",IFERROR(-INDEX(Expenses!D$3:D$999,SMALL(IF((Expenses!E$3:E$999="INR")*(Expenses!A$3:A$999=DATE(2026,7,20)),ROW(Expenses!A$3:A$999)-2),5)),0)+IFERROR(INDEX(Income!C$3:C$502,SMALL(IF((Income!D$3:D$502="INR")*(Income!A$3:A$502=DATE(2026,7,20)),ROW(Income!A$3:A$502)-2),5)),0))</f>
        <v/>
      </c>
      <c r="D153" s="126">
        <f t="array" ref="D153">IF(IFERROR(INDEX(Expenses!B$3:B$999,SMALL(IF((Expenses!E$3:E$999="INR")*(Expenses!A$3:A$999=DATE(2026,7,20)),ROW(Expenses!A$3:A$999)-2),5)),"")&lt;&gt;"",IFERROR(INDEX(Expenses!B$3:B$999,SMALL(IF((Expenses!E$3:E$999="INR")*(Expenses!A$3:A$999=DATE(2026,7,20)),ROW(Expenses!A$3:A$999)-2),5)),""),IF(IFERROR(INDEX(Income!B$3:B$502,SMALL(IF((Income!D$3:D$502="INR")*(Income!A$3:A$502=DATE(2026,7,20)),ROW(Income!A$3:A$502)-2),5)),"")&lt;&gt;"",IFERROR(INDEX(Income!B$3:B$502,SMALL(IF((Income!D$3:D$502="INR")*(Income!A$3:A$502=DATE(2026,7,20)),ROW(Income!A$3:A$502)-2),5)),""),""))</f>
        <v/>
      </c>
      <c r="E153" s="153">
        <f t="array" ref="E153">IF(IFERROR(-INDEX(Expenses!D$3:D$999,SMALL(IF((Expenses!E$3:E$999="INR")*(Expenses!A$3:A$999=DATE(2026,7,21)),ROW(Expenses!A$3:A$999)-2),5)),0)+IFERROR(INDEX(Income!C$3:C$502,SMALL(IF((Income!D$3:D$502="INR")*(Income!A$3:A$502=DATE(2026,7,21)),ROW(Income!A$3:A$502)-2),5)),0)=0,"",IFERROR(-INDEX(Expenses!D$3:D$999,SMALL(IF((Expenses!E$3:E$999="INR")*(Expenses!A$3:A$999=DATE(2026,7,21)),ROW(Expenses!A$3:A$999)-2),5)),0)+IFERROR(INDEX(Income!C$3:C$502,SMALL(IF((Income!D$3:D$502="INR")*(Income!A$3:A$502=DATE(2026,7,21)),ROW(Income!A$3:A$502)-2),5)),0))</f>
        <v/>
      </c>
      <c r="F153" s="126">
        <f t="array" ref="F153">IF(IFERROR(INDEX(Expenses!B$3:B$999,SMALL(IF((Expenses!E$3:E$999="INR")*(Expenses!A$3:A$999=DATE(2026,7,21)),ROW(Expenses!A$3:A$999)-2),5)),"")&lt;&gt;"",IFERROR(INDEX(Expenses!B$3:B$999,SMALL(IF((Expenses!E$3:E$999="INR")*(Expenses!A$3:A$999=DATE(2026,7,21)),ROW(Expenses!A$3:A$999)-2),5)),""),IF(IFERROR(INDEX(Income!B$3:B$502,SMALL(IF((Income!D$3:D$502="INR")*(Income!A$3:A$502=DATE(2026,7,21)),ROW(Income!A$3:A$502)-2),5)),"")&lt;&gt;"",IFERROR(INDEX(Income!B$3:B$502,SMALL(IF((Income!D$3:D$502="INR")*(Income!A$3:A$502=DATE(2026,7,21)),ROW(Income!A$3:A$502)-2),5)),""),""))</f>
        <v/>
      </c>
      <c r="G153" s="153">
        <f t="array" ref="G153">IF(IFERROR(-INDEX(Expenses!D$3:D$999,SMALL(IF((Expenses!E$3:E$999="INR")*(Expenses!A$3:A$999=DATE(2026,7,22)),ROW(Expenses!A$3:A$999)-2),5)),0)+IFERROR(INDEX(Income!C$3:C$502,SMALL(IF((Income!D$3:D$502="INR")*(Income!A$3:A$502=DATE(2026,7,22)),ROW(Income!A$3:A$502)-2),5)),0)=0,"",IFERROR(-INDEX(Expenses!D$3:D$999,SMALL(IF((Expenses!E$3:E$999="INR")*(Expenses!A$3:A$999=DATE(2026,7,22)),ROW(Expenses!A$3:A$999)-2),5)),0)+IFERROR(INDEX(Income!C$3:C$502,SMALL(IF((Income!D$3:D$502="INR")*(Income!A$3:A$502=DATE(2026,7,22)),ROW(Income!A$3:A$502)-2),5)),0))</f>
        <v/>
      </c>
      <c r="H153" s="126">
        <f t="array" ref="H153">IF(IFERROR(INDEX(Expenses!B$3:B$999,SMALL(IF((Expenses!E$3:E$999="INR")*(Expenses!A$3:A$999=DATE(2026,7,22)),ROW(Expenses!A$3:A$999)-2),5)),"")&lt;&gt;"",IFERROR(INDEX(Expenses!B$3:B$999,SMALL(IF((Expenses!E$3:E$999="INR")*(Expenses!A$3:A$999=DATE(2026,7,22)),ROW(Expenses!A$3:A$999)-2),5)),""),IF(IFERROR(INDEX(Income!B$3:B$502,SMALL(IF((Income!D$3:D$502="INR")*(Income!A$3:A$502=DATE(2026,7,22)),ROW(Income!A$3:A$502)-2),5)),"")&lt;&gt;"",IFERROR(INDEX(Income!B$3:B$502,SMALL(IF((Income!D$3:D$502="INR")*(Income!A$3:A$502=DATE(2026,7,22)),ROW(Income!A$3:A$502)-2),5)),""),""))</f>
        <v/>
      </c>
      <c r="I153" s="153">
        <f t="array" ref="I153">IF(IFERROR(-INDEX(Expenses!D$3:D$999,SMALL(IF((Expenses!E$3:E$999="INR")*(Expenses!A$3:A$999=DATE(2026,7,23)),ROW(Expenses!A$3:A$999)-2),5)),0)+IFERROR(INDEX(Income!C$3:C$502,SMALL(IF((Income!D$3:D$502="INR")*(Income!A$3:A$502=DATE(2026,7,23)),ROW(Income!A$3:A$502)-2),5)),0)=0,"",IFERROR(-INDEX(Expenses!D$3:D$999,SMALL(IF((Expenses!E$3:E$999="INR")*(Expenses!A$3:A$999=DATE(2026,7,23)),ROW(Expenses!A$3:A$999)-2),5)),0)+IFERROR(INDEX(Income!C$3:C$502,SMALL(IF((Income!D$3:D$502="INR")*(Income!A$3:A$502=DATE(2026,7,23)),ROW(Income!A$3:A$502)-2),5)),0))</f>
        <v/>
      </c>
      <c r="J153" s="126">
        <f t="array" ref="J153">IF(IFERROR(INDEX(Expenses!B$3:B$999,SMALL(IF((Expenses!E$3:E$999="INR")*(Expenses!A$3:A$999=DATE(2026,7,23)),ROW(Expenses!A$3:A$999)-2),5)),"")&lt;&gt;"",IFERROR(INDEX(Expenses!B$3:B$999,SMALL(IF((Expenses!E$3:E$999="INR")*(Expenses!A$3:A$999=DATE(2026,7,23)),ROW(Expenses!A$3:A$999)-2),5)),""),IF(IFERROR(INDEX(Income!B$3:B$502,SMALL(IF((Income!D$3:D$502="INR")*(Income!A$3:A$502=DATE(2026,7,23)),ROW(Income!A$3:A$502)-2),5)),"")&lt;&gt;"",IFERROR(INDEX(Income!B$3:B$502,SMALL(IF((Income!D$3:D$502="INR")*(Income!A$3:A$502=DATE(2026,7,23)),ROW(Income!A$3:A$502)-2),5)),""),""))</f>
        <v/>
      </c>
      <c r="K153" s="153">
        <f t="array" ref="K153">IF(IFERROR(-INDEX(Expenses!D$3:D$999,SMALL(IF((Expenses!E$3:E$999="INR")*(Expenses!A$3:A$999=DATE(2026,7,24)),ROW(Expenses!A$3:A$999)-2),5)),0)+IFERROR(INDEX(Income!C$3:C$502,SMALL(IF((Income!D$3:D$502="INR")*(Income!A$3:A$502=DATE(2026,7,24)),ROW(Income!A$3:A$502)-2),5)),0)=0,"",IFERROR(-INDEX(Expenses!D$3:D$999,SMALL(IF((Expenses!E$3:E$999="INR")*(Expenses!A$3:A$999=DATE(2026,7,24)),ROW(Expenses!A$3:A$999)-2),5)),0)+IFERROR(INDEX(Income!C$3:C$502,SMALL(IF((Income!D$3:D$502="INR")*(Income!A$3:A$502=DATE(2026,7,24)),ROW(Income!A$3:A$502)-2),5)),0))</f>
        <v/>
      </c>
      <c r="L153" s="126">
        <f t="array" ref="L153">IF(IFERROR(INDEX(Expenses!B$3:B$999,SMALL(IF((Expenses!E$3:E$999="INR")*(Expenses!A$3:A$999=DATE(2026,7,24)),ROW(Expenses!A$3:A$999)-2),5)),"")&lt;&gt;"",IFERROR(INDEX(Expenses!B$3:B$999,SMALL(IF((Expenses!E$3:E$999="INR")*(Expenses!A$3:A$999=DATE(2026,7,24)),ROW(Expenses!A$3:A$999)-2),5)),""),IF(IFERROR(INDEX(Income!B$3:B$502,SMALL(IF((Income!D$3:D$502="INR")*(Income!A$3:A$502=DATE(2026,7,24)),ROW(Income!A$3:A$502)-2),5)),"")&lt;&gt;"",IFERROR(INDEX(Income!B$3:B$502,SMALL(IF((Income!D$3:D$502="INR")*(Income!A$3:A$502=DATE(2026,7,24)),ROW(Income!A$3:A$502)-2),5)),""),""))</f>
        <v/>
      </c>
      <c r="M153" s="153">
        <f t="array" ref="M153">IF(IFERROR(-INDEX(Expenses!D$3:D$999,SMALL(IF((Expenses!E$3:E$999="INR")*(Expenses!A$3:A$999=DATE(2026,7,25)),ROW(Expenses!A$3:A$999)-2),5)),0)+IFERROR(INDEX(Income!C$3:C$502,SMALL(IF((Income!D$3:D$502="INR")*(Income!A$3:A$502=DATE(2026,7,25)),ROW(Income!A$3:A$502)-2),5)),0)=0,"",IFERROR(-INDEX(Expenses!D$3:D$999,SMALL(IF((Expenses!E$3:E$999="INR")*(Expenses!A$3:A$999=DATE(2026,7,25)),ROW(Expenses!A$3:A$999)-2),5)),0)+IFERROR(INDEX(Income!C$3:C$502,SMALL(IF((Income!D$3:D$502="INR")*(Income!A$3:A$502=DATE(2026,7,25)),ROW(Income!A$3:A$502)-2),5)),0))</f>
        <v/>
      </c>
      <c r="N153" s="126">
        <f t="array" ref="N153">IF(IFERROR(INDEX(Expenses!B$3:B$999,SMALL(IF((Expenses!E$3:E$999="INR")*(Expenses!A$3:A$999=DATE(2026,7,25)),ROW(Expenses!A$3:A$999)-2),5)),"")&lt;&gt;"",IFERROR(INDEX(Expenses!B$3:B$999,SMALL(IF((Expenses!E$3:E$999="INR")*(Expenses!A$3:A$999=DATE(2026,7,25)),ROW(Expenses!A$3:A$999)-2),5)),""),IF(IFERROR(INDEX(Income!B$3:B$502,SMALL(IF((Income!D$3:D$502="INR")*(Income!A$3:A$502=DATE(2026,7,25)),ROW(Income!A$3:A$502)-2),5)),"")&lt;&gt;"",IFERROR(INDEX(Income!B$3:B$502,SMALL(IF((Income!D$3:D$502="INR")*(Income!A$3:A$502=DATE(2026,7,25)),ROW(Income!A$3:A$502)-2),5)),""),""))</f>
        <v/>
      </c>
      <c r="O153" s="153">
        <f t="array" ref="O153">IF(IFERROR(-INDEX(Expenses!D$3:D$999,SMALL(IF((Expenses!E$3:E$999="INR")*(Expenses!A$3:A$999=DATE(2026,7,26)),ROW(Expenses!A$3:A$999)-2),5)),0)+IFERROR(INDEX(Income!C$3:C$502,SMALL(IF((Income!D$3:D$502="INR")*(Income!A$3:A$502=DATE(2026,7,26)),ROW(Income!A$3:A$502)-2),5)),0)=0,"",IFERROR(-INDEX(Expenses!D$3:D$999,SMALL(IF((Expenses!E$3:E$999="INR")*(Expenses!A$3:A$999=DATE(2026,7,26)),ROW(Expenses!A$3:A$999)-2),5)),0)+IFERROR(INDEX(Income!C$3:C$502,SMALL(IF((Income!D$3:D$502="INR")*(Income!A$3:A$502=DATE(2026,7,26)),ROW(Income!A$3:A$502)-2),5)),0))</f>
        <v/>
      </c>
      <c r="P153" s="126">
        <f t="array" ref="P153">IF(IFERROR(INDEX(Expenses!B$3:B$999,SMALL(IF((Expenses!E$3:E$999="INR")*(Expenses!A$3:A$999=DATE(2026,7,26)),ROW(Expenses!A$3:A$999)-2),5)),"")&lt;&gt;"",IFERROR(INDEX(Expenses!B$3:B$999,SMALL(IF((Expenses!E$3:E$999="INR")*(Expenses!A$3:A$999=DATE(2026,7,26)),ROW(Expenses!A$3:A$999)-2),5)),""),IF(IFERROR(INDEX(Income!B$3:B$502,SMALL(IF((Income!D$3:D$502="INR")*(Income!A$3:A$502=DATE(2026,7,26)),ROW(Income!A$3:A$502)-2),5)),"")&lt;&gt;"",IFERROR(INDEX(Income!B$3:B$502,SMALL(IF((Income!D$3:D$502="INR")*(Income!A$3:A$502=DATE(2026,7,26)),ROW(Income!A$3:A$502)-2),5)),""),""))</f>
        <v/>
      </c>
      <c r="Q153" s="9" t="n"/>
      <c r="R153" s="9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68">
      <c r="A154" s="151" t="n">
        <v>46230</v>
      </c>
      <c r="B154" s="103" t="n">
        <v>31</v>
      </c>
      <c r="C154" s="153">
        <f t="array" ref="C154">IF(IFERROR(-INDEX(Expenses!D$3:D$999,SMALL(IF((Expenses!E$3:E$999="INR")*(Expenses!A$3:A$999=DATE(2026,7,27)),ROW(Expenses!A$3:A$999)-2),1)),0)+IFERROR(INDEX(Income!C$3:C$502,SMALL(IF((Income!D$3:D$502="INR")*(Income!A$3:A$502=DATE(2026,7,27)),ROW(Income!A$3:A$502)-2),1)),0)=0,"",IFERROR(-INDEX(Expenses!D$3:D$999,SMALL(IF((Expenses!E$3:E$999="INR")*(Expenses!A$3:A$999=DATE(2026,7,27)),ROW(Expenses!A$3:A$999)-2),1)),0)+IFERROR(INDEX(Income!C$3:C$502,SMALL(IF((Income!D$3:D$502="INR")*(Income!A$3:A$502=DATE(2026,7,27)),ROW(Income!A$3:A$502)-2),1)),0))</f>
        <v/>
      </c>
      <c r="D154" s="126">
        <f t="array" ref="D154">IF(IFERROR(INDEX(Expenses!B$3:B$999,SMALL(IF((Expenses!E$3:E$999="INR")*(Expenses!A$3:A$999=DATE(2026,7,27)),ROW(Expenses!A$3:A$999)-2),1)),"")&lt;&gt;"",IFERROR(INDEX(Expenses!B$3:B$999,SMALL(IF((Expenses!E$3:E$999="INR")*(Expenses!A$3:A$999=DATE(2026,7,27)),ROW(Expenses!A$3:A$999)-2),1)),""),IF(IFERROR(INDEX(Income!B$3:B$502,SMALL(IF((Income!D$3:D$502="INR")*(Income!A$3:A$502=DATE(2026,7,27)),ROW(Income!A$3:A$502)-2),1)),"")&lt;&gt;"",IFERROR(INDEX(Income!B$3:B$502,SMALL(IF((Income!D$3:D$502="INR")*(Income!A$3:A$502=DATE(2026,7,27)),ROW(Income!A$3:A$502)-2),1)),""),""))</f>
        <v/>
      </c>
      <c r="E154" s="153">
        <f t="array" ref="E154">IF(IFERROR(-INDEX(Expenses!D$3:D$999,SMALL(IF((Expenses!E$3:E$999="INR")*(Expenses!A$3:A$999=DATE(2026,7,28)),ROW(Expenses!A$3:A$999)-2),1)),0)+IFERROR(INDEX(Income!C$3:C$502,SMALL(IF((Income!D$3:D$502="INR")*(Income!A$3:A$502=DATE(2026,7,28)),ROW(Income!A$3:A$502)-2),1)),0)=0,"",IFERROR(-INDEX(Expenses!D$3:D$999,SMALL(IF((Expenses!E$3:E$999="INR")*(Expenses!A$3:A$999=DATE(2026,7,28)),ROW(Expenses!A$3:A$999)-2),1)),0)+IFERROR(INDEX(Income!C$3:C$502,SMALL(IF((Income!D$3:D$502="INR")*(Income!A$3:A$502=DATE(2026,7,28)),ROW(Income!A$3:A$502)-2),1)),0))</f>
        <v/>
      </c>
      <c r="F154" s="126">
        <f t="array" ref="F154">IF(IFERROR(INDEX(Expenses!B$3:B$999,SMALL(IF((Expenses!E$3:E$999="INR")*(Expenses!A$3:A$999=DATE(2026,7,28)),ROW(Expenses!A$3:A$999)-2),1)),"")&lt;&gt;"",IFERROR(INDEX(Expenses!B$3:B$999,SMALL(IF((Expenses!E$3:E$999="INR")*(Expenses!A$3:A$999=DATE(2026,7,28)),ROW(Expenses!A$3:A$999)-2),1)),""),IF(IFERROR(INDEX(Income!B$3:B$502,SMALL(IF((Income!D$3:D$502="INR")*(Income!A$3:A$502=DATE(2026,7,28)),ROW(Income!A$3:A$502)-2),1)),"")&lt;&gt;"",IFERROR(INDEX(Income!B$3:B$502,SMALL(IF((Income!D$3:D$502="INR")*(Income!A$3:A$502=DATE(2026,7,28)),ROW(Income!A$3:A$502)-2),1)),""),""))</f>
        <v/>
      </c>
      <c r="G154" s="153">
        <f t="array" ref="G154">IF(IFERROR(-INDEX(Expenses!D$3:D$999,SMALL(IF((Expenses!E$3:E$999="INR")*(Expenses!A$3:A$999=DATE(2026,7,29)),ROW(Expenses!A$3:A$999)-2),1)),0)+IFERROR(INDEX(Income!C$3:C$502,SMALL(IF((Income!D$3:D$502="INR")*(Income!A$3:A$502=DATE(2026,7,29)),ROW(Income!A$3:A$502)-2),1)),0)=0,"",IFERROR(-INDEX(Expenses!D$3:D$999,SMALL(IF((Expenses!E$3:E$999="INR")*(Expenses!A$3:A$999=DATE(2026,7,29)),ROW(Expenses!A$3:A$999)-2),1)),0)+IFERROR(INDEX(Income!C$3:C$502,SMALL(IF((Income!D$3:D$502="INR")*(Income!A$3:A$502=DATE(2026,7,29)),ROW(Income!A$3:A$502)-2),1)),0))</f>
        <v/>
      </c>
      <c r="H154" s="126">
        <f t="array" ref="H154">IF(IFERROR(INDEX(Expenses!B$3:B$999,SMALL(IF((Expenses!E$3:E$999="INR")*(Expenses!A$3:A$999=DATE(2026,7,29)),ROW(Expenses!A$3:A$999)-2),1)),"")&lt;&gt;"",IFERROR(INDEX(Expenses!B$3:B$999,SMALL(IF((Expenses!E$3:E$999="INR")*(Expenses!A$3:A$999=DATE(2026,7,29)),ROW(Expenses!A$3:A$999)-2),1)),""),IF(IFERROR(INDEX(Income!B$3:B$502,SMALL(IF((Income!D$3:D$502="INR")*(Income!A$3:A$502=DATE(2026,7,29)),ROW(Income!A$3:A$502)-2),1)),"")&lt;&gt;"",IFERROR(INDEX(Income!B$3:B$502,SMALL(IF((Income!D$3:D$502="INR")*(Income!A$3:A$502=DATE(2026,7,29)),ROW(Income!A$3:A$502)-2),1)),""),""))</f>
        <v/>
      </c>
      <c r="I154" s="153">
        <f t="array" ref="I154">IF(IFERROR(-INDEX(Expenses!D$3:D$999,SMALL(IF((Expenses!E$3:E$999="INR")*(Expenses!A$3:A$999=DATE(2026,7,30)),ROW(Expenses!A$3:A$999)-2),1)),0)+IFERROR(INDEX(Income!C$3:C$502,SMALL(IF((Income!D$3:D$502="INR")*(Income!A$3:A$502=DATE(2026,7,30)),ROW(Income!A$3:A$502)-2),1)),0)=0,"",IFERROR(-INDEX(Expenses!D$3:D$999,SMALL(IF((Expenses!E$3:E$999="INR")*(Expenses!A$3:A$999=DATE(2026,7,30)),ROW(Expenses!A$3:A$999)-2),1)),0)+IFERROR(INDEX(Income!C$3:C$502,SMALL(IF((Income!D$3:D$502="INR")*(Income!A$3:A$502=DATE(2026,7,30)),ROW(Income!A$3:A$502)-2),1)),0))</f>
        <v/>
      </c>
      <c r="J154" s="126">
        <f t="array" ref="J154">IF(IFERROR(INDEX(Expenses!B$3:B$999,SMALL(IF((Expenses!E$3:E$999="INR")*(Expenses!A$3:A$999=DATE(2026,7,30)),ROW(Expenses!A$3:A$999)-2),1)),"")&lt;&gt;"",IFERROR(INDEX(Expenses!B$3:B$999,SMALL(IF((Expenses!E$3:E$999="INR")*(Expenses!A$3:A$999=DATE(2026,7,30)),ROW(Expenses!A$3:A$999)-2),1)),""),IF(IFERROR(INDEX(Income!B$3:B$502,SMALL(IF((Income!D$3:D$502="INR")*(Income!A$3:A$502=DATE(2026,7,30)),ROW(Income!A$3:A$502)-2),1)),"")&lt;&gt;"",IFERROR(INDEX(Income!B$3:B$502,SMALL(IF((Income!D$3:D$502="INR")*(Income!A$3:A$502=DATE(2026,7,30)),ROW(Income!A$3:A$502)-2),1)),""),""))</f>
        <v/>
      </c>
      <c r="K154" s="153">
        <f t="array" ref="K154">IF(IFERROR(-INDEX(Expenses!D$3:D$999,SMALL(IF((Expenses!E$3:E$999="INR")*(Expenses!A$3:A$999=DATE(2026,7,31)),ROW(Expenses!A$3:A$999)-2),1)),0)+IFERROR(INDEX(Income!C$3:C$502,SMALL(IF((Income!D$3:D$502="INR")*(Income!A$3:A$502=DATE(2026,7,31)),ROW(Income!A$3:A$502)-2),1)),0)=0,"",IFERROR(-INDEX(Expenses!D$3:D$999,SMALL(IF((Expenses!E$3:E$999="INR")*(Expenses!A$3:A$999=DATE(2026,7,31)),ROW(Expenses!A$3:A$999)-2),1)),0)+IFERROR(INDEX(Income!C$3:C$502,SMALL(IF((Income!D$3:D$502="INR")*(Income!A$3:A$502=DATE(2026,7,31)),ROW(Income!A$3:A$502)-2),1)),0))</f>
        <v/>
      </c>
      <c r="L154" s="126">
        <f t="array" ref="L154">IF(IFERROR(INDEX(Expenses!B$3:B$999,SMALL(IF((Expenses!E$3:E$999="INR")*(Expenses!A$3:A$999=DATE(2026,7,31)),ROW(Expenses!A$3:A$999)-2),1)),"")&lt;&gt;"",IFERROR(INDEX(Expenses!B$3:B$999,SMALL(IF((Expenses!E$3:E$999="INR")*(Expenses!A$3:A$999=DATE(2026,7,31)),ROW(Expenses!A$3:A$999)-2),1)),""),IF(IFERROR(INDEX(Income!B$3:B$502,SMALL(IF((Income!D$3:D$502="INR")*(Income!A$3:A$502=DATE(2026,7,31)),ROW(Income!A$3:A$502)-2),1)),"")&lt;&gt;"",IFERROR(INDEX(Income!B$3:B$502,SMALL(IF((Income!D$3:D$502="INR")*(Income!A$3:A$502=DATE(2026,7,31)),ROW(Income!A$3:A$502)-2),1)),""),""))</f>
        <v/>
      </c>
      <c r="M154" s="153">
        <f t="array" ref="M154">IF(IFERROR(-INDEX(Expenses!D$3:D$999,SMALL(IF((Expenses!E$3:E$999="INR")*(Expenses!A$3:A$999=DATE(2026,8,1)),ROW(Expenses!A$3:A$999)-2),1)),0)+IFERROR(INDEX(Income!C$3:C$502,SMALL(IF((Income!D$3:D$502="INR")*(Income!A$3:A$502=DATE(2026,8,1)),ROW(Income!A$3:A$502)-2),1)),0)=0,"",IFERROR(-INDEX(Expenses!D$3:D$999,SMALL(IF((Expenses!E$3:E$999="INR")*(Expenses!A$3:A$999=DATE(2026,8,1)),ROW(Expenses!A$3:A$999)-2),1)),0)+IFERROR(INDEX(Income!C$3:C$502,SMALL(IF((Income!D$3:D$502="INR")*(Income!A$3:A$502=DATE(2026,8,1)),ROW(Income!A$3:A$502)-2),1)),0))</f>
        <v/>
      </c>
      <c r="N154" s="126">
        <f t="array" ref="N154">IF(IFERROR(INDEX(Expenses!B$3:B$999,SMALL(IF((Expenses!E$3:E$999="INR")*(Expenses!A$3:A$999=DATE(2026,8,1)),ROW(Expenses!A$3:A$999)-2),1)),"")&lt;&gt;"",IFERROR(INDEX(Expenses!B$3:B$999,SMALL(IF((Expenses!E$3:E$999="INR")*(Expenses!A$3:A$999=DATE(2026,8,1)),ROW(Expenses!A$3:A$999)-2),1)),""),IF(IFERROR(INDEX(Income!B$3:B$502,SMALL(IF((Income!D$3:D$502="INR")*(Income!A$3:A$502=DATE(2026,8,1)),ROW(Income!A$3:A$502)-2),1)),"")&lt;&gt;"",IFERROR(INDEX(Income!B$3:B$502,SMALL(IF((Income!D$3:D$502="INR")*(Income!A$3:A$502=DATE(2026,8,1)),ROW(Income!A$3:A$502)-2),1)),""),""))</f>
        <v/>
      </c>
      <c r="O154" s="153">
        <f t="array" ref="O154">IF(IFERROR(-INDEX(Expenses!D$3:D$999,SMALL(IF((Expenses!E$3:E$999="INR")*(Expenses!A$3:A$999=DATE(2026,8,2)),ROW(Expenses!A$3:A$999)-2),1)),0)+IFERROR(INDEX(Income!C$3:C$502,SMALL(IF((Income!D$3:D$502="INR")*(Income!A$3:A$502=DATE(2026,8,2)),ROW(Income!A$3:A$502)-2),1)),0)=0,"",IFERROR(-INDEX(Expenses!D$3:D$999,SMALL(IF((Expenses!E$3:E$999="INR")*(Expenses!A$3:A$999=DATE(2026,8,2)),ROW(Expenses!A$3:A$999)-2),1)),0)+IFERROR(INDEX(Income!C$3:C$502,SMALL(IF((Income!D$3:D$502="INR")*(Income!A$3:A$502=DATE(2026,8,2)),ROW(Income!A$3:A$502)-2),1)),0))</f>
        <v/>
      </c>
      <c r="P154" s="126">
        <f t="array" ref="P154">IF(IFERROR(INDEX(Expenses!B$3:B$999,SMALL(IF((Expenses!E$3:E$999="INR")*(Expenses!A$3:A$999=DATE(2026,8,2)),ROW(Expenses!A$3:A$999)-2),1)),"")&lt;&gt;"",IFERROR(INDEX(Expenses!B$3:B$999,SMALL(IF((Expenses!E$3:E$999="INR")*(Expenses!A$3:A$999=DATE(2026,8,2)),ROW(Expenses!A$3:A$999)-2),1)),""),IF(IFERROR(INDEX(Income!B$3:B$502,SMALL(IF((Income!D$3:D$502="INR")*(Income!A$3:A$502=DATE(2026,8,2)),ROW(Income!A$3:A$502)-2),1)),"")&lt;&gt;"",IFERROR(INDEX(Income!B$3:B$502,SMALL(IF((Income!D$3:D$502="INR")*(Income!A$3:A$502=DATE(2026,8,2)),ROW(Income!A$3:A$502)-2),1)),""),""))</f>
        <v/>
      </c>
      <c r="Q154" s="103" t="n">
        <v>31</v>
      </c>
      <c r="R154" s="142">
        <f>SUM(C154:C158)+SUM(E154:E158)+SUM(G154:G158)+SUM(I154:I158)+SUM(K154:K158)+SUM(M154:M158)+SUM(O154:O158)</f>
        <v/>
      </c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68">
      <c r="A155" s="9" t="n"/>
      <c r="B155" s="9" t="n"/>
      <c r="C155" s="153">
        <f t="array" ref="C155">IF(IFERROR(-INDEX(Expenses!D$3:D$999,SMALL(IF((Expenses!E$3:E$999="INR")*(Expenses!A$3:A$999=DATE(2026,7,27)),ROW(Expenses!A$3:A$999)-2),2)),0)+IFERROR(INDEX(Income!C$3:C$502,SMALL(IF((Income!D$3:D$502="INR")*(Income!A$3:A$502=DATE(2026,7,27)),ROW(Income!A$3:A$502)-2),2)),0)=0,"",IFERROR(-INDEX(Expenses!D$3:D$999,SMALL(IF((Expenses!E$3:E$999="INR")*(Expenses!A$3:A$999=DATE(2026,7,27)),ROW(Expenses!A$3:A$999)-2),2)),0)+IFERROR(INDEX(Income!C$3:C$502,SMALL(IF((Income!D$3:D$502="INR")*(Income!A$3:A$502=DATE(2026,7,27)),ROW(Income!A$3:A$502)-2),2)),0))</f>
        <v/>
      </c>
      <c r="D155" s="126">
        <f t="array" ref="D155">IF(IFERROR(INDEX(Expenses!B$3:B$999,SMALL(IF((Expenses!E$3:E$999="INR")*(Expenses!A$3:A$999=DATE(2026,7,27)),ROW(Expenses!A$3:A$999)-2),2)),"")&lt;&gt;"",IFERROR(INDEX(Expenses!B$3:B$999,SMALL(IF((Expenses!E$3:E$999="INR")*(Expenses!A$3:A$999=DATE(2026,7,27)),ROW(Expenses!A$3:A$999)-2),2)),""),IF(IFERROR(INDEX(Income!B$3:B$502,SMALL(IF((Income!D$3:D$502="INR")*(Income!A$3:A$502=DATE(2026,7,27)),ROW(Income!A$3:A$502)-2),2)),"")&lt;&gt;"",IFERROR(INDEX(Income!B$3:B$502,SMALL(IF((Income!D$3:D$502="INR")*(Income!A$3:A$502=DATE(2026,7,27)),ROW(Income!A$3:A$502)-2),2)),""),""))</f>
        <v/>
      </c>
      <c r="E155" s="153">
        <f t="array" ref="E155">IF(IFERROR(-INDEX(Expenses!D$3:D$999,SMALL(IF((Expenses!E$3:E$999="INR")*(Expenses!A$3:A$999=DATE(2026,7,28)),ROW(Expenses!A$3:A$999)-2),2)),0)+IFERROR(INDEX(Income!C$3:C$502,SMALL(IF((Income!D$3:D$502="INR")*(Income!A$3:A$502=DATE(2026,7,28)),ROW(Income!A$3:A$502)-2),2)),0)=0,"",IFERROR(-INDEX(Expenses!D$3:D$999,SMALL(IF((Expenses!E$3:E$999="INR")*(Expenses!A$3:A$999=DATE(2026,7,28)),ROW(Expenses!A$3:A$999)-2),2)),0)+IFERROR(INDEX(Income!C$3:C$502,SMALL(IF((Income!D$3:D$502="INR")*(Income!A$3:A$502=DATE(2026,7,28)),ROW(Income!A$3:A$502)-2),2)),0))</f>
        <v/>
      </c>
      <c r="F155" s="126">
        <f t="array" ref="F155">IF(IFERROR(INDEX(Expenses!B$3:B$999,SMALL(IF((Expenses!E$3:E$999="INR")*(Expenses!A$3:A$999=DATE(2026,7,28)),ROW(Expenses!A$3:A$999)-2),2)),"")&lt;&gt;"",IFERROR(INDEX(Expenses!B$3:B$999,SMALL(IF((Expenses!E$3:E$999="INR")*(Expenses!A$3:A$999=DATE(2026,7,28)),ROW(Expenses!A$3:A$999)-2),2)),""),IF(IFERROR(INDEX(Income!B$3:B$502,SMALL(IF((Income!D$3:D$502="INR")*(Income!A$3:A$502=DATE(2026,7,28)),ROW(Income!A$3:A$502)-2),2)),"")&lt;&gt;"",IFERROR(INDEX(Income!B$3:B$502,SMALL(IF((Income!D$3:D$502="INR")*(Income!A$3:A$502=DATE(2026,7,28)),ROW(Income!A$3:A$502)-2),2)),""),""))</f>
        <v/>
      </c>
      <c r="G155" s="153">
        <f t="array" ref="G155">IF(IFERROR(-INDEX(Expenses!D$3:D$999,SMALL(IF((Expenses!E$3:E$999="INR")*(Expenses!A$3:A$999=DATE(2026,7,29)),ROW(Expenses!A$3:A$999)-2),2)),0)+IFERROR(INDEX(Income!C$3:C$502,SMALL(IF((Income!D$3:D$502="INR")*(Income!A$3:A$502=DATE(2026,7,29)),ROW(Income!A$3:A$502)-2),2)),0)=0,"",IFERROR(-INDEX(Expenses!D$3:D$999,SMALL(IF((Expenses!E$3:E$999="INR")*(Expenses!A$3:A$999=DATE(2026,7,29)),ROW(Expenses!A$3:A$999)-2),2)),0)+IFERROR(INDEX(Income!C$3:C$502,SMALL(IF((Income!D$3:D$502="INR")*(Income!A$3:A$502=DATE(2026,7,29)),ROW(Income!A$3:A$502)-2),2)),0))</f>
        <v/>
      </c>
      <c r="H155" s="126">
        <f t="array" ref="H155">IF(IFERROR(INDEX(Expenses!B$3:B$999,SMALL(IF((Expenses!E$3:E$999="INR")*(Expenses!A$3:A$999=DATE(2026,7,29)),ROW(Expenses!A$3:A$999)-2),2)),"")&lt;&gt;"",IFERROR(INDEX(Expenses!B$3:B$999,SMALL(IF((Expenses!E$3:E$999="INR")*(Expenses!A$3:A$999=DATE(2026,7,29)),ROW(Expenses!A$3:A$999)-2),2)),""),IF(IFERROR(INDEX(Income!B$3:B$502,SMALL(IF((Income!D$3:D$502="INR")*(Income!A$3:A$502=DATE(2026,7,29)),ROW(Income!A$3:A$502)-2),2)),"")&lt;&gt;"",IFERROR(INDEX(Income!B$3:B$502,SMALL(IF((Income!D$3:D$502="INR")*(Income!A$3:A$502=DATE(2026,7,29)),ROW(Income!A$3:A$502)-2),2)),""),""))</f>
        <v/>
      </c>
      <c r="I155" s="153">
        <f t="array" ref="I155">IF(IFERROR(-INDEX(Expenses!D$3:D$999,SMALL(IF((Expenses!E$3:E$999="INR")*(Expenses!A$3:A$999=DATE(2026,7,30)),ROW(Expenses!A$3:A$999)-2),2)),0)+IFERROR(INDEX(Income!C$3:C$502,SMALL(IF((Income!D$3:D$502="INR")*(Income!A$3:A$502=DATE(2026,7,30)),ROW(Income!A$3:A$502)-2),2)),0)=0,"",IFERROR(-INDEX(Expenses!D$3:D$999,SMALL(IF((Expenses!E$3:E$999="INR")*(Expenses!A$3:A$999=DATE(2026,7,30)),ROW(Expenses!A$3:A$999)-2),2)),0)+IFERROR(INDEX(Income!C$3:C$502,SMALL(IF((Income!D$3:D$502="INR")*(Income!A$3:A$502=DATE(2026,7,30)),ROW(Income!A$3:A$502)-2),2)),0))</f>
        <v/>
      </c>
      <c r="J155" s="126">
        <f t="array" ref="J155">IF(IFERROR(INDEX(Expenses!B$3:B$999,SMALL(IF((Expenses!E$3:E$999="INR")*(Expenses!A$3:A$999=DATE(2026,7,30)),ROW(Expenses!A$3:A$999)-2),2)),"")&lt;&gt;"",IFERROR(INDEX(Expenses!B$3:B$999,SMALL(IF((Expenses!E$3:E$999="INR")*(Expenses!A$3:A$999=DATE(2026,7,30)),ROW(Expenses!A$3:A$999)-2),2)),""),IF(IFERROR(INDEX(Income!B$3:B$502,SMALL(IF((Income!D$3:D$502="INR")*(Income!A$3:A$502=DATE(2026,7,30)),ROW(Income!A$3:A$502)-2),2)),"")&lt;&gt;"",IFERROR(INDEX(Income!B$3:B$502,SMALL(IF((Income!D$3:D$502="INR")*(Income!A$3:A$502=DATE(2026,7,30)),ROW(Income!A$3:A$502)-2),2)),""),""))</f>
        <v/>
      </c>
      <c r="K155" s="153">
        <f t="array" ref="K155">IF(IFERROR(-INDEX(Expenses!D$3:D$999,SMALL(IF((Expenses!E$3:E$999="INR")*(Expenses!A$3:A$999=DATE(2026,7,31)),ROW(Expenses!A$3:A$999)-2),2)),0)+IFERROR(INDEX(Income!C$3:C$502,SMALL(IF((Income!D$3:D$502="INR")*(Income!A$3:A$502=DATE(2026,7,31)),ROW(Income!A$3:A$502)-2),2)),0)=0,"",IFERROR(-INDEX(Expenses!D$3:D$999,SMALL(IF((Expenses!E$3:E$999="INR")*(Expenses!A$3:A$999=DATE(2026,7,31)),ROW(Expenses!A$3:A$999)-2),2)),0)+IFERROR(INDEX(Income!C$3:C$502,SMALL(IF((Income!D$3:D$502="INR")*(Income!A$3:A$502=DATE(2026,7,31)),ROW(Income!A$3:A$502)-2),2)),0))</f>
        <v/>
      </c>
      <c r="L155" s="126">
        <f t="array" ref="L155">IF(IFERROR(INDEX(Expenses!B$3:B$999,SMALL(IF((Expenses!E$3:E$999="INR")*(Expenses!A$3:A$999=DATE(2026,7,31)),ROW(Expenses!A$3:A$999)-2),2)),"")&lt;&gt;"",IFERROR(INDEX(Expenses!B$3:B$999,SMALL(IF((Expenses!E$3:E$999="INR")*(Expenses!A$3:A$999=DATE(2026,7,31)),ROW(Expenses!A$3:A$999)-2),2)),""),IF(IFERROR(INDEX(Income!B$3:B$502,SMALL(IF((Income!D$3:D$502="INR")*(Income!A$3:A$502=DATE(2026,7,31)),ROW(Income!A$3:A$502)-2),2)),"")&lt;&gt;"",IFERROR(INDEX(Income!B$3:B$502,SMALL(IF((Income!D$3:D$502="INR")*(Income!A$3:A$502=DATE(2026,7,31)),ROW(Income!A$3:A$502)-2),2)),""),""))</f>
        <v/>
      </c>
      <c r="M155" s="153">
        <f t="array" ref="M155">IF(IFERROR(-INDEX(Expenses!D$3:D$999,SMALL(IF((Expenses!E$3:E$999="INR")*(Expenses!A$3:A$999=DATE(2026,8,1)),ROW(Expenses!A$3:A$999)-2),2)),0)+IFERROR(INDEX(Income!C$3:C$502,SMALL(IF((Income!D$3:D$502="INR")*(Income!A$3:A$502=DATE(2026,8,1)),ROW(Income!A$3:A$502)-2),2)),0)=0,"",IFERROR(-INDEX(Expenses!D$3:D$999,SMALL(IF((Expenses!E$3:E$999="INR")*(Expenses!A$3:A$999=DATE(2026,8,1)),ROW(Expenses!A$3:A$999)-2),2)),0)+IFERROR(INDEX(Income!C$3:C$502,SMALL(IF((Income!D$3:D$502="INR")*(Income!A$3:A$502=DATE(2026,8,1)),ROW(Income!A$3:A$502)-2),2)),0))</f>
        <v/>
      </c>
      <c r="N155" s="126">
        <f t="array" ref="N155">IF(IFERROR(INDEX(Expenses!B$3:B$999,SMALL(IF((Expenses!E$3:E$999="INR")*(Expenses!A$3:A$999=DATE(2026,8,1)),ROW(Expenses!A$3:A$999)-2),2)),"")&lt;&gt;"",IFERROR(INDEX(Expenses!B$3:B$999,SMALL(IF((Expenses!E$3:E$999="INR")*(Expenses!A$3:A$999=DATE(2026,8,1)),ROW(Expenses!A$3:A$999)-2),2)),""),IF(IFERROR(INDEX(Income!B$3:B$502,SMALL(IF((Income!D$3:D$502="INR")*(Income!A$3:A$502=DATE(2026,8,1)),ROW(Income!A$3:A$502)-2),2)),"")&lt;&gt;"",IFERROR(INDEX(Income!B$3:B$502,SMALL(IF((Income!D$3:D$502="INR")*(Income!A$3:A$502=DATE(2026,8,1)),ROW(Income!A$3:A$502)-2),2)),""),""))</f>
        <v/>
      </c>
      <c r="O155" s="153">
        <f t="array" ref="O155">IF(IFERROR(-INDEX(Expenses!D$3:D$999,SMALL(IF((Expenses!E$3:E$999="INR")*(Expenses!A$3:A$999=DATE(2026,8,2)),ROW(Expenses!A$3:A$999)-2),2)),0)+IFERROR(INDEX(Income!C$3:C$502,SMALL(IF((Income!D$3:D$502="INR")*(Income!A$3:A$502=DATE(2026,8,2)),ROW(Income!A$3:A$502)-2),2)),0)=0,"",IFERROR(-INDEX(Expenses!D$3:D$999,SMALL(IF((Expenses!E$3:E$999="INR")*(Expenses!A$3:A$999=DATE(2026,8,2)),ROW(Expenses!A$3:A$999)-2),2)),0)+IFERROR(INDEX(Income!C$3:C$502,SMALL(IF((Income!D$3:D$502="INR")*(Income!A$3:A$502=DATE(2026,8,2)),ROW(Income!A$3:A$502)-2),2)),0))</f>
        <v/>
      </c>
      <c r="P155" s="126">
        <f t="array" ref="P155">IF(IFERROR(INDEX(Expenses!B$3:B$999,SMALL(IF((Expenses!E$3:E$999="INR")*(Expenses!A$3:A$999=DATE(2026,8,2)),ROW(Expenses!A$3:A$999)-2),2)),"")&lt;&gt;"",IFERROR(INDEX(Expenses!B$3:B$999,SMALL(IF((Expenses!E$3:E$999="INR")*(Expenses!A$3:A$999=DATE(2026,8,2)),ROW(Expenses!A$3:A$999)-2),2)),""),IF(IFERROR(INDEX(Income!B$3:B$502,SMALL(IF((Income!D$3:D$502="INR")*(Income!A$3:A$502=DATE(2026,8,2)),ROW(Income!A$3:A$502)-2),2)),"")&lt;&gt;"",IFERROR(INDEX(Income!B$3:B$502,SMALL(IF((Income!D$3:D$502="INR")*(Income!A$3:A$502=DATE(2026,8,2)),ROW(Income!A$3:A$502)-2),2)),""),""))</f>
        <v/>
      </c>
      <c r="Q155" s="9" t="n"/>
      <c r="R155" s="9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68">
      <c r="A156" s="9" t="n"/>
      <c r="B156" s="9" t="n"/>
      <c r="C156" s="153">
        <f t="array" ref="C156">IF(IFERROR(-INDEX(Expenses!D$3:D$999,SMALL(IF((Expenses!E$3:E$999="INR")*(Expenses!A$3:A$999=DATE(2026,7,27)),ROW(Expenses!A$3:A$999)-2),3)),0)+IFERROR(INDEX(Income!C$3:C$502,SMALL(IF((Income!D$3:D$502="INR")*(Income!A$3:A$502=DATE(2026,7,27)),ROW(Income!A$3:A$502)-2),3)),0)=0,"",IFERROR(-INDEX(Expenses!D$3:D$999,SMALL(IF((Expenses!E$3:E$999="INR")*(Expenses!A$3:A$999=DATE(2026,7,27)),ROW(Expenses!A$3:A$999)-2),3)),0)+IFERROR(INDEX(Income!C$3:C$502,SMALL(IF((Income!D$3:D$502="INR")*(Income!A$3:A$502=DATE(2026,7,27)),ROW(Income!A$3:A$502)-2),3)),0))</f>
        <v/>
      </c>
      <c r="D156" s="126">
        <f t="array" ref="D156">IF(IFERROR(INDEX(Expenses!B$3:B$999,SMALL(IF((Expenses!E$3:E$999="INR")*(Expenses!A$3:A$999=DATE(2026,7,27)),ROW(Expenses!A$3:A$999)-2),3)),"")&lt;&gt;"",IFERROR(INDEX(Expenses!B$3:B$999,SMALL(IF((Expenses!E$3:E$999="INR")*(Expenses!A$3:A$999=DATE(2026,7,27)),ROW(Expenses!A$3:A$999)-2),3)),""),IF(IFERROR(INDEX(Income!B$3:B$502,SMALL(IF((Income!D$3:D$502="INR")*(Income!A$3:A$502=DATE(2026,7,27)),ROW(Income!A$3:A$502)-2),3)),"")&lt;&gt;"",IFERROR(INDEX(Income!B$3:B$502,SMALL(IF((Income!D$3:D$502="INR")*(Income!A$3:A$502=DATE(2026,7,27)),ROW(Income!A$3:A$502)-2),3)),""),""))</f>
        <v/>
      </c>
      <c r="E156" s="153">
        <f t="array" ref="E156">IF(IFERROR(-INDEX(Expenses!D$3:D$999,SMALL(IF((Expenses!E$3:E$999="INR")*(Expenses!A$3:A$999=DATE(2026,7,28)),ROW(Expenses!A$3:A$999)-2),3)),0)+IFERROR(INDEX(Income!C$3:C$502,SMALL(IF((Income!D$3:D$502="INR")*(Income!A$3:A$502=DATE(2026,7,28)),ROW(Income!A$3:A$502)-2),3)),0)=0,"",IFERROR(-INDEX(Expenses!D$3:D$999,SMALL(IF((Expenses!E$3:E$999="INR")*(Expenses!A$3:A$999=DATE(2026,7,28)),ROW(Expenses!A$3:A$999)-2),3)),0)+IFERROR(INDEX(Income!C$3:C$502,SMALL(IF((Income!D$3:D$502="INR")*(Income!A$3:A$502=DATE(2026,7,28)),ROW(Income!A$3:A$502)-2),3)),0))</f>
        <v/>
      </c>
      <c r="F156" s="126">
        <f t="array" ref="F156">IF(IFERROR(INDEX(Expenses!B$3:B$999,SMALL(IF((Expenses!E$3:E$999="INR")*(Expenses!A$3:A$999=DATE(2026,7,28)),ROW(Expenses!A$3:A$999)-2),3)),"")&lt;&gt;"",IFERROR(INDEX(Expenses!B$3:B$999,SMALL(IF((Expenses!E$3:E$999="INR")*(Expenses!A$3:A$999=DATE(2026,7,28)),ROW(Expenses!A$3:A$999)-2),3)),""),IF(IFERROR(INDEX(Income!B$3:B$502,SMALL(IF((Income!D$3:D$502="INR")*(Income!A$3:A$502=DATE(2026,7,28)),ROW(Income!A$3:A$502)-2),3)),"")&lt;&gt;"",IFERROR(INDEX(Income!B$3:B$502,SMALL(IF((Income!D$3:D$502="INR")*(Income!A$3:A$502=DATE(2026,7,28)),ROW(Income!A$3:A$502)-2),3)),""),""))</f>
        <v/>
      </c>
      <c r="G156" s="153">
        <f t="array" ref="G156">IF(IFERROR(-INDEX(Expenses!D$3:D$999,SMALL(IF((Expenses!E$3:E$999="INR")*(Expenses!A$3:A$999=DATE(2026,7,29)),ROW(Expenses!A$3:A$999)-2),3)),0)+IFERROR(INDEX(Income!C$3:C$502,SMALL(IF((Income!D$3:D$502="INR")*(Income!A$3:A$502=DATE(2026,7,29)),ROW(Income!A$3:A$502)-2),3)),0)=0,"",IFERROR(-INDEX(Expenses!D$3:D$999,SMALL(IF((Expenses!E$3:E$999="INR")*(Expenses!A$3:A$999=DATE(2026,7,29)),ROW(Expenses!A$3:A$999)-2),3)),0)+IFERROR(INDEX(Income!C$3:C$502,SMALL(IF((Income!D$3:D$502="INR")*(Income!A$3:A$502=DATE(2026,7,29)),ROW(Income!A$3:A$502)-2),3)),0))</f>
        <v/>
      </c>
      <c r="H156" s="126">
        <f t="array" ref="H156">IF(IFERROR(INDEX(Expenses!B$3:B$999,SMALL(IF((Expenses!E$3:E$999="INR")*(Expenses!A$3:A$999=DATE(2026,7,29)),ROW(Expenses!A$3:A$999)-2),3)),"")&lt;&gt;"",IFERROR(INDEX(Expenses!B$3:B$999,SMALL(IF((Expenses!E$3:E$999="INR")*(Expenses!A$3:A$999=DATE(2026,7,29)),ROW(Expenses!A$3:A$999)-2),3)),""),IF(IFERROR(INDEX(Income!B$3:B$502,SMALL(IF((Income!D$3:D$502="INR")*(Income!A$3:A$502=DATE(2026,7,29)),ROW(Income!A$3:A$502)-2),3)),"")&lt;&gt;"",IFERROR(INDEX(Income!B$3:B$502,SMALL(IF((Income!D$3:D$502="INR")*(Income!A$3:A$502=DATE(2026,7,29)),ROW(Income!A$3:A$502)-2),3)),""),""))</f>
        <v/>
      </c>
      <c r="I156" s="153">
        <f t="array" ref="I156">IF(IFERROR(-INDEX(Expenses!D$3:D$999,SMALL(IF((Expenses!E$3:E$999="INR")*(Expenses!A$3:A$999=DATE(2026,7,30)),ROW(Expenses!A$3:A$999)-2),3)),0)+IFERROR(INDEX(Income!C$3:C$502,SMALL(IF((Income!D$3:D$502="INR")*(Income!A$3:A$502=DATE(2026,7,30)),ROW(Income!A$3:A$502)-2),3)),0)=0,"",IFERROR(-INDEX(Expenses!D$3:D$999,SMALL(IF((Expenses!E$3:E$999="INR")*(Expenses!A$3:A$999=DATE(2026,7,30)),ROW(Expenses!A$3:A$999)-2),3)),0)+IFERROR(INDEX(Income!C$3:C$502,SMALL(IF((Income!D$3:D$502="INR")*(Income!A$3:A$502=DATE(2026,7,30)),ROW(Income!A$3:A$502)-2),3)),0))</f>
        <v/>
      </c>
      <c r="J156" s="126">
        <f t="array" ref="J156">IF(IFERROR(INDEX(Expenses!B$3:B$999,SMALL(IF((Expenses!E$3:E$999="INR")*(Expenses!A$3:A$999=DATE(2026,7,30)),ROW(Expenses!A$3:A$999)-2),3)),"")&lt;&gt;"",IFERROR(INDEX(Expenses!B$3:B$999,SMALL(IF((Expenses!E$3:E$999="INR")*(Expenses!A$3:A$999=DATE(2026,7,30)),ROW(Expenses!A$3:A$999)-2),3)),""),IF(IFERROR(INDEX(Income!B$3:B$502,SMALL(IF((Income!D$3:D$502="INR")*(Income!A$3:A$502=DATE(2026,7,30)),ROW(Income!A$3:A$502)-2),3)),"")&lt;&gt;"",IFERROR(INDEX(Income!B$3:B$502,SMALL(IF((Income!D$3:D$502="INR")*(Income!A$3:A$502=DATE(2026,7,30)),ROW(Income!A$3:A$502)-2),3)),""),""))</f>
        <v/>
      </c>
      <c r="K156" s="153">
        <f t="array" ref="K156">IF(IFERROR(-INDEX(Expenses!D$3:D$999,SMALL(IF((Expenses!E$3:E$999="INR")*(Expenses!A$3:A$999=DATE(2026,7,31)),ROW(Expenses!A$3:A$999)-2),3)),0)+IFERROR(INDEX(Income!C$3:C$502,SMALL(IF((Income!D$3:D$502="INR")*(Income!A$3:A$502=DATE(2026,7,31)),ROW(Income!A$3:A$502)-2),3)),0)=0,"",IFERROR(-INDEX(Expenses!D$3:D$999,SMALL(IF((Expenses!E$3:E$999="INR")*(Expenses!A$3:A$999=DATE(2026,7,31)),ROW(Expenses!A$3:A$999)-2),3)),0)+IFERROR(INDEX(Income!C$3:C$502,SMALL(IF((Income!D$3:D$502="INR")*(Income!A$3:A$502=DATE(2026,7,31)),ROW(Income!A$3:A$502)-2),3)),0))</f>
        <v/>
      </c>
      <c r="L156" s="126">
        <f t="array" ref="L156">IF(IFERROR(INDEX(Expenses!B$3:B$999,SMALL(IF((Expenses!E$3:E$999="INR")*(Expenses!A$3:A$999=DATE(2026,7,31)),ROW(Expenses!A$3:A$999)-2),3)),"")&lt;&gt;"",IFERROR(INDEX(Expenses!B$3:B$999,SMALL(IF((Expenses!E$3:E$999="INR")*(Expenses!A$3:A$999=DATE(2026,7,31)),ROW(Expenses!A$3:A$999)-2),3)),""),IF(IFERROR(INDEX(Income!B$3:B$502,SMALL(IF((Income!D$3:D$502="INR")*(Income!A$3:A$502=DATE(2026,7,31)),ROW(Income!A$3:A$502)-2),3)),"")&lt;&gt;"",IFERROR(INDEX(Income!B$3:B$502,SMALL(IF((Income!D$3:D$502="INR")*(Income!A$3:A$502=DATE(2026,7,31)),ROW(Income!A$3:A$502)-2),3)),""),""))</f>
        <v/>
      </c>
      <c r="M156" s="153">
        <f t="array" ref="M156">IF(IFERROR(-INDEX(Expenses!D$3:D$999,SMALL(IF((Expenses!E$3:E$999="INR")*(Expenses!A$3:A$999=DATE(2026,8,1)),ROW(Expenses!A$3:A$999)-2),3)),0)+IFERROR(INDEX(Income!C$3:C$502,SMALL(IF((Income!D$3:D$502="INR")*(Income!A$3:A$502=DATE(2026,8,1)),ROW(Income!A$3:A$502)-2),3)),0)=0,"",IFERROR(-INDEX(Expenses!D$3:D$999,SMALL(IF((Expenses!E$3:E$999="INR")*(Expenses!A$3:A$999=DATE(2026,8,1)),ROW(Expenses!A$3:A$999)-2),3)),0)+IFERROR(INDEX(Income!C$3:C$502,SMALL(IF((Income!D$3:D$502="INR")*(Income!A$3:A$502=DATE(2026,8,1)),ROW(Income!A$3:A$502)-2),3)),0))</f>
        <v/>
      </c>
      <c r="N156" s="126">
        <f t="array" ref="N156">IF(IFERROR(INDEX(Expenses!B$3:B$999,SMALL(IF((Expenses!E$3:E$999="INR")*(Expenses!A$3:A$999=DATE(2026,8,1)),ROW(Expenses!A$3:A$999)-2),3)),"")&lt;&gt;"",IFERROR(INDEX(Expenses!B$3:B$999,SMALL(IF((Expenses!E$3:E$999="INR")*(Expenses!A$3:A$999=DATE(2026,8,1)),ROW(Expenses!A$3:A$999)-2),3)),""),IF(IFERROR(INDEX(Income!B$3:B$502,SMALL(IF((Income!D$3:D$502="INR")*(Income!A$3:A$502=DATE(2026,8,1)),ROW(Income!A$3:A$502)-2),3)),"")&lt;&gt;"",IFERROR(INDEX(Income!B$3:B$502,SMALL(IF((Income!D$3:D$502="INR")*(Income!A$3:A$502=DATE(2026,8,1)),ROW(Income!A$3:A$502)-2),3)),""),""))</f>
        <v/>
      </c>
      <c r="O156" s="153">
        <f t="array" ref="O156">IF(IFERROR(-INDEX(Expenses!D$3:D$999,SMALL(IF((Expenses!E$3:E$999="INR")*(Expenses!A$3:A$999=DATE(2026,8,2)),ROW(Expenses!A$3:A$999)-2),3)),0)+IFERROR(INDEX(Income!C$3:C$502,SMALL(IF((Income!D$3:D$502="INR")*(Income!A$3:A$502=DATE(2026,8,2)),ROW(Income!A$3:A$502)-2),3)),0)=0,"",IFERROR(-INDEX(Expenses!D$3:D$999,SMALL(IF((Expenses!E$3:E$999="INR")*(Expenses!A$3:A$999=DATE(2026,8,2)),ROW(Expenses!A$3:A$999)-2),3)),0)+IFERROR(INDEX(Income!C$3:C$502,SMALL(IF((Income!D$3:D$502="INR")*(Income!A$3:A$502=DATE(2026,8,2)),ROW(Income!A$3:A$502)-2),3)),0))</f>
        <v/>
      </c>
      <c r="P156" s="126">
        <f t="array" ref="P156">IF(IFERROR(INDEX(Expenses!B$3:B$999,SMALL(IF((Expenses!E$3:E$999="INR")*(Expenses!A$3:A$999=DATE(2026,8,2)),ROW(Expenses!A$3:A$999)-2),3)),"")&lt;&gt;"",IFERROR(INDEX(Expenses!B$3:B$999,SMALL(IF((Expenses!E$3:E$999="INR")*(Expenses!A$3:A$999=DATE(2026,8,2)),ROW(Expenses!A$3:A$999)-2),3)),""),IF(IFERROR(INDEX(Income!B$3:B$502,SMALL(IF((Income!D$3:D$502="INR")*(Income!A$3:A$502=DATE(2026,8,2)),ROW(Income!A$3:A$502)-2),3)),"")&lt;&gt;"",IFERROR(INDEX(Income!B$3:B$502,SMALL(IF((Income!D$3:D$502="INR")*(Income!A$3:A$502=DATE(2026,8,2)),ROW(Income!A$3:A$502)-2),3)),""),""))</f>
        <v/>
      </c>
      <c r="Q156" s="9" t="n"/>
      <c r="R156" s="9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68">
      <c r="A157" s="9" t="n"/>
      <c r="B157" s="9" t="n"/>
      <c r="C157" s="153">
        <f t="array" ref="C157">IF(IFERROR(-INDEX(Expenses!D$3:D$999,SMALL(IF((Expenses!E$3:E$999="INR")*(Expenses!A$3:A$999=DATE(2026,7,27)),ROW(Expenses!A$3:A$999)-2),4)),0)+IFERROR(INDEX(Income!C$3:C$502,SMALL(IF((Income!D$3:D$502="INR")*(Income!A$3:A$502=DATE(2026,7,27)),ROW(Income!A$3:A$502)-2),4)),0)=0,"",IFERROR(-INDEX(Expenses!D$3:D$999,SMALL(IF((Expenses!E$3:E$999="INR")*(Expenses!A$3:A$999=DATE(2026,7,27)),ROW(Expenses!A$3:A$999)-2),4)),0)+IFERROR(INDEX(Income!C$3:C$502,SMALL(IF((Income!D$3:D$502="INR")*(Income!A$3:A$502=DATE(2026,7,27)),ROW(Income!A$3:A$502)-2),4)),0))</f>
        <v/>
      </c>
      <c r="D157" s="126">
        <f t="array" ref="D157">IF(IFERROR(INDEX(Expenses!B$3:B$999,SMALL(IF((Expenses!E$3:E$999="INR")*(Expenses!A$3:A$999=DATE(2026,7,27)),ROW(Expenses!A$3:A$999)-2),4)),"")&lt;&gt;"",IFERROR(INDEX(Expenses!B$3:B$999,SMALL(IF((Expenses!E$3:E$999="INR")*(Expenses!A$3:A$999=DATE(2026,7,27)),ROW(Expenses!A$3:A$999)-2),4)),""),IF(IFERROR(INDEX(Income!B$3:B$502,SMALL(IF((Income!D$3:D$502="INR")*(Income!A$3:A$502=DATE(2026,7,27)),ROW(Income!A$3:A$502)-2),4)),"")&lt;&gt;"",IFERROR(INDEX(Income!B$3:B$502,SMALL(IF((Income!D$3:D$502="INR")*(Income!A$3:A$502=DATE(2026,7,27)),ROW(Income!A$3:A$502)-2),4)),""),""))</f>
        <v/>
      </c>
      <c r="E157" s="153">
        <f t="array" ref="E157">IF(IFERROR(-INDEX(Expenses!D$3:D$999,SMALL(IF((Expenses!E$3:E$999="INR")*(Expenses!A$3:A$999=DATE(2026,7,28)),ROW(Expenses!A$3:A$999)-2),4)),0)+IFERROR(INDEX(Income!C$3:C$502,SMALL(IF((Income!D$3:D$502="INR")*(Income!A$3:A$502=DATE(2026,7,28)),ROW(Income!A$3:A$502)-2),4)),0)=0,"",IFERROR(-INDEX(Expenses!D$3:D$999,SMALL(IF((Expenses!E$3:E$999="INR")*(Expenses!A$3:A$999=DATE(2026,7,28)),ROW(Expenses!A$3:A$999)-2),4)),0)+IFERROR(INDEX(Income!C$3:C$502,SMALL(IF((Income!D$3:D$502="INR")*(Income!A$3:A$502=DATE(2026,7,28)),ROW(Income!A$3:A$502)-2),4)),0))</f>
        <v/>
      </c>
      <c r="F157" s="126">
        <f t="array" ref="F157">IF(IFERROR(INDEX(Expenses!B$3:B$999,SMALL(IF((Expenses!E$3:E$999="INR")*(Expenses!A$3:A$999=DATE(2026,7,28)),ROW(Expenses!A$3:A$999)-2),4)),"")&lt;&gt;"",IFERROR(INDEX(Expenses!B$3:B$999,SMALL(IF((Expenses!E$3:E$999="INR")*(Expenses!A$3:A$999=DATE(2026,7,28)),ROW(Expenses!A$3:A$999)-2),4)),""),IF(IFERROR(INDEX(Income!B$3:B$502,SMALL(IF((Income!D$3:D$502="INR")*(Income!A$3:A$502=DATE(2026,7,28)),ROW(Income!A$3:A$502)-2),4)),"")&lt;&gt;"",IFERROR(INDEX(Income!B$3:B$502,SMALL(IF((Income!D$3:D$502="INR")*(Income!A$3:A$502=DATE(2026,7,28)),ROW(Income!A$3:A$502)-2),4)),""),""))</f>
        <v/>
      </c>
      <c r="G157" s="153">
        <f t="array" ref="G157">IF(IFERROR(-INDEX(Expenses!D$3:D$999,SMALL(IF((Expenses!E$3:E$999="INR")*(Expenses!A$3:A$999=DATE(2026,7,29)),ROW(Expenses!A$3:A$999)-2),4)),0)+IFERROR(INDEX(Income!C$3:C$502,SMALL(IF((Income!D$3:D$502="INR")*(Income!A$3:A$502=DATE(2026,7,29)),ROW(Income!A$3:A$502)-2),4)),0)=0,"",IFERROR(-INDEX(Expenses!D$3:D$999,SMALL(IF((Expenses!E$3:E$999="INR")*(Expenses!A$3:A$999=DATE(2026,7,29)),ROW(Expenses!A$3:A$999)-2),4)),0)+IFERROR(INDEX(Income!C$3:C$502,SMALL(IF((Income!D$3:D$502="INR")*(Income!A$3:A$502=DATE(2026,7,29)),ROW(Income!A$3:A$502)-2),4)),0))</f>
        <v/>
      </c>
      <c r="H157" s="126">
        <f t="array" ref="H157">IF(IFERROR(INDEX(Expenses!B$3:B$999,SMALL(IF((Expenses!E$3:E$999="INR")*(Expenses!A$3:A$999=DATE(2026,7,29)),ROW(Expenses!A$3:A$999)-2),4)),"")&lt;&gt;"",IFERROR(INDEX(Expenses!B$3:B$999,SMALL(IF((Expenses!E$3:E$999="INR")*(Expenses!A$3:A$999=DATE(2026,7,29)),ROW(Expenses!A$3:A$999)-2),4)),""),IF(IFERROR(INDEX(Income!B$3:B$502,SMALL(IF((Income!D$3:D$502="INR")*(Income!A$3:A$502=DATE(2026,7,29)),ROW(Income!A$3:A$502)-2),4)),"")&lt;&gt;"",IFERROR(INDEX(Income!B$3:B$502,SMALL(IF((Income!D$3:D$502="INR")*(Income!A$3:A$502=DATE(2026,7,29)),ROW(Income!A$3:A$502)-2),4)),""),""))</f>
        <v/>
      </c>
      <c r="I157" s="153">
        <f t="array" ref="I157">IF(IFERROR(-INDEX(Expenses!D$3:D$999,SMALL(IF((Expenses!E$3:E$999="INR")*(Expenses!A$3:A$999=DATE(2026,7,30)),ROW(Expenses!A$3:A$999)-2),4)),0)+IFERROR(INDEX(Income!C$3:C$502,SMALL(IF((Income!D$3:D$502="INR")*(Income!A$3:A$502=DATE(2026,7,30)),ROW(Income!A$3:A$502)-2),4)),0)=0,"",IFERROR(-INDEX(Expenses!D$3:D$999,SMALL(IF((Expenses!E$3:E$999="INR")*(Expenses!A$3:A$999=DATE(2026,7,30)),ROW(Expenses!A$3:A$999)-2),4)),0)+IFERROR(INDEX(Income!C$3:C$502,SMALL(IF((Income!D$3:D$502="INR")*(Income!A$3:A$502=DATE(2026,7,30)),ROW(Income!A$3:A$502)-2),4)),0))</f>
        <v/>
      </c>
      <c r="J157" s="126">
        <f t="array" ref="J157">IF(IFERROR(INDEX(Expenses!B$3:B$999,SMALL(IF((Expenses!E$3:E$999="INR")*(Expenses!A$3:A$999=DATE(2026,7,30)),ROW(Expenses!A$3:A$999)-2),4)),"")&lt;&gt;"",IFERROR(INDEX(Expenses!B$3:B$999,SMALL(IF((Expenses!E$3:E$999="INR")*(Expenses!A$3:A$999=DATE(2026,7,30)),ROW(Expenses!A$3:A$999)-2),4)),""),IF(IFERROR(INDEX(Income!B$3:B$502,SMALL(IF((Income!D$3:D$502="INR")*(Income!A$3:A$502=DATE(2026,7,30)),ROW(Income!A$3:A$502)-2),4)),"")&lt;&gt;"",IFERROR(INDEX(Income!B$3:B$502,SMALL(IF((Income!D$3:D$502="INR")*(Income!A$3:A$502=DATE(2026,7,30)),ROW(Income!A$3:A$502)-2),4)),""),""))</f>
        <v/>
      </c>
      <c r="K157" s="153">
        <f t="array" ref="K157">IF(IFERROR(-INDEX(Expenses!D$3:D$999,SMALL(IF((Expenses!E$3:E$999="INR")*(Expenses!A$3:A$999=DATE(2026,7,31)),ROW(Expenses!A$3:A$999)-2),4)),0)+IFERROR(INDEX(Income!C$3:C$502,SMALL(IF((Income!D$3:D$502="INR")*(Income!A$3:A$502=DATE(2026,7,31)),ROW(Income!A$3:A$502)-2),4)),0)=0,"",IFERROR(-INDEX(Expenses!D$3:D$999,SMALL(IF((Expenses!E$3:E$999="INR")*(Expenses!A$3:A$999=DATE(2026,7,31)),ROW(Expenses!A$3:A$999)-2),4)),0)+IFERROR(INDEX(Income!C$3:C$502,SMALL(IF((Income!D$3:D$502="INR")*(Income!A$3:A$502=DATE(2026,7,31)),ROW(Income!A$3:A$502)-2),4)),0))</f>
        <v/>
      </c>
      <c r="L157" s="126">
        <f t="array" ref="L157">IF(IFERROR(INDEX(Expenses!B$3:B$999,SMALL(IF((Expenses!E$3:E$999="INR")*(Expenses!A$3:A$999=DATE(2026,7,31)),ROW(Expenses!A$3:A$999)-2),4)),"")&lt;&gt;"",IFERROR(INDEX(Expenses!B$3:B$999,SMALL(IF((Expenses!E$3:E$999="INR")*(Expenses!A$3:A$999=DATE(2026,7,31)),ROW(Expenses!A$3:A$999)-2),4)),""),IF(IFERROR(INDEX(Income!B$3:B$502,SMALL(IF((Income!D$3:D$502="INR")*(Income!A$3:A$502=DATE(2026,7,31)),ROW(Income!A$3:A$502)-2),4)),"")&lt;&gt;"",IFERROR(INDEX(Income!B$3:B$502,SMALL(IF((Income!D$3:D$502="INR")*(Income!A$3:A$502=DATE(2026,7,31)),ROW(Income!A$3:A$502)-2),4)),""),""))</f>
        <v/>
      </c>
      <c r="M157" s="153">
        <f t="array" ref="M157">IF(IFERROR(-INDEX(Expenses!D$3:D$999,SMALL(IF((Expenses!E$3:E$999="INR")*(Expenses!A$3:A$999=DATE(2026,8,1)),ROW(Expenses!A$3:A$999)-2),4)),0)+IFERROR(INDEX(Income!C$3:C$502,SMALL(IF((Income!D$3:D$502="INR")*(Income!A$3:A$502=DATE(2026,8,1)),ROW(Income!A$3:A$502)-2),4)),0)=0,"",IFERROR(-INDEX(Expenses!D$3:D$999,SMALL(IF((Expenses!E$3:E$999="INR")*(Expenses!A$3:A$999=DATE(2026,8,1)),ROW(Expenses!A$3:A$999)-2),4)),0)+IFERROR(INDEX(Income!C$3:C$502,SMALL(IF((Income!D$3:D$502="INR")*(Income!A$3:A$502=DATE(2026,8,1)),ROW(Income!A$3:A$502)-2),4)),0))</f>
        <v/>
      </c>
      <c r="N157" s="126">
        <f t="array" ref="N157">IF(IFERROR(INDEX(Expenses!B$3:B$999,SMALL(IF((Expenses!E$3:E$999="INR")*(Expenses!A$3:A$999=DATE(2026,8,1)),ROW(Expenses!A$3:A$999)-2),4)),"")&lt;&gt;"",IFERROR(INDEX(Expenses!B$3:B$999,SMALL(IF((Expenses!E$3:E$999="INR")*(Expenses!A$3:A$999=DATE(2026,8,1)),ROW(Expenses!A$3:A$999)-2),4)),""),IF(IFERROR(INDEX(Income!B$3:B$502,SMALL(IF((Income!D$3:D$502="INR")*(Income!A$3:A$502=DATE(2026,8,1)),ROW(Income!A$3:A$502)-2),4)),"")&lt;&gt;"",IFERROR(INDEX(Income!B$3:B$502,SMALL(IF((Income!D$3:D$502="INR")*(Income!A$3:A$502=DATE(2026,8,1)),ROW(Income!A$3:A$502)-2),4)),""),""))</f>
        <v/>
      </c>
      <c r="O157" s="153">
        <f t="array" ref="O157">IF(IFERROR(-INDEX(Expenses!D$3:D$999,SMALL(IF((Expenses!E$3:E$999="INR")*(Expenses!A$3:A$999=DATE(2026,8,2)),ROW(Expenses!A$3:A$999)-2),4)),0)+IFERROR(INDEX(Income!C$3:C$502,SMALL(IF((Income!D$3:D$502="INR")*(Income!A$3:A$502=DATE(2026,8,2)),ROW(Income!A$3:A$502)-2),4)),0)=0,"",IFERROR(-INDEX(Expenses!D$3:D$999,SMALL(IF((Expenses!E$3:E$999="INR")*(Expenses!A$3:A$999=DATE(2026,8,2)),ROW(Expenses!A$3:A$999)-2),4)),0)+IFERROR(INDEX(Income!C$3:C$502,SMALL(IF((Income!D$3:D$502="INR")*(Income!A$3:A$502=DATE(2026,8,2)),ROW(Income!A$3:A$502)-2),4)),0))</f>
        <v/>
      </c>
      <c r="P157" s="126">
        <f t="array" ref="P157">IF(IFERROR(INDEX(Expenses!B$3:B$999,SMALL(IF((Expenses!E$3:E$999="INR")*(Expenses!A$3:A$999=DATE(2026,8,2)),ROW(Expenses!A$3:A$999)-2),4)),"")&lt;&gt;"",IFERROR(INDEX(Expenses!B$3:B$999,SMALL(IF((Expenses!E$3:E$999="INR")*(Expenses!A$3:A$999=DATE(2026,8,2)),ROW(Expenses!A$3:A$999)-2),4)),""),IF(IFERROR(INDEX(Income!B$3:B$502,SMALL(IF((Income!D$3:D$502="INR")*(Income!A$3:A$502=DATE(2026,8,2)),ROW(Income!A$3:A$502)-2),4)),"")&lt;&gt;"",IFERROR(INDEX(Income!B$3:B$502,SMALL(IF((Income!D$3:D$502="INR")*(Income!A$3:A$502=DATE(2026,8,2)),ROW(Income!A$3:A$502)-2),4)),""),""))</f>
        <v/>
      </c>
      <c r="Q157" s="9" t="n"/>
      <c r="R157" s="9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68">
      <c r="A158" s="9" t="n"/>
      <c r="B158" s="9" t="n"/>
      <c r="C158" s="153">
        <f t="array" ref="C158">IF(IFERROR(-INDEX(Expenses!D$3:D$999,SMALL(IF((Expenses!E$3:E$999="INR")*(Expenses!A$3:A$999=DATE(2026,7,27)),ROW(Expenses!A$3:A$999)-2),5)),0)+IFERROR(INDEX(Income!C$3:C$502,SMALL(IF((Income!D$3:D$502="INR")*(Income!A$3:A$502=DATE(2026,7,27)),ROW(Income!A$3:A$502)-2),5)),0)=0,"",IFERROR(-INDEX(Expenses!D$3:D$999,SMALL(IF((Expenses!E$3:E$999="INR")*(Expenses!A$3:A$999=DATE(2026,7,27)),ROW(Expenses!A$3:A$999)-2),5)),0)+IFERROR(INDEX(Income!C$3:C$502,SMALL(IF((Income!D$3:D$502="INR")*(Income!A$3:A$502=DATE(2026,7,27)),ROW(Income!A$3:A$502)-2),5)),0))</f>
        <v/>
      </c>
      <c r="D158" s="126">
        <f t="array" ref="D158">IF(IFERROR(INDEX(Expenses!B$3:B$999,SMALL(IF((Expenses!E$3:E$999="INR")*(Expenses!A$3:A$999=DATE(2026,7,27)),ROW(Expenses!A$3:A$999)-2),5)),"")&lt;&gt;"",IFERROR(INDEX(Expenses!B$3:B$999,SMALL(IF((Expenses!E$3:E$999="INR")*(Expenses!A$3:A$999=DATE(2026,7,27)),ROW(Expenses!A$3:A$999)-2),5)),""),IF(IFERROR(INDEX(Income!B$3:B$502,SMALL(IF((Income!D$3:D$502="INR")*(Income!A$3:A$502=DATE(2026,7,27)),ROW(Income!A$3:A$502)-2),5)),"")&lt;&gt;"",IFERROR(INDEX(Income!B$3:B$502,SMALL(IF((Income!D$3:D$502="INR")*(Income!A$3:A$502=DATE(2026,7,27)),ROW(Income!A$3:A$502)-2),5)),""),""))</f>
        <v/>
      </c>
      <c r="E158" s="153">
        <f t="array" ref="E158">IF(IFERROR(-INDEX(Expenses!D$3:D$999,SMALL(IF((Expenses!E$3:E$999="INR")*(Expenses!A$3:A$999=DATE(2026,7,28)),ROW(Expenses!A$3:A$999)-2),5)),0)+IFERROR(INDEX(Income!C$3:C$502,SMALL(IF((Income!D$3:D$502="INR")*(Income!A$3:A$502=DATE(2026,7,28)),ROW(Income!A$3:A$502)-2),5)),0)=0,"",IFERROR(-INDEX(Expenses!D$3:D$999,SMALL(IF((Expenses!E$3:E$999="INR")*(Expenses!A$3:A$999=DATE(2026,7,28)),ROW(Expenses!A$3:A$999)-2),5)),0)+IFERROR(INDEX(Income!C$3:C$502,SMALL(IF((Income!D$3:D$502="INR")*(Income!A$3:A$502=DATE(2026,7,28)),ROW(Income!A$3:A$502)-2),5)),0))</f>
        <v/>
      </c>
      <c r="F158" s="126">
        <f t="array" ref="F158">IF(IFERROR(INDEX(Expenses!B$3:B$999,SMALL(IF((Expenses!E$3:E$999="INR")*(Expenses!A$3:A$999=DATE(2026,7,28)),ROW(Expenses!A$3:A$999)-2),5)),"")&lt;&gt;"",IFERROR(INDEX(Expenses!B$3:B$999,SMALL(IF((Expenses!E$3:E$999="INR")*(Expenses!A$3:A$999=DATE(2026,7,28)),ROW(Expenses!A$3:A$999)-2),5)),""),IF(IFERROR(INDEX(Income!B$3:B$502,SMALL(IF((Income!D$3:D$502="INR")*(Income!A$3:A$502=DATE(2026,7,28)),ROW(Income!A$3:A$502)-2),5)),"")&lt;&gt;"",IFERROR(INDEX(Income!B$3:B$502,SMALL(IF((Income!D$3:D$502="INR")*(Income!A$3:A$502=DATE(2026,7,28)),ROW(Income!A$3:A$502)-2),5)),""),""))</f>
        <v/>
      </c>
      <c r="G158" s="153">
        <f t="array" ref="G158">IF(IFERROR(-INDEX(Expenses!D$3:D$999,SMALL(IF((Expenses!E$3:E$999="INR")*(Expenses!A$3:A$999=DATE(2026,7,29)),ROW(Expenses!A$3:A$999)-2),5)),0)+IFERROR(INDEX(Income!C$3:C$502,SMALL(IF((Income!D$3:D$502="INR")*(Income!A$3:A$502=DATE(2026,7,29)),ROW(Income!A$3:A$502)-2),5)),0)=0,"",IFERROR(-INDEX(Expenses!D$3:D$999,SMALL(IF((Expenses!E$3:E$999="INR")*(Expenses!A$3:A$999=DATE(2026,7,29)),ROW(Expenses!A$3:A$999)-2),5)),0)+IFERROR(INDEX(Income!C$3:C$502,SMALL(IF((Income!D$3:D$502="INR")*(Income!A$3:A$502=DATE(2026,7,29)),ROW(Income!A$3:A$502)-2),5)),0))</f>
        <v/>
      </c>
      <c r="H158" s="126">
        <f t="array" ref="H158">IF(IFERROR(INDEX(Expenses!B$3:B$999,SMALL(IF((Expenses!E$3:E$999="INR")*(Expenses!A$3:A$999=DATE(2026,7,29)),ROW(Expenses!A$3:A$999)-2),5)),"")&lt;&gt;"",IFERROR(INDEX(Expenses!B$3:B$999,SMALL(IF((Expenses!E$3:E$999="INR")*(Expenses!A$3:A$999=DATE(2026,7,29)),ROW(Expenses!A$3:A$999)-2),5)),""),IF(IFERROR(INDEX(Income!B$3:B$502,SMALL(IF((Income!D$3:D$502="INR")*(Income!A$3:A$502=DATE(2026,7,29)),ROW(Income!A$3:A$502)-2),5)),"")&lt;&gt;"",IFERROR(INDEX(Income!B$3:B$502,SMALL(IF((Income!D$3:D$502="INR")*(Income!A$3:A$502=DATE(2026,7,29)),ROW(Income!A$3:A$502)-2),5)),""),""))</f>
        <v/>
      </c>
      <c r="I158" s="153">
        <f t="array" ref="I158">IF(IFERROR(-INDEX(Expenses!D$3:D$999,SMALL(IF((Expenses!E$3:E$999="INR")*(Expenses!A$3:A$999=DATE(2026,7,30)),ROW(Expenses!A$3:A$999)-2),5)),0)+IFERROR(INDEX(Income!C$3:C$502,SMALL(IF((Income!D$3:D$502="INR")*(Income!A$3:A$502=DATE(2026,7,30)),ROW(Income!A$3:A$502)-2),5)),0)=0,"",IFERROR(-INDEX(Expenses!D$3:D$999,SMALL(IF((Expenses!E$3:E$999="INR")*(Expenses!A$3:A$999=DATE(2026,7,30)),ROW(Expenses!A$3:A$999)-2),5)),0)+IFERROR(INDEX(Income!C$3:C$502,SMALL(IF((Income!D$3:D$502="INR")*(Income!A$3:A$502=DATE(2026,7,30)),ROW(Income!A$3:A$502)-2),5)),0))</f>
        <v/>
      </c>
      <c r="J158" s="126">
        <f t="array" ref="J158">IF(IFERROR(INDEX(Expenses!B$3:B$999,SMALL(IF((Expenses!E$3:E$999="INR")*(Expenses!A$3:A$999=DATE(2026,7,30)),ROW(Expenses!A$3:A$999)-2),5)),"")&lt;&gt;"",IFERROR(INDEX(Expenses!B$3:B$999,SMALL(IF((Expenses!E$3:E$999="INR")*(Expenses!A$3:A$999=DATE(2026,7,30)),ROW(Expenses!A$3:A$999)-2),5)),""),IF(IFERROR(INDEX(Income!B$3:B$502,SMALL(IF((Income!D$3:D$502="INR")*(Income!A$3:A$502=DATE(2026,7,30)),ROW(Income!A$3:A$502)-2),5)),"")&lt;&gt;"",IFERROR(INDEX(Income!B$3:B$502,SMALL(IF((Income!D$3:D$502="INR")*(Income!A$3:A$502=DATE(2026,7,30)),ROW(Income!A$3:A$502)-2),5)),""),""))</f>
        <v/>
      </c>
      <c r="K158" s="153">
        <f t="array" ref="K158">IF(IFERROR(-INDEX(Expenses!D$3:D$999,SMALL(IF((Expenses!E$3:E$999="INR")*(Expenses!A$3:A$999=DATE(2026,7,31)),ROW(Expenses!A$3:A$999)-2),5)),0)+IFERROR(INDEX(Income!C$3:C$502,SMALL(IF((Income!D$3:D$502="INR")*(Income!A$3:A$502=DATE(2026,7,31)),ROW(Income!A$3:A$502)-2),5)),0)=0,"",IFERROR(-INDEX(Expenses!D$3:D$999,SMALL(IF((Expenses!E$3:E$999="INR")*(Expenses!A$3:A$999=DATE(2026,7,31)),ROW(Expenses!A$3:A$999)-2),5)),0)+IFERROR(INDEX(Income!C$3:C$502,SMALL(IF((Income!D$3:D$502="INR")*(Income!A$3:A$502=DATE(2026,7,31)),ROW(Income!A$3:A$502)-2),5)),0))</f>
        <v/>
      </c>
      <c r="L158" s="126">
        <f t="array" ref="L158">IF(IFERROR(INDEX(Expenses!B$3:B$999,SMALL(IF((Expenses!E$3:E$999="INR")*(Expenses!A$3:A$999=DATE(2026,7,31)),ROW(Expenses!A$3:A$999)-2),5)),"")&lt;&gt;"",IFERROR(INDEX(Expenses!B$3:B$999,SMALL(IF((Expenses!E$3:E$999="INR")*(Expenses!A$3:A$999=DATE(2026,7,31)),ROW(Expenses!A$3:A$999)-2),5)),""),IF(IFERROR(INDEX(Income!B$3:B$502,SMALL(IF((Income!D$3:D$502="INR")*(Income!A$3:A$502=DATE(2026,7,31)),ROW(Income!A$3:A$502)-2),5)),"")&lt;&gt;"",IFERROR(INDEX(Income!B$3:B$502,SMALL(IF((Income!D$3:D$502="INR")*(Income!A$3:A$502=DATE(2026,7,31)),ROW(Income!A$3:A$502)-2),5)),""),""))</f>
        <v/>
      </c>
      <c r="M158" s="153">
        <f t="array" ref="M158">IF(IFERROR(-INDEX(Expenses!D$3:D$999,SMALL(IF((Expenses!E$3:E$999="INR")*(Expenses!A$3:A$999=DATE(2026,8,1)),ROW(Expenses!A$3:A$999)-2),5)),0)+IFERROR(INDEX(Income!C$3:C$502,SMALL(IF((Income!D$3:D$502="INR")*(Income!A$3:A$502=DATE(2026,8,1)),ROW(Income!A$3:A$502)-2),5)),0)=0,"",IFERROR(-INDEX(Expenses!D$3:D$999,SMALL(IF((Expenses!E$3:E$999="INR")*(Expenses!A$3:A$999=DATE(2026,8,1)),ROW(Expenses!A$3:A$999)-2),5)),0)+IFERROR(INDEX(Income!C$3:C$502,SMALL(IF((Income!D$3:D$502="INR")*(Income!A$3:A$502=DATE(2026,8,1)),ROW(Income!A$3:A$502)-2),5)),0))</f>
        <v/>
      </c>
      <c r="N158" s="126">
        <f t="array" ref="N158">IF(IFERROR(INDEX(Expenses!B$3:B$999,SMALL(IF((Expenses!E$3:E$999="INR")*(Expenses!A$3:A$999=DATE(2026,8,1)),ROW(Expenses!A$3:A$999)-2),5)),"")&lt;&gt;"",IFERROR(INDEX(Expenses!B$3:B$999,SMALL(IF((Expenses!E$3:E$999="INR")*(Expenses!A$3:A$999=DATE(2026,8,1)),ROW(Expenses!A$3:A$999)-2),5)),""),IF(IFERROR(INDEX(Income!B$3:B$502,SMALL(IF((Income!D$3:D$502="INR")*(Income!A$3:A$502=DATE(2026,8,1)),ROW(Income!A$3:A$502)-2),5)),"")&lt;&gt;"",IFERROR(INDEX(Income!B$3:B$502,SMALL(IF((Income!D$3:D$502="INR")*(Income!A$3:A$502=DATE(2026,8,1)),ROW(Income!A$3:A$502)-2),5)),""),""))</f>
        <v/>
      </c>
      <c r="O158" s="153">
        <f t="array" ref="O158">IF(IFERROR(-INDEX(Expenses!D$3:D$999,SMALL(IF((Expenses!E$3:E$999="INR")*(Expenses!A$3:A$999=DATE(2026,8,2)),ROW(Expenses!A$3:A$999)-2),5)),0)+IFERROR(INDEX(Income!C$3:C$502,SMALL(IF((Income!D$3:D$502="INR")*(Income!A$3:A$502=DATE(2026,8,2)),ROW(Income!A$3:A$502)-2),5)),0)=0,"",IFERROR(-INDEX(Expenses!D$3:D$999,SMALL(IF((Expenses!E$3:E$999="INR")*(Expenses!A$3:A$999=DATE(2026,8,2)),ROW(Expenses!A$3:A$999)-2),5)),0)+IFERROR(INDEX(Income!C$3:C$502,SMALL(IF((Income!D$3:D$502="INR")*(Income!A$3:A$502=DATE(2026,8,2)),ROW(Income!A$3:A$502)-2),5)),0))</f>
        <v/>
      </c>
      <c r="P158" s="126">
        <f t="array" ref="P158">IF(IFERROR(INDEX(Expenses!B$3:B$999,SMALL(IF((Expenses!E$3:E$999="INR")*(Expenses!A$3:A$999=DATE(2026,8,2)),ROW(Expenses!A$3:A$999)-2),5)),"")&lt;&gt;"",IFERROR(INDEX(Expenses!B$3:B$999,SMALL(IF((Expenses!E$3:E$999="INR")*(Expenses!A$3:A$999=DATE(2026,8,2)),ROW(Expenses!A$3:A$999)-2),5)),""),IF(IFERROR(INDEX(Income!B$3:B$502,SMALL(IF((Income!D$3:D$502="INR")*(Income!A$3:A$502=DATE(2026,8,2)),ROW(Income!A$3:A$502)-2),5)),"")&lt;&gt;"",IFERROR(INDEX(Income!B$3:B$502,SMALL(IF((Income!D$3:D$502="INR")*(Income!A$3:A$502=DATE(2026,8,2)),ROW(Income!A$3:A$502)-2),5)),""),""))</f>
        <v/>
      </c>
      <c r="Q158" s="9" t="n"/>
      <c r="R158" s="9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68">
      <c r="A159" s="151" t="n">
        <v>46237</v>
      </c>
      <c r="B159" s="103" t="n">
        <v>32</v>
      </c>
      <c r="C159" s="153">
        <f t="array" ref="C159">IF(IFERROR(-INDEX(Expenses!D$3:D$999,SMALL(IF((Expenses!E$3:E$999="INR")*(Expenses!A$3:A$999=DATE(2026,8,3)),ROW(Expenses!A$3:A$999)-2),1)),0)+IFERROR(INDEX(Income!C$3:C$502,SMALL(IF((Income!D$3:D$502="INR")*(Income!A$3:A$502=DATE(2026,8,3)),ROW(Income!A$3:A$502)-2),1)),0)=0,"",IFERROR(-INDEX(Expenses!D$3:D$999,SMALL(IF((Expenses!E$3:E$999="INR")*(Expenses!A$3:A$999=DATE(2026,8,3)),ROW(Expenses!A$3:A$999)-2),1)),0)+IFERROR(INDEX(Income!C$3:C$502,SMALL(IF((Income!D$3:D$502="INR")*(Income!A$3:A$502=DATE(2026,8,3)),ROW(Income!A$3:A$502)-2),1)),0))</f>
        <v/>
      </c>
      <c r="D159" s="126">
        <f t="array" ref="D159">IF(IFERROR(INDEX(Expenses!B$3:B$999,SMALL(IF((Expenses!E$3:E$999="INR")*(Expenses!A$3:A$999=DATE(2026,8,3)),ROW(Expenses!A$3:A$999)-2),1)),"")&lt;&gt;"",IFERROR(INDEX(Expenses!B$3:B$999,SMALL(IF((Expenses!E$3:E$999="INR")*(Expenses!A$3:A$999=DATE(2026,8,3)),ROW(Expenses!A$3:A$999)-2),1)),""),IF(IFERROR(INDEX(Income!B$3:B$502,SMALL(IF((Income!D$3:D$502="INR")*(Income!A$3:A$502=DATE(2026,8,3)),ROW(Income!A$3:A$502)-2),1)),"")&lt;&gt;"",IFERROR(INDEX(Income!B$3:B$502,SMALL(IF((Income!D$3:D$502="INR")*(Income!A$3:A$502=DATE(2026,8,3)),ROW(Income!A$3:A$502)-2),1)),""),""))</f>
        <v/>
      </c>
      <c r="E159" s="153">
        <f t="array" ref="E159">IF(IFERROR(-INDEX(Expenses!D$3:D$999,SMALL(IF((Expenses!E$3:E$999="INR")*(Expenses!A$3:A$999=DATE(2026,8,4)),ROW(Expenses!A$3:A$999)-2),1)),0)+IFERROR(INDEX(Income!C$3:C$502,SMALL(IF((Income!D$3:D$502="INR")*(Income!A$3:A$502=DATE(2026,8,4)),ROW(Income!A$3:A$502)-2),1)),0)=0,"",IFERROR(-INDEX(Expenses!D$3:D$999,SMALL(IF((Expenses!E$3:E$999="INR")*(Expenses!A$3:A$999=DATE(2026,8,4)),ROW(Expenses!A$3:A$999)-2),1)),0)+IFERROR(INDEX(Income!C$3:C$502,SMALL(IF((Income!D$3:D$502="INR")*(Income!A$3:A$502=DATE(2026,8,4)),ROW(Income!A$3:A$502)-2),1)),0))</f>
        <v/>
      </c>
      <c r="F159" s="126">
        <f t="array" ref="F159">IF(IFERROR(INDEX(Expenses!B$3:B$999,SMALL(IF((Expenses!E$3:E$999="INR")*(Expenses!A$3:A$999=DATE(2026,8,4)),ROW(Expenses!A$3:A$999)-2),1)),"")&lt;&gt;"",IFERROR(INDEX(Expenses!B$3:B$999,SMALL(IF((Expenses!E$3:E$999="INR")*(Expenses!A$3:A$999=DATE(2026,8,4)),ROW(Expenses!A$3:A$999)-2),1)),""),IF(IFERROR(INDEX(Income!B$3:B$502,SMALL(IF((Income!D$3:D$502="INR")*(Income!A$3:A$502=DATE(2026,8,4)),ROW(Income!A$3:A$502)-2),1)),"")&lt;&gt;"",IFERROR(INDEX(Income!B$3:B$502,SMALL(IF((Income!D$3:D$502="INR")*(Income!A$3:A$502=DATE(2026,8,4)),ROW(Income!A$3:A$502)-2),1)),""),""))</f>
        <v/>
      </c>
      <c r="G159" s="153">
        <f t="array" ref="G159">IF(IFERROR(-INDEX(Expenses!D$3:D$999,SMALL(IF((Expenses!E$3:E$999="INR")*(Expenses!A$3:A$999=DATE(2026,8,5)),ROW(Expenses!A$3:A$999)-2),1)),0)+IFERROR(INDEX(Income!C$3:C$502,SMALL(IF((Income!D$3:D$502="INR")*(Income!A$3:A$502=DATE(2026,8,5)),ROW(Income!A$3:A$502)-2),1)),0)=0,"",IFERROR(-INDEX(Expenses!D$3:D$999,SMALL(IF((Expenses!E$3:E$999="INR")*(Expenses!A$3:A$999=DATE(2026,8,5)),ROW(Expenses!A$3:A$999)-2),1)),0)+IFERROR(INDEX(Income!C$3:C$502,SMALL(IF((Income!D$3:D$502="INR")*(Income!A$3:A$502=DATE(2026,8,5)),ROW(Income!A$3:A$502)-2),1)),0))</f>
        <v/>
      </c>
      <c r="H159" s="126">
        <f t="array" ref="H159">IF(IFERROR(INDEX(Expenses!B$3:B$999,SMALL(IF((Expenses!E$3:E$999="INR")*(Expenses!A$3:A$999=DATE(2026,8,5)),ROW(Expenses!A$3:A$999)-2),1)),"")&lt;&gt;"",IFERROR(INDEX(Expenses!B$3:B$999,SMALL(IF((Expenses!E$3:E$999="INR")*(Expenses!A$3:A$999=DATE(2026,8,5)),ROW(Expenses!A$3:A$999)-2),1)),""),IF(IFERROR(INDEX(Income!B$3:B$502,SMALL(IF((Income!D$3:D$502="INR")*(Income!A$3:A$502=DATE(2026,8,5)),ROW(Income!A$3:A$502)-2),1)),"")&lt;&gt;"",IFERROR(INDEX(Income!B$3:B$502,SMALL(IF((Income!D$3:D$502="INR")*(Income!A$3:A$502=DATE(2026,8,5)),ROW(Income!A$3:A$502)-2),1)),""),""))</f>
        <v/>
      </c>
      <c r="I159" s="153">
        <f t="array" ref="I159">IF(IFERROR(-INDEX(Expenses!D$3:D$999,SMALL(IF((Expenses!E$3:E$999="INR")*(Expenses!A$3:A$999=DATE(2026,8,6)),ROW(Expenses!A$3:A$999)-2),1)),0)+IFERROR(INDEX(Income!C$3:C$502,SMALL(IF((Income!D$3:D$502="INR")*(Income!A$3:A$502=DATE(2026,8,6)),ROW(Income!A$3:A$502)-2),1)),0)=0,"",IFERROR(-INDEX(Expenses!D$3:D$999,SMALL(IF((Expenses!E$3:E$999="INR")*(Expenses!A$3:A$999=DATE(2026,8,6)),ROW(Expenses!A$3:A$999)-2),1)),0)+IFERROR(INDEX(Income!C$3:C$502,SMALL(IF((Income!D$3:D$502="INR")*(Income!A$3:A$502=DATE(2026,8,6)),ROW(Income!A$3:A$502)-2),1)),0))</f>
        <v/>
      </c>
      <c r="J159" s="126">
        <f t="array" ref="J159">IF(IFERROR(INDEX(Expenses!B$3:B$999,SMALL(IF((Expenses!E$3:E$999="INR")*(Expenses!A$3:A$999=DATE(2026,8,6)),ROW(Expenses!A$3:A$999)-2),1)),"")&lt;&gt;"",IFERROR(INDEX(Expenses!B$3:B$999,SMALL(IF((Expenses!E$3:E$999="INR")*(Expenses!A$3:A$999=DATE(2026,8,6)),ROW(Expenses!A$3:A$999)-2),1)),""),IF(IFERROR(INDEX(Income!B$3:B$502,SMALL(IF((Income!D$3:D$502="INR")*(Income!A$3:A$502=DATE(2026,8,6)),ROW(Income!A$3:A$502)-2),1)),"")&lt;&gt;"",IFERROR(INDEX(Income!B$3:B$502,SMALL(IF((Income!D$3:D$502="INR")*(Income!A$3:A$502=DATE(2026,8,6)),ROW(Income!A$3:A$502)-2),1)),""),""))</f>
        <v/>
      </c>
      <c r="K159" s="153">
        <f t="array" ref="K159">IF(IFERROR(-INDEX(Expenses!D$3:D$999,SMALL(IF((Expenses!E$3:E$999="INR")*(Expenses!A$3:A$999=DATE(2026,8,7)),ROW(Expenses!A$3:A$999)-2),1)),0)+IFERROR(INDEX(Income!C$3:C$502,SMALL(IF((Income!D$3:D$502="INR")*(Income!A$3:A$502=DATE(2026,8,7)),ROW(Income!A$3:A$502)-2),1)),0)=0,"",IFERROR(-INDEX(Expenses!D$3:D$999,SMALL(IF((Expenses!E$3:E$999="INR")*(Expenses!A$3:A$999=DATE(2026,8,7)),ROW(Expenses!A$3:A$999)-2),1)),0)+IFERROR(INDEX(Income!C$3:C$502,SMALL(IF((Income!D$3:D$502="INR")*(Income!A$3:A$502=DATE(2026,8,7)),ROW(Income!A$3:A$502)-2),1)),0))</f>
        <v/>
      </c>
      <c r="L159" s="126">
        <f t="array" ref="L159">IF(IFERROR(INDEX(Expenses!B$3:B$999,SMALL(IF((Expenses!E$3:E$999="INR")*(Expenses!A$3:A$999=DATE(2026,8,7)),ROW(Expenses!A$3:A$999)-2),1)),"")&lt;&gt;"",IFERROR(INDEX(Expenses!B$3:B$999,SMALL(IF((Expenses!E$3:E$999="INR")*(Expenses!A$3:A$999=DATE(2026,8,7)),ROW(Expenses!A$3:A$999)-2),1)),""),IF(IFERROR(INDEX(Income!B$3:B$502,SMALL(IF((Income!D$3:D$502="INR")*(Income!A$3:A$502=DATE(2026,8,7)),ROW(Income!A$3:A$502)-2),1)),"")&lt;&gt;"",IFERROR(INDEX(Income!B$3:B$502,SMALL(IF((Income!D$3:D$502="INR")*(Income!A$3:A$502=DATE(2026,8,7)),ROW(Income!A$3:A$502)-2),1)),""),""))</f>
        <v/>
      </c>
      <c r="M159" s="153">
        <f t="array" ref="M159">IF(IFERROR(-INDEX(Expenses!D$3:D$999,SMALL(IF((Expenses!E$3:E$999="INR")*(Expenses!A$3:A$999=DATE(2026,8,8)),ROW(Expenses!A$3:A$999)-2),1)),0)+IFERROR(INDEX(Income!C$3:C$502,SMALL(IF((Income!D$3:D$502="INR")*(Income!A$3:A$502=DATE(2026,8,8)),ROW(Income!A$3:A$502)-2),1)),0)=0,"",IFERROR(-INDEX(Expenses!D$3:D$999,SMALL(IF((Expenses!E$3:E$999="INR")*(Expenses!A$3:A$999=DATE(2026,8,8)),ROW(Expenses!A$3:A$999)-2),1)),0)+IFERROR(INDEX(Income!C$3:C$502,SMALL(IF((Income!D$3:D$502="INR")*(Income!A$3:A$502=DATE(2026,8,8)),ROW(Income!A$3:A$502)-2),1)),0))</f>
        <v/>
      </c>
      <c r="N159" s="126">
        <f t="array" ref="N159">IF(IFERROR(INDEX(Expenses!B$3:B$999,SMALL(IF((Expenses!E$3:E$999="INR")*(Expenses!A$3:A$999=DATE(2026,8,8)),ROW(Expenses!A$3:A$999)-2),1)),"")&lt;&gt;"",IFERROR(INDEX(Expenses!B$3:B$999,SMALL(IF((Expenses!E$3:E$999="INR")*(Expenses!A$3:A$999=DATE(2026,8,8)),ROW(Expenses!A$3:A$999)-2),1)),""),IF(IFERROR(INDEX(Income!B$3:B$502,SMALL(IF((Income!D$3:D$502="INR")*(Income!A$3:A$502=DATE(2026,8,8)),ROW(Income!A$3:A$502)-2),1)),"")&lt;&gt;"",IFERROR(INDEX(Income!B$3:B$502,SMALL(IF((Income!D$3:D$502="INR")*(Income!A$3:A$502=DATE(2026,8,8)),ROW(Income!A$3:A$502)-2),1)),""),""))</f>
        <v/>
      </c>
      <c r="O159" s="153">
        <f t="array" ref="O159">IF(IFERROR(-INDEX(Expenses!D$3:D$999,SMALL(IF((Expenses!E$3:E$999="INR")*(Expenses!A$3:A$999=DATE(2026,8,9)),ROW(Expenses!A$3:A$999)-2),1)),0)+IFERROR(INDEX(Income!C$3:C$502,SMALL(IF((Income!D$3:D$502="INR")*(Income!A$3:A$502=DATE(2026,8,9)),ROW(Income!A$3:A$502)-2),1)),0)=0,"",IFERROR(-INDEX(Expenses!D$3:D$999,SMALL(IF((Expenses!E$3:E$999="INR")*(Expenses!A$3:A$999=DATE(2026,8,9)),ROW(Expenses!A$3:A$999)-2),1)),0)+IFERROR(INDEX(Income!C$3:C$502,SMALL(IF((Income!D$3:D$502="INR")*(Income!A$3:A$502=DATE(2026,8,9)),ROW(Income!A$3:A$502)-2),1)),0))</f>
        <v/>
      </c>
      <c r="P159" s="126">
        <f t="array" ref="P159">IF(IFERROR(INDEX(Expenses!B$3:B$999,SMALL(IF((Expenses!E$3:E$999="INR")*(Expenses!A$3:A$999=DATE(2026,8,9)),ROW(Expenses!A$3:A$999)-2),1)),"")&lt;&gt;"",IFERROR(INDEX(Expenses!B$3:B$999,SMALL(IF((Expenses!E$3:E$999="INR")*(Expenses!A$3:A$999=DATE(2026,8,9)),ROW(Expenses!A$3:A$999)-2),1)),""),IF(IFERROR(INDEX(Income!B$3:B$502,SMALL(IF((Income!D$3:D$502="INR")*(Income!A$3:A$502=DATE(2026,8,9)),ROW(Income!A$3:A$502)-2),1)),"")&lt;&gt;"",IFERROR(INDEX(Income!B$3:B$502,SMALL(IF((Income!D$3:D$502="INR")*(Income!A$3:A$502=DATE(2026,8,9)),ROW(Income!A$3:A$502)-2),1)),""),""))</f>
        <v/>
      </c>
      <c r="Q159" s="103" t="n">
        <v>32</v>
      </c>
      <c r="R159" s="142">
        <f>SUM(C159:C163)+SUM(E159:E163)+SUM(G159:G163)+SUM(I159:I163)+SUM(K159:K163)+SUM(M159:M163)+SUM(O159:O163)</f>
        <v/>
      </c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68">
      <c r="A160" s="9" t="n"/>
      <c r="B160" s="9" t="n"/>
      <c r="C160" s="153">
        <f t="array" ref="C160">IF(IFERROR(-INDEX(Expenses!D$3:D$999,SMALL(IF((Expenses!E$3:E$999="INR")*(Expenses!A$3:A$999=DATE(2026,8,3)),ROW(Expenses!A$3:A$999)-2),2)),0)+IFERROR(INDEX(Income!C$3:C$502,SMALL(IF((Income!D$3:D$502="INR")*(Income!A$3:A$502=DATE(2026,8,3)),ROW(Income!A$3:A$502)-2),2)),0)=0,"",IFERROR(-INDEX(Expenses!D$3:D$999,SMALL(IF((Expenses!E$3:E$999="INR")*(Expenses!A$3:A$999=DATE(2026,8,3)),ROW(Expenses!A$3:A$999)-2),2)),0)+IFERROR(INDEX(Income!C$3:C$502,SMALL(IF((Income!D$3:D$502="INR")*(Income!A$3:A$502=DATE(2026,8,3)),ROW(Income!A$3:A$502)-2),2)),0))</f>
        <v/>
      </c>
      <c r="D160" s="126">
        <f t="array" ref="D160">IF(IFERROR(INDEX(Expenses!B$3:B$999,SMALL(IF((Expenses!E$3:E$999="INR")*(Expenses!A$3:A$999=DATE(2026,8,3)),ROW(Expenses!A$3:A$999)-2),2)),"")&lt;&gt;"",IFERROR(INDEX(Expenses!B$3:B$999,SMALL(IF((Expenses!E$3:E$999="INR")*(Expenses!A$3:A$999=DATE(2026,8,3)),ROW(Expenses!A$3:A$999)-2),2)),""),IF(IFERROR(INDEX(Income!B$3:B$502,SMALL(IF((Income!D$3:D$502="INR")*(Income!A$3:A$502=DATE(2026,8,3)),ROW(Income!A$3:A$502)-2),2)),"")&lt;&gt;"",IFERROR(INDEX(Income!B$3:B$502,SMALL(IF((Income!D$3:D$502="INR")*(Income!A$3:A$502=DATE(2026,8,3)),ROW(Income!A$3:A$502)-2),2)),""),""))</f>
        <v/>
      </c>
      <c r="E160" s="153">
        <f t="array" ref="E160">IF(IFERROR(-INDEX(Expenses!D$3:D$999,SMALL(IF((Expenses!E$3:E$999="INR")*(Expenses!A$3:A$999=DATE(2026,8,4)),ROW(Expenses!A$3:A$999)-2),2)),0)+IFERROR(INDEX(Income!C$3:C$502,SMALL(IF((Income!D$3:D$502="INR")*(Income!A$3:A$502=DATE(2026,8,4)),ROW(Income!A$3:A$502)-2),2)),0)=0,"",IFERROR(-INDEX(Expenses!D$3:D$999,SMALL(IF((Expenses!E$3:E$999="INR")*(Expenses!A$3:A$999=DATE(2026,8,4)),ROW(Expenses!A$3:A$999)-2),2)),0)+IFERROR(INDEX(Income!C$3:C$502,SMALL(IF((Income!D$3:D$502="INR")*(Income!A$3:A$502=DATE(2026,8,4)),ROW(Income!A$3:A$502)-2),2)),0))</f>
        <v/>
      </c>
      <c r="F160" s="126">
        <f t="array" ref="F160">IF(IFERROR(INDEX(Expenses!B$3:B$999,SMALL(IF((Expenses!E$3:E$999="INR")*(Expenses!A$3:A$999=DATE(2026,8,4)),ROW(Expenses!A$3:A$999)-2),2)),"")&lt;&gt;"",IFERROR(INDEX(Expenses!B$3:B$999,SMALL(IF((Expenses!E$3:E$999="INR")*(Expenses!A$3:A$999=DATE(2026,8,4)),ROW(Expenses!A$3:A$999)-2),2)),""),IF(IFERROR(INDEX(Income!B$3:B$502,SMALL(IF((Income!D$3:D$502="INR")*(Income!A$3:A$502=DATE(2026,8,4)),ROW(Income!A$3:A$502)-2),2)),"")&lt;&gt;"",IFERROR(INDEX(Income!B$3:B$502,SMALL(IF((Income!D$3:D$502="INR")*(Income!A$3:A$502=DATE(2026,8,4)),ROW(Income!A$3:A$502)-2),2)),""),""))</f>
        <v/>
      </c>
      <c r="G160" s="153">
        <f t="array" ref="G160">IF(IFERROR(-INDEX(Expenses!D$3:D$999,SMALL(IF((Expenses!E$3:E$999="INR")*(Expenses!A$3:A$999=DATE(2026,8,5)),ROW(Expenses!A$3:A$999)-2),2)),0)+IFERROR(INDEX(Income!C$3:C$502,SMALL(IF((Income!D$3:D$502="INR")*(Income!A$3:A$502=DATE(2026,8,5)),ROW(Income!A$3:A$502)-2),2)),0)=0,"",IFERROR(-INDEX(Expenses!D$3:D$999,SMALL(IF((Expenses!E$3:E$999="INR")*(Expenses!A$3:A$999=DATE(2026,8,5)),ROW(Expenses!A$3:A$999)-2),2)),0)+IFERROR(INDEX(Income!C$3:C$502,SMALL(IF((Income!D$3:D$502="INR")*(Income!A$3:A$502=DATE(2026,8,5)),ROW(Income!A$3:A$502)-2),2)),0))</f>
        <v/>
      </c>
      <c r="H160" s="126">
        <f t="array" ref="H160">IF(IFERROR(INDEX(Expenses!B$3:B$999,SMALL(IF((Expenses!E$3:E$999="INR")*(Expenses!A$3:A$999=DATE(2026,8,5)),ROW(Expenses!A$3:A$999)-2),2)),"")&lt;&gt;"",IFERROR(INDEX(Expenses!B$3:B$999,SMALL(IF((Expenses!E$3:E$999="INR")*(Expenses!A$3:A$999=DATE(2026,8,5)),ROW(Expenses!A$3:A$999)-2),2)),""),IF(IFERROR(INDEX(Income!B$3:B$502,SMALL(IF((Income!D$3:D$502="INR")*(Income!A$3:A$502=DATE(2026,8,5)),ROW(Income!A$3:A$502)-2),2)),"")&lt;&gt;"",IFERROR(INDEX(Income!B$3:B$502,SMALL(IF((Income!D$3:D$502="INR")*(Income!A$3:A$502=DATE(2026,8,5)),ROW(Income!A$3:A$502)-2),2)),""),""))</f>
        <v/>
      </c>
      <c r="I160" s="153">
        <f t="array" ref="I160">IF(IFERROR(-INDEX(Expenses!D$3:D$999,SMALL(IF((Expenses!E$3:E$999="INR")*(Expenses!A$3:A$999=DATE(2026,8,6)),ROW(Expenses!A$3:A$999)-2),2)),0)+IFERROR(INDEX(Income!C$3:C$502,SMALL(IF((Income!D$3:D$502="INR")*(Income!A$3:A$502=DATE(2026,8,6)),ROW(Income!A$3:A$502)-2),2)),0)=0,"",IFERROR(-INDEX(Expenses!D$3:D$999,SMALL(IF((Expenses!E$3:E$999="INR")*(Expenses!A$3:A$999=DATE(2026,8,6)),ROW(Expenses!A$3:A$999)-2),2)),0)+IFERROR(INDEX(Income!C$3:C$502,SMALL(IF((Income!D$3:D$502="INR")*(Income!A$3:A$502=DATE(2026,8,6)),ROW(Income!A$3:A$502)-2),2)),0))</f>
        <v/>
      </c>
      <c r="J160" s="126">
        <f t="array" ref="J160">IF(IFERROR(INDEX(Expenses!B$3:B$999,SMALL(IF((Expenses!E$3:E$999="INR")*(Expenses!A$3:A$999=DATE(2026,8,6)),ROW(Expenses!A$3:A$999)-2),2)),"")&lt;&gt;"",IFERROR(INDEX(Expenses!B$3:B$999,SMALL(IF((Expenses!E$3:E$999="INR")*(Expenses!A$3:A$999=DATE(2026,8,6)),ROW(Expenses!A$3:A$999)-2),2)),""),IF(IFERROR(INDEX(Income!B$3:B$502,SMALL(IF((Income!D$3:D$502="INR")*(Income!A$3:A$502=DATE(2026,8,6)),ROW(Income!A$3:A$502)-2),2)),"")&lt;&gt;"",IFERROR(INDEX(Income!B$3:B$502,SMALL(IF((Income!D$3:D$502="INR")*(Income!A$3:A$502=DATE(2026,8,6)),ROW(Income!A$3:A$502)-2),2)),""),""))</f>
        <v/>
      </c>
      <c r="K160" s="153">
        <f t="array" ref="K160">IF(IFERROR(-INDEX(Expenses!D$3:D$999,SMALL(IF((Expenses!E$3:E$999="INR")*(Expenses!A$3:A$999=DATE(2026,8,7)),ROW(Expenses!A$3:A$999)-2),2)),0)+IFERROR(INDEX(Income!C$3:C$502,SMALL(IF((Income!D$3:D$502="INR")*(Income!A$3:A$502=DATE(2026,8,7)),ROW(Income!A$3:A$502)-2),2)),0)=0,"",IFERROR(-INDEX(Expenses!D$3:D$999,SMALL(IF((Expenses!E$3:E$999="INR")*(Expenses!A$3:A$999=DATE(2026,8,7)),ROW(Expenses!A$3:A$999)-2),2)),0)+IFERROR(INDEX(Income!C$3:C$502,SMALL(IF((Income!D$3:D$502="INR")*(Income!A$3:A$502=DATE(2026,8,7)),ROW(Income!A$3:A$502)-2),2)),0))</f>
        <v/>
      </c>
      <c r="L160" s="126">
        <f t="array" ref="L160">IF(IFERROR(INDEX(Expenses!B$3:B$999,SMALL(IF((Expenses!E$3:E$999="INR")*(Expenses!A$3:A$999=DATE(2026,8,7)),ROW(Expenses!A$3:A$999)-2),2)),"")&lt;&gt;"",IFERROR(INDEX(Expenses!B$3:B$999,SMALL(IF((Expenses!E$3:E$999="INR")*(Expenses!A$3:A$999=DATE(2026,8,7)),ROW(Expenses!A$3:A$999)-2),2)),""),IF(IFERROR(INDEX(Income!B$3:B$502,SMALL(IF((Income!D$3:D$502="INR")*(Income!A$3:A$502=DATE(2026,8,7)),ROW(Income!A$3:A$502)-2),2)),"")&lt;&gt;"",IFERROR(INDEX(Income!B$3:B$502,SMALL(IF((Income!D$3:D$502="INR")*(Income!A$3:A$502=DATE(2026,8,7)),ROW(Income!A$3:A$502)-2),2)),""),""))</f>
        <v/>
      </c>
      <c r="M160" s="153">
        <f t="array" ref="M160">IF(IFERROR(-INDEX(Expenses!D$3:D$999,SMALL(IF((Expenses!E$3:E$999="INR")*(Expenses!A$3:A$999=DATE(2026,8,8)),ROW(Expenses!A$3:A$999)-2),2)),0)+IFERROR(INDEX(Income!C$3:C$502,SMALL(IF((Income!D$3:D$502="INR")*(Income!A$3:A$502=DATE(2026,8,8)),ROW(Income!A$3:A$502)-2),2)),0)=0,"",IFERROR(-INDEX(Expenses!D$3:D$999,SMALL(IF((Expenses!E$3:E$999="INR")*(Expenses!A$3:A$999=DATE(2026,8,8)),ROW(Expenses!A$3:A$999)-2),2)),0)+IFERROR(INDEX(Income!C$3:C$502,SMALL(IF((Income!D$3:D$502="INR")*(Income!A$3:A$502=DATE(2026,8,8)),ROW(Income!A$3:A$502)-2),2)),0))</f>
        <v/>
      </c>
      <c r="N160" s="126">
        <f t="array" ref="N160">IF(IFERROR(INDEX(Expenses!B$3:B$999,SMALL(IF((Expenses!E$3:E$999="INR")*(Expenses!A$3:A$999=DATE(2026,8,8)),ROW(Expenses!A$3:A$999)-2),2)),"")&lt;&gt;"",IFERROR(INDEX(Expenses!B$3:B$999,SMALL(IF((Expenses!E$3:E$999="INR")*(Expenses!A$3:A$999=DATE(2026,8,8)),ROW(Expenses!A$3:A$999)-2),2)),""),IF(IFERROR(INDEX(Income!B$3:B$502,SMALL(IF((Income!D$3:D$502="INR")*(Income!A$3:A$502=DATE(2026,8,8)),ROW(Income!A$3:A$502)-2),2)),"")&lt;&gt;"",IFERROR(INDEX(Income!B$3:B$502,SMALL(IF((Income!D$3:D$502="INR")*(Income!A$3:A$502=DATE(2026,8,8)),ROW(Income!A$3:A$502)-2),2)),""),""))</f>
        <v/>
      </c>
      <c r="O160" s="153">
        <f t="array" ref="O160">IF(IFERROR(-INDEX(Expenses!D$3:D$999,SMALL(IF((Expenses!E$3:E$999="INR")*(Expenses!A$3:A$999=DATE(2026,8,9)),ROW(Expenses!A$3:A$999)-2),2)),0)+IFERROR(INDEX(Income!C$3:C$502,SMALL(IF((Income!D$3:D$502="INR")*(Income!A$3:A$502=DATE(2026,8,9)),ROW(Income!A$3:A$502)-2),2)),0)=0,"",IFERROR(-INDEX(Expenses!D$3:D$999,SMALL(IF((Expenses!E$3:E$999="INR")*(Expenses!A$3:A$999=DATE(2026,8,9)),ROW(Expenses!A$3:A$999)-2),2)),0)+IFERROR(INDEX(Income!C$3:C$502,SMALL(IF((Income!D$3:D$502="INR")*(Income!A$3:A$502=DATE(2026,8,9)),ROW(Income!A$3:A$502)-2),2)),0))</f>
        <v/>
      </c>
      <c r="P160" s="126">
        <f t="array" ref="P160">IF(IFERROR(INDEX(Expenses!B$3:B$999,SMALL(IF((Expenses!E$3:E$999="INR")*(Expenses!A$3:A$999=DATE(2026,8,9)),ROW(Expenses!A$3:A$999)-2),2)),"")&lt;&gt;"",IFERROR(INDEX(Expenses!B$3:B$999,SMALL(IF((Expenses!E$3:E$999="INR")*(Expenses!A$3:A$999=DATE(2026,8,9)),ROW(Expenses!A$3:A$999)-2),2)),""),IF(IFERROR(INDEX(Income!B$3:B$502,SMALL(IF((Income!D$3:D$502="INR")*(Income!A$3:A$502=DATE(2026,8,9)),ROW(Income!A$3:A$502)-2),2)),"")&lt;&gt;"",IFERROR(INDEX(Income!B$3:B$502,SMALL(IF((Income!D$3:D$502="INR")*(Income!A$3:A$502=DATE(2026,8,9)),ROW(Income!A$3:A$502)-2),2)),""),""))</f>
        <v/>
      </c>
      <c r="Q160" s="9" t="n"/>
      <c r="R160" s="9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68">
      <c r="A161" s="9" t="n"/>
      <c r="B161" s="9" t="n"/>
      <c r="C161" s="153">
        <f t="array" ref="C161">IF(IFERROR(-INDEX(Expenses!D$3:D$999,SMALL(IF((Expenses!E$3:E$999="INR")*(Expenses!A$3:A$999=DATE(2026,8,3)),ROW(Expenses!A$3:A$999)-2),3)),0)+IFERROR(INDEX(Income!C$3:C$502,SMALL(IF((Income!D$3:D$502="INR")*(Income!A$3:A$502=DATE(2026,8,3)),ROW(Income!A$3:A$502)-2),3)),0)=0,"",IFERROR(-INDEX(Expenses!D$3:D$999,SMALL(IF((Expenses!E$3:E$999="INR")*(Expenses!A$3:A$999=DATE(2026,8,3)),ROW(Expenses!A$3:A$999)-2),3)),0)+IFERROR(INDEX(Income!C$3:C$502,SMALL(IF((Income!D$3:D$502="INR")*(Income!A$3:A$502=DATE(2026,8,3)),ROW(Income!A$3:A$502)-2),3)),0))</f>
        <v/>
      </c>
      <c r="D161" s="126">
        <f t="array" ref="D161">IF(IFERROR(INDEX(Expenses!B$3:B$999,SMALL(IF((Expenses!E$3:E$999="INR")*(Expenses!A$3:A$999=DATE(2026,8,3)),ROW(Expenses!A$3:A$999)-2),3)),"")&lt;&gt;"",IFERROR(INDEX(Expenses!B$3:B$999,SMALL(IF((Expenses!E$3:E$999="INR")*(Expenses!A$3:A$999=DATE(2026,8,3)),ROW(Expenses!A$3:A$999)-2),3)),""),IF(IFERROR(INDEX(Income!B$3:B$502,SMALL(IF((Income!D$3:D$502="INR")*(Income!A$3:A$502=DATE(2026,8,3)),ROW(Income!A$3:A$502)-2),3)),"")&lt;&gt;"",IFERROR(INDEX(Income!B$3:B$502,SMALL(IF((Income!D$3:D$502="INR")*(Income!A$3:A$502=DATE(2026,8,3)),ROW(Income!A$3:A$502)-2),3)),""),""))</f>
        <v/>
      </c>
      <c r="E161" s="153">
        <f t="array" ref="E161">IF(IFERROR(-INDEX(Expenses!D$3:D$999,SMALL(IF((Expenses!E$3:E$999="INR")*(Expenses!A$3:A$999=DATE(2026,8,4)),ROW(Expenses!A$3:A$999)-2),3)),0)+IFERROR(INDEX(Income!C$3:C$502,SMALL(IF((Income!D$3:D$502="INR")*(Income!A$3:A$502=DATE(2026,8,4)),ROW(Income!A$3:A$502)-2),3)),0)=0,"",IFERROR(-INDEX(Expenses!D$3:D$999,SMALL(IF((Expenses!E$3:E$999="INR")*(Expenses!A$3:A$999=DATE(2026,8,4)),ROW(Expenses!A$3:A$999)-2),3)),0)+IFERROR(INDEX(Income!C$3:C$502,SMALL(IF((Income!D$3:D$502="INR")*(Income!A$3:A$502=DATE(2026,8,4)),ROW(Income!A$3:A$502)-2),3)),0))</f>
        <v/>
      </c>
      <c r="F161" s="126">
        <f t="array" ref="F161">IF(IFERROR(INDEX(Expenses!B$3:B$999,SMALL(IF((Expenses!E$3:E$999="INR")*(Expenses!A$3:A$999=DATE(2026,8,4)),ROW(Expenses!A$3:A$999)-2),3)),"")&lt;&gt;"",IFERROR(INDEX(Expenses!B$3:B$999,SMALL(IF((Expenses!E$3:E$999="INR")*(Expenses!A$3:A$999=DATE(2026,8,4)),ROW(Expenses!A$3:A$999)-2),3)),""),IF(IFERROR(INDEX(Income!B$3:B$502,SMALL(IF((Income!D$3:D$502="INR")*(Income!A$3:A$502=DATE(2026,8,4)),ROW(Income!A$3:A$502)-2),3)),"")&lt;&gt;"",IFERROR(INDEX(Income!B$3:B$502,SMALL(IF((Income!D$3:D$502="INR")*(Income!A$3:A$502=DATE(2026,8,4)),ROW(Income!A$3:A$502)-2),3)),""),""))</f>
        <v/>
      </c>
      <c r="G161" s="153">
        <f t="array" ref="G161">IF(IFERROR(-INDEX(Expenses!D$3:D$999,SMALL(IF((Expenses!E$3:E$999="INR")*(Expenses!A$3:A$999=DATE(2026,8,5)),ROW(Expenses!A$3:A$999)-2),3)),0)+IFERROR(INDEX(Income!C$3:C$502,SMALL(IF((Income!D$3:D$502="INR")*(Income!A$3:A$502=DATE(2026,8,5)),ROW(Income!A$3:A$502)-2),3)),0)=0,"",IFERROR(-INDEX(Expenses!D$3:D$999,SMALL(IF((Expenses!E$3:E$999="INR")*(Expenses!A$3:A$999=DATE(2026,8,5)),ROW(Expenses!A$3:A$999)-2),3)),0)+IFERROR(INDEX(Income!C$3:C$502,SMALL(IF((Income!D$3:D$502="INR")*(Income!A$3:A$502=DATE(2026,8,5)),ROW(Income!A$3:A$502)-2),3)),0))</f>
        <v/>
      </c>
      <c r="H161" s="126">
        <f t="array" ref="H161">IF(IFERROR(INDEX(Expenses!B$3:B$999,SMALL(IF((Expenses!E$3:E$999="INR")*(Expenses!A$3:A$999=DATE(2026,8,5)),ROW(Expenses!A$3:A$999)-2),3)),"")&lt;&gt;"",IFERROR(INDEX(Expenses!B$3:B$999,SMALL(IF((Expenses!E$3:E$999="INR")*(Expenses!A$3:A$999=DATE(2026,8,5)),ROW(Expenses!A$3:A$999)-2),3)),""),IF(IFERROR(INDEX(Income!B$3:B$502,SMALL(IF((Income!D$3:D$502="INR")*(Income!A$3:A$502=DATE(2026,8,5)),ROW(Income!A$3:A$502)-2),3)),"")&lt;&gt;"",IFERROR(INDEX(Income!B$3:B$502,SMALL(IF((Income!D$3:D$502="INR")*(Income!A$3:A$502=DATE(2026,8,5)),ROW(Income!A$3:A$502)-2),3)),""),""))</f>
        <v/>
      </c>
      <c r="I161" s="153">
        <f t="array" ref="I161">IF(IFERROR(-INDEX(Expenses!D$3:D$999,SMALL(IF((Expenses!E$3:E$999="INR")*(Expenses!A$3:A$999=DATE(2026,8,6)),ROW(Expenses!A$3:A$999)-2),3)),0)+IFERROR(INDEX(Income!C$3:C$502,SMALL(IF((Income!D$3:D$502="INR")*(Income!A$3:A$502=DATE(2026,8,6)),ROW(Income!A$3:A$502)-2),3)),0)=0,"",IFERROR(-INDEX(Expenses!D$3:D$999,SMALL(IF((Expenses!E$3:E$999="INR")*(Expenses!A$3:A$999=DATE(2026,8,6)),ROW(Expenses!A$3:A$999)-2),3)),0)+IFERROR(INDEX(Income!C$3:C$502,SMALL(IF((Income!D$3:D$502="INR")*(Income!A$3:A$502=DATE(2026,8,6)),ROW(Income!A$3:A$502)-2),3)),0))</f>
        <v/>
      </c>
      <c r="J161" s="126">
        <f t="array" ref="J161">IF(IFERROR(INDEX(Expenses!B$3:B$999,SMALL(IF((Expenses!E$3:E$999="INR")*(Expenses!A$3:A$999=DATE(2026,8,6)),ROW(Expenses!A$3:A$999)-2),3)),"")&lt;&gt;"",IFERROR(INDEX(Expenses!B$3:B$999,SMALL(IF((Expenses!E$3:E$999="INR")*(Expenses!A$3:A$999=DATE(2026,8,6)),ROW(Expenses!A$3:A$999)-2),3)),""),IF(IFERROR(INDEX(Income!B$3:B$502,SMALL(IF((Income!D$3:D$502="INR")*(Income!A$3:A$502=DATE(2026,8,6)),ROW(Income!A$3:A$502)-2),3)),"")&lt;&gt;"",IFERROR(INDEX(Income!B$3:B$502,SMALL(IF((Income!D$3:D$502="INR")*(Income!A$3:A$502=DATE(2026,8,6)),ROW(Income!A$3:A$502)-2),3)),""),""))</f>
        <v/>
      </c>
      <c r="K161" s="153">
        <f t="array" ref="K161">IF(IFERROR(-INDEX(Expenses!D$3:D$999,SMALL(IF((Expenses!E$3:E$999="INR")*(Expenses!A$3:A$999=DATE(2026,8,7)),ROW(Expenses!A$3:A$999)-2),3)),0)+IFERROR(INDEX(Income!C$3:C$502,SMALL(IF((Income!D$3:D$502="INR")*(Income!A$3:A$502=DATE(2026,8,7)),ROW(Income!A$3:A$502)-2),3)),0)=0,"",IFERROR(-INDEX(Expenses!D$3:D$999,SMALL(IF((Expenses!E$3:E$999="INR")*(Expenses!A$3:A$999=DATE(2026,8,7)),ROW(Expenses!A$3:A$999)-2),3)),0)+IFERROR(INDEX(Income!C$3:C$502,SMALL(IF((Income!D$3:D$502="INR")*(Income!A$3:A$502=DATE(2026,8,7)),ROW(Income!A$3:A$502)-2),3)),0))</f>
        <v/>
      </c>
      <c r="L161" s="126">
        <f t="array" ref="L161">IF(IFERROR(INDEX(Expenses!B$3:B$999,SMALL(IF((Expenses!E$3:E$999="INR")*(Expenses!A$3:A$999=DATE(2026,8,7)),ROW(Expenses!A$3:A$999)-2),3)),"")&lt;&gt;"",IFERROR(INDEX(Expenses!B$3:B$999,SMALL(IF((Expenses!E$3:E$999="INR")*(Expenses!A$3:A$999=DATE(2026,8,7)),ROW(Expenses!A$3:A$999)-2),3)),""),IF(IFERROR(INDEX(Income!B$3:B$502,SMALL(IF((Income!D$3:D$502="INR")*(Income!A$3:A$502=DATE(2026,8,7)),ROW(Income!A$3:A$502)-2),3)),"")&lt;&gt;"",IFERROR(INDEX(Income!B$3:B$502,SMALL(IF((Income!D$3:D$502="INR")*(Income!A$3:A$502=DATE(2026,8,7)),ROW(Income!A$3:A$502)-2),3)),""),""))</f>
        <v/>
      </c>
      <c r="M161" s="153">
        <f t="array" ref="M161">IF(IFERROR(-INDEX(Expenses!D$3:D$999,SMALL(IF((Expenses!E$3:E$999="INR")*(Expenses!A$3:A$999=DATE(2026,8,8)),ROW(Expenses!A$3:A$999)-2),3)),0)+IFERROR(INDEX(Income!C$3:C$502,SMALL(IF((Income!D$3:D$502="INR")*(Income!A$3:A$502=DATE(2026,8,8)),ROW(Income!A$3:A$502)-2),3)),0)=0,"",IFERROR(-INDEX(Expenses!D$3:D$999,SMALL(IF((Expenses!E$3:E$999="INR")*(Expenses!A$3:A$999=DATE(2026,8,8)),ROW(Expenses!A$3:A$999)-2),3)),0)+IFERROR(INDEX(Income!C$3:C$502,SMALL(IF((Income!D$3:D$502="INR")*(Income!A$3:A$502=DATE(2026,8,8)),ROW(Income!A$3:A$502)-2),3)),0))</f>
        <v/>
      </c>
      <c r="N161" s="126">
        <f t="array" ref="N161">IF(IFERROR(INDEX(Expenses!B$3:B$999,SMALL(IF((Expenses!E$3:E$999="INR")*(Expenses!A$3:A$999=DATE(2026,8,8)),ROW(Expenses!A$3:A$999)-2),3)),"")&lt;&gt;"",IFERROR(INDEX(Expenses!B$3:B$999,SMALL(IF((Expenses!E$3:E$999="INR")*(Expenses!A$3:A$999=DATE(2026,8,8)),ROW(Expenses!A$3:A$999)-2),3)),""),IF(IFERROR(INDEX(Income!B$3:B$502,SMALL(IF((Income!D$3:D$502="INR")*(Income!A$3:A$502=DATE(2026,8,8)),ROW(Income!A$3:A$502)-2),3)),"")&lt;&gt;"",IFERROR(INDEX(Income!B$3:B$502,SMALL(IF((Income!D$3:D$502="INR")*(Income!A$3:A$502=DATE(2026,8,8)),ROW(Income!A$3:A$502)-2),3)),""),""))</f>
        <v/>
      </c>
      <c r="O161" s="153">
        <f t="array" ref="O161">IF(IFERROR(-INDEX(Expenses!D$3:D$999,SMALL(IF((Expenses!E$3:E$999="INR")*(Expenses!A$3:A$999=DATE(2026,8,9)),ROW(Expenses!A$3:A$999)-2),3)),0)+IFERROR(INDEX(Income!C$3:C$502,SMALL(IF((Income!D$3:D$502="INR")*(Income!A$3:A$502=DATE(2026,8,9)),ROW(Income!A$3:A$502)-2),3)),0)=0,"",IFERROR(-INDEX(Expenses!D$3:D$999,SMALL(IF((Expenses!E$3:E$999="INR")*(Expenses!A$3:A$999=DATE(2026,8,9)),ROW(Expenses!A$3:A$999)-2),3)),0)+IFERROR(INDEX(Income!C$3:C$502,SMALL(IF((Income!D$3:D$502="INR")*(Income!A$3:A$502=DATE(2026,8,9)),ROW(Income!A$3:A$502)-2),3)),0))</f>
        <v/>
      </c>
      <c r="P161" s="126">
        <f t="array" ref="P161">IF(IFERROR(INDEX(Expenses!B$3:B$999,SMALL(IF((Expenses!E$3:E$999="INR")*(Expenses!A$3:A$999=DATE(2026,8,9)),ROW(Expenses!A$3:A$999)-2),3)),"")&lt;&gt;"",IFERROR(INDEX(Expenses!B$3:B$999,SMALL(IF((Expenses!E$3:E$999="INR")*(Expenses!A$3:A$999=DATE(2026,8,9)),ROW(Expenses!A$3:A$999)-2),3)),""),IF(IFERROR(INDEX(Income!B$3:B$502,SMALL(IF((Income!D$3:D$502="INR")*(Income!A$3:A$502=DATE(2026,8,9)),ROW(Income!A$3:A$502)-2),3)),"")&lt;&gt;"",IFERROR(INDEX(Income!B$3:B$502,SMALL(IF((Income!D$3:D$502="INR")*(Income!A$3:A$502=DATE(2026,8,9)),ROW(Income!A$3:A$502)-2),3)),""),""))</f>
        <v/>
      </c>
      <c r="Q161" s="9" t="n"/>
      <c r="R161" s="9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68">
      <c r="A162" s="9" t="n"/>
      <c r="B162" s="9" t="n"/>
      <c r="C162" s="153">
        <f t="array" ref="C162">IF(IFERROR(-INDEX(Expenses!D$3:D$999,SMALL(IF((Expenses!E$3:E$999="INR")*(Expenses!A$3:A$999=DATE(2026,8,3)),ROW(Expenses!A$3:A$999)-2),4)),0)+IFERROR(INDEX(Income!C$3:C$502,SMALL(IF((Income!D$3:D$502="INR")*(Income!A$3:A$502=DATE(2026,8,3)),ROW(Income!A$3:A$502)-2),4)),0)=0,"",IFERROR(-INDEX(Expenses!D$3:D$999,SMALL(IF((Expenses!E$3:E$999="INR")*(Expenses!A$3:A$999=DATE(2026,8,3)),ROW(Expenses!A$3:A$999)-2),4)),0)+IFERROR(INDEX(Income!C$3:C$502,SMALL(IF((Income!D$3:D$502="INR")*(Income!A$3:A$502=DATE(2026,8,3)),ROW(Income!A$3:A$502)-2),4)),0))</f>
        <v/>
      </c>
      <c r="D162" s="126">
        <f t="array" ref="D162">IF(IFERROR(INDEX(Expenses!B$3:B$999,SMALL(IF((Expenses!E$3:E$999="INR")*(Expenses!A$3:A$999=DATE(2026,8,3)),ROW(Expenses!A$3:A$999)-2),4)),"")&lt;&gt;"",IFERROR(INDEX(Expenses!B$3:B$999,SMALL(IF((Expenses!E$3:E$999="INR")*(Expenses!A$3:A$999=DATE(2026,8,3)),ROW(Expenses!A$3:A$999)-2),4)),""),IF(IFERROR(INDEX(Income!B$3:B$502,SMALL(IF((Income!D$3:D$502="INR")*(Income!A$3:A$502=DATE(2026,8,3)),ROW(Income!A$3:A$502)-2),4)),"")&lt;&gt;"",IFERROR(INDEX(Income!B$3:B$502,SMALL(IF((Income!D$3:D$502="INR")*(Income!A$3:A$502=DATE(2026,8,3)),ROW(Income!A$3:A$502)-2),4)),""),""))</f>
        <v/>
      </c>
      <c r="E162" s="153">
        <f t="array" ref="E162">IF(IFERROR(-INDEX(Expenses!D$3:D$999,SMALL(IF((Expenses!E$3:E$999="INR")*(Expenses!A$3:A$999=DATE(2026,8,4)),ROW(Expenses!A$3:A$999)-2),4)),0)+IFERROR(INDEX(Income!C$3:C$502,SMALL(IF((Income!D$3:D$502="INR")*(Income!A$3:A$502=DATE(2026,8,4)),ROW(Income!A$3:A$502)-2),4)),0)=0,"",IFERROR(-INDEX(Expenses!D$3:D$999,SMALL(IF((Expenses!E$3:E$999="INR")*(Expenses!A$3:A$999=DATE(2026,8,4)),ROW(Expenses!A$3:A$999)-2),4)),0)+IFERROR(INDEX(Income!C$3:C$502,SMALL(IF((Income!D$3:D$502="INR")*(Income!A$3:A$502=DATE(2026,8,4)),ROW(Income!A$3:A$502)-2),4)),0))</f>
        <v/>
      </c>
      <c r="F162" s="126">
        <f t="array" ref="F162">IF(IFERROR(INDEX(Expenses!B$3:B$999,SMALL(IF((Expenses!E$3:E$999="INR")*(Expenses!A$3:A$999=DATE(2026,8,4)),ROW(Expenses!A$3:A$999)-2),4)),"")&lt;&gt;"",IFERROR(INDEX(Expenses!B$3:B$999,SMALL(IF((Expenses!E$3:E$999="INR")*(Expenses!A$3:A$999=DATE(2026,8,4)),ROW(Expenses!A$3:A$999)-2),4)),""),IF(IFERROR(INDEX(Income!B$3:B$502,SMALL(IF((Income!D$3:D$502="INR")*(Income!A$3:A$502=DATE(2026,8,4)),ROW(Income!A$3:A$502)-2),4)),"")&lt;&gt;"",IFERROR(INDEX(Income!B$3:B$502,SMALL(IF((Income!D$3:D$502="INR")*(Income!A$3:A$502=DATE(2026,8,4)),ROW(Income!A$3:A$502)-2),4)),""),""))</f>
        <v/>
      </c>
      <c r="G162" s="153">
        <f t="array" ref="G162">IF(IFERROR(-INDEX(Expenses!D$3:D$999,SMALL(IF((Expenses!E$3:E$999="INR")*(Expenses!A$3:A$999=DATE(2026,8,5)),ROW(Expenses!A$3:A$999)-2),4)),0)+IFERROR(INDEX(Income!C$3:C$502,SMALL(IF((Income!D$3:D$502="INR")*(Income!A$3:A$502=DATE(2026,8,5)),ROW(Income!A$3:A$502)-2),4)),0)=0,"",IFERROR(-INDEX(Expenses!D$3:D$999,SMALL(IF((Expenses!E$3:E$999="INR")*(Expenses!A$3:A$999=DATE(2026,8,5)),ROW(Expenses!A$3:A$999)-2),4)),0)+IFERROR(INDEX(Income!C$3:C$502,SMALL(IF((Income!D$3:D$502="INR")*(Income!A$3:A$502=DATE(2026,8,5)),ROW(Income!A$3:A$502)-2),4)),0))</f>
        <v/>
      </c>
      <c r="H162" s="126">
        <f t="array" ref="H162">IF(IFERROR(INDEX(Expenses!B$3:B$999,SMALL(IF((Expenses!E$3:E$999="INR")*(Expenses!A$3:A$999=DATE(2026,8,5)),ROW(Expenses!A$3:A$999)-2),4)),"")&lt;&gt;"",IFERROR(INDEX(Expenses!B$3:B$999,SMALL(IF((Expenses!E$3:E$999="INR")*(Expenses!A$3:A$999=DATE(2026,8,5)),ROW(Expenses!A$3:A$999)-2),4)),""),IF(IFERROR(INDEX(Income!B$3:B$502,SMALL(IF((Income!D$3:D$502="INR")*(Income!A$3:A$502=DATE(2026,8,5)),ROW(Income!A$3:A$502)-2),4)),"")&lt;&gt;"",IFERROR(INDEX(Income!B$3:B$502,SMALL(IF((Income!D$3:D$502="INR")*(Income!A$3:A$502=DATE(2026,8,5)),ROW(Income!A$3:A$502)-2),4)),""),""))</f>
        <v/>
      </c>
      <c r="I162" s="153">
        <f t="array" ref="I162">IF(IFERROR(-INDEX(Expenses!D$3:D$999,SMALL(IF((Expenses!E$3:E$999="INR")*(Expenses!A$3:A$999=DATE(2026,8,6)),ROW(Expenses!A$3:A$999)-2),4)),0)+IFERROR(INDEX(Income!C$3:C$502,SMALL(IF((Income!D$3:D$502="INR")*(Income!A$3:A$502=DATE(2026,8,6)),ROW(Income!A$3:A$502)-2),4)),0)=0,"",IFERROR(-INDEX(Expenses!D$3:D$999,SMALL(IF((Expenses!E$3:E$999="INR")*(Expenses!A$3:A$999=DATE(2026,8,6)),ROW(Expenses!A$3:A$999)-2),4)),0)+IFERROR(INDEX(Income!C$3:C$502,SMALL(IF((Income!D$3:D$502="INR")*(Income!A$3:A$502=DATE(2026,8,6)),ROW(Income!A$3:A$502)-2),4)),0))</f>
        <v/>
      </c>
      <c r="J162" s="126">
        <f t="array" ref="J162">IF(IFERROR(INDEX(Expenses!B$3:B$999,SMALL(IF((Expenses!E$3:E$999="INR")*(Expenses!A$3:A$999=DATE(2026,8,6)),ROW(Expenses!A$3:A$999)-2),4)),"")&lt;&gt;"",IFERROR(INDEX(Expenses!B$3:B$999,SMALL(IF((Expenses!E$3:E$999="INR")*(Expenses!A$3:A$999=DATE(2026,8,6)),ROW(Expenses!A$3:A$999)-2),4)),""),IF(IFERROR(INDEX(Income!B$3:B$502,SMALL(IF((Income!D$3:D$502="INR")*(Income!A$3:A$502=DATE(2026,8,6)),ROW(Income!A$3:A$502)-2),4)),"")&lt;&gt;"",IFERROR(INDEX(Income!B$3:B$502,SMALL(IF((Income!D$3:D$502="INR")*(Income!A$3:A$502=DATE(2026,8,6)),ROW(Income!A$3:A$502)-2),4)),""),""))</f>
        <v/>
      </c>
      <c r="K162" s="153">
        <f t="array" ref="K162">IF(IFERROR(-INDEX(Expenses!D$3:D$999,SMALL(IF((Expenses!E$3:E$999="INR")*(Expenses!A$3:A$999=DATE(2026,8,7)),ROW(Expenses!A$3:A$999)-2),4)),0)+IFERROR(INDEX(Income!C$3:C$502,SMALL(IF((Income!D$3:D$502="INR")*(Income!A$3:A$502=DATE(2026,8,7)),ROW(Income!A$3:A$502)-2),4)),0)=0,"",IFERROR(-INDEX(Expenses!D$3:D$999,SMALL(IF((Expenses!E$3:E$999="INR")*(Expenses!A$3:A$999=DATE(2026,8,7)),ROW(Expenses!A$3:A$999)-2),4)),0)+IFERROR(INDEX(Income!C$3:C$502,SMALL(IF((Income!D$3:D$502="INR")*(Income!A$3:A$502=DATE(2026,8,7)),ROW(Income!A$3:A$502)-2),4)),0))</f>
        <v/>
      </c>
      <c r="L162" s="126">
        <f t="array" ref="L162">IF(IFERROR(INDEX(Expenses!B$3:B$999,SMALL(IF((Expenses!E$3:E$999="INR")*(Expenses!A$3:A$999=DATE(2026,8,7)),ROW(Expenses!A$3:A$999)-2),4)),"")&lt;&gt;"",IFERROR(INDEX(Expenses!B$3:B$999,SMALL(IF((Expenses!E$3:E$999="INR")*(Expenses!A$3:A$999=DATE(2026,8,7)),ROW(Expenses!A$3:A$999)-2),4)),""),IF(IFERROR(INDEX(Income!B$3:B$502,SMALL(IF((Income!D$3:D$502="INR")*(Income!A$3:A$502=DATE(2026,8,7)),ROW(Income!A$3:A$502)-2),4)),"")&lt;&gt;"",IFERROR(INDEX(Income!B$3:B$502,SMALL(IF((Income!D$3:D$502="INR")*(Income!A$3:A$502=DATE(2026,8,7)),ROW(Income!A$3:A$502)-2),4)),""),""))</f>
        <v/>
      </c>
      <c r="M162" s="153">
        <f t="array" ref="M162">IF(IFERROR(-INDEX(Expenses!D$3:D$999,SMALL(IF((Expenses!E$3:E$999="INR")*(Expenses!A$3:A$999=DATE(2026,8,8)),ROW(Expenses!A$3:A$999)-2),4)),0)+IFERROR(INDEX(Income!C$3:C$502,SMALL(IF((Income!D$3:D$502="INR")*(Income!A$3:A$502=DATE(2026,8,8)),ROW(Income!A$3:A$502)-2),4)),0)=0,"",IFERROR(-INDEX(Expenses!D$3:D$999,SMALL(IF((Expenses!E$3:E$999="INR")*(Expenses!A$3:A$999=DATE(2026,8,8)),ROW(Expenses!A$3:A$999)-2),4)),0)+IFERROR(INDEX(Income!C$3:C$502,SMALL(IF((Income!D$3:D$502="INR")*(Income!A$3:A$502=DATE(2026,8,8)),ROW(Income!A$3:A$502)-2),4)),0))</f>
        <v/>
      </c>
      <c r="N162" s="126">
        <f t="array" ref="N162">IF(IFERROR(INDEX(Expenses!B$3:B$999,SMALL(IF((Expenses!E$3:E$999="INR")*(Expenses!A$3:A$999=DATE(2026,8,8)),ROW(Expenses!A$3:A$999)-2),4)),"")&lt;&gt;"",IFERROR(INDEX(Expenses!B$3:B$999,SMALL(IF((Expenses!E$3:E$999="INR")*(Expenses!A$3:A$999=DATE(2026,8,8)),ROW(Expenses!A$3:A$999)-2),4)),""),IF(IFERROR(INDEX(Income!B$3:B$502,SMALL(IF((Income!D$3:D$502="INR")*(Income!A$3:A$502=DATE(2026,8,8)),ROW(Income!A$3:A$502)-2),4)),"")&lt;&gt;"",IFERROR(INDEX(Income!B$3:B$502,SMALL(IF((Income!D$3:D$502="INR")*(Income!A$3:A$502=DATE(2026,8,8)),ROW(Income!A$3:A$502)-2),4)),""),""))</f>
        <v/>
      </c>
      <c r="O162" s="153">
        <f t="array" ref="O162">IF(IFERROR(-INDEX(Expenses!D$3:D$999,SMALL(IF((Expenses!E$3:E$999="INR")*(Expenses!A$3:A$999=DATE(2026,8,9)),ROW(Expenses!A$3:A$999)-2),4)),0)+IFERROR(INDEX(Income!C$3:C$502,SMALL(IF((Income!D$3:D$502="INR")*(Income!A$3:A$502=DATE(2026,8,9)),ROW(Income!A$3:A$502)-2),4)),0)=0,"",IFERROR(-INDEX(Expenses!D$3:D$999,SMALL(IF((Expenses!E$3:E$999="INR")*(Expenses!A$3:A$999=DATE(2026,8,9)),ROW(Expenses!A$3:A$999)-2),4)),0)+IFERROR(INDEX(Income!C$3:C$502,SMALL(IF((Income!D$3:D$502="INR")*(Income!A$3:A$502=DATE(2026,8,9)),ROW(Income!A$3:A$502)-2),4)),0))</f>
        <v/>
      </c>
      <c r="P162" s="126">
        <f t="array" ref="P162">IF(IFERROR(INDEX(Expenses!B$3:B$999,SMALL(IF((Expenses!E$3:E$999="INR")*(Expenses!A$3:A$999=DATE(2026,8,9)),ROW(Expenses!A$3:A$999)-2),4)),"")&lt;&gt;"",IFERROR(INDEX(Expenses!B$3:B$999,SMALL(IF((Expenses!E$3:E$999="INR")*(Expenses!A$3:A$999=DATE(2026,8,9)),ROW(Expenses!A$3:A$999)-2),4)),""),IF(IFERROR(INDEX(Income!B$3:B$502,SMALL(IF((Income!D$3:D$502="INR")*(Income!A$3:A$502=DATE(2026,8,9)),ROW(Income!A$3:A$502)-2),4)),"")&lt;&gt;"",IFERROR(INDEX(Income!B$3:B$502,SMALL(IF((Income!D$3:D$502="INR")*(Income!A$3:A$502=DATE(2026,8,9)),ROW(Income!A$3:A$502)-2),4)),""),""))</f>
        <v/>
      </c>
      <c r="Q162" s="9" t="n"/>
      <c r="R162" s="9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68">
      <c r="A163" s="9" t="n"/>
      <c r="B163" s="9" t="n"/>
      <c r="C163" s="153">
        <f t="array" ref="C163">IF(IFERROR(-INDEX(Expenses!D$3:D$999,SMALL(IF((Expenses!E$3:E$999="INR")*(Expenses!A$3:A$999=DATE(2026,8,3)),ROW(Expenses!A$3:A$999)-2),5)),0)+IFERROR(INDEX(Income!C$3:C$502,SMALL(IF((Income!D$3:D$502="INR")*(Income!A$3:A$502=DATE(2026,8,3)),ROW(Income!A$3:A$502)-2),5)),0)=0,"",IFERROR(-INDEX(Expenses!D$3:D$999,SMALL(IF((Expenses!E$3:E$999="INR")*(Expenses!A$3:A$999=DATE(2026,8,3)),ROW(Expenses!A$3:A$999)-2),5)),0)+IFERROR(INDEX(Income!C$3:C$502,SMALL(IF((Income!D$3:D$502="INR")*(Income!A$3:A$502=DATE(2026,8,3)),ROW(Income!A$3:A$502)-2),5)),0))</f>
        <v/>
      </c>
      <c r="D163" s="126">
        <f t="array" ref="D163">IF(IFERROR(INDEX(Expenses!B$3:B$999,SMALL(IF((Expenses!E$3:E$999="INR")*(Expenses!A$3:A$999=DATE(2026,8,3)),ROW(Expenses!A$3:A$999)-2),5)),"")&lt;&gt;"",IFERROR(INDEX(Expenses!B$3:B$999,SMALL(IF((Expenses!E$3:E$999="INR")*(Expenses!A$3:A$999=DATE(2026,8,3)),ROW(Expenses!A$3:A$999)-2),5)),""),IF(IFERROR(INDEX(Income!B$3:B$502,SMALL(IF((Income!D$3:D$502="INR")*(Income!A$3:A$502=DATE(2026,8,3)),ROW(Income!A$3:A$502)-2),5)),"")&lt;&gt;"",IFERROR(INDEX(Income!B$3:B$502,SMALL(IF((Income!D$3:D$502="INR")*(Income!A$3:A$502=DATE(2026,8,3)),ROW(Income!A$3:A$502)-2),5)),""),""))</f>
        <v/>
      </c>
      <c r="E163" s="153">
        <f t="array" ref="E163">IF(IFERROR(-INDEX(Expenses!D$3:D$999,SMALL(IF((Expenses!E$3:E$999="INR")*(Expenses!A$3:A$999=DATE(2026,8,4)),ROW(Expenses!A$3:A$999)-2),5)),0)+IFERROR(INDEX(Income!C$3:C$502,SMALL(IF((Income!D$3:D$502="INR")*(Income!A$3:A$502=DATE(2026,8,4)),ROW(Income!A$3:A$502)-2),5)),0)=0,"",IFERROR(-INDEX(Expenses!D$3:D$999,SMALL(IF((Expenses!E$3:E$999="INR")*(Expenses!A$3:A$999=DATE(2026,8,4)),ROW(Expenses!A$3:A$999)-2),5)),0)+IFERROR(INDEX(Income!C$3:C$502,SMALL(IF((Income!D$3:D$502="INR")*(Income!A$3:A$502=DATE(2026,8,4)),ROW(Income!A$3:A$502)-2),5)),0))</f>
        <v/>
      </c>
      <c r="F163" s="126">
        <f t="array" ref="F163">IF(IFERROR(INDEX(Expenses!B$3:B$999,SMALL(IF((Expenses!E$3:E$999="INR")*(Expenses!A$3:A$999=DATE(2026,8,4)),ROW(Expenses!A$3:A$999)-2),5)),"")&lt;&gt;"",IFERROR(INDEX(Expenses!B$3:B$999,SMALL(IF((Expenses!E$3:E$999="INR")*(Expenses!A$3:A$999=DATE(2026,8,4)),ROW(Expenses!A$3:A$999)-2),5)),""),IF(IFERROR(INDEX(Income!B$3:B$502,SMALL(IF((Income!D$3:D$502="INR")*(Income!A$3:A$502=DATE(2026,8,4)),ROW(Income!A$3:A$502)-2),5)),"")&lt;&gt;"",IFERROR(INDEX(Income!B$3:B$502,SMALL(IF((Income!D$3:D$502="INR")*(Income!A$3:A$502=DATE(2026,8,4)),ROW(Income!A$3:A$502)-2),5)),""),""))</f>
        <v/>
      </c>
      <c r="G163" s="153">
        <f t="array" ref="G163">IF(IFERROR(-INDEX(Expenses!D$3:D$999,SMALL(IF((Expenses!E$3:E$999="INR")*(Expenses!A$3:A$999=DATE(2026,8,5)),ROW(Expenses!A$3:A$999)-2),5)),0)+IFERROR(INDEX(Income!C$3:C$502,SMALL(IF((Income!D$3:D$502="INR")*(Income!A$3:A$502=DATE(2026,8,5)),ROW(Income!A$3:A$502)-2),5)),0)=0,"",IFERROR(-INDEX(Expenses!D$3:D$999,SMALL(IF((Expenses!E$3:E$999="INR")*(Expenses!A$3:A$999=DATE(2026,8,5)),ROW(Expenses!A$3:A$999)-2),5)),0)+IFERROR(INDEX(Income!C$3:C$502,SMALL(IF((Income!D$3:D$502="INR")*(Income!A$3:A$502=DATE(2026,8,5)),ROW(Income!A$3:A$502)-2),5)),0))</f>
        <v/>
      </c>
      <c r="H163" s="126">
        <f t="array" ref="H163">IF(IFERROR(INDEX(Expenses!B$3:B$999,SMALL(IF((Expenses!E$3:E$999="INR")*(Expenses!A$3:A$999=DATE(2026,8,5)),ROW(Expenses!A$3:A$999)-2),5)),"")&lt;&gt;"",IFERROR(INDEX(Expenses!B$3:B$999,SMALL(IF((Expenses!E$3:E$999="INR")*(Expenses!A$3:A$999=DATE(2026,8,5)),ROW(Expenses!A$3:A$999)-2),5)),""),IF(IFERROR(INDEX(Income!B$3:B$502,SMALL(IF((Income!D$3:D$502="INR")*(Income!A$3:A$502=DATE(2026,8,5)),ROW(Income!A$3:A$502)-2),5)),"")&lt;&gt;"",IFERROR(INDEX(Income!B$3:B$502,SMALL(IF((Income!D$3:D$502="INR")*(Income!A$3:A$502=DATE(2026,8,5)),ROW(Income!A$3:A$502)-2),5)),""),""))</f>
        <v/>
      </c>
      <c r="I163" s="153">
        <f t="array" ref="I163">IF(IFERROR(-INDEX(Expenses!D$3:D$999,SMALL(IF((Expenses!E$3:E$999="INR")*(Expenses!A$3:A$999=DATE(2026,8,6)),ROW(Expenses!A$3:A$999)-2),5)),0)+IFERROR(INDEX(Income!C$3:C$502,SMALL(IF((Income!D$3:D$502="INR")*(Income!A$3:A$502=DATE(2026,8,6)),ROW(Income!A$3:A$502)-2),5)),0)=0,"",IFERROR(-INDEX(Expenses!D$3:D$999,SMALL(IF((Expenses!E$3:E$999="INR")*(Expenses!A$3:A$999=DATE(2026,8,6)),ROW(Expenses!A$3:A$999)-2),5)),0)+IFERROR(INDEX(Income!C$3:C$502,SMALL(IF((Income!D$3:D$502="INR")*(Income!A$3:A$502=DATE(2026,8,6)),ROW(Income!A$3:A$502)-2),5)),0))</f>
        <v/>
      </c>
      <c r="J163" s="126">
        <f t="array" ref="J163">IF(IFERROR(INDEX(Expenses!B$3:B$999,SMALL(IF((Expenses!E$3:E$999="INR")*(Expenses!A$3:A$999=DATE(2026,8,6)),ROW(Expenses!A$3:A$999)-2),5)),"")&lt;&gt;"",IFERROR(INDEX(Expenses!B$3:B$999,SMALL(IF((Expenses!E$3:E$999="INR")*(Expenses!A$3:A$999=DATE(2026,8,6)),ROW(Expenses!A$3:A$999)-2),5)),""),IF(IFERROR(INDEX(Income!B$3:B$502,SMALL(IF((Income!D$3:D$502="INR")*(Income!A$3:A$502=DATE(2026,8,6)),ROW(Income!A$3:A$502)-2),5)),"")&lt;&gt;"",IFERROR(INDEX(Income!B$3:B$502,SMALL(IF((Income!D$3:D$502="INR")*(Income!A$3:A$502=DATE(2026,8,6)),ROW(Income!A$3:A$502)-2),5)),""),""))</f>
        <v/>
      </c>
      <c r="K163" s="153">
        <f t="array" ref="K163">IF(IFERROR(-INDEX(Expenses!D$3:D$999,SMALL(IF((Expenses!E$3:E$999="INR")*(Expenses!A$3:A$999=DATE(2026,8,7)),ROW(Expenses!A$3:A$999)-2),5)),0)+IFERROR(INDEX(Income!C$3:C$502,SMALL(IF((Income!D$3:D$502="INR")*(Income!A$3:A$502=DATE(2026,8,7)),ROW(Income!A$3:A$502)-2),5)),0)=0,"",IFERROR(-INDEX(Expenses!D$3:D$999,SMALL(IF((Expenses!E$3:E$999="INR")*(Expenses!A$3:A$999=DATE(2026,8,7)),ROW(Expenses!A$3:A$999)-2),5)),0)+IFERROR(INDEX(Income!C$3:C$502,SMALL(IF((Income!D$3:D$502="INR")*(Income!A$3:A$502=DATE(2026,8,7)),ROW(Income!A$3:A$502)-2),5)),0))</f>
        <v/>
      </c>
      <c r="L163" s="126">
        <f t="array" ref="L163">IF(IFERROR(INDEX(Expenses!B$3:B$999,SMALL(IF((Expenses!E$3:E$999="INR")*(Expenses!A$3:A$999=DATE(2026,8,7)),ROW(Expenses!A$3:A$999)-2),5)),"")&lt;&gt;"",IFERROR(INDEX(Expenses!B$3:B$999,SMALL(IF((Expenses!E$3:E$999="INR")*(Expenses!A$3:A$999=DATE(2026,8,7)),ROW(Expenses!A$3:A$999)-2),5)),""),IF(IFERROR(INDEX(Income!B$3:B$502,SMALL(IF((Income!D$3:D$502="INR")*(Income!A$3:A$502=DATE(2026,8,7)),ROW(Income!A$3:A$502)-2),5)),"")&lt;&gt;"",IFERROR(INDEX(Income!B$3:B$502,SMALL(IF((Income!D$3:D$502="INR")*(Income!A$3:A$502=DATE(2026,8,7)),ROW(Income!A$3:A$502)-2),5)),""),""))</f>
        <v/>
      </c>
      <c r="M163" s="153">
        <f t="array" ref="M163">IF(IFERROR(-INDEX(Expenses!D$3:D$999,SMALL(IF((Expenses!E$3:E$999="INR")*(Expenses!A$3:A$999=DATE(2026,8,8)),ROW(Expenses!A$3:A$999)-2),5)),0)+IFERROR(INDEX(Income!C$3:C$502,SMALL(IF((Income!D$3:D$502="INR")*(Income!A$3:A$502=DATE(2026,8,8)),ROW(Income!A$3:A$502)-2),5)),0)=0,"",IFERROR(-INDEX(Expenses!D$3:D$999,SMALL(IF((Expenses!E$3:E$999="INR")*(Expenses!A$3:A$999=DATE(2026,8,8)),ROW(Expenses!A$3:A$999)-2),5)),0)+IFERROR(INDEX(Income!C$3:C$502,SMALL(IF((Income!D$3:D$502="INR")*(Income!A$3:A$502=DATE(2026,8,8)),ROW(Income!A$3:A$502)-2),5)),0))</f>
        <v/>
      </c>
      <c r="N163" s="126">
        <f t="array" ref="N163">IF(IFERROR(INDEX(Expenses!B$3:B$999,SMALL(IF((Expenses!E$3:E$999="INR")*(Expenses!A$3:A$999=DATE(2026,8,8)),ROW(Expenses!A$3:A$999)-2),5)),"")&lt;&gt;"",IFERROR(INDEX(Expenses!B$3:B$999,SMALL(IF((Expenses!E$3:E$999="INR")*(Expenses!A$3:A$999=DATE(2026,8,8)),ROW(Expenses!A$3:A$999)-2),5)),""),IF(IFERROR(INDEX(Income!B$3:B$502,SMALL(IF((Income!D$3:D$502="INR")*(Income!A$3:A$502=DATE(2026,8,8)),ROW(Income!A$3:A$502)-2),5)),"")&lt;&gt;"",IFERROR(INDEX(Income!B$3:B$502,SMALL(IF((Income!D$3:D$502="INR")*(Income!A$3:A$502=DATE(2026,8,8)),ROW(Income!A$3:A$502)-2),5)),""),""))</f>
        <v/>
      </c>
      <c r="O163" s="153">
        <f t="array" ref="O163">IF(IFERROR(-INDEX(Expenses!D$3:D$999,SMALL(IF((Expenses!E$3:E$999="INR")*(Expenses!A$3:A$999=DATE(2026,8,9)),ROW(Expenses!A$3:A$999)-2),5)),0)+IFERROR(INDEX(Income!C$3:C$502,SMALL(IF((Income!D$3:D$502="INR")*(Income!A$3:A$502=DATE(2026,8,9)),ROW(Income!A$3:A$502)-2),5)),0)=0,"",IFERROR(-INDEX(Expenses!D$3:D$999,SMALL(IF((Expenses!E$3:E$999="INR")*(Expenses!A$3:A$999=DATE(2026,8,9)),ROW(Expenses!A$3:A$999)-2),5)),0)+IFERROR(INDEX(Income!C$3:C$502,SMALL(IF((Income!D$3:D$502="INR")*(Income!A$3:A$502=DATE(2026,8,9)),ROW(Income!A$3:A$502)-2),5)),0))</f>
        <v/>
      </c>
      <c r="P163" s="126">
        <f t="array" ref="P163">IF(IFERROR(INDEX(Expenses!B$3:B$999,SMALL(IF((Expenses!E$3:E$999="INR")*(Expenses!A$3:A$999=DATE(2026,8,9)),ROW(Expenses!A$3:A$999)-2),5)),"")&lt;&gt;"",IFERROR(INDEX(Expenses!B$3:B$999,SMALL(IF((Expenses!E$3:E$999="INR")*(Expenses!A$3:A$999=DATE(2026,8,9)),ROW(Expenses!A$3:A$999)-2),5)),""),IF(IFERROR(INDEX(Income!B$3:B$502,SMALL(IF((Income!D$3:D$502="INR")*(Income!A$3:A$502=DATE(2026,8,9)),ROW(Income!A$3:A$502)-2),5)),"")&lt;&gt;"",IFERROR(INDEX(Income!B$3:B$502,SMALL(IF((Income!D$3:D$502="INR")*(Income!A$3:A$502=DATE(2026,8,9)),ROW(Income!A$3:A$502)-2),5)),""),""))</f>
        <v/>
      </c>
      <c r="Q163" s="9" t="n"/>
      <c r="R163" s="9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68">
      <c r="A164" s="151" t="n">
        <v>46244</v>
      </c>
      <c r="B164" s="103" t="n">
        <v>33</v>
      </c>
      <c r="C164" s="153">
        <f t="array" ref="C164">IF(IFERROR(-INDEX(Expenses!D$3:D$999,SMALL(IF((Expenses!E$3:E$999="INR")*(Expenses!A$3:A$999=DATE(2026,8,10)),ROW(Expenses!A$3:A$999)-2),1)),0)+IFERROR(INDEX(Income!C$3:C$502,SMALL(IF((Income!D$3:D$502="INR")*(Income!A$3:A$502=DATE(2026,8,10)),ROW(Income!A$3:A$502)-2),1)),0)=0,"",IFERROR(-INDEX(Expenses!D$3:D$999,SMALL(IF((Expenses!E$3:E$999="INR")*(Expenses!A$3:A$999=DATE(2026,8,10)),ROW(Expenses!A$3:A$999)-2),1)),0)+IFERROR(INDEX(Income!C$3:C$502,SMALL(IF((Income!D$3:D$502="INR")*(Income!A$3:A$502=DATE(2026,8,10)),ROW(Income!A$3:A$502)-2),1)),0))</f>
        <v/>
      </c>
      <c r="D164" s="126">
        <f t="array" ref="D164">IF(IFERROR(INDEX(Expenses!B$3:B$999,SMALL(IF((Expenses!E$3:E$999="INR")*(Expenses!A$3:A$999=DATE(2026,8,10)),ROW(Expenses!A$3:A$999)-2),1)),"")&lt;&gt;"",IFERROR(INDEX(Expenses!B$3:B$999,SMALL(IF((Expenses!E$3:E$999="INR")*(Expenses!A$3:A$999=DATE(2026,8,10)),ROW(Expenses!A$3:A$999)-2),1)),""),IF(IFERROR(INDEX(Income!B$3:B$502,SMALL(IF((Income!D$3:D$502="INR")*(Income!A$3:A$502=DATE(2026,8,10)),ROW(Income!A$3:A$502)-2),1)),"")&lt;&gt;"",IFERROR(INDEX(Income!B$3:B$502,SMALL(IF((Income!D$3:D$502="INR")*(Income!A$3:A$502=DATE(2026,8,10)),ROW(Income!A$3:A$502)-2),1)),""),""))</f>
        <v/>
      </c>
      <c r="E164" s="153">
        <f t="array" ref="E164">IF(IFERROR(-INDEX(Expenses!D$3:D$999,SMALL(IF((Expenses!E$3:E$999="INR")*(Expenses!A$3:A$999=DATE(2026,8,11)),ROW(Expenses!A$3:A$999)-2),1)),0)+IFERROR(INDEX(Income!C$3:C$502,SMALL(IF((Income!D$3:D$502="INR")*(Income!A$3:A$502=DATE(2026,8,11)),ROW(Income!A$3:A$502)-2),1)),0)=0,"",IFERROR(-INDEX(Expenses!D$3:D$999,SMALL(IF((Expenses!E$3:E$999="INR")*(Expenses!A$3:A$999=DATE(2026,8,11)),ROW(Expenses!A$3:A$999)-2),1)),0)+IFERROR(INDEX(Income!C$3:C$502,SMALL(IF((Income!D$3:D$502="INR")*(Income!A$3:A$502=DATE(2026,8,11)),ROW(Income!A$3:A$502)-2),1)),0))</f>
        <v/>
      </c>
      <c r="F164" s="126">
        <f t="array" ref="F164">IF(IFERROR(INDEX(Expenses!B$3:B$999,SMALL(IF((Expenses!E$3:E$999="INR")*(Expenses!A$3:A$999=DATE(2026,8,11)),ROW(Expenses!A$3:A$999)-2),1)),"")&lt;&gt;"",IFERROR(INDEX(Expenses!B$3:B$999,SMALL(IF((Expenses!E$3:E$999="INR")*(Expenses!A$3:A$999=DATE(2026,8,11)),ROW(Expenses!A$3:A$999)-2),1)),""),IF(IFERROR(INDEX(Income!B$3:B$502,SMALL(IF((Income!D$3:D$502="INR")*(Income!A$3:A$502=DATE(2026,8,11)),ROW(Income!A$3:A$502)-2),1)),"")&lt;&gt;"",IFERROR(INDEX(Income!B$3:B$502,SMALL(IF((Income!D$3:D$502="INR")*(Income!A$3:A$502=DATE(2026,8,11)),ROW(Income!A$3:A$502)-2),1)),""),""))</f>
        <v/>
      </c>
      <c r="G164" s="153">
        <f t="array" ref="G164">IF(IFERROR(-INDEX(Expenses!D$3:D$999,SMALL(IF((Expenses!E$3:E$999="INR")*(Expenses!A$3:A$999=DATE(2026,8,12)),ROW(Expenses!A$3:A$999)-2),1)),0)+IFERROR(INDEX(Income!C$3:C$502,SMALL(IF((Income!D$3:D$502="INR")*(Income!A$3:A$502=DATE(2026,8,12)),ROW(Income!A$3:A$502)-2),1)),0)=0,"",IFERROR(-INDEX(Expenses!D$3:D$999,SMALL(IF((Expenses!E$3:E$999="INR")*(Expenses!A$3:A$999=DATE(2026,8,12)),ROW(Expenses!A$3:A$999)-2),1)),0)+IFERROR(INDEX(Income!C$3:C$502,SMALL(IF((Income!D$3:D$502="INR")*(Income!A$3:A$502=DATE(2026,8,12)),ROW(Income!A$3:A$502)-2),1)),0))</f>
        <v/>
      </c>
      <c r="H164" s="126">
        <f t="array" ref="H164">IF(IFERROR(INDEX(Expenses!B$3:B$999,SMALL(IF((Expenses!E$3:E$999="INR")*(Expenses!A$3:A$999=DATE(2026,8,12)),ROW(Expenses!A$3:A$999)-2),1)),"")&lt;&gt;"",IFERROR(INDEX(Expenses!B$3:B$999,SMALL(IF((Expenses!E$3:E$999="INR")*(Expenses!A$3:A$999=DATE(2026,8,12)),ROW(Expenses!A$3:A$999)-2),1)),""),IF(IFERROR(INDEX(Income!B$3:B$502,SMALL(IF((Income!D$3:D$502="INR")*(Income!A$3:A$502=DATE(2026,8,12)),ROW(Income!A$3:A$502)-2),1)),"")&lt;&gt;"",IFERROR(INDEX(Income!B$3:B$502,SMALL(IF((Income!D$3:D$502="INR")*(Income!A$3:A$502=DATE(2026,8,12)),ROW(Income!A$3:A$502)-2),1)),""),""))</f>
        <v/>
      </c>
      <c r="I164" s="153">
        <f t="array" ref="I164">IF(IFERROR(-INDEX(Expenses!D$3:D$999,SMALL(IF((Expenses!E$3:E$999="INR")*(Expenses!A$3:A$999=DATE(2026,8,13)),ROW(Expenses!A$3:A$999)-2),1)),0)+IFERROR(INDEX(Income!C$3:C$502,SMALL(IF((Income!D$3:D$502="INR")*(Income!A$3:A$502=DATE(2026,8,13)),ROW(Income!A$3:A$502)-2),1)),0)=0,"",IFERROR(-INDEX(Expenses!D$3:D$999,SMALL(IF((Expenses!E$3:E$999="INR")*(Expenses!A$3:A$999=DATE(2026,8,13)),ROW(Expenses!A$3:A$999)-2),1)),0)+IFERROR(INDEX(Income!C$3:C$502,SMALL(IF((Income!D$3:D$502="INR")*(Income!A$3:A$502=DATE(2026,8,13)),ROW(Income!A$3:A$502)-2),1)),0))</f>
        <v/>
      </c>
      <c r="J164" s="126">
        <f t="array" ref="J164">IF(IFERROR(INDEX(Expenses!B$3:B$999,SMALL(IF((Expenses!E$3:E$999="INR")*(Expenses!A$3:A$999=DATE(2026,8,13)),ROW(Expenses!A$3:A$999)-2),1)),"")&lt;&gt;"",IFERROR(INDEX(Expenses!B$3:B$999,SMALL(IF((Expenses!E$3:E$999="INR")*(Expenses!A$3:A$999=DATE(2026,8,13)),ROW(Expenses!A$3:A$999)-2),1)),""),IF(IFERROR(INDEX(Income!B$3:B$502,SMALL(IF((Income!D$3:D$502="INR")*(Income!A$3:A$502=DATE(2026,8,13)),ROW(Income!A$3:A$502)-2),1)),"")&lt;&gt;"",IFERROR(INDEX(Income!B$3:B$502,SMALL(IF((Income!D$3:D$502="INR")*(Income!A$3:A$502=DATE(2026,8,13)),ROW(Income!A$3:A$502)-2),1)),""),""))</f>
        <v/>
      </c>
      <c r="K164" s="153">
        <f t="array" ref="K164">IF(IFERROR(-INDEX(Expenses!D$3:D$999,SMALL(IF((Expenses!E$3:E$999="INR")*(Expenses!A$3:A$999=DATE(2026,8,14)),ROW(Expenses!A$3:A$999)-2),1)),0)+IFERROR(INDEX(Income!C$3:C$502,SMALL(IF((Income!D$3:D$502="INR")*(Income!A$3:A$502=DATE(2026,8,14)),ROW(Income!A$3:A$502)-2),1)),0)=0,"",IFERROR(-INDEX(Expenses!D$3:D$999,SMALL(IF((Expenses!E$3:E$999="INR")*(Expenses!A$3:A$999=DATE(2026,8,14)),ROW(Expenses!A$3:A$999)-2),1)),0)+IFERROR(INDEX(Income!C$3:C$502,SMALL(IF((Income!D$3:D$502="INR")*(Income!A$3:A$502=DATE(2026,8,14)),ROW(Income!A$3:A$502)-2),1)),0))</f>
        <v/>
      </c>
      <c r="L164" s="126">
        <f t="array" ref="L164">IF(IFERROR(INDEX(Expenses!B$3:B$999,SMALL(IF((Expenses!E$3:E$999="INR")*(Expenses!A$3:A$999=DATE(2026,8,14)),ROW(Expenses!A$3:A$999)-2),1)),"")&lt;&gt;"",IFERROR(INDEX(Expenses!B$3:B$999,SMALL(IF((Expenses!E$3:E$999="INR")*(Expenses!A$3:A$999=DATE(2026,8,14)),ROW(Expenses!A$3:A$999)-2),1)),""),IF(IFERROR(INDEX(Income!B$3:B$502,SMALL(IF((Income!D$3:D$502="INR")*(Income!A$3:A$502=DATE(2026,8,14)),ROW(Income!A$3:A$502)-2),1)),"")&lt;&gt;"",IFERROR(INDEX(Income!B$3:B$502,SMALL(IF((Income!D$3:D$502="INR")*(Income!A$3:A$502=DATE(2026,8,14)),ROW(Income!A$3:A$502)-2),1)),""),""))</f>
        <v/>
      </c>
      <c r="M164" s="153">
        <f t="array" ref="M164">IF(IFERROR(-INDEX(Expenses!D$3:D$999,SMALL(IF((Expenses!E$3:E$999="INR")*(Expenses!A$3:A$999=DATE(2026,8,15)),ROW(Expenses!A$3:A$999)-2),1)),0)+IFERROR(INDEX(Income!C$3:C$502,SMALL(IF((Income!D$3:D$502="INR")*(Income!A$3:A$502=DATE(2026,8,15)),ROW(Income!A$3:A$502)-2),1)),0)=0,"",IFERROR(-INDEX(Expenses!D$3:D$999,SMALL(IF((Expenses!E$3:E$999="INR")*(Expenses!A$3:A$999=DATE(2026,8,15)),ROW(Expenses!A$3:A$999)-2),1)),0)+IFERROR(INDEX(Income!C$3:C$502,SMALL(IF((Income!D$3:D$502="INR")*(Income!A$3:A$502=DATE(2026,8,15)),ROW(Income!A$3:A$502)-2),1)),0))</f>
        <v/>
      </c>
      <c r="N164" s="126">
        <f t="array" ref="N164">IF(IFERROR(INDEX(Expenses!B$3:B$999,SMALL(IF((Expenses!E$3:E$999="INR")*(Expenses!A$3:A$999=DATE(2026,8,15)),ROW(Expenses!A$3:A$999)-2),1)),"")&lt;&gt;"",IFERROR(INDEX(Expenses!B$3:B$999,SMALL(IF((Expenses!E$3:E$999="INR")*(Expenses!A$3:A$999=DATE(2026,8,15)),ROW(Expenses!A$3:A$999)-2),1)),""),IF(IFERROR(INDEX(Income!B$3:B$502,SMALL(IF((Income!D$3:D$502="INR")*(Income!A$3:A$502=DATE(2026,8,15)),ROW(Income!A$3:A$502)-2),1)),"")&lt;&gt;"",IFERROR(INDEX(Income!B$3:B$502,SMALL(IF((Income!D$3:D$502="INR")*(Income!A$3:A$502=DATE(2026,8,15)),ROW(Income!A$3:A$502)-2),1)),""),""))</f>
        <v/>
      </c>
      <c r="O164" s="153">
        <f t="array" ref="O164">IF(IFERROR(-INDEX(Expenses!D$3:D$999,SMALL(IF((Expenses!E$3:E$999="INR")*(Expenses!A$3:A$999=DATE(2026,8,16)),ROW(Expenses!A$3:A$999)-2),1)),0)+IFERROR(INDEX(Income!C$3:C$502,SMALL(IF((Income!D$3:D$502="INR")*(Income!A$3:A$502=DATE(2026,8,16)),ROW(Income!A$3:A$502)-2),1)),0)=0,"",IFERROR(-INDEX(Expenses!D$3:D$999,SMALL(IF((Expenses!E$3:E$999="INR")*(Expenses!A$3:A$999=DATE(2026,8,16)),ROW(Expenses!A$3:A$999)-2),1)),0)+IFERROR(INDEX(Income!C$3:C$502,SMALL(IF((Income!D$3:D$502="INR")*(Income!A$3:A$502=DATE(2026,8,16)),ROW(Income!A$3:A$502)-2),1)),0))</f>
        <v/>
      </c>
      <c r="P164" s="126">
        <f t="array" ref="P164">IF(IFERROR(INDEX(Expenses!B$3:B$999,SMALL(IF((Expenses!E$3:E$999="INR")*(Expenses!A$3:A$999=DATE(2026,8,16)),ROW(Expenses!A$3:A$999)-2),1)),"")&lt;&gt;"",IFERROR(INDEX(Expenses!B$3:B$999,SMALL(IF((Expenses!E$3:E$999="INR")*(Expenses!A$3:A$999=DATE(2026,8,16)),ROW(Expenses!A$3:A$999)-2),1)),""),IF(IFERROR(INDEX(Income!B$3:B$502,SMALL(IF((Income!D$3:D$502="INR")*(Income!A$3:A$502=DATE(2026,8,16)),ROW(Income!A$3:A$502)-2),1)),"")&lt;&gt;"",IFERROR(INDEX(Income!B$3:B$502,SMALL(IF((Income!D$3:D$502="INR")*(Income!A$3:A$502=DATE(2026,8,16)),ROW(Income!A$3:A$502)-2),1)),""),""))</f>
        <v/>
      </c>
      <c r="Q164" s="103" t="n">
        <v>33</v>
      </c>
      <c r="R164" s="142">
        <f>SUM(C164:C168)+SUM(E164:E168)+SUM(G164:G168)+SUM(I164:I168)+SUM(K164:K168)+SUM(M164:M168)+SUM(O164:O168)</f>
        <v/>
      </c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68">
      <c r="A165" s="9" t="n"/>
      <c r="B165" s="9" t="n"/>
      <c r="C165" s="153">
        <f t="array" ref="C165">IF(IFERROR(-INDEX(Expenses!D$3:D$999,SMALL(IF((Expenses!E$3:E$999="INR")*(Expenses!A$3:A$999=DATE(2026,8,10)),ROW(Expenses!A$3:A$999)-2),2)),0)+IFERROR(INDEX(Income!C$3:C$502,SMALL(IF((Income!D$3:D$502="INR")*(Income!A$3:A$502=DATE(2026,8,10)),ROW(Income!A$3:A$502)-2),2)),0)=0,"",IFERROR(-INDEX(Expenses!D$3:D$999,SMALL(IF((Expenses!E$3:E$999="INR")*(Expenses!A$3:A$999=DATE(2026,8,10)),ROW(Expenses!A$3:A$999)-2),2)),0)+IFERROR(INDEX(Income!C$3:C$502,SMALL(IF((Income!D$3:D$502="INR")*(Income!A$3:A$502=DATE(2026,8,10)),ROW(Income!A$3:A$502)-2),2)),0))</f>
        <v/>
      </c>
      <c r="D165" s="126">
        <f t="array" ref="D165">IF(IFERROR(INDEX(Expenses!B$3:B$999,SMALL(IF((Expenses!E$3:E$999="INR")*(Expenses!A$3:A$999=DATE(2026,8,10)),ROW(Expenses!A$3:A$999)-2),2)),"")&lt;&gt;"",IFERROR(INDEX(Expenses!B$3:B$999,SMALL(IF((Expenses!E$3:E$999="INR")*(Expenses!A$3:A$999=DATE(2026,8,10)),ROW(Expenses!A$3:A$999)-2),2)),""),IF(IFERROR(INDEX(Income!B$3:B$502,SMALL(IF((Income!D$3:D$502="INR")*(Income!A$3:A$502=DATE(2026,8,10)),ROW(Income!A$3:A$502)-2),2)),"")&lt;&gt;"",IFERROR(INDEX(Income!B$3:B$502,SMALL(IF((Income!D$3:D$502="INR")*(Income!A$3:A$502=DATE(2026,8,10)),ROW(Income!A$3:A$502)-2),2)),""),""))</f>
        <v/>
      </c>
      <c r="E165" s="153">
        <f t="array" ref="E165">IF(IFERROR(-INDEX(Expenses!D$3:D$999,SMALL(IF((Expenses!E$3:E$999="INR")*(Expenses!A$3:A$999=DATE(2026,8,11)),ROW(Expenses!A$3:A$999)-2),2)),0)+IFERROR(INDEX(Income!C$3:C$502,SMALL(IF((Income!D$3:D$502="INR")*(Income!A$3:A$502=DATE(2026,8,11)),ROW(Income!A$3:A$502)-2),2)),0)=0,"",IFERROR(-INDEX(Expenses!D$3:D$999,SMALL(IF((Expenses!E$3:E$999="INR")*(Expenses!A$3:A$999=DATE(2026,8,11)),ROW(Expenses!A$3:A$999)-2),2)),0)+IFERROR(INDEX(Income!C$3:C$502,SMALL(IF((Income!D$3:D$502="INR")*(Income!A$3:A$502=DATE(2026,8,11)),ROW(Income!A$3:A$502)-2),2)),0))</f>
        <v/>
      </c>
      <c r="F165" s="126">
        <f t="array" ref="F165">IF(IFERROR(INDEX(Expenses!B$3:B$999,SMALL(IF((Expenses!E$3:E$999="INR")*(Expenses!A$3:A$999=DATE(2026,8,11)),ROW(Expenses!A$3:A$999)-2),2)),"")&lt;&gt;"",IFERROR(INDEX(Expenses!B$3:B$999,SMALL(IF((Expenses!E$3:E$999="INR")*(Expenses!A$3:A$999=DATE(2026,8,11)),ROW(Expenses!A$3:A$999)-2),2)),""),IF(IFERROR(INDEX(Income!B$3:B$502,SMALL(IF((Income!D$3:D$502="INR")*(Income!A$3:A$502=DATE(2026,8,11)),ROW(Income!A$3:A$502)-2),2)),"")&lt;&gt;"",IFERROR(INDEX(Income!B$3:B$502,SMALL(IF((Income!D$3:D$502="INR")*(Income!A$3:A$502=DATE(2026,8,11)),ROW(Income!A$3:A$502)-2),2)),""),""))</f>
        <v/>
      </c>
      <c r="G165" s="153">
        <f t="array" ref="G165">IF(IFERROR(-INDEX(Expenses!D$3:D$999,SMALL(IF((Expenses!E$3:E$999="INR")*(Expenses!A$3:A$999=DATE(2026,8,12)),ROW(Expenses!A$3:A$999)-2),2)),0)+IFERROR(INDEX(Income!C$3:C$502,SMALL(IF((Income!D$3:D$502="INR")*(Income!A$3:A$502=DATE(2026,8,12)),ROW(Income!A$3:A$502)-2),2)),0)=0,"",IFERROR(-INDEX(Expenses!D$3:D$999,SMALL(IF((Expenses!E$3:E$999="INR")*(Expenses!A$3:A$999=DATE(2026,8,12)),ROW(Expenses!A$3:A$999)-2),2)),0)+IFERROR(INDEX(Income!C$3:C$502,SMALL(IF((Income!D$3:D$502="INR")*(Income!A$3:A$502=DATE(2026,8,12)),ROW(Income!A$3:A$502)-2),2)),0))</f>
        <v/>
      </c>
      <c r="H165" s="126">
        <f t="array" ref="H165">IF(IFERROR(INDEX(Expenses!B$3:B$999,SMALL(IF((Expenses!E$3:E$999="INR")*(Expenses!A$3:A$999=DATE(2026,8,12)),ROW(Expenses!A$3:A$999)-2),2)),"")&lt;&gt;"",IFERROR(INDEX(Expenses!B$3:B$999,SMALL(IF((Expenses!E$3:E$999="INR")*(Expenses!A$3:A$999=DATE(2026,8,12)),ROW(Expenses!A$3:A$999)-2),2)),""),IF(IFERROR(INDEX(Income!B$3:B$502,SMALL(IF((Income!D$3:D$502="INR")*(Income!A$3:A$502=DATE(2026,8,12)),ROW(Income!A$3:A$502)-2),2)),"")&lt;&gt;"",IFERROR(INDEX(Income!B$3:B$502,SMALL(IF((Income!D$3:D$502="INR")*(Income!A$3:A$502=DATE(2026,8,12)),ROW(Income!A$3:A$502)-2),2)),""),""))</f>
        <v/>
      </c>
      <c r="I165" s="153">
        <f t="array" ref="I165">IF(IFERROR(-INDEX(Expenses!D$3:D$999,SMALL(IF((Expenses!E$3:E$999="INR")*(Expenses!A$3:A$999=DATE(2026,8,13)),ROW(Expenses!A$3:A$999)-2),2)),0)+IFERROR(INDEX(Income!C$3:C$502,SMALL(IF((Income!D$3:D$502="INR")*(Income!A$3:A$502=DATE(2026,8,13)),ROW(Income!A$3:A$502)-2),2)),0)=0,"",IFERROR(-INDEX(Expenses!D$3:D$999,SMALL(IF((Expenses!E$3:E$999="INR")*(Expenses!A$3:A$999=DATE(2026,8,13)),ROW(Expenses!A$3:A$999)-2),2)),0)+IFERROR(INDEX(Income!C$3:C$502,SMALL(IF((Income!D$3:D$502="INR")*(Income!A$3:A$502=DATE(2026,8,13)),ROW(Income!A$3:A$502)-2),2)),0))</f>
        <v/>
      </c>
      <c r="J165" s="126">
        <f t="array" ref="J165">IF(IFERROR(INDEX(Expenses!B$3:B$999,SMALL(IF((Expenses!E$3:E$999="INR")*(Expenses!A$3:A$999=DATE(2026,8,13)),ROW(Expenses!A$3:A$999)-2),2)),"")&lt;&gt;"",IFERROR(INDEX(Expenses!B$3:B$999,SMALL(IF((Expenses!E$3:E$999="INR")*(Expenses!A$3:A$999=DATE(2026,8,13)),ROW(Expenses!A$3:A$999)-2),2)),""),IF(IFERROR(INDEX(Income!B$3:B$502,SMALL(IF((Income!D$3:D$502="INR")*(Income!A$3:A$502=DATE(2026,8,13)),ROW(Income!A$3:A$502)-2),2)),"")&lt;&gt;"",IFERROR(INDEX(Income!B$3:B$502,SMALL(IF((Income!D$3:D$502="INR")*(Income!A$3:A$502=DATE(2026,8,13)),ROW(Income!A$3:A$502)-2),2)),""),""))</f>
        <v/>
      </c>
      <c r="K165" s="153">
        <f t="array" ref="K165">IF(IFERROR(-INDEX(Expenses!D$3:D$999,SMALL(IF((Expenses!E$3:E$999="INR")*(Expenses!A$3:A$999=DATE(2026,8,14)),ROW(Expenses!A$3:A$999)-2),2)),0)+IFERROR(INDEX(Income!C$3:C$502,SMALL(IF((Income!D$3:D$502="INR")*(Income!A$3:A$502=DATE(2026,8,14)),ROW(Income!A$3:A$502)-2),2)),0)=0,"",IFERROR(-INDEX(Expenses!D$3:D$999,SMALL(IF((Expenses!E$3:E$999="INR")*(Expenses!A$3:A$999=DATE(2026,8,14)),ROW(Expenses!A$3:A$999)-2),2)),0)+IFERROR(INDEX(Income!C$3:C$502,SMALL(IF((Income!D$3:D$502="INR")*(Income!A$3:A$502=DATE(2026,8,14)),ROW(Income!A$3:A$502)-2),2)),0))</f>
        <v/>
      </c>
      <c r="L165" s="126">
        <f t="array" ref="L165">IF(IFERROR(INDEX(Expenses!B$3:B$999,SMALL(IF((Expenses!E$3:E$999="INR")*(Expenses!A$3:A$999=DATE(2026,8,14)),ROW(Expenses!A$3:A$999)-2),2)),"")&lt;&gt;"",IFERROR(INDEX(Expenses!B$3:B$999,SMALL(IF((Expenses!E$3:E$999="INR")*(Expenses!A$3:A$999=DATE(2026,8,14)),ROW(Expenses!A$3:A$999)-2),2)),""),IF(IFERROR(INDEX(Income!B$3:B$502,SMALL(IF((Income!D$3:D$502="INR")*(Income!A$3:A$502=DATE(2026,8,14)),ROW(Income!A$3:A$502)-2),2)),"")&lt;&gt;"",IFERROR(INDEX(Income!B$3:B$502,SMALL(IF((Income!D$3:D$502="INR")*(Income!A$3:A$502=DATE(2026,8,14)),ROW(Income!A$3:A$502)-2),2)),""),""))</f>
        <v/>
      </c>
      <c r="M165" s="153">
        <f t="array" ref="M165">IF(IFERROR(-INDEX(Expenses!D$3:D$999,SMALL(IF((Expenses!E$3:E$999="INR")*(Expenses!A$3:A$999=DATE(2026,8,15)),ROW(Expenses!A$3:A$999)-2),2)),0)+IFERROR(INDEX(Income!C$3:C$502,SMALL(IF((Income!D$3:D$502="INR")*(Income!A$3:A$502=DATE(2026,8,15)),ROW(Income!A$3:A$502)-2),2)),0)=0,"",IFERROR(-INDEX(Expenses!D$3:D$999,SMALL(IF((Expenses!E$3:E$999="INR")*(Expenses!A$3:A$999=DATE(2026,8,15)),ROW(Expenses!A$3:A$999)-2),2)),0)+IFERROR(INDEX(Income!C$3:C$502,SMALL(IF((Income!D$3:D$502="INR")*(Income!A$3:A$502=DATE(2026,8,15)),ROW(Income!A$3:A$502)-2),2)),0))</f>
        <v/>
      </c>
      <c r="N165" s="126">
        <f t="array" ref="N165">IF(IFERROR(INDEX(Expenses!B$3:B$999,SMALL(IF((Expenses!E$3:E$999="INR")*(Expenses!A$3:A$999=DATE(2026,8,15)),ROW(Expenses!A$3:A$999)-2),2)),"")&lt;&gt;"",IFERROR(INDEX(Expenses!B$3:B$999,SMALL(IF((Expenses!E$3:E$999="INR")*(Expenses!A$3:A$999=DATE(2026,8,15)),ROW(Expenses!A$3:A$999)-2),2)),""),IF(IFERROR(INDEX(Income!B$3:B$502,SMALL(IF((Income!D$3:D$502="INR")*(Income!A$3:A$502=DATE(2026,8,15)),ROW(Income!A$3:A$502)-2),2)),"")&lt;&gt;"",IFERROR(INDEX(Income!B$3:B$502,SMALL(IF((Income!D$3:D$502="INR")*(Income!A$3:A$502=DATE(2026,8,15)),ROW(Income!A$3:A$502)-2),2)),""),""))</f>
        <v/>
      </c>
      <c r="O165" s="153">
        <f t="array" ref="O165">IF(IFERROR(-INDEX(Expenses!D$3:D$999,SMALL(IF((Expenses!E$3:E$999="INR")*(Expenses!A$3:A$999=DATE(2026,8,16)),ROW(Expenses!A$3:A$999)-2),2)),0)+IFERROR(INDEX(Income!C$3:C$502,SMALL(IF((Income!D$3:D$502="INR")*(Income!A$3:A$502=DATE(2026,8,16)),ROW(Income!A$3:A$502)-2),2)),0)=0,"",IFERROR(-INDEX(Expenses!D$3:D$999,SMALL(IF((Expenses!E$3:E$999="INR")*(Expenses!A$3:A$999=DATE(2026,8,16)),ROW(Expenses!A$3:A$999)-2),2)),0)+IFERROR(INDEX(Income!C$3:C$502,SMALL(IF((Income!D$3:D$502="INR")*(Income!A$3:A$502=DATE(2026,8,16)),ROW(Income!A$3:A$502)-2),2)),0))</f>
        <v/>
      </c>
      <c r="P165" s="126">
        <f t="array" ref="P165">IF(IFERROR(INDEX(Expenses!B$3:B$999,SMALL(IF((Expenses!E$3:E$999="INR")*(Expenses!A$3:A$999=DATE(2026,8,16)),ROW(Expenses!A$3:A$999)-2),2)),"")&lt;&gt;"",IFERROR(INDEX(Expenses!B$3:B$999,SMALL(IF((Expenses!E$3:E$999="INR")*(Expenses!A$3:A$999=DATE(2026,8,16)),ROW(Expenses!A$3:A$999)-2),2)),""),IF(IFERROR(INDEX(Income!B$3:B$502,SMALL(IF((Income!D$3:D$502="INR")*(Income!A$3:A$502=DATE(2026,8,16)),ROW(Income!A$3:A$502)-2),2)),"")&lt;&gt;"",IFERROR(INDEX(Income!B$3:B$502,SMALL(IF((Income!D$3:D$502="INR")*(Income!A$3:A$502=DATE(2026,8,16)),ROW(Income!A$3:A$502)-2),2)),""),""))</f>
        <v/>
      </c>
      <c r="Q165" s="9" t="n"/>
      <c r="R165" s="9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68">
      <c r="A166" s="9" t="n"/>
      <c r="B166" s="9" t="n"/>
      <c r="C166" s="153">
        <f t="array" ref="C166">IF(IFERROR(-INDEX(Expenses!D$3:D$999,SMALL(IF((Expenses!E$3:E$999="INR")*(Expenses!A$3:A$999=DATE(2026,8,10)),ROW(Expenses!A$3:A$999)-2),3)),0)+IFERROR(INDEX(Income!C$3:C$502,SMALL(IF((Income!D$3:D$502="INR")*(Income!A$3:A$502=DATE(2026,8,10)),ROW(Income!A$3:A$502)-2),3)),0)=0,"",IFERROR(-INDEX(Expenses!D$3:D$999,SMALL(IF((Expenses!E$3:E$999="INR")*(Expenses!A$3:A$999=DATE(2026,8,10)),ROW(Expenses!A$3:A$999)-2),3)),0)+IFERROR(INDEX(Income!C$3:C$502,SMALL(IF((Income!D$3:D$502="INR")*(Income!A$3:A$502=DATE(2026,8,10)),ROW(Income!A$3:A$502)-2),3)),0))</f>
        <v/>
      </c>
      <c r="D166" s="126">
        <f t="array" ref="D166">IF(IFERROR(INDEX(Expenses!B$3:B$999,SMALL(IF((Expenses!E$3:E$999="INR")*(Expenses!A$3:A$999=DATE(2026,8,10)),ROW(Expenses!A$3:A$999)-2),3)),"")&lt;&gt;"",IFERROR(INDEX(Expenses!B$3:B$999,SMALL(IF((Expenses!E$3:E$999="INR")*(Expenses!A$3:A$999=DATE(2026,8,10)),ROW(Expenses!A$3:A$999)-2),3)),""),IF(IFERROR(INDEX(Income!B$3:B$502,SMALL(IF((Income!D$3:D$502="INR")*(Income!A$3:A$502=DATE(2026,8,10)),ROW(Income!A$3:A$502)-2),3)),"")&lt;&gt;"",IFERROR(INDEX(Income!B$3:B$502,SMALL(IF((Income!D$3:D$502="INR")*(Income!A$3:A$502=DATE(2026,8,10)),ROW(Income!A$3:A$502)-2),3)),""),""))</f>
        <v/>
      </c>
      <c r="E166" s="153">
        <f t="array" ref="E166">IF(IFERROR(-INDEX(Expenses!D$3:D$999,SMALL(IF((Expenses!E$3:E$999="INR")*(Expenses!A$3:A$999=DATE(2026,8,11)),ROW(Expenses!A$3:A$999)-2),3)),0)+IFERROR(INDEX(Income!C$3:C$502,SMALL(IF((Income!D$3:D$502="INR")*(Income!A$3:A$502=DATE(2026,8,11)),ROW(Income!A$3:A$502)-2),3)),0)=0,"",IFERROR(-INDEX(Expenses!D$3:D$999,SMALL(IF((Expenses!E$3:E$999="INR")*(Expenses!A$3:A$999=DATE(2026,8,11)),ROW(Expenses!A$3:A$999)-2),3)),0)+IFERROR(INDEX(Income!C$3:C$502,SMALL(IF((Income!D$3:D$502="INR")*(Income!A$3:A$502=DATE(2026,8,11)),ROW(Income!A$3:A$502)-2),3)),0))</f>
        <v/>
      </c>
      <c r="F166" s="126">
        <f t="array" ref="F166">IF(IFERROR(INDEX(Expenses!B$3:B$999,SMALL(IF((Expenses!E$3:E$999="INR")*(Expenses!A$3:A$999=DATE(2026,8,11)),ROW(Expenses!A$3:A$999)-2),3)),"")&lt;&gt;"",IFERROR(INDEX(Expenses!B$3:B$999,SMALL(IF((Expenses!E$3:E$999="INR")*(Expenses!A$3:A$999=DATE(2026,8,11)),ROW(Expenses!A$3:A$999)-2),3)),""),IF(IFERROR(INDEX(Income!B$3:B$502,SMALL(IF((Income!D$3:D$502="INR")*(Income!A$3:A$502=DATE(2026,8,11)),ROW(Income!A$3:A$502)-2),3)),"")&lt;&gt;"",IFERROR(INDEX(Income!B$3:B$502,SMALL(IF((Income!D$3:D$502="INR")*(Income!A$3:A$502=DATE(2026,8,11)),ROW(Income!A$3:A$502)-2),3)),""),""))</f>
        <v/>
      </c>
      <c r="G166" s="153">
        <f t="array" ref="G166">IF(IFERROR(-INDEX(Expenses!D$3:D$999,SMALL(IF((Expenses!E$3:E$999="INR")*(Expenses!A$3:A$999=DATE(2026,8,12)),ROW(Expenses!A$3:A$999)-2),3)),0)+IFERROR(INDEX(Income!C$3:C$502,SMALL(IF((Income!D$3:D$502="INR")*(Income!A$3:A$502=DATE(2026,8,12)),ROW(Income!A$3:A$502)-2),3)),0)=0,"",IFERROR(-INDEX(Expenses!D$3:D$999,SMALL(IF((Expenses!E$3:E$999="INR")*(Expenses!A$3:A$999=DATE(2026,8,12)),ROW(Expenses!A$3:A$999)-2),3)),0)+IFERROR(INDEX(Income!C$3:C$502,SMALL(IF((Income!D$3:D$502="INR")*(Income!A$3:A$502=DATE(2026,8,12)),ROW(Income!A$3:A$502)-2),3)),0))</f>
        <v/>
      </c>
      <c r="H166" s="126">
        <f t="array" ref="H166">IF(IFERROR(INDEX(Expenses!B$3:B$999,SMALL(IF((Expenses!E$3:E$999="INR")*(Expenses!A$3:A$999=DATE(2026,8,12)),ROW(Expenses!A$3:A$999)-2),3)),"")&lt;&gt;"",IFERROR(INDEX(Expenses!B$3:B$999,SMALL(IF((Expenses!E$3:E$999="INR")*(Expenses!A$3:A$999=DATE(2026,8,12)),ROW(Expenses!A$3:A$999)-2),3)),""),IF(IFERROR(INDEX(Income!B$3:B$502,SMALL(IF((Income!D$3:D$502="INR")*(Income!A$3:A$502=DATE(2026,8,12)),ROW(Income!A$3:A$502)-2),3)),"")&lt;&gt;"",IFERROR(INDEX(Income!B$3:B$502,SMALL(IF((Income!D$3:D$502="INR")*(Income!A$3:A$502=DATE(2026,8,12)),ROW(Income!A$3:A$502)-2),3)),""),""))</f>
        <v/>
      </c>
      <c r="I166" s="153">
        <f t="array" ref="I166">IF(IFERROR(-INDEX(Expenses!D$3:D$999,SMALL(IF((Expenses!E$3:E$999="INR")*(Expenses!A$3:A$999=DATE(2026,8,13)),ROW(Expenses!A$3:A$999)-2),3)),0)+IFERROR(INDEX(Income!C$3:C$502,SMALL(IF((Income!D$3:D$502="INR")*(Income!A$3:A$502=DATE(2026,8,13)),ROW(Income!A$3:A$502)-2),3)),0)=0,"",IFERROR(-INDEX(Expenses!D$3:D$999,SMALL(IF((Expenses!E$3:E$999="INR")*(Expenses!A$3:A$999=DATE(2026,8,13)),ROW(Expenses!A$3:A$999)-2),3)),0)+IFERROR(INDEX(Income!C$3:C$502,SMALL(IF((Income!D$3:D$502="INR")*(Income!A$3:A$502=DATE(2026,8,13)),ROW(Income!A$3:A$502)-2),3)),0))</f>
        <v/>
      </c>
      <c r="J166" s="126">
        <f t="array" ref="J166">IF(IFERROR(INDEX(Expenses!B$3:B$999,SMALL(IF((Expenses!E$3:E$999="INR")*(Expenses!A$3:A$999=DATE(2026,8,13)),ROW(Expenses!A$3:A$999)-2),3)),"")&lt;&gt;"",IFERROR(INDEX(Expenses!B$3:B$999,SMALL(IF((Expenses!E$3:E$999="INR")*(Expenses!A$3:A$999=DATE(2026,8,13)),ROW(Expenses!A$3:A$999)-2),3)),""),IF(IFERROR(INDEX(Income!B$3:B$502,SMALL(IF((Income!D$3:D$502="INR")*(Income!A$3:A$502=DATE(2026,8,13)),ROW(Income!A$3:A$502)-2),3)),"")&lt;&gt;"",IFERROR(INDEX(Income!B$3:B$502,SMALL(IF((Income!D$3:D$502="INR")*(Income!A$3:A$502=DATE(2026,8,13)),ROW(Income!A$3:A$502)-2),3)),""),""))</f>
        <v/>
      </c>
      <c r="K166" s="153">
        <f t="array" ref="K166">IF(IFERROR(-INDEX(Expenses!D$3:D$999,SMALL(IF((Expenses!E$3:E$999="INR")*(Expenses!A$3:A$999=DATE(2026,8,14)),ROW(Expenses!A$3:A$999)-2),3)),0)+IFERROR(INDEX(Income!C$3:C$502,SMALL(IF((Income!D$3:D$502="INR")*(Income!A$3:A$502=DATE(2026,8,14)),ROW(Income!A$3:A$502)-2),3)),0)=0,"",IFERROR(-INDEX(Expenses!D$3:D$999,SMALL(IF((Expenses!E$3:E$999="INR")*(Expenses!A$3:A$999=DATE(2026,8,14)),ROW(Expenses!A$3:A$999)-2),3)),0)+IFERROR(INDEX(Income!C$3:C$502,SMALL(IF((Income!D$3:D$502="INR")*(Income!A$3:A$502=DATE(2026,8,14)),ROW(Income!A$3:A$502)-2),3)),0))</f>
        <v/>
      </c>
      <c r="L166" s="126">
        <f t="array" ref="L166">IF(IFERROR(INDEX(Expenses!B$3:B$999,SMALL(IF((Expenses!E$3:E$999="INR")*(Expenses!A$3:A$999=DATE(2026,8,14)),ROW(Expenses!A$3:A$999)-2),3)),"")&lt;&gt;"",IFERROR(INDEX(Expenses!B$3:B$999,SMALL(IF((Expenses!E$3:E$999="INR")*(Expenses!A$3:A$999=DATE(2026,8,14)),ROW(Expenses!A$3:A$999)-2),3)),""),IF(IFERROR(INDEX(Income!B$3:B$502,SMALL(IF((Income!D$3:D$502="INR")*(Income!A$3:A$502=DATE(2026,8,14)),ROW(Income!A$3:A$502)-2),3)),"")&lt;&gt;"",IFERROR(INDEX(Income!B$3:B$502,SMALL(IF((Income!D$3:D$502="INR")*(Income!A$3:A$502=DATE(2026,8,14)),ROW(Income!A$3:A$502)-2),3)),""),""))</f>
        <v/>
      </c>
      <c r="M166" s="153">
        <f t="array" ref="M166">IF(IFERROR(-INDEX(Expenses!D$3:D$999,SMALL(IF((Expenses!E$3:E$999="INR")*(Expenses!A$3:A$999=DATE(2026,8,15)),ROW(Expenses!A$3:A$999)-2),3)),0)+IFERROR(INDEX(Income!C$3:C$502,SMALL(IF((Income!D$3:D$502="INR")*(Income!A$3:A$502=DATE(2026,8,15)),ROW(Income!A$3:A$502)-2),3)),0)=0,"",IFERROR(-INDEX(Expenses!D$3:D$999,SMALL(IF((Expenses!E$3:E$999="INR")*(Expenses!A$3:A$999=DATE(2026,8,15)),ROW(Expenses!A$3:A$999)-2),3)),0)+IFERROR(INDEX(Income!C$3:C$502,SMALL(IF((Income!D$3:D$502="INR")*(Income!A$3:A$502=DATE(2026,8,15)),ROW(Income!A$3:A$502)-2),3)),0))</f>
        <v/>
      </c>
      <c r="N166" s="126">
        <f t="array" ref="N166">IF(IFERROR(INDEX(Expenses!B$3:B$999,SMALL(IF((Expenses!E$3:E$999="INR")*(Expenses!A$3:A$999=DATE(2026,8,15)),ROW(Expenses!A$3:A$999)-2),3)),"")&lt;&gt;"",IFERROR(INDEX(Expenses!B$3:B$999,SMALL(IF((Expenses!E$3:E$999="INR")*(Expenses!A$3:A$999=DATE(2026,8,15)),ROW(Expenses!A$3:A$999)-2),3)),""),IF(IFERROR(INDEX(Income!B$3:B$502,SMALL(IF((Income!D$3:D$502="INR")*(Income!A$3:A$502=DATE(2026,8,15)),ROW(Income!A$3:A$502)-2),3)),"")&lt;&gt;"",IFERROR(INDEX(Income!B$3:B$502,SMALL(IF((Income!D$3:D$502="INR")*(Income!A$3:A$502=DATE(2026,8,15)),ROW(Income!A$3:A$502)-2),3)),""),""))</f>
        <v/>
      </c>
      <c r="O166" s="153">
        <f t="array" ref="O166">IF(IFERROR(-INDEX(Expenses!D$3:D$999,SMALL(IF((Expenses!E$3:E$999="INR")*(Expenses!A$3:A$999=DATE(2026,8,16)),ROW(Expenses!A$3:A$999)-2),3)),0)+IFERROR(INDEX(Income!C$3:C$502,SMALL(IF((Income!D$3:D$502="INR")*(Income!A$3:A$502=DATE(2026,8,16)),ROW(Income!A$3:A$502)-2),3)),0)=0,"",IFERROR(-INDEX(Expenses!D$3:D$999,SMALL(IF((Expenses!E$3:E$999="INR")*(Expenses!A$3:A$999=DATE(2026,8,16)),ROW(Expenses!A$3:A$999)-2),3)),0)+IFERROR(INDEX(Income!C$3:C$502,SMALL(IF((Income!D$3:D$502="INR")*(Income!A$3:A$502=DATE(2026,8,16)),ROW(Income!A$3:A$502)-2),3)),0))</f>
        <v/>
      </c>
      <c r="P166" s="126">
        <f t="array" ref="P166">IF(IFERROR(INDEX(Expenses!B$3:B$999,SMALL(IF((Expenses!E$3:E$999="INR")*(Expenses!A$3:A$999=DATE(2026,8,16)),ROW(Expenses!A$3:A$999)-2),3)),"")&lt;&gt;"",IFERROR(INDEX(Expenses!B$3:B$999,SMALL(IF((Expenses!E$3:E$999="INR")*(Expenses!A$3:A$999=DATE(2026,8,16)),ROW(Expenses!A$3:A$999)-2),3)),""),IF(IFERROR(INDEX(Income!B$3:B$502,SMALL(IF((Income!D$3:D$502="INR")*(Income!A$3:A$502=DATE(2026,8,16)),ROW(Income!A$3:A$502)-2),3)),"")&lt;&gt;"",IFERROR(INDEX(Income!B$3:B$502,SMALL(IF((Income!D$3:D$502="INR")*(Income!A$3:A$502=DATE(2026,8,16)),ROW(Income!A$3:A$502)-2),3)),""),""))</f>
        <v/>
      </c>
      <c r="Q166" s="9" t="n"/>
      <c r="R166" s="9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68">
      <c r="A167" s="9" t="n"/>
      <c r="B167" s="9" t="n"/>
      <c r="C167" s="153">
        <f t="array" ref="C167">IF(IFERROR(-INDEX(Expenses!D$3:D$999,SMALL(IF((Expenses!E$3:E$999="INR")*(Expenses!A$3:A$999=DATE(2026,8,10)),ROW(Expenses!A$3:A$999)-2),4)),0)+IFERROR(INDEX(Income!C$3:C$502,SMALL(IF((Income!D$3:D$502="INR")*(Income!A$3:A$502=DATE(2026,8,10)),ROW(Income!A$3:A$502)-2),4)),0)=0,"",IFERROR(-INDEX(Expenses!D$3:D$999,SMALL(IF((Expenses!E$3:E$999="INR")*(Expenses!A$3:A$999=DATE(2026,8,10)),ROW(Expenses!A$3:A$999)-2),4)),0)+IFERROR(INDEX(Income!C$3:C$502,SMALL(IF((Income!D$3:D$502="INR")*(Income!A$3:A$502=DATE(2026,8,10)),ROW(Income!A$3:A$502)-2),4)),0))</f>
        <v/>
      </c>
      <c r="D167" s="126">
        <f t="array" ref="D167">IF(IFERROR(INDEX(Expenses!B$3:B$999,SMALL(IF((Expenses!E$3:E$999="INR")*(Expenses!A$3:A$999=DATE(2026,8,10)),ROW(Expenses!A$3:A$999)-2),4)),"")&lt;&gt;"",IFERROR(INDEX(Expenses!B$3:B$999,SMALL(IF((Expenses!E$3:E$999="INR")*(Expenses!A$3:A$999=DATE(2026,8,10)),ROW(Expenses!A$3:A$999)-2),4)),""),IF(IFERROR(INDEX(Income!B$3:B$502,SMALL(IF((Income!D$3:D$502="INR")*(Income!A$3:A$502=DATE(2026,8,10)),ROW(Income!A$3:A$502)-2),4)),"")&lt;&gt;"",IFERROR(INDEX(Income!B$3:B$502,SMALL(IF((Income!D$3:D$502="INR")*(Income!A$3:A$502=DATE(2026,8,10)),ROW(Income!A$3:A$502)-2),4)),""),""))</f>
        <v/>
      </c>
      <c r="E167" s="153">
        <f t="array" ref="E167">IF(IFERROR(-INDEX(Expenses!D$3:D$999,SMALL(IF((Expenses!E$3:E$999="INR")*(Expenses!A$3:A$999=DATE(2026,8,11)),ROW(Expenses!A$3:A$999)-2),4)),0)+IFERROR(INDEX(Income!C$3:C$502,SMALL(IF((Income!D$3:D$502="INR")*(Income!A$3:A$502=DATE(2026,8,11)),ROW(Income!A$3:A$502)-2),4)),0)=0,"",IFERROR(-INDEX(Expenses!D$3:D$999,SMALL(IF((Expenses!E$3:E$999="INR")*(Expenses!A$3:A$999=DATE(2026,8,11)),ROW(Expenses!A$3:A$999)-2),4)),0)+IFERROR(INDEX(Income!C$3:C$502,SMALL(IF((Income!D$3:D$502="INR")*(Income!A$3:A$502=DATE(2026,8,11)),ROW(Income!A$3:A$502)-2),4)),0))</f>
        <v/>
      </c>
      <c r="F167" s="126">
        <f t="array" ref="F167">IF(IFERROR(INDEX(Expenses!B$3:B$999,SMALL(IF((Expenses!E$3:E$999="INR")*(Expenses!A$3:A$999=DATE(2026,8,11)),ROW(Expenses!A$3:A$999)-2),4)),"")&lt;&gt;"",IFERROR(INDEX(Expenses!B$3:B$999,SMALL(IF((Expenses!E$3:E$999="INR")*(Expenses!A$3:A$999=DATE(2026,8,11)),ROW(Expenses!A$3:A$999)-2),4)),""),IF(IFERROR(INDEX(Income!B$3:B$502,SMALL(IF((Income!D$3:D$502="INR")*(Income!A$3:A$502=DATE(2026,8,11)),ROW(Income!A$3:A$502)-2),4)),"")&lt;&gt;"",IFERROR(INDEX(Income!B$3:B$502,SMALL(IF((Income!D$3:D$502="INR")*(Income!A$3:A$502=DATE(2026,8,11)),ROW(Income!A$3:A$502)-2),4)),""),""))</f>
        <v/>
      </c>
      <c r="G167" s="153">
        <f t="array" ref="G167">IF(IFERROR(-INDEX(Expenses!D$3:D$999,SMALL(IF((Expenses!E$3:E$999="INR")*(Expenses!A$3:A$999=DATE(2026,8,12)),ROW(Expenses!A$3:A$999)-2),4)),0)+IFERROR(INDEX(Income!C$3:C$502,SMALL(IF((Income!D$3:D$502="INR")*(Income!A$3:A$502=DATE(2026,8,12)),ROW(Income!A$3:A$502)-2),4)),0)=0,"",IFERROR(-INDEX(Expenses!D$3:D$999,SMALL(IF((Expenses!E$3:E$999="INR")*(Expenses!A$3:A$999=DATE(2026,8,12)),ROW(Expenses!A$3:A$999)-2),4)),0)+IFERROR(INDEX(Income!C$3:C$502,SMALL(IF((Income!D$3:D$502="INR")*(Income!A$3:A$502=DATE(2026,8,12)),ROW(Income!A$3:A$502)-2),4)),0))</f>
        <v/>
      </c>
      <c r="H167" s="126">
        <f t="array" ref="H167">IF(IFERROR(INDEX(Expenses!B$3:B$999,SMALL(IF((Expenses!E$3:E$999="INR")*(Expenses!A$3:A$999=DATE(2026,8,12)),ROW(Expenses!A$3:A$999)-2),4)),"")&lt;&gt;"",IFERROR(INDEX(Expenses!B$3:B$999,SMALL(IF((Expenses!E$3:E$999="INR")*(Expenses!A$3:A$999=DATE(2026,8,12)),ROW(Expenses!A$3:A$999)-2),4)),""),IF(IFERROR(INDEX(Income!B$3:B$502,SMALL(IF((Income!D$3:D$502="INR")*(Income!A$3:A$502=DATE(2026,8,12)),ROW(Income!A$3:A$502)-2),4)),"")&lt;&gt;"",IFERROR(INDEX(Income!B$3:B$502,SMALL(IF((Income!D$3:D$502="INR")*(Income!A$3:A$502=DATE(2026,8,12)),ROW(Income!A$3:A$502)-2),4)),""),""))</f>
        <v/>
      </c>
      <c r="I167" s="153">
        <f t="array" ref="I167">IF(IFERROR(-INDEX(Expenses!D$3:D$999,SMALL(IF((Expenses!E$3:E$999="INR")*(Expenses!A$3:A$999=DATE(2026,8,13)),ROW(Expenses!A$3:A$999)-2),4)),0)+IFERROR(INDEX(Income!C$3:C$502,SMALL(IF((Income!D$3:D$502="INR")*(Income!A$3:A$502=DATE(2026,8,13)),ROW(Income!A$3:A$502)-2),4)),0)=0,"",IFERROR(-INDEX(Expenses!D$3:D$999,SMALL(IF((Expenses!E$3:E$999="INR")*(Expenses!A$3:A$999=DATE(2026,8,13)),ROW(Expenses!A$3:A$999)-2),4)),0)+IFERROR(INDEX(Income!C$3:C$502,SMALL(IF((Income!D$3:D$502="INR")*(Income!A$3:A$502=DATE(2026,8,13)),ROW(Income!A$3:A$502)-2),4)),0))</f>
        <v/>
      </c>
      <c r="J167" s="126">
        <f t="array" ref="J167">IF(IFERROR(INDEX(Expenses!B$3:B$999,SMALL(IF((Expenses!E$3:E$999="INR")*(Expenses!A$3:A$999=DATE(2026,8,13)),ROW(Expenses!A$3:A$999)-2),4)),"")&lt;&gt;"",IFERROR(INDEX(Expenses!B$3:B$999,SMALL(IF((Expenses!E$3:E$999="INR")*(Expenses!A$3:A$999=DATE(2026,8,13)),ROW(Expenses!A$3:A$999)-2),4)),""),IF(IFERROR(INDEX(Income!B$3:B$502,SMALL(IF((Income!D$3:D$502="INR")*(Income!A$3:A$502=DATE(2026,8,13)),ROW(Income!A$3:A$502)-2),4)),"")&lt;&gt;"",IFERROR(INDEX(Income!B$3:B$502,SMALL(IF((Income!D$3:D$502="INR")*(Income!A$3:A$502=DATE(2026,8,13)),ROW(Income!A$3:A$502)-2),4)),""),""))</f>
        <v/>
      </c>
      <c r="K167" s="153">
        <f t="array" ref="K167">IF(IFERROR(-INDEX(Expenses!D$3:D$999,SMALL(IF((Expenses!E$3:E$999="INR")*(Expenses!A$3:A$999=DATE(2026,8,14)),ROW(Expenses!A$3:A$999)-2),4)),0)+IFERROR(INDEX(Income!C$3:C$502,SMALL(IF((Income!D$3:D$502="INR")*(Income!A$3:A$502=DATE(2026,8,14)),ROW(Income!A$3:A$502)-2),4)),0)=0,"",IFERROR(-INDEX(Expenses!D$3:D$999,SMALL(IF((Expenses!E$3:E$999="INR")*(Expenses!A$3:A$999=DATE(2026,8,14)),ROW(Expenses!A$3:A$999)-2),4)),0)+IFERROR(INDEX(Income!C$3:C$502,SMALL(IF((Income!D$3:D$502="INR")*(Income!A$3:A$502=DATE(2026,8,14)),ROW(Income!A$3:A$502)-2),4)),0))</f>
        <v/>
      </c>
      <c r="L167" s="126">
        <f t="array" ref="L167">IF(IFERROR(INDEX(Expenses!B$3:B$999,SMALL(IF((Expenses!E$3:E$999="INR")*(Expenses!A$3:A$999=DATE(2026,8,14)),ROW(Expenses!A$3:A$999)-2),4)),"")&lt;&gt;"",IFERROR(INDEX(Expenses!B$3:B$999,SMALL(IF((Expenses!E$3:E$999="INR")*(Expenses!A$3:A$999=DATE(2026,8,14)),ROW(Expenses!A$3:A$999)-2),4)),""),IF(IFERROR(INDEX(Income!B$3:B$502,SMALL(IF((Income!D$3:D$502="INR")*(Income!A$3:A$502=DATE(2026,8,14)),ROW(Income!A$3:A$502)-2),4)),"")&lt;&gt;"",IFERROR(INDEX(Income!B$3:B$502,SMALL(IF((Income!D$3:D$502="INR")*(Income!A$3:A$502=DATE(2026,8,14)),ROW(Income!A$3:A$502)-2),4)),""),""))</f>
        <v/>
      </c>
      <c r="M167" s="153">
        <f t="array" ref="M167">IF(IFERROR(-INDEX(Expenses!D$3:D$999,SMALL(IF((Expenses!E$3:E$999="INR")*(Expenses!A$3:A$999=DATE(2026,8,15)),ROW(Expenses!A$3:A$999)-2),4)),0)+IFERROR(INDEX(Income!C$3:C$502,SMALL(IF((Income!D$3:D$502="INR")*(Income!A$3:A$502=DATE(2026,8,15)),ROW(Income!A$3:A$502)-2),4)),0)=0,"",IFERROR(-INDEX(Expenses!D$3:D$999,SMALL(IF((Expenses!E$3:E$999="INR")*(Expenses!A$3:A$999=DATE(2026,8,15)),ROW(Expenses!A$3:A$999)-2),4)),0)+IFERROR(INDEX(Income!C$3:C$502,SMALL(IF((Income!D$3:D$502="INR")*(Income!A$3:A$502=DATE(2026,8,15)),ROW(Income!A$3:A$502)-2),4)),0))</f>
        <v/>
      </c>
      <c r="N167" s="126">
        <f t="array" ref="N167">IF(IFERROR(INDEX(Expenses!B$3:B$999,SMALL(IF((Expenses!E$3:E$999="INR")*(Expenses!A$3:A$999=DATE(2026,8,15)),ROW(Expenses!A$3:A$999)-2),4)),"")&lt;&gt;"",IFERROR(INDEX(Expenses!B$3:B$999,SMALL(IF((Expenses!E$3:E$999="INR")*(Expenses!A$3:A$999=DATE(2026,8,15)),ROW(Expenses!A$3:A$999)-2),4)),""),IF(IFERROR(INDEX(Income!B$3:B$502,SMALL(IF((Income!D$3:D$502="INR")*(Income!A$3:A$502=DATE(2026,8,15)),ROW(Income!A$3:A$502)-2),4)),"")&lt;&gt;"",IFERROR(INDEX(Income!B$3:B$502,SMALL(IF((Income!D$3:D$502="INR")*(Income!A$3:A$502=DATE(2026,8,15)),ROW(Income!A$3:A$502)-2),4)),""),""))</f>
        <v/>
      </c>
      <c r="O167" s="153">
        <f t="array" ref="O167">IF(IFERROR(-INDEX(Expenses!D$3:D$999,SMALL(IF((Expenses!E$3:E$999="INR")*(Expenses!A$3:A$999=DATE(2026,8,16)),ROW(Expenses!A$3:A$999)-2),4)),0)+IFERROR(INDEX(Income!C$3:C$502,SMALL(IF((Income!D$3:D$502="INR")*(Income!A$3:A$502=DATE(2026,8,16)),ROW(Income!A$3:A$502)-2),4)),0)=0,"",IFERROR(-INDEX(Expenses!D$3:D$999,SMALL(IF((Expenses!E$3:E$999="INR")*(Expenses!A$3:A$999=DATE(2026,8,16)),ROW(Expenses!A$3:A$999)-2),4)),0)+IFERROR(INDEX(Income!C$3:C$502,SMALL(IF((Income!D$3:D$502="INR")*(Income!A$3:A$502=DATE(2026,8,16)),ROW(Income!A$3:A$502)-2),4)),0))</f>
        <v/>
      </c>
      <c r="P167" s="126">
        <f t="array" ref="P167">IF(IFERROR(INDEX(Expenses!B$3:B$999,SMALL(IF((Expenses!E$3:E$999="INR")*(Expenses!A$3:A$999=DATE(2026,8,16)),ROW(Expenses!A$3:A$999)-2),4)),"")&lt;&gt;"",IFERROR(INDEX(Expenses!B$3:B$999,SMALL(IF((Expenses!E$3:E$999="INR")*(Expenses!A$3:A$999=DATE(2026,8,16)),ROW(Expenses!A$3:A$999)-2),4)),""),IF(IFERROR(INDEX(Income!B$3:B$502,SMALL(IF((Income!D$3:D$502="INR")*(Income!A$3:A$502=DATE(2026,8,16)),ROW(Income!A$3:A$502)-2),4)),"")&lt;&gt;"",IFERROR(INDEX(Income!B$3:B$502,SMALL(IF((Income!D$3:D$502="INR")*(Income!A$3:A$502=DATE(2026,8,16)),ROW(Income!A$3:A$502)-2),4)),""),""))</f>
        <v/>
      </c>
      <c r="Q167" s="9" t="n"/>
      <c r="R167" s="9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68">
      <c r="A168" s="9" t="n"/>
      <c r="B168" s="9" t="n"/>
      <c r="C168" s="153">
        <f t="array" ref="C168">IF(IFERROR(-INDEX(Expenses!D$3:D$999,SMALL(IF((Expenses!E$3:E$999="INR")*(Expenses!A$3:A$999=DATE(2026,8,10)),ROW(Expenses!A$3:A$999)-2),5)),0)+IFERROR(INDEX(Income!C$3:C$502,SMALL(IF((Income!D$3:D$502="INR")*(Income!A$3:A$502=DATE(2026,8,10)),ROW(Income!A$3:A$502)-2),5)),0)=0,"",IFERROR(-INDEX(Expenses!D$3:D$999,SMALL(IF((Expenses!E$3:E$999="INR")*(Expenses!A$3:A$999=DATE(2026,8,10)),ROW(Expenses!A$3:A$999)-2),5)),0)+IFERROR(INDEX(Income!C$3:C$502,SMALL(IF((Income!D$3:D$502="INR")*(Income!A$3:A$502=DATE(2026,8,10)),ROW(Income!A$3:A$502)-2),5)),0))</f>
        <v/>
      </c>
      <c r="D168" s="126">
        <f t="array" ref="D168">IF(IFERROR(INDEX(Expenses!B$3:B$999,SMALL(IF((Expenses!E$3:E$999="INR")*(Expenses!A$3:A$999=DATE(2026,8,10)),ROW(Expenses!A$3:A$999)-2),5)),"")&lt;&gt;"",IFERROR(INDEX(Expenses!B$3:B$999,SMALL(IF((Expenses!E$3:E$999="INR")*(Expenses!A$3:A$999=DATE(2026,8,10)),ROW(Expenses!A$3:A$999)-2),5)),""),IF(IFERROR(INDEX(Income!B$3:B$502,SMALL(IF((Income!D$3:D$502="INR")*(Income!A$3:A$502=DATE(2026,8,10)),ROW(Income!A$3:A$502)-2),5)),"")&lt;&gt;"",IFERROR(INDEX(Income!B$3:B$502,SMALL(IF((Income!D$3:D$502="INR")*(Income!A$3:A$502=DATE(2026,8,10)),ROW(Income!A$3:A$502)-2),5)),""),""))</f>
        <v/>
      </c>
      <c r="E168" s="153">
        <f t="array" ref="E168">IF(IFERROR(-INDEX(Expenses!D$3:D$999,SMALL(IF((Expenses!E$3:E$999="INR")*(Expenses!A$3:A$999=DATE(2026,8,11)),ROW(Expenses!A$3:A$999)-2),5)),0)+IFERROR(INDEX(Income!C$3:C$502,SMALL(IF((Income!D$3:D$502="INR")*(Income!A$3:A$502=DATE(2026,8,11)),ROW(Income!A$3:A$502)-2),5)),0)=0,"",IFERROR(-INDEX(Expenses!D$3:D$999,SMALL(IF((Expenses!E$3:E$999="INR")*(Expenses!A$3:A$999=DATE(2026,8,11)),ROW(Expenses!A$3:A$999)-2),5)),0)+IFERROR(INDEX(Income!C$3:C$502,SMALL(IF((Income!D$3:D$502="INR")*(Income!A$3:A$502=DATE(2026,8,11)),ROW(Income!A$3:A$502)-2),5)),0))</f>
        <v/>
      </c>
      <c r="F168" s="126">
        <f t="array" ref="F168">IF(IFERROR(INDEX(Expenses!B$3:B$999,SMALL(IF((Expenses!E$3:E$999="INR")*(Expenses!A$3:A$999=DATE(2026,8,11)),ROW(Expenses!A$3:A$999)-2),5)),"")&lt;&gt;"",IFERROR(INDEX(Expenses!B$3:B$999,SMALL(IF((Expenses!E$3:E$999="INR")*(Expenses!A$3:A$999=DATE(2026,8,11)),ROW(Expenses!A$3:A$999)-2),5)),""),IF(IFERROR(INDEX(Income!B$3:B$502,SMALL(IF((Income!D$3:D$502="INR")*(Income!A$3:A$502=DATE(2026,8,11)),ROW(Income!A$3:A$502)-2),5)),"")&lt;&gt;"",IFERROR(INDEX(Income!B$3:B$502,SMALL(IF((Income!D$3:D$502="INR")*(Income!A$3:A$502=DATE(2026,8,11)),ROW(Income!A$3:A$502)-2),5)),""),""))</f>
        <v/>
      </c>
      <c r="G168" s="153">
        <f t="array" ref="G168">IF(IFERROR(-INDEX(Expenses!D$3:D$999,SMALL(IF((Expenses!E$3:E$999="INR")*(Expenses!A$3:A$999=DATE(2026,8,12)),ROW(Expenses!A$3:A$999)-2),5)),0)+IFERROR(INDEX(Income!C$3:C$502,SMALL(IF((Income!D$3:D$502="INR")*(Income!A$3:A$502=DATE(2026,8,12)),ROW(Income!A$3:A$502)-2),5)),0)=0,"",IFERROR(-INDEX(Expenses!D$3:D$999,SMALL(IF((Expenses!E$3:E$999="INR")*(Expenses!A$3:A$999=DATE(2026,8,12)),ROW(Expenses!A$3:A$999)-2),5)),0)+IFERROR(INDEX(Income!C$3:C$502,SMALL(IF((Income!D$3:D$502="INR")*(Income!A$3:A$502=DATE(2026,8,12)),ROW(Income!A$3:A$502)-2),5)),0))</f>
        <v/>
      </c>
      <c r="H168" s="126">
        <f t="array" ref="H168">IF(IFERROR(INDEX(Expenses!B$3:B$999,SMALL(IF((Expenses!E$3:E$999="INR")*(Expenses!A$3:A$999=DATE(2026,8,12)),ROW(Expenses!A$3:A$999)-2),5)),"")&lt;&gt;"",IFERROR(INDEX(Expenses!B$3:B$999,SMALL(IF((Expenses!E$3:E$999="INR")*(Expenses!A$3:A$999=DATE(2026,8,12)),ROW(Expenses!A$3:A$999)-2),5)),""),IF(IFERROR(INDEX(Income!B$3:B$502,SMALL(IF((Income!D$3:D$502="INR")*(Income!A$3:A$502=DATE(2026,8,12)),ROW(Income!A$3:A$502)-2),5)),"")&lt;&gt;"",IFERROR(INDEX(Income!B$3:B$502,SMALL(IF((Income!D$3:D$502="INR")*(Income!A$3:A$502=DATE(2026,8,12)),ROW(Income!A$3:A$502)-2),5)),""),""))</f>
        <v/>
      </c>
      <c r="I168" s="153">
        <f t="array" ref="I168">IF(IFERROR(-INDEX(Expenses!D$3:D$999,SMALL(IF((Expenses!E$3:E$999="INR")*(Expenses!A$3:A$999=DATE(2026,8,13)),ROW(Expenses!A$3:A$999)-2),5)),0)+IFERROR(INDEX(Income!C$3:C$502,SMALL(IF((Income!D$3:D$502="INR")*(Income!A$3:A$502=DATE(2026,8,13)),ROW(Income!A$3:A$502)-2),5)),0)=0,"",IFERROR(-INDEX(Expenses!D$3:D$999,SMALL(IF((Expenses!E$3:E$999="INR")*(Expenses!A$3:A$999=DATE(2026,8,13)),ROW(Expenses!A$3:A$999)-2),5)),0)+IFERROR(INDEX(Income!C$3:C$502,SMALL(IF((Income!D$3:D$502="INR")*(Income!A$3:A$502=DATE(2026,8,13)),ROW(Income!A$3:A$502)-2),5)),0))</f>
        <v/>
      </c>
      <c r="J168" s="126">
        <f t="array" ref="J168">IF(IFERROR(INDEX(Expenses!B$3:B$999,SMALL(IF((Expenses!E$3:E$999="INR")*(Expenses!A$3:A$999=DATE(2026,8,13)),ROW(Expenses!A$3:A$999)-2),5)),"")&lt;&gt;"",IFERROR(INDEX(Expenses!B$3:B$999,SMALL(IF((Expenses!E$3:E$999="INR")*(Expenses!A$3:A$999=DATE(2026,8,13)),ROW(Expenses!A$3:A$999)-2),5)),""),IF(IFERROR(INDEX(Income!B$3:B$502,SMALL(IF((Income!D$3:D$502="INR")*(Income!A$3:A$502=DATE(2026,8,13)),ROW(Income!A$3:A$502)-2),5)),"")&lt;&gt;"",IFERROR(INDEX(Income!B$3:B$502,SMALL(IF((Income!D$3:D$502="INR")*(Income!A$3:A$502=DATE(2026,8,13)),ROW(Income!A$3:A$502)-2),5)),""),""))</f>
        <v/>
      </c>
      <c r="K168" s="153">
        <f t="array" ref="K168">IF(IFERROR(-INDEX(Expenses!D$3:D$999,SMALL(IF((Expenses!E$3:E$999="INR")*(Expenses!A$3:A$999=DATE(2026,8,14)),ROW(Expenses!A$3:A$999)-2),5)),0)+IFERROR(INDEX(Income!C$3:C$502,SMALL(IF((Income!D$3:D$502="INR")*(Income!A$3:A$502=DATE(2026,8,14)),ROW(Income!A$3:A$502)-2),5)),0)=0,"",IFERROR(-INDEX(Expenses!D$3:D$999,SMALL(IF((Expenses!E$3:E$999="INR")*(Expenses!A$3:A$999=DATE(2026,8,14)),ROW(Expenses!A$3:A$999)-2),5)),0)+IFERROR(INDEX(Income!C$3:C$502,SMALL(IF((Income!D$3:D$502="INR")*(Income!A$3:A$502=DATE(2026,8,14)),ROW(Income!A$3:A$502)-2),5)),0))</f>
        <v/>
      </c>
      <c r="L168" s="126">
        <f t="array" ref="L168">IF(IFERROR(INDEX(Expenses!B$3:B$999,SMALL(IF((Expenses!E$3:E$999="INR")*(Expenses!A$3:A$999=DATE(2026,8,14)),ROW(Expenses!A$3:A$999)-2),5)),"")&lt;&gt;"",IFERROR(INDEX(Expenses!B$3:B$999,SMALL(IF((Expenses!E$3:E$999="INR")*(Expenses!A$3:A$999=DATE(2026,8,14)),ROW(Expenses!A$3:A$999)-2),5)),""),IF(IFERROR(INDEX(Income!B$3:B$502,SMALL(IF((Income!D$3:D$502="INR")*(Income!A$3:A$502=DATE(2026,8,14)),ROW(Income!A$3:A$502)-2),5)),"")&lt;&gt;"",IFERROR(INDEX(Income!B$3:B$502,SMALL(IF((Income!D$3:D$502="INR")*(Income!A$3:A$502=DATE(2026,8,14)),ROW(Income!A$3:A$502)-2),5)),""),""))</f>
        <v/>
      </c>
      <c r="M168" s="153">
        <f t="array" ref="M168">IF(IFERROR(-INDEX(Expenses!D$3:D$999,SMALL(IF((Expenses!E$3:E$999="INR")*(Expenses!A$3:A$999=DATE(2026,8,15)),ROW(Expenses!A$3:A$999)-2),5)),0)+IFERROR(INDEX(Income!C$3:C$502,SMALL(IF((Income!D$3:D$502="INR")*(Income!A$3:A$502=DATE(2026,8,15)),ROW(Income!A$3:A$502)-2),5)),0)=0,"",IFERROR(-INDEX(Expenses!D$3:D$999,SMALL(IF((Expenses!E$3:E$999="INR")*(Expenses!A$3:A$999=DATE(2026,8,15)),ROW(Expenses!A$3:A$999)-2),5)),0)+IFERROR(INDEX(Income!C$3:C$502,SMALL(IF((Income!D$3:D$502="INR")*(Income!A$3:A$502=DATE(2026,8,15)),ROW(Income!A$3:A$502)-2),5)),0))</f>
        <v/>
      </c>
      <c r="N168" s="126">
        <f t="array" ref="N168">IF(IFERROR(INDEX(Expenses!B$3:B$999,SMALL(IF((Expenses!E$3:E$999="INR")*(Expenses!A$3:A$999=DATE(2026,8,15)),ROW(Expenses!A$3:A$999)-2),5)),"")&lt;&gt;"",IFERROR(INDEX(Expenses!B$3:B$999,SMALL(IF((Expenses!E$3:E$999="INR")*(Expenses!A$3:A$999=DATE(2026,8,15)),ROW(Expenses!A$3:A$999)-2),5)),""),IF(IFERROR(INDEX(Income!B$3:B$502,SMALL(IF((Income!D$3:D$502="INR")*(Income!A$3:A$502=DATE(2026,8,15)),ROW(Income!A$3:A$502)-2),5)),"")&lt;&gt;"",IFERROR(INDEX(Income!B$3:B$502,SMALL(IF((Income!D$3:D$502="INR")*(Income!A$3:A$502=DATE(2026,8,15)),ROW(Income!A$3:A$502)-2),5)),""),""))</f>
        <v/>
      </c>
      <c r="O168" s="153">
        <f t="array" ref="O168">IF(IFERROR(-INDEX(Expenses!D$3:D$999,SMALL(IF((Expenses!E$3:E$999="INR")*(Expenses!A$3:A$999=DATE(2026,8,16)),ROW(Expenses!A$3:A$999)-2),5)),0)+IFERROR(INDEX(Income!C$3:C$502,SMALL(IF((Income!D$3:D$502="INR")*(Income!A$3:A$502=DATE(2026,8,16)),ROW(Income!A$3:A$502)-2),5)),0)=0,"",IFERROR(-INDEX(Expenses!D$3:D$999,SMALL(IF((Expenses!E$3:E$999="INR")*(Expenses!A$3:A$999=DATE(2026,8,16)),ROW(Expenses!A$3:A$999)-2),5)),0)+IFERROR(INDEX(Income!C$3:C$502,SMALL(IF((Income!D$3:D$502="INR")*(Income!A$3:A$502=DATE(2026,8,16)),ROW(Income!A$3:A$502)-2),5)),0))</f>
        <v/>
      </c>
      <c r="P168" s="126">
        <f t="array" ref="P168">IF(IFERROR(INDEX(Expenses!B$3:B$999,SMALL(IF((Expenses!E$3:E$999="INR")*(Expenses!A$3:A$999=DATE(2026,8,16)),ROW(Expenses!A$3:A$999)-2),5)),"")&lt;&gt;"",IFERROR(INDEX(Expenses!B$3:B$999,SMALL(IF((Expenses!E$3:E$999="INR")*(Expenses!A$3:A$999=DATE(2026,8,16)),ROW(Expenses!A$3:A$999)-2),5)),""),IF(IFERROR(INDEX(Income!B$3:B$502,SMALL(IF((Income!D$3:D$502="INR")*(Income!A$3:A$502=DATE(2026,8,16)),ROW(Income!A$3:A$502)-2),5)),"")&lt;&gt;"",IFERROR(INDEX(Income!B$3:B$502,SMALL(IF((Income!D$3:D$502="INR")*(Income!A$3:A$502=DATE(2026,8,16)),ROW(Income!A$3:A$502)-2),5)),""),""))</f>
        <v/>
      </c>
      <c r="Q168" s="9" t="n"/>
      <c r="R168" s="9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68">
      <c r="A169" s="151" t="n">
        <v>46251</v>
      </c>
      <c r="B169" s="103" t="n">
        <v>34</v>
      </c>
      <c r="C169" s="153">
        <f t="array" ref="C169">IF(IFERROR(-INDEX(Expenses!D$3:D$999,SMALL(IF((Expenses!E$3:E$999="INR")*(Expenses!A$3:A$999=DATE(2026,8,17)),ROW(Expenses!A$3:A$999)-2),1)),0)+IFERROR(INDEX(Income!C$3:C$502,SMALL(IF((Income!D$3:D$502="INR")*(Income!A$3:A$502=DATE(2026,8,17)),ROW(Income!A$3:A$502)-2),1)),0)=0,"",IFERROR(-INDEX(Expenses!D$3:D$999,SMALL(IF((Expenses!E$3:E$999="INR")*(Expenses!A$3:A$999=DATE(2026,8,17)),ROW(Expenses!A$3:A$999)-2),1)),0)+IFERROR(INDEX(Income!C$3:C$502,SMALL(IF((Income!D$3:D$502="INR")*(Income!A$3:A$502=DATE(2026,8,17)),ROW(Income!A$3:A$502)-2),1)),0))</f>
        <v/>
      </c>
      <c r="D169" s="126">
        <f t="array" ref="D169">IF(IFERROR(INDEX(Expenses!B$3:B$999,SMALL(IF((Expenses!E$3:E$999="INR")*(Expenses!A$3:A$999=DATE(2026,8,17)),ROW(Expenses!A$3:A$999)-2),1)),"")&lt;&gt;"",IFERROR(INDEX(Expenses!B$3:B$999,SMALL(IF((Expenses!E$3:E$999="INR")*(Expenses!A$3:A$999=DATE(2026,8,17)),ROW(Expenses!A$3:A$999)-2),1)),""),IF(IFERROR(INDEX(Income!B$3:B$502,SMALL(IF((Income!D$3:D$502="INR")*(Income!A$3:A$502=DATE(2026,8,17)),ROW(Income!A$3:A$502)-2),1)),"")&lt;&gt;"",IFERROR(INDEX(Income!B$3:B$502,SMALL(IF((Income!D$3:D$502="INR")*(Income!A$3:A$502=DATE(2026,8,17)),ROW(Income!A$3:A$502)-2),1)),""),""))</f>
        <v/>
      </c>
      <c r="E169" s="153">
        <f t="array" ref="E169">IF(IFERROR(-INDEX(Expenses!D$3:D$999,SMALL(IF((Expenses!E$3:E$999="INR")*(Expenses!A$3:A$999=DATE(2026,8,18)),ROW(Expenses!A$3:A$999)-2),1)),0)+IFERROR(INDEX(Income!C$3:C$502,SMALL(IF((Income!D$3:D$502="INR")*(Income!A$3:A$502=DATE(2026,8,18)),ROW(Income!A$3:A$502)-2),1)),0)=0,"",IFERROR(-INDEX(Expenses!D$3:D$999,SMALL(IF((Expenses!E$3:E$999="INR")*(Expenses!A$3:A$999=DATE(2026,8,18)),ROW(Expenses!A$3:A$999)-2),1)),0)+IFERROR(INDEX(Income!C$3:C$502,SMALL(IF((Income!D$3:D$502="INR")*(Income!A$3:A$502=DATE(2026,8,18)),ROW(Income!A$3:A$502)-2),1)),0))</f>
        <v/>
      </c>
      <c r="F169" s="126">
        <f t="array" ref="F169">IF(IFERROR(INDEX(Expenses!B$3:B$999,SMALL(IF((Expenses!E$3:E$999="INR")*(Expenses!A$3:A$999=DATE(2026,8,18)),ROW(Expenses!A$3:A$999)-2),1)),"")&lt;&gt;"",IFERROR(INDEX(Expenses!B$3:B$999,SMALL(IF((Expenses!E$3:E$999="INR")*(Expenses!A$3:A$999=DATE(2026,8,18)),ROW(Expenses!A$3:A$999)-2),1)),""),IF(IFERROR(INDEX(Income!B$3:B$502,SMALL(IF((Income!D$3:D$502="INR")*(Income!A$3:A$502=DATE(2026,8,18)),ROW(Income!A$3:A$502)-2),1)),"")&lt;&gt;"",IFERROR(INDEX(Income!B$3:B$502,SMALL(IF((Income!D$3:D$502="INR")*(Income!A$3:A$502=DATE(2026,8,18)),ROW(Income!A$3:A$502)-2),1)),""),""))</f>
        <v/>
      </c>
      <c r="G169" s="153">
        <f t="array" ref="G169">IF(IFERROR(-INDEX(Expenses!D$3:D$999,SMALL(IF((Expenses!E$3:E$999="INR")*(Expenses!A$3:A$999=DATE(2026,8,19)),ROW(Expenses!A$3:A$999)-2),1)),0)+IFERROR(INDEX(Income!C$3:C$502,SMALL(IF((Income!D$3:D$502="INR")*(Income!A$3:A$502=DATE(2026,8,19)),ROW(Income!A$3:A$502)-2),1)),0)=0,"",IFERROR(-INDEX(Expenses!D$3:D$999,SMALL(IF((Expenses!E$3:E$999="INR")*(Expenses!A$3:A$999=DATE(2026,8,19)),ROW(Expenses!A$3:A$999)-2),1)),0)+IFERROR(INDEX(Income!C$3:C$502,SMALL(IF((Income!D$3:D$502="INR")*(Income!A$3:A$502=DATE(2026,8,19)),ROW(Income!A$3:A$502)-2),1)),0))</f>
        <v/>
      </c>
      <c r="H169" s="126">
        <f t="array" ref="H169">IF(IFERROR(INDEX(Expenses!B$3:B$999,SMALL(IF((Expenses!E$3:E$999="INR")*(Expenses!A$3:A$999=DATE(2026,8,19)),ROW(Expenses!A$3:A$999)-2),1)),"")&lt;&gt;"",IFERROR(INDEX(Expenses!B$3:B$999,SMALL(IF((Expenses!E$3:E$999="INR")*(Expenses!A$3:A$999=DATE(2026,8,19)),ROW(Expenses!A$3:A$999)-2),1)),""),IF(IFERROR(INDEX(Income!B$3:B$502,SMALL(IF((Income!D$3:D$502="INR")*(Income!A$3:A$502=DATE(2026,8,19)),ROW(Income!A$3:A$502)-2),1)),"")&lt;&gt;"",IFERROR(INDEX(Income!B$3:B$502,SMALL(IF((Income!D$3:D$502="INR")*(Income!A$3:A$502=DATE(2026,8,19)),ROW(Income!A$3:A$502)-2),1)),""),""))</f>
        <v/>
      </c>
      <c r="I169" s="153">
        <f t="array" ref="I169">IF(IFERROR(-INDEX(Expenses!D$3:D$999,SMALL(IF((Expenses!E$3:E$999="INR")*(Expenses!A$3:A$999=DATE(2026,8,20)),ROW(Expenses!A$3:A$999)-2),1)),0)+IFERROR(INDEX(Income!C$3:C$502,SMALL(IF((Income!D$3:D$502="INR")*(Income!A$3:A$502=DATE(2026,8,20)),ROW(Income!A$3:A$502)-2),1)),0)=0,"",IFERROR(-INDEX(Expenses!D$3:D$999,SMALL(IF((Expenses!E$3:E$999="INR")*(Expenses!A$3:A$999=DATE(2026,8,20)),ROW(Expenses!A$3:A$999)-2),1)),0)+IFERROR(INDEX(Income!C$3:C$502,SMALL(IF((Income!D$3:D$502="INR")*(Income!A$3:A$502=DATE(2026,8,20)),ROW(Income!A$3:A$502)-2),1)),0))</f>
        <v/>
      </c>
      <c r="J169" s="126">
        <f t="array" ref="J169">IF(IFERROR(INDEX(Expenses!B$3:B$999,SMALL(IF((Expenses!E$3:E$999="INR")*(Expenses!A$3:A$999=DATE(2026,8,20)),ROW(Expenses!A$3:A$999)-2),1)),"")&lt;&gt;"",IFERROR(INDEX(Expenses!B$3:B$999,SMALL(IF((Expenses!E$3:E$999="INR")*(Expenses!A$3:A$999=DATE(2026,8,20)),ROW(Expenses!A$3:A$999)-2),1)),""),IF(IFERROR(INDEX(Income!B$3:B$502,SMALL(IF((Income!D$3:D$502="INR")*(Income!A$3:A$502=DATE(2026,8,20)),ROW(Income!A$3:A$502)-2),1)),"")&lt;&gt;"",IFERROR(INDEX(Income!B$3:B$502,SMALL(IF((Income!D$3:D$502="INR")*(Income!A$3:A$502=DATE(2026,8,20)),ROW(Income!A$3:A$502)-2),1)),""),""))</f>
        <v/>
      </c>
      <c r="K169" s="153">
        <f t="array" ref="K169">IF(IFERROR(-INDEX(Expenses!D$3:D$999,SMALL(IF((Expenses!E$3:E$999="INR")*(Expenses!A$3:A$999=DATE(2026,8,21)),ROW(Expenses!A$3:A$999)-2),1)),0)+IFERROR(INDEX(Income!C$3:C$502,SMALL(IF((Income!D$3:D$502="INR")*(Income!A$3:A$502=DATE(2026,8,21)),ROW(Income!A$3:A$502)-2),1)),0)=0,"",IFERROR(-INDEX(Expenses!D$3:D$999,SMALL(IF((Expenses!E$3:E$999="INR")*(Expenses!A$3:A$999=DATE(2026,8,21)),ROW(Expenses!A$3:A$999)-2),1)),0)+IFERROR(INDEX(Income!C$3:C$502,SMALL(IF((Income!D$3:D$502="INR")*(Income!A$3:A$502=DATE(2026,8,21)),ROW(Income!A$3:A$502)-2),1)),0))</f>
        <v/>
      </c>
      <c r="L169" s="126">
        <f t="array" ref="L169">IF(IFERROR(INDEX(Expenses!B$3:B$999,SMALL(IF((Expenses!E$3:E$999="INR")*(Expenses!A$3:A$999=DATE(2026,8,21)),ROW(Expenses!A$3:A$999)-2),1)),"")&lt;&gt;"",IFERROR(INDEX(Expenses!B$3:B$999,SMALL(IF((Expenses!E$3:E$999="INR")*(Expenses!A$3:A$999=DATE(2026,8,21)),ROW(Expenses!A$3:A$999)-2),1)),""),IF(IFERROR(INDEX(Income!B$3:B$502,SMALL(IF((Income!D$3:D$502="INR")*(Income!A$3:A$502=DATE(2026,8,21)),ROW(Income!A$3:A$502)-2),1)),"")&lt;&gt;"",IFERROR(INDEX(Income!B$3:B$502,SMALL(IF((Income!D$3:D$502="INR")*(Income!A$3:A$502=DATE(2026,8,21)),ROW(Income!A$3:A$502)-2),1)),""),""))</f>
        <v/>
      </c>
      <c r="M169" s="153">
        <f t="array" ref="M169">IF(IFERROR(-INDEX(Expenses!D$3:D$999,SMALL(IF((Expenses!E$3:E$999="INR")*(Expenses!A$3:A$999=DATE(2026,8,22)),ROW(Expenses!A$3:A$999)-2),1)),0)+IFERROR(INDEX(Income!C$3:C$502,SMALL(IF((Income!D$3:D$502="INR")*(Income!A$3:A$502=DATE(2026,8,22)),ROW(Income!A$3:A$502)-2),1)),0)=0,"",IFERROR(-INDEX(Expenses!D$3:D$999,SMALL(IF((Expenses!E$3:E$999="INR")*(Expenses!A$3:A$999=DATE(2026,8,22)),ROW(Expenses!A$3:A$999)-2),1)),0)+IFERROR(INDEX(Income!C$3:C$502,SMALL(IF((Income!D$3:D$502="INR")*(Income!A$3:A$502=DATE(2026,8,22)),ROW(Income!A$3:A$502)-2),1)),0))</f>
        <v/>
      </c>
      <c r="N169" s="126">
        <f t="array" ref="N169">IF(IFERROR(INDEX(Expenses!B$3:B$999,SMALL(IF((Expenses!E$3:E$999="INR")*(Expenses!A$3:A$999=DATE(2026,8,22)),ROW(Expenses!A$3:A$999)-2),1)),"")&lt;&gt;"",IFERROR(INDEX(Expenses!B$3:B$999,SMALL(IF((Expenses!E$3:E$999="INR")*(Expenses!A$3:A$999=DATE(2026,8,22)),ROW(Expenses!A$3:A$999)-2),1)),""),IF(IFERROR(INDEX(Income!B$3:B$502,SMALL(IF((Income!D$3:D$502="INR")*(Income!A$3:A$502=DATE(2026,8,22)),ROW(Income!A$3:A$502)-2),1)),"")&lt;&gt;"",IFERROR(INDEX(Income!B$3:B$502,SMALL(IF((Income!D$3:D$502="INR")*(Income!A$3:A$502=DATE(2026,8,22)),ROW(Income!A$3:A$502)-2),1)),""),""))</f>
        <v/>
      </c>
      <c r="O169" s="153">
        <f t="array" ref="O169">IF(IFERROR(-INDEX(Expenses!D$3:D$999,SMALL(IF((Expenses!E$3:E$999="INR")*(Expenses!A$3:A$999=DATE(2026,8,23)),ROW(Expenses!A$3:A$999)-2),1)),0)+IFERROR(INDEX(Income!C$3:C$502,SMALL(IF((Income!D$3:D$502="INR")*(Income!A$3:A$502=DATE(2026,8,23)),ROW(Income!A$3:A$502)-2),1)),0)=0,"",IFERROR(-INDEX(Expenses!D$3:D$999,SMALL(IF((Expenses!E$3:E$999="INR")*(Expenses!A$3:A$999=DATE(2026,8,23)),ROW(Expenses!A$3:A$999)-2),1)),0)+IFERROR(INDEX(Income!C$3:C$502,SMALL(IF((Income!D$3:D$502="INR")*(Income!A$3:A$502=DATE(2026,8,23)),ROW(Income!A$3:A$502)-2),1)),0))</f>
        <v/>
      </c>
      <c r="P169" s="126">
        <f t="array" ref="P169">IF(IFERROR(INDEX(Expenses!B$3:B$999,SMALL(IF((Expenses!E$3:E$999="INR")*(Expenses!A$3:A$999=DATE(2026,8,23)),ROW(Expenses!A$3:A$999)-2),1)),"")&lt;&gt;"",IFERROR(INDEX(Expenses!B$3:B$999,SMALL(IF((Expenses!E$3:E$999="INR")*(Expenses!A$3:A$999=DATE(2026,8,23)),ROW(Expenses!A$3:A$999)-2),1)),""),IF(IFERROR(INDEX(Income!B$3:B$502,SMALL(IF((Income!D$3:D$502="INR")*(Income!A$3:A$502=DATE(2026,8,23)),ROW(Income!A$3:A$502)-2),1)),"")&lt;&gt;"",IFERROR(INDEX(Income!B$3:B$502,SMALL(IF((Income!D$3:D$502="INR")*(Income!A$3:A$502=DATE(2026,8,23)),ROW(Income!A$3:A$502)-2),1)),""),""))</f>
        <v/>
      </c>
      <c r="Q169" s="103" t="n">
        <v>34</v>
      </c>
      <c r="R169" s="142">
        <f>SUM(C169:C173)+SUM(E169:E173)+SUM(G169:G173)+SUM(I169:I173)+SUM(K169:K173)+SUM(M169:M173)+SUM(O169:O173)</f>
        <v/>
      </c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68">
      <c r="A170" s="9" t="n"/>
      <c r="B170" s="9" t="n"/>
      <c r="C170" s="153">
        <f t="array" ref="C170">IF(IFERROR(-INDEX(Expenses!D$3:D$999,SMALL(IF((Expenses!E$3:E$999="INR")*(Expenses!A$3:A$999=DATE(2026,8,17)),ROW(Expenses!A$3:A$999)-2),2)),0)+IFERROR(INDEX(Income!C$3:C$502,SMALL(IF((Income!D$3:D$502="INR")*(Income!A$3:A$502=DATE(2026,8,17)),ROW(Income!A$3:A$502)-2),2)),0)=0,"",IFERROR(-INDEX(Expenses!D$3:D$999,SMALL(IF((Expenses!E$3:E$999="INR")*(Expenses!A$3:A$999=DATE(2026,8,17)),ROW(Expenses!A$3:A$999)-2),2)),0)+IFERROR(INDEX(Income!C$3:C$502,SMALL(IF((Income!D$3:D$502="INR")*(Income!A$3:A$502=DATE(2026,8,17)),ROW(Income!A$3:A$502)-2),2)),0))</f>
        <v/>
      </c>
      <c r="D170" s="126">
        <f t="array" ref="D170">IF(IFERROR(INDEX(Expenses!B$3:B$999,SMALL(IF((Expenses!E$3:E$999="INR")*(Expenses!A$3:A$999=DATE(2026,8,17)),ROW(Expenses!A$3:A$999)-2),2)),"")&lt;&gt;"",IFERROR(INDEX(Expenses!B$3:B$999,SMALL(IF((Expenses!E$3:E$999="INR")*(Expenses!A$3:A$999=DATE(2026,8,17)),ROW(Expenses!A$3:A$999)-2),2)),""),IF(IFERROR(INDEX(Income!B$3:B$502,SMALL(IF((Income!D$3:D$502="INR")*(Income!A$3:A$502=DATE(2026,8,17)),ROW(Income!A$3:A$502)-2),2)),"")&lt;&gt;"",IFERROR(INDEX(Income!B$3:B$502,SMALL(IF((Income!D$3:D$502="INR")*(Income!A$3:A$502=DATE(2026,8,17)),ROW(Income!A$3:A$502)-2),2)),""),""))</f>
        <v/>
      </c>
      <c r="E170" s="153">
        <f t="array" ref="E170">IF(IFERROR(-INDEX(Expenses!D$3:D$999,SMALL(IF((Expenses!E$3:E$999="INR")*(Expenses!A$3:A$999=DATE(2026,8,18)),ROW(Expenses!A$3:A$999)-2),2)),0)+IFERROR(INDEX(Income!C$3:C$502,SMALL(IF((Income!D$3:D$502="INR")*(Income!A$3:A$502=DATE(2026,8,18)),ROW(Income!A$3:A$502)-2),2)),0)=0,"",IFERROR(-INDEX(Expenses!D$3:D$999,SMALL(IF((Expenses!E$3:E$999="INR")*(Expenses!A$3:A$999=DATE(2026,8,18)),ROW(Expenses!A$3:A$999)-2),2)),0)+IFERROR(INDEX(Income!C$3:C$502,SMALL(IF((Income!D$3:D$502="INR")*(Income!A$3:A$502=DATE(2026,8,18)),ROW(Income!A$3:A$502)-2),2)),0))</f>
        <v/>
      </c>
      <c r="F170" s="126">
        <f t="array" ref="F170">IF(IFERROR(INDEX(Expenses!B$3:B$999,SMALL(IF((Expenses!E$3:E$999="INR")*(Expenses!A$3:A$999=DATE(2026,8,18)),ROW(Expenses!A$3:A$999)-2),2)),"")&lt;&gt;"",IFERROR(INDEX(Expenses!B$3:B$999,SMALL(IF((Expenses!E$3:E$999="INR")*(Expenses!A$3:A$999=DATE(2026,8,18)),ROW(Expenses!A$3:A$999)-2),2)),""),IF(IFERROR(INDEX(Income!B$3:B$502,SMALL(IF((Income!D$3:D$502="INR")*(Income!A$3:A$502=DATE(2026,8,18)),ROW(Income!A$3:A$502)-2),2)),"")&lt;&gt;"",IFERROR(INDEX(Income!B$3:B$502,SMALL(IF((Income!D$3:D$502="INR")*(Income!A$3:A$502=DATE(2026,8,18)),ROW(Income!A$3:A$502)-2),2)),""),""))</f>
        <v/>
      </c>
      <c r="G170" s="153">
        <f t="array" ref="G170">IF(IFERROR(-INDEX(Expenses!D$3:D$999,SMALL(IF((Expenses!E$3:E$999="INR")*(Expenses!A$3:A$999=DATE(2026,8,19)),ROW(Expenses!A$3:A$999)-2),2)),0)+IFERROR(INDEX(Income!C$3:C$502,SMALL(IF((Income!D$3:D$502="INR")*(Income!A$3:A$502=DATE(2026,8,19)),ROW(Income!A$3:A$502)-2),2)),0)=0,"",IFERROR(-INDEX(Expenses!D$3:D$999,SMALL(IF((Expenses!E$3:E$999="INR")*(Expenses!A$3:A$999=DATE(2026,8,19)),ROW(Expenses!A$3:A$999)-2),2)),0)+IFERROR(INDEX(Income!C$3:C$502,SMALL(IF((Income!D$3:D$502="INR")*(Income!A$3:A$502=DATE(2026,8,19)),ROW(Income!A$3:A$502)-2),2)),0))</f>
        <v/>
      </c>
      <c r="H170" s="126">
        <f t="array" ref="H170">IF(IFERROR(INDEX(Expenses!B$3:B$999,SMALL(IF((Expenses!E$3:E$999="INR")*(Expenses!A$3:A$999=DATE(2026,8,19)),ROW(Expenses!A$3:A$999)-2),2)),"")&lt;&gt;"",IFERROR(INDEX(Expenses!B$3:B$999,SMALL(IF((Expenses!E$3:E$999="INR")*(Expenses!A$3:A$999=DATE(2026,8,19)),ROW(Expenses!A$3:A$999)-2),2)),""),IF(IFERROR(INDEX(Income!B$3:B$502,SMALL(IF((Income!D$3:D$502="INR")*(Income!A$3:A$502=DATE(2026,8,19)),ROW(Income!A$3:A$502)-2),2)),"")&lt;&gt;"",IFERROR(INDEX(Income!B$3:B$502,SMALL(IF((Income!D$3:D$502="INR")*(Income!A$3:A$502=DATE(2026,8,19)),ROW(Income!A$3:A$502)-2),2)),""),""))</f>
        <v/>
      </c>
      <c r="I170" s="153">
        <f t="array" ref="I170">IF(IFERROR(-INDEX(Expenses!D$3:D$999,SMALL(IF((Expenses!E$3:E$999="INR")*(Expenses!A$3:A$999=DATE(2026,8,20)),ROW(Expenses!A$3:A$999)-2),2)),0)+IFERROR(INDEX(Income!C$3:C$502,SMALL(IF((Income!D$3:D$502="INR")*(Income!A$3:A$502=DATE(2026,8,20)),ROW(Income!A$3:A$502)-2),2)),0)=0,"",IFERROR(-INDEX(Expenses!D$3:D$999,SMALL(IF((Expenses!E$3:E$999="INR")*(Expenses!A$3:A$999=DATE(2026,8,20)),ROW(Expenses!A$3:A$999)-2),2)),0)+IFERROR(INDEX(Income!C$3:C$502,SMALL(IF((Income!D$3:D$502="INR")*(Income!A$3:A$502=DATE(2026,8,20)),ROW(Income!A$3:A$502)-2),2)),0))</f>
        <v/>
      </c>
      <c r="J170" s="126">
        <f t="array" ref="J170">IF(IFERROR(INDEX(Expenses!B$3:B$999,SMALL(IF((Expenses!E$3:E$999="INR")*(Expenses!A$3:A$999=DATE(2026,8,20)),ROW(Expenses!A$3:A$999)-2),2)),"")&lt;&gt;"",IFERROR(INDEX(Expenses!B$3:B$999,SMALL(IF((Expenses!E$3:E$999="INR")*(Expenses!A$3:A$999=DATE(2026,8,20)),ROW(Expenses!A$3:A$999)-2),2)),""),IF(IFERROR(INDEX(Income!B$3:B$502,SMALL(IF((Income!D$3:D$502="INR")*(Income!A$3:A$502=DATE(2026,8,20)),ROW(Income!A$3:A$502)-2),2)),"")&lt;&gt;"",IFERROR(INDEX(Income!B$3:B$502,SMALL(IF((Income!D$3:D$502="INR")*(Income!A$3:A$502=DATE(2026,8,20)),ROW(Income!A$3:A$502)-2),2)),""),""))</f>
        <v/>
      </c>
      <c r="K170" s="153">
        <f t="array" ref="K170">IF(IFERROR(-INDEX(Expenses!D$3:D$999,SMALL(IF((Expenses!E$3:E$999="INR")*(Expenses!A$3:A$999=DATE(2026,8,21)),ROW(Expenses!A$3:A$999)-2),2)),0)+IFERROR(INDEX(Income!C$3:C$502,SMALL(IF((Income!D$3:D$502="INR")*(Income!A$3:A$502=DATE(2026,8,21)),ROW(Income!A$3:A$502)-2),2)),0)=0,"",IFERROR(-INDEX(Expenses!D$3:D$999,SMALL(IF((Expenses!E$3:E$999="INR")*(Expenses!A$3:A$999=DATE(2026,8,21)),ROW(Expenses!A$3:A$999)-2),2)),0)+IFERROR(INDEX(Income!C$3:C$502,SMALL(IF((Income!D$3:D$502="INR")*(Income!A$3:A$502=DATE(2026,8,21)),ROW(Income!A$3:A$502)-2),2)),0))</f>
        <v/>
      </c>
      <c r="L170" s="126">
        <f t="array" ref="L170">IF(IFERROR(INDEX(Expenses!B$3:B$999,SMALL(IF((Expenses!E$3:E$999="INR")*(Expenses!A$3:A$999=DATE(2026,8,21)),ROW(Expenses!A$3:A$999)-2),2)),"")&lt;&gt;"",IFERROR(INDEX(Expenses!B$3:B$999,SMALL(IF((Expenses!E$3:E$999="INR")*(Expenses!A$3:A$999=DATE(2026,8,21)),ROW(Expenses!A$3:A$999)-2),2)),""),IF(IFERROR(INDEX(Income!B$3:B$502,SMALL(IF((Income!D$3:D$502="INR")*(Income!A$3:A$502=DATE(2026,8,21)),ROW(Income!A$3:A$502)-2),2)),"")&lt;&gt;"",IFERROR(INDEX(Income!B$3:B$502,SMALL(IF((Income!D$3:D$502="INR")*(Income!A$3:A$502=DATE(2026,8,21)),ROW(Income!A$3:A$502)-2),2)),""),""))</f>
        <v/>
      </c>
      <c r="M170" s="153">
        <f t="array" ref="M170">IF(IFERROR(-INDEX(Expenses!D$3:D$999,SMALL(IF((Expenses!E$3:E$999="INR")*(Expenses!A$3:A$999=DATE(2026,8,22)),ROW(Expenses!A$3:A$999)-2),2)),0)+IFERROR(INDEX(Income!C$3:C$502,SMALL(IF((Income!D$3:D$502="INR")*(Income!A$3:A$502=DATE(2026,8,22)),ROW(Income!A$3:A$502)-2),2)),0)=0,"",IFERROR(-INDEX(Expenses!D$3:D$999,SMALL(IF((Expenses!E$3:E$999="INR")*(Expenses!A$3:A$999=DATE(2026,8,22)),ROW(Expenses!A$3:A$999)-2),2)),0)+IFERROR(INDEX(Income!C$3:C$502,SMALL(IF((Income!D$3:D$502="INR")*(Income!A$3:A$502=DATE(2026,8,22)),ROW(Income!A$3:A$502)-2),2)),0))</f>
        <v/>
      </c>
      <c r="N170" s="126">
        <f t="array" ref="N170">IF(IFERROR(INDEX(Expenses!B$3:B$999,SMALL(IF((Expenses!E$3:E$999="INR")*(Expenses!A$3:A$999=DATE(2026,8,22)),ROW(Expenses!A$3:A$999)-2),2)),"")&lt;&gt;"",IFERROR(INDEX(Expenses!B$3:B$999,SMALL(IF((Expenses!E$3:E$999="INR")*(Expenses!A$3:A$999=DATE(2026,8,22)),ROW(Expenses!A$3:A$999)-2),2)),""),IF(IFERROR(INDEX(Income!B$3:B$502,SMALL(IF((Income!D$3:D$502="INR")*(Income!A$3:A$502=DATE(2026,8,22)),ROW(Income!A$3:A$502)-2),2)),"")&lt;&gt;"",IFERROR(INDEX(Income!B$3:B$502,SMALL(IF((Income!D$3:D$502="INR")*(Income!A$3:A$502=DATE(2026,8,22)),ROW(Income!A$3:A$502)-2),2)),""),""))</f>
        <v/>
      </c>
      <c r="O170" s="153">
        <f t="array" ref="O170">IF(IFERROR(-INDEX(Expenses!D$3:D$999,SMALL(IF((Expenses!E$3:E$999="INR")*(Expenses!A$3:A$999=DATE(2026,8,23)),ROW(Expenses!A$3:A$999)-2),2)),0)+IFERROR(INDEX(Income!C$3:C$502,SMALL(IF((Income!D$3:D$502="INR")*(Income!A$3:A$502=DATE(2026,8,23)),ROW(Income!A$3:A$502)-2),2)),0)=0,"",IFERROR(-INDEX(Expenses!D$3:D$999,SMALL(IF((Expenses!E$3:E$999="INR")*(Expenses!A$3:A$999=DATE(2026,8,23)),ROW(Expenses!A$3:A$999)-2),2)),0)+IFERROR(INDEX(Income!C$3:C$502,SMALL(IF((Income!D$3:D$502="INR")*(Income!A$3:A$502=DATE(2026,8,23)),ROW(Income!A$3:A$502)-2),2)),0))</f>
        <v/>
      </c>
      <c r="P170" s="126">
        <f t="array" ref="P170">IF(IFERROR(INDEX(Expenses!B$3:B$999,SMALL(IF((Expenses!E$3:E$999="INR")*(Expenses!A$3:A$999=DATE(2026,8,23)),ROW(Expenses!A$3:A$999)-2),2)),"")&lt;&gt;"",IFERROR(INDEX(Expenses!B$3:B$999,SMALL(IF((Expenses!E$3:E$999="INR")*(Expenses!A$3:A$999=DATE(2026,8,23)),ROW(Expenses!A$3:A$999)-2),2)),""),IF(IFERROR(INDEX(Income!B$3:B$502,SMALL(IF((Income!D$3:D$502="INR")*(Income!A$3:A$502=DATE(2026,8,23)),ROW(Income!A$3:A$502)-2),2)),"")&lt;&gt;"",IFERROR(INDEX(Income!B$3:B$502,SMALL(IF((Income!D$3:D$502="INR")*(Income!A$3:A$502=DATE(2026,8,23)),ROW(Income!A$3:A$502)-2),2)),""),""))</f>
        <v/>
      </c>
      <c r="Q170" s="9" t="n"/>
      <c r="R170" s="9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68">
      <c r="A171" s="9" t="n"/>
      <c r="B171" s="9" t="n"/>
      <c r="C171" s="153">
        <f t="array" ref="C171">IF(IFERROR(-INDEX(Expenses!D$3:D$999,SMALL(IF((Expenses!E$3:E$999="INR")*(Expenses!A$3:A$999=DATE(2026,8,17)),ROW(Expenses!A$3:A$999)-2),3)),0)+IFERROR(INDEX(Income!C$3:C$502,SMALL(IF((Income!D$3:D$502="INR")*(Income!A$3:A$502=DATE(2026,8,17)),ROW(Income!A$3:A$502)-2),3)),0)=0,"",IFERROR(-INDEX(Expenses!D$3:D$999,SMALL(IF((Expenses!E$3:E$999="INR")*(Expenses!A$3:A$999=DATE(2026,8,17)),ROW(Expenses!A$3:A$999)-2),3)),0)+IFERROR(INDEX(Income!C$3:C$502,SMALL(IF((Income!D$3:D$502="INR")*(Income!A$3:A$502=DATE(2026,8,17)),ROW(Income!A$3:A$502)-2),3)),0))</f>
        <v/>
      </c>
      <c r="D171" s="126">
        <f t="array" ref="D171">IF(IFERROR(INDEX(Expenses!B$3:B$999,SMALL(IF((Expenses!E$3:E$999="INR")*(Expenses!A$3:A$999=DATE(2026,8,17)),ROW(Expenses!A$3:A$999)-2),3)),"")&lt;&gt;"",IFERROR(INDEX(Expenses!B$3:B$999,SMALL(IF((Expenses!E$3:E$999="INR")*(Expenses!A$3:A$999=DATE(2026,8,17)),ROW(Expenses!A$3:A$999)-2),3)),""),IF(IFERROR(INDEX(Income!B$3:B$502,SMALL(IF((Income!D$3:D$502="INR")*(Income!A$3:A$502=DATE(2026,8,17)),ROW(Income!A$3:A$502)-2),3)),"")&lt;&gt;"",IFERROR(INDEX(Income!B$3:B$502,SMALL(IF((Income!D$3:D$502="INR")*(Income!A$3:A$502=DATE(2026,8,17)),ROW(Income!A$3:A$502)-2),3)),""),""))</f>
        <v/>
      </c>
      <c r="E171" s="153">
        <f t="array" ref="E171">IF(IFERROR(-INDEX(Expenses!D$3:D$999,SMALL(IF((Expenses!E$3:E$999="INR")*(Expenses!A$3:A$999=DATE(2026,8,18)),ROW(Expenses!A$3:A$999)-2),3)),0)+IFERROR(INDEX(Income!C$3:C$502,SMALL(IF((Income!D$3:D$502="INR")*(Income!A$3:A$502=DATE(2026,8,18)),ROW(Income!A$3:A$502)-2),3)),0)=0,"",IFERROR(-INDEX(Expenses!D$3:D$999,SMALL(IF((Expenses!E$3:E$999="INR")*(Expenses!A$3:A$999=DATE(2026,8,18)),ROW(Expenses!A$3:A$999)-2),3)),0)+IFERROR(INDEX(Income!C$3:C$502,SMALL(IF((Income!D$3:D$502="INR")*(Income!A$3:A$502=DATE(2026,8,18)),ROW(Income!A$3:A$502)-2),3)),0))</f>
        <v/>
      </c>
      <c r="F171" s="126">
        <f t="array" ref="F171">IF(IFERROR(INDEX(Expenses!B$3:B$999,SMALL(IF((Expenses!E$3:E$999="INR")*(Expenses!A$3:A$999=DATE(2026,8,18)),ROW(Expenses!A$3:A$999)-2),3)),"")&lt;&gt;"",IFERROR(INDEX(Expenses!B$3:B$999,SMALL(IF((Expenses!E$3:E$999="INR")*(Expenses!A$3:A$999=DATE(2026,8,18)),ROW(Expenses!A$3:A$999)-2),3)),""),IF(IFERROR(INDEX(Income!B$3:B$502,SMALL(IF((Income!D$3:D$502="INR")*(Income!A$3:A$502=DATE(2026,8,18)),ROW(Income!A$3:A$502)-2),3)),"")&lt;&gt;"",IFERROR(INDEX(Income!B$3:B$502,SMALL(IF((Income!D$3:D$502="INR")*(Income!A$3:A$502=DATE(2026,8,18)),ROW(Income!A$3:A$502)-2),3)),""),""))</f>
        <v/>
      </c>
      <c r="G171" s="153">
        <f t="array" ref="G171">IF(IFERROR(-INDEX(Expenses!D$3:D$999,SMALL(IF((Expenses!E$3:E$999="INR")*(Expenses!A$3:A$999=DATE(2026,8,19)),ROW(Expenses!A$3:A$999)-2),3)),0)+IFERROR(INDEX(Income!C$3:C$502,SMALL(IF((Income!D$3:D$502="INR")*(Income!A$3:A$502=DATE(2026,8,19)),ROW(Income!A$3:A$502)-2),3)),0)=0,"",IFERROR(-INDEX(Expenses!D$3:D$999,SMALL(IF((Expenses!E$3:E$999="INR")*(Expenses!A$3:A$999=DATE(2026,8,19)),ROW(Expenses!A$3:A$999)-2),3)),0)+IFERROR(INDEX(Income!C$3:C$502,SMALL(IF((Income!D$3:D$502="INR")*(Income!A$3:A$502=DATE(2026,8,19)),ROW(Income!A$3:A$502)-2),3)),0))</f>
        <v/>
      </c>
      <c r="H171" s="126">
        <f t="array" ref="H171">IF(IFERROR(INDEX(Expenses!B$3:B$999,SMALL(IF((Expenses!E$3:E$999="INR")*(Expenses!A$3:A$999=DATE(2026,8,19)),ROW(Expenses!A$3:A$999)-2),3)),"")&lt;&gt;"",IFERROR(INDEX(Expenses!B$3:B$999,SMALL(IF((Expenses!E$3:E$999="INR")*(Expenses!A$3:A$999=DATE(2026,8,19)),ROW(Expenses!A$3:A$999)-2),3)),""),IF(IFERROR(INDEX(Income!B$3:B$502,SMALL(IF((Income!D$3:D$502="INR")*(Income!A$3:A$502=DATE(2026,8,19)),ROW(Income!A$3:A$502)-2),3)),"")&lt;&gt;"",IFERROR(INDEX(Income!B$3:B$502,SMALL(IF((Income!D$3:D$502="INR")*(Income!A$3:A$502=DATE(2026,8,19)),ROW(Income!A$3:A$502)-2),3)),""),""))</f>
        <v/>
      </c>
      <c r="I171" s="153">
        <f t="array" ref="I171">IF(IFERROR(-INDEX(Expenses!D$3:D$999,SMALL(IF((Expenses!E$3:E$999="INR")*(Expenses!A$3:A$999=DATE(2026,8,20)),ROW(Expenses!A$3:A$999)-2),3)),0)+IFERROR(INDEX(Income!C$3:C$502,SMALL(IF((Income!D$3:D$502="INR")*(Income!A$3:A$502=DATE(2026,8,20)),ROW(Income!A$3:A$502)-2),3)),0)=0,"",IFERROR(-INDEX(Expenses!D$3:D$999,SMALL(IF((Expenses!E$3:E$999="INR")*(Expenses!A$3:A$999=DATE(2026,8,20)),ROW(Expenses!A$3:A$999)-2),3)),0)+IFERROR(INDEX(Income!C$3:C$502,SMALL(IF((Income!D$3:D$502="INR")*(Income!A$3:A$502=DATE(2026,8,20)),ROW(Income!A$3:A$502)-2),3)),0))</f>
        <v/>
      </c>
      <c r="J171" s="126">
        <f t="array" ref="J171">IF(IFERROR(INDEX(Expenses!B$3:B$999,SMALL(IF((Expenses!E$3:E$999="INR")*(Expenses!A$3:A$999=DATE(2026,8,20)),ROW(Expenses!A$3:A$999)-2),3)),"")&lt;&gt;"",IFERROR(INDEX(Expenses!B$3:B$999,SMALL(IF((Expenses!E$3:E$999="INR")*(Expenses!A$3:A$999=DATE(2026,8,20)),ROW(Expenses!A$3:A$999)-2),3)),""),IF(IFERROR(INDEX(Income!B$3:B$502,SMALL(IF((Income!D$3:D$502="INR")*(Income!A$3:A$502=DATE(2026,8,20)),ROW(Income!A$3:A$502)-2),3)),"")&lt;&gt;"",IFERROR(INDEX(Income!B$3:B$502,SMALL(IF((Income!D$3:D$502="INR")*(Income!A$3:A$502=DATE(2026,8,20)),ROW(Income!A$3:A$502)-2),3)),""),""))</f>
        <v/>
      </c>
      <c r="K171" s="153">
        <f t="array" ref="K171">IF(IFERROR(-INDEX(Expenses!D$3:D$999,SMALL(IF((Expenses!E$3:E$999="INR")*(Expenses!A$3:A$999=DATE(2026,8,21)),ROW(Expenses!A$3:A$999)-2),3)),0)+IFERROR(INDEX(Income!C$3:C$502,SMALL(IF((Income!D$3:D$502="INR")*(Income!A$3:A$502=DATE(2026,8,21)),ROW(Income!A$3:A$502)-2),3)),0)=0,"",IFERROR(-INDEX(Expenses!D$3:D$999,SMALL(IF((Expenses!E$3:E$999="INR")*(Expenses!A$3:A$999=DATE(2026,8,21)),ROW(Expenses!A$3:A$999)-2),3)),0)+IFERROR(INDEX(Income!C$3:C$502,SMALL(IF((Income!D$3:D$502="INR")*(Income!A$3:A$502=DATE(2026,8,21)),ROW(Income!A$3:A$502)-2),3)),0))</f>
        <v/>
      </c>
      <c r="L171" s="126">
        <f t="array" ref="L171">IF(IFERROR(INDEX(Expenses!B$3:B$999,SMALL(IF((Expenses!E$3:E$999="INR")*(Expenses!A$3:A$999=DATE(2026,8,21)),ROW(Expenses!A$3:A$999)-2),3)),"")&lt;&gt;"",IFERROR(INDEX(Expenses!B$3:B$999,SMALL(IF((Expenses!E$3:E$999="INR")*(Expenses!A$3:A$999=DATE(2026,8,21)),ROW(Expenses!A$3:A$999)-2),3)),""),IF(IFERROR(INDEX(Income!B$3:B$502,SMALL(IF((Income!D$3:D$502="INR")*(Income!A$3:A$502=DATE(2026,8,21)),ROW(Income!A$3:A$502)-2),3)),"")&lt;&gt;"",IFERROR(INDEX(Income!B$3:B$502,SMALL(IF((Income!D$3:D$502="INR")*(Income!A$3:A$502=DATE(2026,8,21)),ROW(Income!A$3:A$502)-2),3)),""),""))</f>
        <v/>
      </c>
      <c r="M171" s="153">
        <f t="array" ref="M171">IF(IFERROR(-INDEX(Expenses!D$3:D$999,SMALL(IF((Expenses!E$3:E$999="INR")*(Expenses!A$3:A$999=DATE(2026,8,22)),ROW(Expenses!A$3:A$999)-2),3)),0)+IFERROR(INDEX(Income!C$3:C$502,SMALL(IF((Income!D$3:D$502="INR")*(Income!A$3:A$502=DATE(2026,8,22)),ROW(Income!A$3:A$502)-2),3)),0)=0,"",IFERROR(-INDEX(Expenses!D$3:D$999,SMALL(IF((Expenses!E$3:E$999="INR")*(Expenses!A$3:A$999=DATE(2026,8,22)),ROW(Expenses!A$3:A$999)-2),3)),0)+IFERROR(INDEX(Income!C$3:C$502,SMALL(IF((Income!D$3:D$502="INR")*(Income!A$3:A$502=DATE(2026,8,22)),ROW(Income!A$3:A$502)-2),3)),0))</f>
        <v/>
      </c>
      <c r="N171" s="126">
        <f t="array" ref="N171">IF(IFERROR(INDEX(Expenses!B$3:B$999,SMALL(IF((Expenses!E$3:E$999="INR")*(Expenses!A$3:A$999=DATE(2026,8,22)),ROW(Expenses!A$3:A$999)-2),3)),"")&lt;&gt;"",IFERROR(INDEX(Expenses!B$3:B$999,SMALL(IF((Expenses!E$3:E$999="INR")*(Expenses!A$3:A$999=DATE(2026,8,22)),ROW(Expenses!A$3:A$999)-2),3)),""),IF(IFERROR(INDEX(Income!B$3:B$502,SMALL(IF((Income!D$3:D$502="INR")*(Income!A$3:A$502=DATE(2026,8,22)),ROW(Income!A$3:A$502)-2),3)),"")&lt;&gt;"",IFERROR(INDEX(Income!B$3:B$502,SMALL(IF((Income!D$3:D$502="INR")*(Income!A$3:A$502=DATE(2026,8,22)),ROW(Income!A$3:A$502)-2),3)),""),""))</f>
        <v/>
      </c>
      <c r="O171" s="153">
        <f t="array" ref="O171">IF(IFERROR(-INDEX(Expenses!D$3:D$999,SMALL(IF((Expenses!E$3:E$999="INR")*(Expenses!A$3:A$999=DATE(2026,8,23)),ROW(Expenses!A$3:A$999)-2),3)),0)+IFERROR(INDEX(Income!C$3:C$502,SMALL(IF((Income!D$3:D$502="INR")*(Income!A$3:A$502=DATE(2026,8,23)),ROW(Income!A$3:A$502)-2),3)),0)=0,"",IFERROR(-INDEX(Expenses!D$3:D$999,SMALL(IF((Expenses!E$3:E$999="INR")*(Expenses!A$3:A$999=DATE(2026,8,23)),ROW(Expenses!A$3:A$999)-2),3)),0)+IFERROR(INDEX(Income!C$3:C$502,SMALL(IF((Income!D$3:D$502="INR")*(Income!A$3:A$502=DATE(2026,8,23)),ROW(Income!A$3:A$502)-2),3)),0))</f>
        <v/>
      </c>
      <c r="P171" s="126">
        <f t="array" ref="P171">IF(IFERROR(INDEX(Expenses!B$3:B$999,SMALL(IF((Expenses!E$3:E$999="INR")*(Expenses!A$3:A$999=DATE(2026,8,23)),ROW(Expenses!A$3:A$999)-2),3)),"")&lt;&gt;"",IFERROR(INDEX(Expenses!B$3:B$999,SMALL(IF((Expenses!E$3:E$999="INR")*(Expenses!A$3:A$999=DATE(2026,8,23)),ROW(Expenses!A$3:A$999)-2),3)),""),IF(IFERROR(INDEX(Income!B$3:B$502,SMALL(IF((Income!D$3:D$502="INR")*(Income!A$3:A$502=DATE(2026,8,23)),ROW(Income!A$3:A$502)-2),3)),"")&lt;&gt;"",IFERROR(INDEX(Income!B$3:B$502,SMALL(IF((Income!D$3:D$502="INR")*(Income!A$3:A$502=DATE(2026,8,23)),ROW(Income!A$3:A$502)-2),3)),""),""))</f>
        <v/>
      </c>
      <c r="Q171" s="9" t="n"/>
      <c r="R171" s="9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68">
      <c r="A172" s="9" t="n"/>
      <c r="B172" s="9" t="n"/>
      <c r="C172" s="153">
        <f t="array" ref="C172">IF(IFERROR(-INDEX(Expenses!D$3:D$999,SMALL(IF((Expenses!E$3:E$999="INR")*(Expenses!A$3:A$999=DATE(2026,8,17)),ROW(Expenses!A$3:A$999)-2),4)),0)+IFERROR(INDEX(Income!C$3:C$502,SMALL(IF((Income!D$3:D$502="INR")*(Income!A$3:A$502=DATE(2026,8,17)),ROW(Income!A$3:A$502)-2),4)),0)=0,"",IFERROR(-INDEX(Expenses!D$3:D$999,SMALL(IF((Expenses!E$3:E$999="INR")*(Expenses!A$3:A$999=DATE(2026,8,17)),ROW(Expenses!A$3:A$999)-2),4)),0)+IFERROR(INDEX(Income!C$3:C$502,SMALL(IF((Income!D$3:D$502="INR")*(Income!A$3:A$502=DATE(2026,8,17)),ROW(Income!A$3:A$502)-2),4)),0))</f>
        <v/>
      </c>
      <c r="D172" s="126">
        <f t="array" ref="D172">IF(IFERROR(INDEX(Expenses!B$3:B$999,SMALL(IF((Expenses!E$3:E$999="INR")*(Expenses!A$3:A$999=DATE(2026,8,17)),ROW(Expenses!A$3:A$999)-2),4)),"")&lt;&gt;"",IFERROR(INDEX(Expenses!B$3:B$999,SMALL(IF((Expenses!E$3:E$999="INR")*(Expenses!A$3:A$999=DATE(2026,8,17)),ROW(Expenses!A$3:A$999)-2),4)),""),IF(IFERROR(INDEX(Income!B$3:B$502,SMALL(IF((Income!D$3:D$502="INR")*(Income!A$3:A$502=DATE(2026,8,17)),ROW(Income!A$3:A$502)-2),4)),"")&lt;&gt;"",IFERROR(INDEX(Income!B$3:B$502,SMALL(IF((Income!D$3:D$502="INR")*(Income!A$3:A$502=DATE(2026,8,17)),ROW(Income!A$3:A$502)-2),4)),""),""))</f>
        <v/>
      </c>
      <c r="E172" s="153">
        <f t="array" ref="E172">IF(IFERROR(-INDEX(Expenses!D$3:D$999,SMALL(IF((Expenses!E$3:E$999="INR")*(Expenses!A$3:A$999=DATE(2026,8,18)),ROW(Expenses!A$3:A$999)-2),4)),0)+IFERROR(INDEX(Income!C$3:C$502,SMALL(IF((Income!D$3:D$502="INR")*(Income!A$3:A$502=DATE(2026,8,18)),ROW(Income!A$3:A$502)-2),4)),0)=0,"",IFERROR(-INDEX(Expenses!D$3:D$999,SMALL(IF((Expenses!E$3:E$999="INR")*(Expenses!A$3:A$999=DATE(2026,8,18)),ROW(Expenses!A$3:A$999)-2),4)),0)+IFERROR(INDEX(Income!C$3:C$502,SMALL(IF((Income!D$3:D$502="INR")*(Income!A$3:A$502=DATE(2026,8,18)),ROW(Income!A$3:A$502)-2),4)),0))</f>
        <v/>
      </c>
      <c r="F172" s="126">
        <f t="array" ref="F172">IF(IFERROR(INDEX(Expenses!B$3:B$999,SMALL(IF((Expenses!E$3:E$999="INR")*(Expenses!A$3:A$999=DATE(2026,8,18)),ROW(Expenses!A$3:A$999)-2),4)),"")&lt;&gt;"",IFERROR(INDEX(Expenses!B$3:B$999,SMALL(IF((Expenses!E$3:E$999="INR")*(Expenses!A$3:A$999=DATE(2026,8,18)),ROW(Expenses!A$3:A$999)-2),4)),""),IF(IFERROR(INDEX(Income!B$3:B$502,SMALL(IF((Income!D$3:D$502="INR")*(Income!A$3:A$502=DATE(2026,8,18)),ROW(Income!A$3:A$502)-2),4)),"")&lt;&gt;"",IFERROR(INDEX(Income!B$3:B$502,SMALL(IF((Income!D$3:D$502="INR")*(Income!A$3:A$502=DATE(2026,8,18)),ROW(Income!A$3:A$502)-2),4)),""),""))</f>
        <v/>
      </c>
      <c r="G172" s="153">
        <f t="array" ref="G172">IF(IFERROR(-INDEX(Expenses!D$3:D$999,SMALL(IF((Expenses!E$3:E$999="INR")*(Expenses!A$3:A$999=DATE(2026,8,19)),ROW(Expenses!A$3:A$999)-2),4)),0)+IFERROR(INDEX(Income!C$3:C$502,SMALL(IF((Income!D$3:D$502="INR")*(Income!A$3:A$502=DATE(2026,8,19)),ROW(Income!A$3:A$502)-2),4)),0)=0,"",IFERROR(-INDEX(Expenses!D$3:D$999,SMALL(IF((Expenses!E$3:E$999="INR")*(Expenses!A$3:A$999=DATE(2026,8,19)),ROW(Expenses!A$3:A$999)-2),4)),0)+IFERROR(INDEX(Income!C$3:C$502,SMALL(IF((Income!D$3:D$502="INR")*(Income!A$3:A$502=DATE(2026,8,19)),ROW(Income!A$3:A$502)-2),4)),0))</f>
        <v/>
      </c>
      <c r="H172" s="126">
        <f t="array" ref="H172">IF(IFERROR(INDEX(Expenses!B$3:B$999,SMALL(IF((Expenses!E$3:E$999="INR")*(Expenses!A$3:A$999=DATE(2026,8,19)),ROW(Expenses!A$3:A$999)-2),4)),"")&lt;&gt;"",IFERROR(INDEX(Expenses!B$3:B$999,SMALL(IF((Expenses!E$3:E$999="INR")*(Expenses!A$3:A$999=DATE(2026,8,19)),ROW(Expenses!A$3:A$999)-2),4)),""),IF(IFERROR(INDEX(Income!B$3:B$502,SMALL(IF((Income!D$3:D$502="INR")*(Income!A$3:A$502=DATE(2026,8,19)),ROW(Income!A$3:A$502)-2),4)),"")&lt;&gt;"",IFERROR(INDEX(Income!B$3:B$502,SMALL(IF((Income!D$3:D$502="INR")*(Income!A$3:A$502=DATE(2026,8,19)),ROW(Income!A$3:A$502)-2),4)),""),""))</f>
        <v/>
      </c>
      <c r="I172" s="153">
        <f t="array" ref="I172">IF(IFERROR(-INDEX(Expenses!D$3:D$999,SMALL(IF((Expenses!E$3:E$999="INR")*(Expenses!A$3:A$999=DATE(2026,8,20)),ROW(Expenses!A$3:A$999)-2),4)),0)+IFERROR(INDEX(Income!C$3:C$502,SMALL(IF((Income!D$3:D$502="INR")*(Income!A$3:A$502=DATE(2026,8,20)),ROW(Income!A$3:A$502)-2),4)),0)=0,"",IFERROR(-INDEX(Expenses!D$3:D$999,SMALL(IF((Expenses!E$3:E$999="INR")*(Expenses!A$3:A$999=DATE(2026,8,20)),ROW(Expenses!A$3:A$999)-2),4)),0)+IFERROR(INDEX(Income!C$3:C$502,SMALL(IF((Income!D$3:D$502="INR")*(Income!A$3:A$502=DATE(2026,8,20)),ROW(Income!A$3:A$502)-2),4)),0))</f>
        <v/>
      </c>
      <c r="J172" s="126">
        <f t="array" ref="J172">IF(IFERROR(INDEX(Expenses!B$3:B$999,SMALL(IF((Expenses!E$3:E$999="INR")*(Expenses!A$3:A$999=DATE(2026,8,20)),ROW(Expenses!A$3:A$999)-2),4)),"")&lt;&gt;"",IFERROR(INDEX(Expenses!B$3:B$999,SMALL(IF((Expenses!E$3:E$999="INR")*(Expenses!A$3:A$999=DATE(2026,8,20)),ROW(Expenses!A$3:A$999)-2),4)),""),IF(IFERROR(INDEX(Income!B$3:B$502,SMALL(IF((Income!D$3:D$502="INR")*(Income!A$3:A$502=DATE(2026,8,20)),ROW(Income!A$3:A$502)-2),4)),"")&lt;&gt;"",IFERROR(INDEX(Income!B$3:B$502,SMALL(IF((Income!D$3:D$502="INR")*(Income!A$3:A$502=DATE(2026,8,20)),ROW(Income!A$3:A$502)-2),4)),""),""))</f>
        <v/>
      </c>
      <c r="K172" s="153">
        <f t="array" ref="K172">IF(IFERROR(-INDEX(Expenses!D$3:D$999,SMALL(IF((Expenses!E$3:E$999="INR")*(Expenses!A$3:A$999=DATE(2026,8,21)),ROW(Expenses!A$3:A$999)-2),4)),0)+IFERROR(INDEX(Income!C$3:C$502,SMALL(IF((Income!D$3:D$502="INR")*(Income!A$3:A$502=DATE(2026,8,21)),ROW(Income!A$3:A$502)-2),4)),0)=0,"",IFERROR(-INDEX(Expenses!D$3:D$999,SMALL(IF((Expenses!E$3:E$999="INR")*(Expenses!A$3:A$999=DATE(2026,8,21)),ROW(Expenses!A$3:A$999)-2),4)),0)+IFERROR(INDEX(Income!C$3:C$502,SMALL(IF((Income!D$3:D$502="INR")*(Income!A$3:A$502=DATE(2026,8,21)),ROW(Income!A$3:A$502)-2),4)),0))</f>
        <v/>
      </c>
      <c r="L172" s="126">
        <f t="array" ref="L172">IF(IFERROR(INDEX(Expenses!B$3:B$999,SMALL(IF((Expenses!E$3:E$999="INR")*(Expenses!A$3:A$999=DATE(2026,8,21)),ROW(Expenses!A$3:A$999)-2),4)),"")&lt;&gt;"",IFERROR(INDEX(Expenses!B$3:B$999,SMALL(IF((Expenses!E$3:E$999="INR")*(Expenses!A$3:A$999=DATE(2026,8,21)),ROW(Expenses!A$3:A$999)-2),4)),""),IF(IFERROR(INDEX(Income!B$3:B$502,SMALL(IF((Income!D$3:D$502="INR")*(Income!A$3:A$502=DATE(2026,8,21)),ROW(Income!A$3:A$502)-2),4)),"")&lt;&gt;"",IFERROR(INDEX(Income!B$3:B$502,SMALL(IF((Income!D$3:D$502="INR")*(Income!A$3:A$502=DATE(2026,8,21)),ROW(Income!A$3:A$502)-2),4)),""),""))</f>
        <v/>
      </c>
      <c r="M172" s="153">
        <f t="array" ref="M172">IF(IFERROR(-INDEX(Expenses!D$3:D$999,SMALL(IF((Expenses!E$3:E$999="INR")*(Expenses!A$3:A$999=DATE(2026,8,22)),ROW(Expenses!A$3:A$999)-2),4)),0)+IFERROR(INDEX(Income!C$3:C$502,SMALL(IF((Income!D$3:D$502="INR")*(Income!A$3:A$502=DATE(2026,8,22)),ROW(Income!A$3:A$502)-2),4)),0)=0,"",IFERROR(-INDEX(Expenses!D$3:D$999,SMALL(IF((Expenses!E$3:E$999="INR")*(Expenses!A$3:A$999=DATE(2026,8,22)),ROW(Expenses!A$3:A$999)-2),4)),0)+IFERROR(INDEX(Income!C$3:C$502,SMALL(IF((Income!D$3:D$502="INR")*(Income!A$3:A$502=DATE(2026,8,22)),ROW(Income!A$3:A$502)-2),4)),0))</f>
        <v/>
      </c>
      <c r="N172" s="126">
        <f t="array" ref="N172">IF(IFERROR(INDEX(Expenses!B$3:B$999,SMALL(IF((Expenses!E$3:E$999="INR")*(Expenses!A$3:A$999=DATE(2026,8,22)),ROW(Expenses!A$3:A$999)-2),4)),"")&lt;&gt;"",IFERROR(INDEX(Expenses!B$3:B$999,SMALL(IF((Expenses!E$3:E$999="INR")*(Expenses!A$3:A$999=DATE(2026,8,22)),ROW(Expenses!A$3:A$999)-2),4)),""),IF(IFERROR(INDEX(Income!B$3:B$502,SMALL(IF((Income!D$3:D$502="INR")*(Income!A$3:A$502=DATE(2026,8,22)),ROW(Income!A$3:A$502)-2),4)),"")&lt;&gt;"",IFERROR(INDEX(Income!B$3:B$502,SMALL(IF((Income!D$3:D$502="INR")*(Income!A$3:A$502=DATE(2026,8,22)),ROW(Income!A$3:A$502)-2),4)),""),""))</f>
        <v/>
      </c>
      <c r="O172" s="153">
        <f t="array" ref="O172">IF(IFERROR(-INDEX(Expenses!D$3:D$999,SMALL(IF((Expenses!E$3:E$999="INR")*(Expenses!A$3:A$999=DATE(2026,8,23)),ROW(Expenses!A$3:A$999)-2),4)),0)+IFERROR(INDEX(Income!C$3:C$502,SMALL(IF((Income!D$3:D$502="INR")*(Income!A$3:A$502=DATE(2026,8,23)),ROW(Income!A$3:A$502)-2),4)),0)=0,"",IFERROR(-INDEX(Expenses!D$3:D$999,SMALL(IF((Expenses!E$3:E$999="INR")*(Expenses!A$3:A$999=DATE(2026,8,23)),ROW(Expenses!A$3:A$999)-2),4)),0)+IFERROR(INDEX(Income!C$3:C$502,SMALL(IF((Income!D$3:D$502="INR")*(Income!A$3:A$502=DATE(2026,8,23)),ROW(Income!A$3:A$502)-2),4)),0))</f>
        <v/>
      </c>
      <c r="P172" s="126">
        <f t="array" ref="P172">IF(IFERROR(INDEX(Expenses!B$3:B$999,SMALL(IF((Expenses!E$3:E$999="INR")*(Expenses!A$3:A$999=DATE(2026,8,23)),ROW(Expenses!A$3:A$999)-2),4)),"")&lt;&gt;"",IFERROR(INDEX(Expenses!B$3:B$999,SMALL(IF((Expenses!E$3:E$999="INR")*(Expenses!A$3:A$999=DATE(2026,8,23)),ROW(Expenses!A$3:A$999)-2),4)),""),IF(IFERROR(INDEX(Income!B$3:B$502,SMALL(IF((Income!D$3:D$502="INR")*(Income!A$3:A$502=DATE(2026,8,23)),ROW(Income!A$3:A$502)-2),4)),"")&lt;&gt;"",IFERROR(INDEX(Income!B$3:B$502,SMALL(IF((Income!D$3:D$502="INR")*(Income!A$3:A$502=DATE(2026,8,23)),ROW(Income!A$3:A$502)-2),4)),""),""))</f>
        <v/>
      </c>
      <c r="Q172" s="9" t="n"/>
      <c r="R172" s="9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68">
      <c r="A173" s="9" t="n"/>
      <c r="B173" s="9" t="n"/>
      <c r="C173" s="153">
        <f t="array" ref="C173">IF(IFERROR(-INDEX(Expenses!D$3:D$999,SMALL(IF((Expenses!E$3:E$999="INR")*(Expenses!A$3:A$999=DATE(2026,8,17)),ROW(Expenses!A$3:A$999)-2),5)),0)+IFERROR(INDEX(Income!C$3:C$502,SMALL(IF((Income!D$3:D$502="INR")*(Income!A$3:A$502=DATE(2026,8,17)),ROW(Income!A$3:A$502)-2),5)),0)=0,"",IFERROR(-INDEX(Expenses!D$3:D$999,SMALL(IF((Expenses!E$3:E$999="INR")*(Expenses!A$3:A$999=DATE(2026,8,17)),ROW(Expenses!A$3:A$999)-2),5)),0)+IFERROR(INDEX(Income!C$3:C$502,SMALL(IF((Income!D$3:D$502="INR")*(Income!A$3:A$502=DATE(2026,8,17)),ROW(Income!A$3:A$502)-2),5)),0))</f>
        <v/>
      </c>
      <c r="D173" s="126">
        <f t="array" ref="D173">IF(IFERROR(INDEX(Expenses!B$3:B$999,SMALL(IF((Expenses!E$3:E$999="INR")*(Expenses!A$3:A$999=DATE(2026,8,17)),ROW(Expenses!A$3:A$999)-2),5)),"")&lt;&gt;"",IFERROR(INDEX(Expenses!B$3:B$999,SMALL(IF((Expenses!E$3:E$999="INR")*(Expenses!A$3:A$999=DATE(2026,8,17)),ROW(Expenses!A$3:A$999)-2),5)),""),IF(IFERROR(INDEX(Income!B$3:B$502,SMALL(IF((Income!D$3:D$502="INR")*(Income!A$3:A$502=DATE(2026,8,17)),ROW(Income!A$3:A$502)-2),5)),"")&lt;&gt;"",IFERROR(INDEX(Income!B$3:B$502,SMALL(IF((Income!D$3:D$502="INR")*(Income!A$3:A$502=DATE(2026,8,17)),ROW(Income!A$3:A$502)-2),5)),""),""))</f>
        <v/>
      </c>
      <c r="E173" s="153">
        <f t="array" ref="E173">IF(IFERROR(-INDEX(Expenses!D$3:D$999,SMALL(IF((Expenses!E$3:E$999="INR")*(Expenses!A$3:A$999=DATE(2026,8,18)),ROW(Expenses!A$3:A$999)-2),5)),0)+IFERROR(INDEX(Income!C$3:C$502,SMALL(IF((Income!D$3:D$502="INR")*(Income!A$3:A$502=DATE(2026,8,18)),ROW(Income!A$3:A$502)-2),5)),0)=0,"",IFERROR(-INDEX(Expenses!D$3:D$999,SMALL(IF((Expenses!E$3:E$999="INR")*(Expenses!A$3:A$999=DATE(2026,8,18)),ROW(Expenses!A$3:A$999)-2),5)),0)+IFERROR(INDEX(Income!C$3:C$502,SMALL(IF((Income!D$3:D$502="INR")*(Income!A$3:A$502=DATE(2026,8,18)),ROW(Income!A$3:A$502)-2),5)),0))</f>
        <v/>
      </c>
      <c r="F173" s="126">
        <f t="array" ref="F173">IF(IFERROR(INDEX(Expenses!B$3:B$999,SMALL(IF((Expenses!E$3:E$999="INR")*(Expenses!A$3:A$999=DATE(2026,8,18)),ROW(Expenses!A$3:A$999)-2),5)),"")&lt;&gt;"",IFERROR(INDEX(Expenses!B$3:B$999,SMALL(IF((Expenses!E$3:E$999="INR")*(Expenses!A$3:A$999=DATE(2026,8,18)),ROW(Expenses!A$3:A$999)-2),5)),""),IF(IFERROR(INDEX(Income!B$3:B$502,SMALL(IF((Income!D$3:D$502="INR")*(Income!A$3:A$502=DATE(2026,8,18)),ROW(Income!A$3:A$502)-2),5)),"")&lt;&gt;"",IFERROR(INDEX(Income!B$3:B$502,SMALL(IF((Income!D$3:D$502="INR")*(Income!A$3:A$502=DATE(2026,8,18)),ROW(Income!A$3:A$502)-2),5)),""),""))</f>
        <v/>
      </c>
      <c r="G173" s="153">
        <f t="array" ref="G173">IF(IFERROR(-INDEX(Expenses!D$3:D$999,SMALL(IF((Expenses!E$3:E$999="INR")*(Expenses!A$3:A$999=DATE(2026,8,19)),ROW(Expenses!A$3:A$999)-2),5)),0)+IFERROR(INDEX(Income!C$3:C$502,SMALL(IF((Income!D$3:D$502="INR")*(Income!A$3:A$502=DATE(2026,8,19)),ROW(Income!A$3:A$502)-2),5)),0)=0,"",IFERROR(-INDEX(Expenses!D$3:D$999,SMALL(IF((Expenses!E$3:E$999="INR")*(Expenses!A$3:A$999=DATE(2026,8,19)),ROW(Expenses!A$3:A$999)-2),5)),0)+IFERROR(INDEX(Income!C$3:C$502,SMALL(IF((Income!D$3:D$502="INR")*(Income!A$3:A$502=DATE(2026,8,19)),ROW(Income!A$3:A$502)-2),5)),0))</f>
        <v/>
      </c>
      <c r="H173" s="126">
        <f t="array" ref="H173">IF(IFERROR(INDEX(Expenses!B$3:B$999,SMALL(IF((Expenses!E$3:E$999="INR")*(Expenses!A$3:A$999=DATE(2026,8,19)),ROW(Expenses!A$3:A$999)-2),5)),"")&lt;&gt;"",IFERROR(INDEX(Expenses!B$3:B$999,SMALL(IF((Expenses!E$3:E$999="INR")*(Expenses!A$3:A$999=DATE(2026,8,19)),ROW(Expenses!A$3:A$999)-2),5)),""),IF(IFERROR(INDEX(Income!B$3:B$502,SMALL(IF((Income!D$3:D$502="INR")*(Income!A$3:A$502=DATE(2026,8,19)),ROW(Income!A$3:A$502)-2),5)),"")&lt;&gt;"",IFERROR(INDEX(Income!B$3:B$502,SMALL(IF((Income!D$3:D$502="INR")*(Income!A$3:A$502=DATE(2026,8,19)),ROW(Income!A$3:A$502)-2),5)),""),""))</f>
        <v/>
      </c>
      <c r="I173" s="153">
        <f t="array" ref="I173">IF(IFERROR(-INDEX(Expenses!D$3:D$999,SMALL(IF((Expenses!E$3:E$999="INR")*(Expenses!A$3:A$999=DATE(2026,8,20)),ROW(Expenses!A$3:A$999)-2),5)),0)+IFERROR(INDEX(Income!C$3:C$502,SMALL(IF((Income!D$3:D$502="INR")*(Income!A$3:A$502=DATE(2026,8,20)),ROW(Income!A$3:A$502)-2),5)),0)=0,"",IFERROR(-INDEX(Expenses!D$3:D$999,SMALL(IF((Expenses!E$3:E$999="INR")*(Expenses!A$3:A$999=DATE(2026,8,20)),ROW(Expenses!A$3:A$999)-2),5)),0)+IFERROR(INDEX(Income!C$3:C$502,SMALL(IF((Income!D$3:D$502="INR")*(Income!A$3:A$502=DATE(2026,8,20)),ROW(Income!A$3:A$502)-2),5)),0))</f>
        <v/>
      </c>
      <c r="J173" s="126">
        <f t="array" ref="J173">IF(IFERROR(INDEX(Expenses!B$3:B$999,SMALL(IF((Expenses!E$3:E$999="INR")*(Expenses!A$3:A$999=DATE(2026,8,20)),ROW(Expenses!A$3:A$999)-2),5)),"")&lt;&gt;"",IFERROR(INDEX(Expenses!B$3:B$999,SMALL(IF((Expenses!E$3:E$999="INR")*(Expenses!A$3:A$999=DATE(2026,8,20)),ROW(Expenses!A$3:A$999)-2),5)),""),IF(IFERROR(INDEX(Income!B$3:B$502,SMALL(IF((Income!D$3:D$502="INR")*(Income!A$3:A$502=DATE(2026,8,20)),ROW(Income!A$3:A$502)-2),5)),"")&lt;&gt;"",IFERROR(INDEX(Income!B$3:B$502,SMALL(IF((Income!D$3:D$502="INR")*(Income!A$3:A$502=DATE(2026,8,20)),ROW(Income!A$3:A$502)-2),5)),""),""))</f>
        <v/>
      </c>
      <c r="K173" s="153">
        <f t="array" ref="K173">IF(IFERROR(-INDEX(Expenses!D$3:D$999,SMALL(IF((Expenses!E$3:E$999="INR")*(Expenses!A$3:A$999=DATE(2026,8,21)),ROW(Expenses!A$3:A$999)-2),5)),0)+IFERROR(INDEX(Income!C$3:C$502,SMALL(IF((Income!D$3:D$502="INR")*(Income!A$3:A$502=DATE(2026,8,21)),ROW(Income!A$3:A$502)-2),5)),0)=0,"",IFERROR(-INDEX(Expenses!D$3:D$999,SMALL(IF((Expenses!E$3:E$999="INR")*(Expenses!A$3:A$999=DATE(2026,8,21)),ROW(Expenses!A$3:A$999)-2),5)),0)+IFERROR(INDEX(Income!C$3:C$502,SMALL(IF((Income!D$3:D$502="INR")*(Income!A$3:A$502=DATE(2026,8,21)),ROW(Income!A$3:A$502)-2),5)),0))</f>
        <v/>
      </c>
      <c r="L173" s="126">
        <f t="array" ref="L173">IF(IFERROR(INDEX(Expenses!B$3:B$999,SMALL(IF((Expenses!E$3:E$999="INR")*(Expenses!A$3:A$999=DATE(2026,8,21)),ROW(Expenses!A$3:A$999)-2),5)),"")&lt;&gt;"",IFERROR(INDEX(Expenses!B$3:B$999,SMALL(IF((Expenses!E$3:E$999="INR")*(Expenses!A$3:A$999=DATE(2026,8,21)),ROW(Expenses!A$3:A$999)-2),5)),""),IF(IFERROR(INDEX(Income!B$3:B$502,SMALL(IF((Income!D$3:D$502="INR")*(Income!A$3:A$502=DATE(2026,8,21)),ROW(Income!A$3:A$502)-2),5)),"")&lt;&gt;"",IFERROR(INDEX(Income!B$3:B$502,SMALL(IF((Income!D$3:D$502="INR")*(Income!A$3:A$502=DATE(2026,8,21)),ROW(Income!A$3:A$502)-2),5)),""),""))</f>
        <v/>
      </c>
      <c r="M173" s="153">
        <f t="array" ref="M173">IF(IFERROR(-INDEX(Expenses!D$3:D$999,SMALL(IF((Expenses!E$3:E$999="INR")*(Expenses!A$3:A$999=DATE(2026,8,22)),ROW(Expenses!A$3:A$999)-2),5)),0)+IFERROR(INDEX(Income!C$3:C$502,SMALL(IF((Income!D$3:D$502="INR")*(Income!A$3:A$502=DATE(2026,8,22)),ROW(Income!A$3:A$502)-2),5)),0)=0,"",IFERROR(-INDEX(Expenses!D$3:D$999,SMALL(IF((Expenses!E$3:E$999="INR")*(Expenses!A$3:A$999=DATE(2026,8,22)),ROW(Expenses!A$3:A$999)-2),5)),0)+IFERROR(INDEX(Income!C$3:C$502,SMALL(IF((Income!D$3:D$502="INR")*(Income!A$3:A$502=DATE(2026,8,22)),ROW(Income!A$3:A$502)-2),5)),0))</f>
        <v/>
      </c>
      <c r="N173" s="126">
        <f t="array" ref="N173">IF(IFERROR(INDEX(Expenses!B$3:B$999,SMALL(IF((Expenses!E$3:E$999="INR")*(Expenses!A$3:A$999=DATE(2026,8,22)),ROW(Expenses!A$3:A$999)-2),5)),"")&lt;&gt;"",IFERROR(INDEX(Expenses!B$3:B$999,SMALL(IF((Expenses!E$3:E$999="INR")*(Expenses!A$3:A$999=DATE(2026,8,22)),ROW(Expenses!A$3:A$999)-2),5)),""),IF(IFERROR(INDEX(Income!B$3:B$502,SMALL(IF((Income!D$3:D$502="INR")*(Income!A$3:A$502=DATE(2026,8,22)),ROW(Income!A$3:A$502)-2),5)),"")&lt;&gt;"",IFERROR(INDEX(Income!B$3:B$502,SMALL(IF((Income!D$3:D$502="INR")*(Income!A$3:A$502=DATE(2026,8,22)),ROW(Income!A$3:A$502)-2),5)),""),""))</f>
        <v/>
      </c>
      <c r="O173" s="153">
        <f t="array" ref="O173">IF(IFERROR(-INDEX(Expenses!D$3:D$999,SMALL(IF((Expenses!E$3:E$999="INR")*(Expenses!A$3:A$999=DATE(2026,8,23)),ROW(Expenses!A$3:A$999)-2),5)),0)+IFERROR(INDEX(Income!C$3:C$502,SMALL(IF((Income!D$3:D$502="INR")*(Income!A$3:A$502=DATE(2026,8,23)),ROW(Income!A$3:A$502)-2),5)),0)=0,"",IFERROR(-INDEX(Expenses!D$3:D$999,SMALL(IF((Expenses!E$3:E$999="INR")*(Expenses!A$3:A$999=DATE(2026,8,23)),ROW(Expenses!A$3:A$999)-2),5)),0)+IFERROR(INDEX(Income!C$3:C$502,SMALL(IF((Income!D$3:D$502="INR")*(Income!A$3:A$502=DATE(2026,8,23)),ROW(Income!A$3:A$502)-2),5)),0))</f>
        <v/>
      </c>
      <c r="P173" s="126">
        <f t="array" ref="P173">IF(IFERROR(INDEX(Expenses!B$3:B$999,SMALL(IF((Expenses!E$3:E$999="INR")*(Expenses!A$3:A$999=DATE(2026,8,23)),ROW(Expenses!A$3:A$999)-2),5)),"")&lt;&gt;"",IFERROR(INDEX(Expenses!B$3:B$999,SMALL(IF((Expenses!E$3:E$999="INR")*(Expenses!A$3:A$999=DATE(2026,8,23)),ROW(Expenses!A$3:A$999)-2),5)),""),IF(IFERROR(INDEX(Income!B$3:B$502,SMALL(IF((Income!D$3:D$502="INR")*(Income!A$3:A$502=DATE(2026,8,23)),ROW(Income!A$3:A$502)-2),5)),"")&lt;&gt;"",IFERROR(INDEX(Income!B$3:B$502,SMALL(IF((Income!D$3:D$502="INR")*(Income!A$3:A$502=DATE(2026,8,23)),ROW(Income!A$3:A$502)-2),5)),""),""))</f>
        <v/>
      </c>
      <c r="Q173" s="9" t="n"/>
      <c r="R173" s="9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68">
      <c r="A174" s="151" t="n">
        <v>46258</v>
      </c>
      <c r="B174" s="103" t="n">
        <v>35</v>
      </c>
      <c r="C174" s="153">
        <f t="array" ref="C174">IF(IFERROR(-INDEX(Expenses!D$3:D$999,SMALL(IF((Expenses!E$3:E$999="INR")*(Expenses!A$3:A$999=DATE(2026,8,24)),ROW(Expenses!A$3:A$999)-2),1)),0)+IFERROR(INDEX(Income!C$3:C$502,SMALL(IF((Income!D$3:D$502="INR")*(Income!A$3:A$502=DATE(2026,8,24)),ROW(Income!A$3:A$502)-2),1)),0)=0,"",IFERROR(-INDEX(Expenses!D$3:D$999,SMALL(IF((Expenses!E$3:E$999="INR")*(Expenses!A$3:A$999=DATE(2026,8,24)),ROW(Expenses!A$3:A$999)-2),1)),0)+IFERROR(INDEX(Income!C$3:C$502,SMALL(IF((Income!D$3:D$502="INR")*(Income!A$3:A$502=DATE(2026,8,24)),ROW(Income!A$3:A$502)-2),1)),0))</f>
        <v/>
      </c>
      <c r="D174" s="126">
        <f t="array" ref="D174">IF(IFERROR(INDEX(Expenses!B$3:B$999,SMALL(IF((Expenses!E$3:E$999="INR")*(Expenses!A$3:A$999=DATE(2026,8,24)),ROW(Expenses!A$3:A$999)-2),1)),"")&lt;&gt;"",IFERROR(INDEX(Expenses!B$3:B$999,SMALL(IF((Expenses!E$3:E$999="INR")*(Expenses!A$3:A$999=DATE(2026,8,24)),ROW(Expenses!A$3:A$999)-2),1)),""),IF(IFERROR(INDEX(Income!B$3:B$502,SMALL(IF((Income!D$3:D$502="INR")*(Income!A$3:A$502=DATE(2026,8,24)),ROW(Income!A$3:A$502)-2),1)),"")&lt;&gt;"",IFERROR(INDEX(Income!B$3:B$502,SMALL(IF((Income!D$3:D$502="INR")*(Income!A$3:A$502=DATE(2026,8,24)),ROW(Income!A$3:A$502)-2),1)),""),""))</f>
        <v/>
      </c>
      <c r="E174" s="153">
        <f t="array" ref="E174">IF(IFERROR(-INDEX(Expenses!D$3:D$999,SMALL(IF((Expenses!E$3:E$999="INR")*(Expenses!A$3:A$999=DATE(2026,8,25)),ROW(Expenses!A$3:A$999)-2),1)),0)+IFERROR(INDEX(Income!C$3:C$502,SMALL(IF((Income!D$3:D$502="INR")*(Income!A$3:A$502=DATE(2026,8,25)),ROW(Income!A$3:A$502)-2),1)),0)=0,"",IFERROR(-INDEX(Expenses!D$3:D$999,SMALL(IF((Expenses!E$3:E$999="INR")*(Expenses!A$3:A$999=DATE(2026,8,25)),ROW(Expenses!A$3:A$999)-2),1)),0)+IFERROR(INDEX(Income!C$3:C$502,SMALL(IF((Income!D$3:D$502="INR")*(Income!A$3:A$502=DATE(2026,8,25)),ROW(Income!A$3:A$502)-2),1)),0))</f>
        <v/>
      </c>
      <c r="F174" s="126">
        <f t="array" ref="F174">IF(IFERROR(INDEX(Expenses!B$3:B$999,SMALL(IF((Expenses!E$3:E$999="INR")*(Expenses!A$3:A$999=DATE(2026,8,25)),ROW(Expenses!A$3:A$999)-2),1)),"")&lt;&gt;"",IFERROR(INDEX(Expenses!B$3:B$999,SMALL(IF((Expenses!E$3:E$999="INR")*(Expenses!A$3:A$999=DATE(2026,8,25)),ROW(Expenses!A$3:A$999)-2),1)),""),IF(IFERROR(INDEX(Income!B$3:B$502,SMALL(IF((Income!D$3:D$502="INR")*(Income!A$3:A$502=DATE(2026,8,25)),ROW(Income!A$3:A$502)-2),1)),"")&lt;&gt;"",IFERROR(INDEX(Income!B$3:B$502,SMALL(IF((Income!D$3:D$502="INR")*(Income!A$3:A$502=DATE(2026,8,25)),ROW(Income!A$3:A$502)-2),1)),""),""))</f>
        <v/>
      </c>
      <c r="G174" s="153">
        <f t="array" ref="G174">IF(IFERROR(-INDEX(Expenses!D$3:D$999,SMALL(IF((Expenses!E$3:E$999="INR")*(Expenses!A$3:A$999=DATE(2026,8,26)),ROW(Expenses!A$3:A$999)-2),1)),0)+IFERROR(INDEX(Income!C$3:C$502,SMALL(IF((Income!D$3:D$502="INR")*(Income!A$3:A$502=DATE(2026,8,26)),ROW(Income!A$3:A$502)-2),1)),0)=0,"",IFERROR(-INDEX(Expenses!D$3:D$999,SMALL(IF((Expenses!E$3:E$999="INR")*(Expenses!A$3:A$999=DATE(2026,8,26)),ROW(Expenses!A$3:A$999)-2),1)),0)+IFERROR(INDEX(Income!C$3:C$502,SMALL(IF((Income!D$3:D$502="INR")*(Income!A$3:A$502=DATE(2026,8,26)),ROW(Income!A$3:A$502)-2),1)),0))</f>
        <v/>
      </c>
      <c r="H174" s="126">
        <f t="array" ref="H174">IF(IFERROR(INDEX(Expenses!B$3:B$999,SMALL(IF((Expenses!E$3:E$999="INR")*(Expenses!A$3:A$999=DATE(2026,8,26)),ROW(Expenses!A$3:A$999)-2),1)),"")&lt;&gt;"",IFERROR(INDEX(Expenses!B$3:B$999,SMALL(IF((Expenses!E$3:E$999="INR")*(Expenses!A$3:A$999=DATE(2026,8,26)),ROW(Expenses!A$3:A$999)-2),1)),""),IF(IFERROR(INDEX(Income!B$3:B$502,SMALL(IF((Income!D$3:D$502="INR")*(Income!A$3:A$502=DATE(2026,8,26)),ROW(Income!A$3:A$502)-2),1)),"")&lt;&gt;"",IFERROR(INDEX(Income!B$3:B$502,SMALL(IF((Income!D$3:D$502="INR")*(Income!A$3:A$502=DATE(2026,8,26)),ROW(Income!A$3:A$502)-2),1)),""),""))</f>
        <v/>
      </c>
      <c r="I174" s="153">
        <f t="array" ref="I174">IF(IFERROR(-INDEX(Expenses!D$3:D$999,SMALL(IF((Expenses!E$3:E$999="INR")*(Expenses!A$3:A$999=DATE(2026,8,27)),ROW(Expenses!A$3:A$999)-2),1)),0)+IFERROR(INDEX(Income!C$3:C$502,SMALL(IF((Income!D$3:D$502="INR")*(Income!A$3:A$502=DATE(2026,8,27)),ROW(Income!A$3:A$502)-2),1)),0)=0,"",IFERROR(-INDEX(Expenses!D$3:D$999,SMALL(IF((Expenses!E$3:E$999="INR")*(Expenses!A$3:A$999=DATE(2026,8,27)),ROW(Expenses!A$3:A$999)-2),1)),0)+IFERROR(INDEX(Income!C$3:C$502,SMALL(IF((Income!D$3:D$502="INR")*(Income!A$3:A$502=DATE(2026,8,27)),ROW(Income!A$3:A$502)-2),1)),0))</f>
        <v/>
      </c>
      <c r="J174" s="126">
        <f t="array" ref="J174">IF(IFERROR(INDEX(Expenses!B$3:B$999,SMALL(IF((Expenses!E$3:E$999="INR")*(Expenses!A$3:A$999=DATE(2026,8,27)),ROW(Expenses!A$3:A$999)-2),1)),"")&lt;&gt;"",IFERROR(INDEX(Expenses!B$3:B$999,SMALL(IF((Expenses!E$3:E$999="INR")*(Expenses!A$3:A$999=DATE(2026,8,27)),ROW(Expenses!A$3:A$999)-2),1)),""),IF(IFERROR(INDEX(Income!B$3:B$502,SMALL(IF((Income!D$3:D$502="INR")*(Income!A$3:A$502=DATE(2026,8,27)),ROW(Income!A$3:A$502)-2),1)),"")&lt;&gt;"",IFERROR(INDEX(Income!B$3:B$502,SMALL(IF((Income!D$3:D$502="INR")*(Income!A$3:A$502=DATE(2026,8,27)),ROW(Income!A$3:A$502)-2),1)),""),""))</f>
        <v/>
      </c>
      <c r="K174" s="153">
        <f t="array" ref="K174">IF(IFERROR(-INDEX(Expenses!D$3:D$999,SMALL(IF((Expenses!E$3:E$999="INR")*(Expenses!A$3:A$999=DATE(2026,8,28)),ROW(Expenses!A$3:A$999)-2),1)),0)+IFERROR(INDEX(Income!C$3:C$502,SMALL(IF((Income!D$3:D$502="INR")*(Income!A$3:A$502=DATE(2026,8,28)),ROW(Income!A$3:A$502)-2),1)),0)=0,"",IFERROR(-INDEX(Expenses!D$3:D$999,SMALL(IF((Expenses!E$3:E$999="INR")*(Expenses!A$3:A$999=DATE(2026,8,28)),ROW(Expenses!A$3:A$999)-2),1)),0)+IFERROR(INDEX(Income!C$3:C$502,SMALL(IF((Income!D$3:D$502="INR")*(Income!A$3:A$502=DATE(2026,8,28)),ROW(Income!A$3:A$502)-2),1)),0))</f>
        <v/>
      </c>
      <c r="L174" s="126">
        <f t="array" ref="L174">IF(IFERROR(INDEX(Expenses!B$3:B$999,SMALL(IF((Expenses!E$3:E$999="INR")*(Expenses!A$3:A$999=DATE(2026,8,28)),ROW(Expenses!A$3:A$999)-2),1)),"")&lt;&gt;"",IFERROR(INDEX(Expenses!B$3:B$999,SMALL(IF((Expenses!E$3:E$999="INR")*(Expenses!A$3:A$999=DATE(2026,8,28)),ROW(Expenses!A$3:A$999)-2),1)),""),IF(IFERROR(INDEX(Income!B$3:B$502,SMALL(IF((Income!D$3:D$502="INR")*(Income!A$3:A$502=DATE(2026,8,28)),ROW(Income!A$3:A$502)-2),1)),"")&lt;&gt;"",IFERROR(INDEX(Income!B$3:B$502,SMALL(IF((Income!D$3:D$502="INR")*(Income!A$3:A$502=DATE(2026,8,28)),ROW(Income!A$3:A$502)-2),1)),""),""))</f>
        <v/>
      </c>
      <c r="M174" s="153">
        <f t="array" ref="M174">IF(IFERROR(-INDEX(Expenses!D$3:D$999,SMALL(IF((Expenses!E$3:E$999="INR")*(Expenses!A$3:A$999=DATE(2026,8,29)),ROW(Expenses!A$3:A$999)-2),1)),0)+IFERROR(INDEX(Income!C$3:C$502,SMALL(IF((Income!D$3:D$502="INR")*(Income!A$3:A$502=DATE(2026,8,29)),ROW(Income!A$3:A$502)-2),1)),0)=0,"",IFERROR(-INDEX(Expenses!D$3:D$999,SMALL(IF((Expenses!E$3:E$999="INR")*(Expenses!A$3:A$999=DATE(2026,8,29)),ROW(Expenses!A$3:A$999)-2),1)),0)+IFERROR(INDEX(Income!C$3:C$502,SMALL(IF((Income!D$3:D$502="INR")*(Income!A$3:A$502=DATE(2026,8,29)),ROW(Income!A$3:A$502)-2),1)),0))</f>
        <v/>
      </c>
      <c r="N174" s="126">
        <f t="array" ref="N174">IF(IFERROR(INDEX(Expenses!B$3:B$999,SMALL(IF((Expenses!E$3:E$999="INR")*(Expenses!A$3:A$999=DATE(2026,8,29)),ROW(Expenses!A$3:A$999)-2),1)),"")&lt;&gt;"",IFERROR(INDEX(Expenses!B$3:B$999,SMALL(IF((Expenses!E$3:E$999="INR")*(Expenses!A$3:A$999=DATE(2026,8,29)),ROW(Expenses!A$3:A$999)-2),1)),""),IF(IFERROR(INDEX(Income!B$3:B$502,SMALL(IF((Income!D$3:D$502="INR")*(Income!A$3:A$502=DATE(2026,8,29)),ROW(Income!A$3:A$502)-2),1)),"")&lt;&gt;"",IFERROR(INDEX(Income!B$3:B$502,SMALL(IF((Income!D$3:D$502="INR")*(Income!A$3:A$502=DATE(2026,8,29)),ROW(Income!A$3:A$502)-2),1)),""),""))</f>
        <v/>
      </c>
      <c r="O174" s="153">
        <f t="array" ref="O174">IF(IFERROR(-INDEX(Expenses!D$3:D$999,SMALL(IF((Expenses!E$3:E$999="INR")*(Expenses!A$3:A$999=DATE(2026,8,30)),ROW(Expenses!A$3:A$999)-2),1)),0)+IFERROR(INDEX(Income!C$3:C$502,SMALL(IF((Income!D$3:D$502="INR")*(Income!A$3:A$502=DATE(2026,8,30)),ROW(Income!A$3:A$502)-2),1)),0)=0,"",IFERROR(-INDEX(Expenses!D$3:D$999,SMALL(IF((Expenses!E$3:E$999="INR")*(Expenses!A$3:A$999=DATE(2026,8,30)),ROW(Expenses!A$3:A$999)-2),1)),0)+IFERROR(INDEX(Income!C$3:C$502,SMALL(IF((Income!D$3:D$502="INR")*(Income!A$3:A$502=DATE(2026,8,30)),ROW(Income!A$3:A$502)-2),1)),0))</f>
        <v/>
      </c>
      <c r="P174" s="126">
        <f t="array" ref="P174">IF(IFERROR(INDEX(Expenses!B$3:B$999,SMALL(IF((Expenses!E$3:E$999="INR")*(Expenses!A$3:A$999=DATE(2026,8,30)),ROW(Expenses!A$3:A$999)-2),1)),"")&lt;&gt;"",IFERROR(INDEX(Expenses!B$3:B$999,SMALL(IF((Expenses!E$3:E$999="INR")*(Expenses!A$3:A$999=DATE(2026,8,30)),ROW(Expenses!A$3:A$999)-2),1)),""),IF(IFERROR(INDEX(Income!B$3:B$502,SMALL(IF((Income!D$3:D$502="INR")*(Income!A$3:A$502=DATE(2026,8,30)),ROW(Income!A$3:A$502)-2),1)),"")&lt;&gt;"",IFERROR(INDEX(Income!B$3:B$502,SMALL(IF((Income!D$3:D$502="INR")*(Income!A$3:A$502=DATE(2026,8,30)),ROW(Income!A$3:A$502)-2),1)),""),""))</f>
        <v/>
      </c>
      <c r="Q174" s="103" t="n">
        <v>35</v>
      </c>
      <c r="R174" s="142">
        <f>SUM(C174:C178)+SUM(E174:E178)+SUM(G174:G178)+SUM(I174:I178)+SUM(K174:K178)+SUM(M174:M178)+SUM(O174:O178)</f>
        <v/>
      </c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68">
      <c r="A175" s="9" t="n"/>
      <c r="B175" s="9" t="n"/>
      <c r="C175" s="153">
        <f t="array" ref="C175">IF(IFERROR(-INDEX(Expenses!D$3:D$999,SMALL(IF((Expenses!E$3:E$999="INR")*(Expenses!A$3:A$999=DATE(2026,8,24)),ROW(Expenses!A$3:A$999)-2),2)),0)+IFERROR(INDEX(Income!C$3:C$502,SMALL(IF((Income!D$3:D$502="INR")*(Income!A$3:A$502=DATE(2026,8,24)),ROW(Income!A$3:A$502)-2),2)),0)=0,"",IFERROR(-INDEX(Expenses!D$3:D$999,SMALL(IF((Expenses!E$3:E$999="INR")*(Expenses!A$3:A$999=DATE(2026,8,24)),ROW(Expenses!A$3:A$999)-2),2)),0)+IFERROR(INDEX(Income!C$3:C$502,SMALL(IF((Income!D$3:D$502="INR")*(Income!A$3:A$502=DATE(2026,8,24)),ROW(Income!A$3:A$502)-2),2)),0))</f>
        <v/>
      </c>
      <c r="D175" s="126">
        <f t="array" ref="D175">IF(IFERROR(INDEX(Expenses!B$3:B$999,SMALL(IF((Expenses!E$3:E$999="INR")*(Expenses!A$3:A$999=DATE(2026,8,24)),ROW(Expenses!A$3:A$999)-2),2)),"")&lt;&gt;"",IFERROR(INDEX(Expenses!B$3:B$999,SMALL(IF((Expenses!E$3:E$999="INR")*(Expenses!A$3:A$999=DATE(2026,8,24)),ROW(Expenses!A$3:A$999)-2),2)),""),IF(IFERROR(INDEX(Income!B$3:B$502,SMALL(IF((Income!D$3:D$502="INR")*(Income!A$3:A$502=DATE(2026,8,24)),ROW(Income!A$3:A$502)-2),2)),"")&lt;&gt;"",IFERROR(INDEX(Income!B$3:B$502,SMALL(IF((Income!D$3:D$502="INR")*(Income!A$3:A$502=DATE(2026,8,24)),ROW(Income!A$3:A$502)-2),2)),""),""))</f>
        <v/>
      </c>
      <c r="E175" s="153">
        <f t="array" ref="E175">IF(IFERROR(-INDEX(Expenses!D$3:D$999,SMALL(IF((Expenses!E$3:E$999="INR")*(Expenses!A$3:A$999=DATE(2026,8,25)),ROW(Expenses!A$3:A$999)-2),2)),0)+IFERROR(INDEX(Income!C$3:C$502,SMALL(IF((Income!D$3:D$502="INR")*(Income!A$3:A$502=DATE(2026,8,25)),ROW(Income!A$3:A$502)-2),2)),0)=0,"",IFERROR(-INDEX(Expenses!D$3:D$999,SMALL(IF((Expenses!E$3:E$999="INR")*(Expenses!A$3:A$999=DATE(2026,8,25)),ROW(Expenses!A$3:A$999)-2),2)),0)+IFERROR(INDEX(Income!C$3:C$502,SMALL(IF((Income!D$3:D$502="INR")*(Income!A$3:A$502=DATE(2026,8,25)),ROW(Income!A$3:A$502)-2),2)),0))</f>
        <v/>
      </c>
      <c r="F175" s="126">
        <f t="array" ref="F175">IF(IFERROR(INDEX(Expenses!B$3:B$999,SMALL(IF((Expenses!E$3:E$999="INR")*(Expenses!A$3:A$999=DATE(2026,8,25)),ROW(Expenses!A$3:A$999)-2),2)),"")&lt;&gt;"",IFERROR(INDEX(Expenses!B$3:B$999,SMALL(IF((Expenses!E$3:E$999="INR")*(Expenses!A$3:A$999=DATE(2026,8,25)),ROW(Expenses!A$3:A$999)-2),2)),""),IF(IFERROR(INDEX(Income!B$3:B$502,SMALL(IF((Income!D$3:D$502="INR")*(Income!A$3:A$502=DATE(2026,8,25)),ROW(Income!A$3:A$502)-2),2)),"")&lt;&gt;"",IFERROR(INDEX(Income!B$3:B$502,SMALL(IF((Income!D$3:D$502="INR")*(Income!A$3:A$502=DATE(2026,8,25)),ROW(Income!A$3:A$502)-2),2)),""),""))</f>
        <v/>
      </c>
      <c r="G175" s="153">
        <f t="array" ref="G175">IF(IFERROR(-INDEX(Expenses!D$3:D$999,SMALL(IF((Expenses!E$3:E$999="INR")*(Expenses!A$3:A$999=DATE(2026,8,26)),ROW(Expenses!A$3:A$999)-2),2)),0)+IFERROR(INDEX(Income!C$3:C$502,SMALL(IF((Income!D$3:D$502="INR")*(Income!A$3:A$502=DATE(2026,8,26)),ROW(Income!A$3:A$502)-2),2)),0)=0,"",IFERROR(-INDEX(Expenses!D$3:D$999,SMALL(IF((Expenses!E$3:E$999="INR")*(Expenses!A$3:A$999=DATE(2026,8,26)),ROW(Expenses!A$3:A$999)-2),2)),0)+IFERROR(INDEX(Income!C$3:C$502,SMALL(IF((Income!D$3:D$502="INR")*(Income!A$3:A$502=DATE(2026,8,26)),ROW(Income!A$3:A$502)-2),2)),0))</f>
        <v/>
      </c>
      <c r="H175" s="126">
        <f t="array" ref="H175">IF(IFERROR(INDEX(Expenses!B$3:B$999,SMALL(IF((Expenses!E$3:E$999="INR")*(Expenses!A$3:A$999=DATE(2026,8,26)),ROW(Expenses!A$3:A$999)-2),2)),"")&lt;&gt;"",IFERROR(INDEX(Expenses!B$3:B$999,SMALL(IF((Expenses!E$3:E$999="INR")*(Expenses!A$3:A$999=DATE(2026,8,26)),ROW(Expenses!A$3:A$999)-2),2)),""),IF(IFERROR(INDEX(Income!B$3:B$502,SMALL(IF((Income!D$3:D$502="INR")*(Income!A$3:A$502=DATE(2026,8,26)),ROW(Income!A$3:A$502)-2),2)),"")&lt;&gt;"",IFERROR(INDEX(Income!B$3:B$502,SMALL(IF((Income!D$3:D$502="INR")*(Income!A$3:A$502=DATE(2026,8,26)),ROW(Income!A$3:A$502)-2),2)),""),""))</f>
        <v/>
      </c>
      <c r="I175" s="153">
        <f t="array" ref="I175">IF(IFERROR(-INDEX(Expenses!D$3:D$999,SMALL(IF((Expenses!E$3:E$999="INR")*(Expenses!A$3:A$999=DATE(2026,8,27)),ROW(Expenses!A$3:A$999)-2),2)),0)+IFERROR(INDEX(Income!C$3:C$502,SMALL(IF((Income!D$3:D$502="INR")*(Income!A$3:A$502=DATE(2026,8,27)),ROW(Income!A$3:A$502)-2),2)),0)=0,"",IFERROR(-INDEX(Expenses!D$3:D$999,SMALL(IF((Expenses!E$3:E$999="INR")*(Expenses!A$3:A$999=DATE(2026,8,27)),ROW(Expenses!A$3:A$999)-2),2)),0)+IFERROR(INDEX(Income!C$3:C$502,SMALL(IF((Income!D$3:D$502="INR")*(Income!A$3:A$502=DATE(2026,8,27)),ROW(Income!A$3:A$502)-2),2)),0))</f>
        <v/>
      </c>
      <c r="J175" s="126">
        <f t="array" ref="J175">IF(IFERROR(INDEX(Expenses!B$3:B$999,SMALL(IF((Expenses!E$3:E$999="INR")*(Expenses!A$3:A$999=DATE(2026,8,27)),ROW(Expenses!A$3:A$999)-2),2)),"")&lt;&gt;"",IFERROR(INDEX(Expenses!B$3:B$999,SMALL(IF((Expenses!E$3:E$999="INR")*(Expenses!A$3:A$999=DATE(2026,8,27)),ROW(Expenses!A$3:A$999)-2),2)),""),IF(IFERROR(INDEX(Income!B$3:B$502,SMALL(IF((Income!D$3:D$502="INR")*(Income!A$3:A$502=DATE(2026,8,27)),ROW(Income!A$3:A$502)-2),2)),"")&lt;&gt;"",IFERROR(INDEX(Income!B$3:B$502,SMALL(IF((Income!D$3:D$502="INR")*(Income!A$3:A$502=DATE(2026,8,27)),ROW(Income!A$3:A$502)-2),2)),""),""))</f>
        <v/>
      </c>
      <c r="K175" s="153">
        <f t="array" ref="K175">IF(IFERROR(-INDEX(Expenses!D$3:D$999,SMALL(IF((Expenses!E$3:E$999="INR")*(Expenses!A$3:A$999=DATE(2026,8,28)),ROW(Expenses!A$3:A$999)-2),2)),0)+IFERROR(INDEX(Income!C$3:C$502,SMALL(IF((Income!D$3:D$502="INR")*(Income!A$3:A$502=DATE(2026,8,28)),ROW(Income!A$3:A$502)-2),2)),0)=0,"",IFERROR(-INDEX(Expenses!D$3:D$999,SMALL(IF((Expenses!E$3:E$999="INR")*(Expenses!A$3:A$999=DATE(2026,8,28)),ROW(Expenses!A$3:A$999)-2),2)),0)+IFERROR(INDEX(Income!C$3:C$502,SMALL(IF((Income!D$3:D$502="INR")*(Income!A$3:A$502=DATE(2026,8,28)),ROW(Income!A$3:A$502)-2),2)),0))</f>
        <v/>
      </c>
      <c r="L175" s="126">
        <f t="array" ref="L175">IF(IFERROR(INDEX(Expenses!B$3:B$999,SMALL(IF((Expenses!E$3:E$999="INR")*(Expenses!A$3:A$999=DATE(2026,8,28)),ROW(Expenses!A$3:A$999)-2),2)),"")&lt;&gt;"",IFERROR(INDEX(Expenses!B$3:B$999,SMALL(IF((Expenses!E$3:E$999="INR")*(Expenses!A$3:A$999=DATE(2026,8,28)),ROW(Expenses!A$3:A$999)-2),2)),""),IF(IFERROR(INDEX(Income!B$3:B$502,SMALL(IF((Income!D$3:D$502="INR")*(Income!A$3:A$502=DATE(2026,8,28)),ROW(Income!A$3:A$502)-2),2)),"")&lt;&gt;"",IFERROR(INDEX(Income!B$3:B$502,SMALL(IF((Income!D$3:D$502="INR")*(Income!A$3:A$502=DATE(2026,8,28)),ROW(Income!A$3:A$502)-2),2)),""),""))</f>
        <v/>
      </c>
      <c r="M175" s="153">
        <f t="array" ref="M175">IF(IFERROR(-INDEX(Expenses!D$3:D$999,SMALL(IF((Expenses!E$3:E$999="INR")*(Expenses!A$3:A$999=DATE(2026,8,29)),ROW(Expenses!A$3:A$999)-2),2)),0)+IFERROR(INDEX(Income!C$3:C$502,SMALL(IF((Income!D$3:D$502="INR")*(Income!A$3:A$502=DATE(2026,8,29)),ROW(Income!A$3:A$502)-2),2)),0)=0,"",IFERROR(-INDEX(Expenses!D$3:D$999,SMALL(IF((Expenses!E$3:E$999="INR")*(Expenses!A$3:A$999=DATE(2026,8,29)),ROW(Expenses!A$3:A$999)-2),2)),0)+IFERROR(INDEX(Income!C$3:C$502,SMALL(IF((Income!D$3:D$502="INR")*(Income!A$3:A$502=DATE(2026,8,29)),ROW(Income!A$3:A$502)-2),2)),0))</f>
        <v/>
      </c>
      <c r="N175" s="126">
        <f t="array" ref="N175">IF(IFERROR(INDEX(Expenses!B$3:B$999,SMALL(IF((Expenses!E$3:E$999="INR")*(Expenses!A$3:A$999=DATE(2026,8,29)),ROW(Expenses!A$3:A$999)-2),2)),"")&lt;&gt;"",IFERROR(INDEX(Expenses!B$3:B$999,SMALL(IF((Expenses!E$3:E$999="INR")*(Expenses!A$3:A$999=DATE(2026,8,29)),ROW(Expenses!A$3:A$999)-2),2)),""),IF(IFERROR(INDEX(Income!B$3:B$502,SMALL(IF((Income!D$3:D$502="INR")*(Income!A$3:A$502=DATE(2026,8,29)),ROW(Income!A$3:A$502)-2),2)),"")&lt;&gt;"",IFERROR(INDEX(Income!B$3:B$502,SMALL(IF((Income!D$3:D$502="INR")*(Income!A$3:A$502=DATE(2026,8,29)),ROW(Income!A$3:A$502)-2),2)),""),""))</f>
        <v/>
      </c>
      <c r="O175" s="153">
        <f t="array" ref="O175">IF(IFERROR(-INDEX(Expenses!D$3:D$999,SMALL(IF((Expenses!E$3:E$999="INR")*(Expenses!A$3:A$999=DATE(2026,8,30)),ROW(Expenses!A$3:A$999)-2),2)),0)+IFERROR(INDEX(Income!C$3:C$502,SMALL(IF((Income!D$3:D$502="INR")*(Income!A$3:A$502=DATE(2026,8,30)),ROW(Income!A$3:A$502)-2),2)),0)=0,"",IFERROR(-INDEX(Expenses!D$3:D$999,SMALL(IF((Expenses!E$3:E$999="INR")*(Expenses!A$3:A$999=DATE(2026,8,30)),ROW(Expenses!A$3:A$999)-2),2)),0)+IFERROR(INDEX(Income!C$3:C$502,SMALL(IF((Income!D$3:D$502="INR")*(Income!A$3:A$502=DATE(2026,8,30)),ROW(Income!A$3:A$502)-2),2)),0))</f>
        <v/>
      </c>
      <c r="P175" s="126">
        <f t="array" ref="P175">IF(IFERROR(INDEX(Expenses!B$3:B$999,SMALL(IF((Expenses!E$3:E$999="INR")*(Expenses!A$3:A$999=DATE(2026,8,30)),ROW(Expenses!A$3:A$999)-2),2)),"")&lt;&gt;"",IFERROR(INDEX(Expenses!B$3:B$999,SMALL(IF((Expenses!E$3:E$999="INR")*(Expenses!A$3:A$999=DATE(2026,8,30)),ROW(Expenses!A$3:A$999)-2),2)),""),IF(IFERROR(INDEX(Income!B$3:B$502,SMALL(IF((Income!D$3:D$502="INR")*(Income!A$3:A$502=DATE(2026,8,30)),ROW(Income!A$3:A$502)-2),2)),"")&lt;&gt;"",IFERROR(INDEX(Income!B$3:B$502,SMALL(IF((Income!D$3:D$502="INR")*(Income!A$3:A$502=DATE(2026,8,30)),ROW(Income!A$3:A$502)-2),2)),""),""))</f>
        <v/>
      </c>
      <c r="Q175" s="9" t="n"/>
      <c r="R175" s="9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68">
      <c r="A176" s="9" t="n"/>
      <c r="B176" s="9" t="n"/>
      <c r="C176" s="153">
        <f t="array" ref="C176">IF(IFERROR(-INDEX(Expenses!D$3:D$999,SMALL(IF((Expenses!E$3:E$999="INR")*(Expenses!A$3:A$999=DATE(2026,8,24)),ROW(Expenses!A$3:A$999)-2),3)),0)+IFERROR(INDEX(Income!C$3:C$502,SMALL(IF((Income!D$3:D$502="INR")*(Income!A$3:A$502=DATE(2026,8,24)),ROW(Income!A$3:A$502)-2),3)),0)=0,"",IFERROR(-INDEX(Expenses!D$3:D$999,SMALL(IF((Expenses!E$3:E$999="INR")*(Expenses!A$3:A$999=DATE(2026,8,24)),ROW(Expenses!A$3:A$999)-2),3)),0)+IFERROR(INDEX(Income!C$3:C$502,SMALL(IF((Income!D$3:D$502="INR")*(Income!A$3:A$502=DATE(2026,8,24)),ROW(Income!A$3:A$502)-2),3)),0))</f>
        <v/>
      </c>
      <c r="D176" s="126">
        <f t="array" ref="D176">IF(IFERROR(INDEX(Expenses!B$3:B$999,SMALL(IF((Expenses!E$3:E$999="INR")*(Expenses!A$3:A$999=DATE(2026,8,24)),ROW(Expenses!A$3:A$999)-2),3)),"")&lt;&gt;"",IFERROR(INDEX(Expenses!B$3:B$999,SMALL(IF((Expenses!E$3:E$999="INR")*(Expenses!A$3:A$999=DATE(2026,8,24)),ROW(Expenses!A$3:A$999)-2),3)),""),IF(IFERROR(INDEX(Income!B$3:B$502,SMALL(IF((Income!D$3:D$502="INR")*(Income!A$3:A$502=DATE(2026,8,24)),ROW(Income!A$3:A$502)-2),3)),"")&lt;&gt;"",IFERROR(INDEX(Income!B$3:B$502,SMALL(IF((Income!D$3:D$502="INR")*(Income!A$3:A$502=DATE(2026,8,24)),ROW(Income!A$3:A$502)-2),3)),""),""))</f>
        <v/>
      </c>
      <c r="E176" s="153">
        <f t="array" ref="E176">IF(IFERROR(-INDEX(Expenses!D$3:D$999,SMALL(IF((Expenses!E$3:E$999="INR")*(Expenses!A$3:A$999=DATE(2026,8,25)),ROW(Expenses!A$3:A$999)-2),3)),0)+IFERROR(INDEX(Income!C$3:C$502,SMALL(IF((Income!D$3:D$502="INR")*(Income!A$3:A$502=DATE(2026,8,25)),ROW(Income!A$3:A$502)-2),3)),0)=0,"",IFERROR(-INDEX(Expenses!D$3:D$999,SMALL(IF((Expenses!E$3:E$999="INR")*(Expenses!A$3:A$999=DATE(2026,8,25)),ROW(Expenses!A$3:A$999)-2),3)),0)+IFERROR(INDEX(Income!C$3:C$502,SMALL(IF((Income!D$3:D$502="INR")*(Income!A$3:A$502=DATE(2026,8,25)),ROW(Income!A$3:A$502)-2),3)),0))</f>
        <v/>
      </c>
      <c r="F176" s="126">
        <f t="array" ref="F176">IF(IFERROR(INDEX(Expenses!B$3:B$999,SMALL(IF((Expenses!E$3:E$999="INR")*(Expenses!A$3:A$999=DATE(2026,8,25)),ROW(Expenses!A$3:A$999)-2),3)),"")&lt;&gt;"",IFERROR(INDEX(Expenses!B$3:B$999,SMALL(IF((Expenses!E$3:E$999="INR")*(Expenses!A$3:A$999=DATE(2026,8,25)),ROW(Expenses!A$3:A$999)-2),3)),""),IF(IFERROR(INDEX(Income!B$3:B$502,SMALL(IF((Income!D$3:D$502="INR")*(Income!A$3:A$502=DATE(2026,8,25)),ROW(Income!A$3:A$502)-2),3)),"")&lt;&gt;"",IFERROR(INDEX(Income!B$3:B$502,SMALL(IF((Income!D$3:D$502="INR")*(Income!A$3:A$502=DATE(2026,8,25)),ROW(Income!A$3:A$502)-2),3)),""),""))</f>
        <v/>
      </c>
      <c r="G176" s="153">
        <f t="array" ref="G176">IF(IFERROR(-INDEX(Expenses!D$3:D$999,SMALL(IF((Expenses!E$3:E$999="INR")*(Expenses!A$3:A$999=DATE(2026,8,26)),ROW(Expenses!A$3:A$999)-2),3)),0)+IFERROR(INDEX(Income!C$3:C$502,SMALL(IF((Income!D$3:D$502="INR")*(Income!A$3:A$502=DATE(2026,8,26)),ROW(Income!A$3:A$502)-2),3)),0)=0,"",IFERROR(-INDEX(Expenses!D$3:D$999,SMALL(IF((Expenses!E$3:E$999="INR")*(Expenses!A$3:A$999=DATE(2026,8,26)),ROW(Expenses!A$3:A$999)-2),3)),0)+IFERROR(INDEX(Income!C$3:C$502,SMALL(IF((Income!D$3:D$502="INR")*(Income!A$3:A$502=DATE(2026,8,26)),ROW(Income!A$3:A$502)-2),3)),0))</f>
        <v/>
      </c>
      <c r="H176" s="126">
        <f t="array" ref="H176">IF(IFERROR(INDEX(Expenses!B$3:B$999,SMALL(IF((Expenses!E$3:E$999="INR")*(Expenses!A$3:A$999=DATE(2026,8,26)),ROW(Expenses!A$3:A$999)-2),3)),"")&lt;&gt;"",IFERROR(INDEX(Expenses!B$3:B$999,SMALL(IF((Expenses!E$3:E$999="INR")*(Expenses!A$3:A$999=DATE(2026,8,26)),ROW(Expenses!A$3:A$999)-2),3)),""),IF(IFERROR(INDEX(Income!B$3:B$502,SMALL(IF((Income!D$3:D$502="INR")*(Income!A$3:A$502=DATE(2026,8,26)),ROW(Income!A$3:A$502)-2),3)),"")&lt;&gt;"",IFERROR(INDEX(Income!B$3:B$502,SMALL(IF((Income!D$3:D$502="INR")*(Income!A$3:A$502=DATE(2026,8,26)),ROW(Income!A$3:A$502)-2),3)),""),""))</f>
        <v/>
      </c>
      <c r="I176" s="153">
        <f t="array" ref="I176">IF(IFERROR(-INDEX(Expenses!D$3:D$999,SMALL(IF((Expenses!E$3:E$999="INR")*(Expenses!A$3:A$999=DATE(2026,8,27)),ROW(Expenses!A$3:A$999)-2),3)),0)+IFERROR(INDEX(Income!C$3:C$502,SMALL(IF((Income!D$3:D$502="INR")*(Income!A$3:A$502=DATE(2026,8,27)),ROW(Income!A$3:A$502)-2),3)),0)=0,"",IFERROR(-INDEX(Expenses!D$3:D$999,SMALL(IF((Expenses!E$3:E$999="INR")*(Expenses!A$3:A$999=DATE(2026,8,27)),ROW(Expenses!A$3:A$999)-2),3)),0)+IFERROR(INDEX(Income!C$3:C$502,SMALL(IF((Income!D$3:D$502="INR")*(Income!A$3:A$502=DATE(2026,8,27)),ROW(Income!A$3:A$502)-2),3)),0))</f>
        <v/>
      </c>
      <c r="J176" s="126">
        <f t="array" ref="J176">IF(IFERROR(INDEX(Expenses!B$3:B$999,SMALL(IF((Expenses!E$3:E$999="INR")*(Expenses!A$3:A$999=DATE(2026,8,27)),ROW(Expenses!A$3:A$999)-2),3)),"")&lt;&gt;"",IFERROR(INDEX(Expenses!B$3:B$999,SMALL(IF((Expenses!E$3:E$999="INR")*(Expenses!A$3:A$999=DATE(2026,8,27)),ROW(Expenses!A$3:A$999)-2),3)),""),IF(IFERROR(INDEX(Income!B$3:B$502,SMALL(IF((Income!D$3:D$502="INR")*(Income!A$3:A$502=DATE(2026,8,27)),ROW(Income!A$3:A$502)-2),3)),"")&lt;&gt;"",IFERROR(INDEX(Income!B$3:B$502,SMALL(IF((Income!D$3:D$502="INR")*(Income!A$3:A$502=DATE(2026,8,27)),ROW(Income!A$3:A$502)-2),3)),""),""))</f>
        <v/>
      </c>
      <c r="K176" s="153">
        <f t="array" ref="K176">IF(IFERROR(-INDEX(Expenses!D$3:D$999,SMALL(IF((Expenses!E$3:E$999="INR")*(Expenses!A$3:A$999=DATE(2026,8,28)),ROW(Expenses!A$3:A$999)-2),3)),0)+IFERROR(INDEX(Income!C$3:C$502,SMALL(IF((Income!D$3:D$502="INR")*(Income!A$3:A$502=DATE(2026,8,28)),ROW(Income!A$3:A$502)-2),3)),0)=0,"",IFERROR(-INDEX(Expenses!D$3:D$999,SMALL(IF((Expenses!E$3:E$999="INR")*(Expenses!A$3:A$999=DATE(2026,8,28)),ROW(Expenses!A$3:A$999)-2),3)),0)+IFERROR(INDEX(Income!C$3:C$502,SMALL(IF((Income!D$3:D$502="INR")*(Income!A$3:A$502=DATE(2026,8,28)),ROW(Income!A$3:A$502)-2),3)),0))</f>
        <v/>
      </c>
      <c r="L176" s="126">
        <f t="array" ref="L176">IF(IFERROR(INDEX(Expenses!B$3:B$999,SMALL(IF((Expenses!E$3:E$999="INR")*(Expenses!A$3:A$999=DATE(2026,8,28)),ROW(Expenses!A$3:A$999)-2),3)),"")&lt;&gt;"",IFERROR(INDEX(Expenses!B$3:B$999,SMALL(IF((Expenses!E$3:E$999="INR")*(Expenses!A$3:A$999=DATE(2026,8,28)),ROW(Expenses!A$3:A$999)-2),3)),""),IF(IFERROR(INDEX(Income!B$3:B$502,SMALL(IF((Income!D$3:D$502="INR")*(Income!A$3:A$502=DATE(2026,8,28)),ROW(Income!A$3:A$502)-2),3)),"")&lt;&gt;"",IFERROR(INDEX(Income!B$3:B$502,SMALL(IF((Income!D$3:D$502="INR")*(Income!A$3:A$502=DATE(2026,8,28)),ROW(Income!A$3:A$502)-2),3)),""),""))</f>
        <v/>
      </c>
      <c r="M176" s="153">
        <f t="array" ref="M176">IF(IFERROR(-INDEX(Expenses!D$3:D$999,SMALL(IF((Expenses!E$3:E$999="INR")*(Expenses!A$3:A$999=DATE(2026,8,29)),ROW(Expenses!A$3:A$999)-2),3)),0)+IFERROR(INDEX(Income!C$3:C$502,SMALL(IF((Income!D$3:D$502="INR")*(Income!A$3:A$502=DATE(2026,8,29)),ROW(Income!A$3:A$502)-2),3)),0)=0,"",IFERROR(-INDEX(Expenses!D$3:D$999,SMALL(IF((Expenses!E$3:E$999="INR")*(Expenses!A$3:A$999=DATE(2026,8,29)),ROW(Expenses!A$3:A$999)-2),3)),0)+IFERROR(INDEX(Income!C$3:C$502,SMALL(IF((Income!D$3:D$502="INR")*(Income!A$3:A$502=DATE(2026,8,29)),ROW(Income!A$3:A$502)-2),3)),0))</f>
        <v/>
      </c>
      <c r="N176" s="126">
        <f t="array" ref="N176">IF(IFERROR(INDEX(Expenses!B$3:B$999,SMALL(IF((Expenses!E$3:E$999="INR")*(Expenses!A$3:A$999=DATE(2026,8,29)),ROW(Expenses!A$3:A$999)-2),3)),"")&lt;&gt;"",IFERROR(INDEX(Expenses!B$3:B$999,SMALL(IF((Expenses!E$3:E$999="INR")*(Expenses!A$3:A$999=DATE(2026,8,29)),ROW(Expenses!A$3:A$999)-2),3)),""),IF(IFERROR(INDEX(Income!B$3:B$502,SMALL(IF((Income!D$3:D$502="INR")*(Income!A$3:A$502=DATE(2026,8,29)),ROW(Income!A$3:A$502)-2),3)),"")&lt;&gt;"",IFERROR(INDEX(Income!B$3:B$502,SMALL(IF((Income!D$3:D$502="INR")*(Income!A$3:A$502=DATE(2026,8,29)),ROW(Income!A$3:A$502)-2),3)),""),""))</f>
        <v/>
      </c>
      <c r="O176" s="153">
        <f t="array" ref="O176">IF(IFERROR(-INDEX(Expenses!D$3:D$999,SMALL(IF((Expenses!E$3:E$999="INR")*(Expenses!A$3:A$999=DATE(2026,8,30)),ROW(Expenses!A$3:A$999)-2),3)),0)+IFERROR(INDEX(Income!C$3:C$502,SMALL(IF((Income!D$3:D$502="INR")*(Income!A$3:A$502=DATE(2026,8,30)),ROW(Income!A$3:A$502)-2),3)),0)=0,"",IFERROR(-INDEX(Expenses!D$3:D$999,SMALL(IF((Expenses!E$3:E$999="INR")*(Expenses!A$3:A$999=DATE(2026,8,30)),ROW(Expenses!A$3:A$999)-2),3)),0)+IFERROR(INDEX(Income!C$3:C$502,SMALL(IF((Income!D$3:D$502="INR")*(Income!A$3:A$502=DATE(2026,8,30)),ROW(Income!A$3:A$502)-2),3)),0))</f>
        <v/>
      </c>
      <c r="P176" s="126">
        <f t="array" ref="P176">IF(IFERROR(INDEX(Expenses!B$3:B$999,SMALL(IF((Expenses!E$3:E$999="INR")*(Expenses!A$3:A$999=DATE(2026,8,30)),ROW(Expenses!A$3:A$999)-2),3)),"")&lt;&gt;"",IFERROR(INDEX(Expenses!B$3:B$999,SMALL(IF((Expenses!E$3:E$999="INR")*(Expenses!A$3:A$999=DATE(2026,8,30)),ROW(Expenses!A$3:A$999)-2),3)),""),IF(IFERROR(INDEX(Income!B$3:B$502,SMALL(IF((Income!D$3:D$502="INR")*(Income!A$3:A$502=DATE(2026,8,30)),ROW(Income!A$3:A$502)-2),3)),"")&lt;&gt;"",IFERROR(INDEX(Income!B$3:B$502,SMALL(IF((Income!D$3:D$502="INR")*(Income!A$3:A$502=DATE(2026,8,30)),ROW(Income!A$3:A$502)-2),3)),""),""))</f>
        <v/>
      </c>
      <c r="Q176" s="9" t="n"/>
      <c r="R176" s="9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68">
      <c r="A177" s="9" t="n"/>
      <c r="B177" s="9" t="n"/>
      <c r="C177" s="153">
        <f t="array" ref="C177">IF(IFERROR(-INDEX(Expenses!D$3:D$999,SMALL(IF((Expenses!E$3:E$999="INR")*(Expenses!A$3:A$999=DATE(2026,8,24)),ROW(Expenses!A$3:A$999)-2),4)),0)+IFERROR(INDEX(Income!C$3:C$502,SMALL(IF((Income!D$3:D$502="INR")*(Income!A$3:A$502=DATE(2026,8,24)),ROW(Income!A$3:A$502)-2),4)),0)=0,"",IFERROR(-INDEX(Expenses!D$3:D$999,SMALL(IF((Expenses!E$3:E$999="INR")*(Expenses!A$3:A$999=DATE(2026,8,24)),ROW(Expenses!A$3:A$999)-2),4)),0)+IFERROR(INDEX(Income!C$3:C$502,SMALL(IF((Income!D$3:D$502="INR")*(Income!A$3:A$502=DATE(2026,8,24)),ROW(Income!A$3:A$502)-2),4)),0))</f>
        <v/>
      </c>
      <c r="D177" s="126">
        <f t="array" ref="D177">IF(IFERROR(INDEX(Expenses!B$3:B$999,SMALL(IF((Expenses!E$3:E$999="INR")*(Expenses!A$3:A$999=DATE(2026,8,24)),ROW(Expenses!A$3:A$999)-2),4)),"")&lt;&gt;"",IFERROR(INDEX(Expenses!B$3:B$999,SMALL(IF((Expenses!E$3:E$999="INR")*(Expenses!A$3:A$999=DATE(2026,8,24)),ROW(Expenses!A$3:A$999)-2),4)),""),IF(IFERROR(INDEX(Income!B$3:B$502,SMALL(IF((Income!D$3:D$502="INR")*(Income!A$3:A$502=DATE(2026,8,24)),ROW(Income!A$3:A$502)-2),4)),"")&lt;&gt;"",IFERROR(INDEX(Income!B$3:B$502,SMALL(IF((Income!D$3:D$502="INR")*(Income!A$3:A$502=DATE(2026,8,24)),ROW(Income!A$3:A$502)-2),4)),""),""))</f>
        <v/>
      </c>
      <c r="E177" s="153">
        <f t="array" ref="E177">IF(IFERROR(-INDEX(Expenses!D$3:D$999,SMALL(IF((Expenses!E$3:E$999="INR")*(Expenses!A$3:A$999=DATE(2026,8,25)),ROW(Expenses!A$3:A$999)-2),4)),0)+IFERROR(INDEX(Income!C$3:C$502,SMALL(IF((Income!D$3:D$502="INR")*(Income!A$3:A$502=DATE(2026,8,25)),ROW(Income!A$3:A$502)-2),4)),0)=0,"",IFERROR(-INDEX(Expenses!D$3:D$999,SMALL(IF((Expenses!E$3:E$999="INR")*(Expenses!A$3:A$999=DATE(2026,8,25)),ROW(Expenses!A$3:A$999)-2),4)),0)+IFERROR(INDEX(Income!C$3:C$502,SMALL(IF((Income!D$3:D$502="INR")*(Income!A$3:A$502=DATE(2026,8,25)),ROW(Income!A$3:A$502)-2),4)),0))</f>
        <v/>
      </c>
      <c r="F177" s="126">
        <f t="array" ref="F177">IF(IFERROR(INDEX(Expenses!B$3:B$999,SMALL(IF((Expenses!E$3:E$999="INR")*(Expenses!A$3:A$999=DATE(2026,8,25)),ROW(Expenses!A$3:A$999)-2),4)),"")&lt;&gt;"",IFERROR(INDEX(Expenses!B$3:B$999,SMALL(IF((Expenses!E$3:E$999="INR")*(Expenses!A$3:A$999=DATE(2026,8,25)),ROW(Expenses!A$3:A$999)-2),4)),""),IF(IFERROR(INDEX(Income!B$3:B$502,SMALL(IF((Income!D$3:D$502="INR")*(Income!A$3:A$502=DATE(2026,8,25)),ROW(Income!A$3:A$502)-2),4)),"")&lt;&gt;"",IFERROR(INDEX(Income!B$3:B$502,SMALL(IF((Income!D$3:D$502="INR")*(Income!A$3:A$502=DATE(2026,8,25)),ROW(Income!A$3:A$502)-2),4)),""),""))</f>
        <v/>
      </c>
      <c r="G177" s="153">
        <f t="array" ref="G177">IF(IFERROR(-INDEX(Expenses!D$3:D$999,SMALL(IF((Expenses!E$3:E$999="INR")*(Expenses!A$3:A$999=DATE(2026,8,26)),ROW(Expenses!A$3:A$999)-2),4)),0)+IFERROR(INDEX(Income!C$3:C$502,SMALL(IF((Income!D$3:D$502="INR")*(Income!A$3:A$502=DATE(2026,8,26)),ROW(Income!A$3:A$502)-2),4)),0)=0,"",IFERROR(-INDEX(Expenses!D$3:D$999,SMALL(IF((Expenses!E$3:E$999="INR")*(Expenses!A$3:A$999=DATE(2026,8,26)),ROW(Expenses!A$3:A$999)-2),4)),0)+IFERROR(INDEX(Income!C$3:C$502,SMALL(IF((Income!D$3:D$502="INR")*(Income!A$3:A$502=DATE(2026,8,26)),ROW(Income!A$3:A$502)-2),4)),0))</f>
        <v/>
      </c>
      <c r="H177" s="126">
        <f t="array" ref="H177">IF(IFERROR(INDEX(Expenses!B$3:B$999,SMALL(IF((Expenses!E$3:E$999="INR")*(Expenses!A$3:A$999=DATE(2026,8,26)),ROW(Expenses!A$3:A$999)-2),4)),"")&lt;&gt;"",IFERROR(INDEX(Expenses!B$3:B$999,SMALL(IF((Expenses!E$3:E$999="INR")*(Expenses!A$3:A$999=DATE(2026,8,26)),ROW(Expenses!A$3:A$999)-2),4)),""),IF(IFERROR(INDEX(Income!B$3:B$502,SMALL(IF((Income!D$3:D$502="INR")*(Income!A$3:A$502=DATE(2026,8,26)),ROW(Income!A$3:A$502)-2),4)),"")&lt;&gt;"",IFERROR(INDEX(Income!B$3:B$502,SMALL(IF((Income!D$3:D$502="INR")*(Income!A$3:A$502=DATE(2026,8,26)),ROW(Income!A$3:A$502)-2),4)),""),""))</f>
        <v/>
      </c>
      <c r="I177" s="153">
        <f t="array" ref="I177">IF(IFERROR(-INDEX(Expenses!D$3:D$999,SMALL(IF((Expenses!E$3:E$999="INR")*(Expenses!A$3:A$999=DATE(2026,8,27)),ROW(Expenses!A$3:A$999)-2),4)),0)+IFERROR(INDEX(Income!C$3:C$502,SMALL(IF((Income!D$3:D$502="INR")*(Income!A$3:A$502=DATE(2026,8,27)),ROW(Income!A$3:A$502)-2),4)),0)=0,"",IFERROR(-INDEX(Expenses!D$3:D$999,SMALL(IF((Expenses!E$3:E$999="INR")*(Expenses!A$3:A$999=DATE(2026,8,27)),ROW(Expenses!A$3:A$999)-2),4)),0)+IFERROR(INDEX(Income!C$3:C$502,SMALL(IF((Income!D$3:D$502="INR")*(Income!A$3:A$502=DATE(2026,8,27)),ROW(Income!A$3:A$502)-2),4)),0))</f>
        <v/>
      </c>
      <c r="J177" s="126">
        <f t="array" ref="J177">IF(IFERROR(INDEX(Expenses!B$3:B$999,SMALL(IF((Expenses!E$3:E$999="INR")*(Expenses!A$3:A$999=DATE(2026,8,27)),ROW(Expenses!A$3:A$999)-2),4)),"")&lt;&gt;"",IFERROR(INDEX(Expenses!B$3:B$999,SMALL(IF((Expenses!E$3:E$999="INR")*(Expenses!A$3:A$999=DATE(2026,8,27)),ROW(Expenses!A$3:A$999)-2),4)),""),IF(IFERROR(INDEX(Income!B$3:B$502,SMALL(IF((Income!D$3:D$502="INR")*(Income!A$3:A$502=DATE(2026,8,27)),ROW(Income!A$3:A$502)-2),4)),"")&lt;&gt;"",IFERROR(INDEX(Income!B$3:B$502,SMALL(IF((Income!D$3:D$502="INR")*(Income!A$3:A$502=DATE(2026,8,27)),ROW(Income!A$3:A$502)-2),4)),""),""))</f>
        <v/>
      </c>
      <c r="K177" s="153">
        <f t="array" ref="K177">IF(IFERROR(-INDEX(Expenses!D$3:D$999,SMALL(IF((Expenses!E$3:E$999="INR")*(Expenses!A$3:A$999=DATE(2026,8,28)),ROW(Expenses!A$3:A$999)-2),4)),0)+IFERROR(INDEX(Income!C$3:C$502,SMALL(IF((Income!D$3:D$502="INR")*(Income!A$3:A$502=DATE(2026,8,28)),ROW(Income!A$3:A$502)-2),4)),0)=0,"",IFERROR(-INDEX(Expenses!D$3:D$999,SMALL(IF((Expenses!E$3:E$999="INR")*(Expenses!A$3:A$999=DATE(2026,8,28)),ROW(Expenses!A$3:A$999)-2),4)),0)+IFERROR(INDEX(Income!C$3:C$502,SMALL(IF((Income!D$3:D$502="INR")*(Income!A$3:A$502=DATE(2026,8,28)),ROW(Income!A$3:A$502)-2),4)),0))</f>
        <v/>
      </c>
      <c r="L177" s="126">
        <f t="array" ref="L177">IF(IFERROR(INDEX(Expenses!B$3:B$999,SMALL(IF((Expenses!E$3:E$999="INR")*(Expenses!A$3:A$999=DATE(2026,8,28)),ROW(Expenses!A$3:A$999)-2),4)),"")&lt;&gt;"",IFERROR(INDEX(Expenses!B$3:B$999,SMALL(IF((Expenses!E$3:E$999="INR")*(Expenses!A$3:A$999=DATE(2026,8,28)),ROW(Expenses!A$3:A$999)-2),4)),""),IF(IFERROR(INDEX(Income!B$3:B$502,SMALL(IF((Income!D$3:D$502="INR")*(Income!A$3:A$502=DATE(2026,8,28)),ROW(Income!A$3:A$502)-2),4)),"")&lt;&gt;"",IFERROR(INDEX(Income!B$3:B$502,SMALL(IF((Income!D$3:D$502="INR")*(Income!A$3:A$502=DATE(2026,8,28)),ROW(Income!A$3:A$502)-2),4)),""),""))</f>
        <v/>
      </c>
      <c r="M177" s="153">
        <f t="array" ref="M177">IF(IFERROR(-INDEX(Expenses!D$3:D$999,SMALL(IF((Expenses!E$3:E$999="INR")*(Expenses!A$3:A$999=DATE(2026,8,29)),ROW(Expenses!A$3:A$999)-2),4)),0)+IFERROR(INDEX(Income!C$3:C$502,SMALL(IF((Income!D$3:D$502="INR")*(Income!A$3:A$502=DATE(2026,8,29)),ROW(Income!A$3:A$502)-2),4)),0)=0,"",IFERROR(-INDEX(Expenses!D$3:D$999,SMALL(IF((Expenses!E$3:E$999="INR")*(Expenses!A$3:A$999=DATE(2026,8,29)),ROW(Expenses!A$3:A$999)-2),4)),0)+IFERROR(INDEX(Income!C$3:C$502,SMALL(IF((Income!D$3:D$502="INR")*(Income!A$3:A$502=DATE(2026,8,29)),ROW(Income!A$3:A$502)-2),4)),0))</f>
        <v/>
      </c>
      <c r="N177" s="126">
        <f t="array" ref="N177">IF(IFERROR(INDEX(Expenses!B$3:B$999,SMALL(IF((Expenses!E$3:E$999="INR")*(Expenses!A$3:A$999=DATE(2026,8,29)),ROW(Expenses!A$3:A$999)-2),4)),"")&lt;&gt;"",IFERROR(INDEX(Expenses!B$3:B$999,SMALL(IF((Expenses!E$3:E$999="INR")*(Expenses!A$3:A$999=DATE(2026,8,29)),ROW(Expenses!A$3:A$999)-2),4)),""),IF(IFERROR(INDEX(Income!B$3:B$502,SMALL(IF((Income!D$3:D$502="INR")*(Income!A$3:A$502=DATE(2026,8,29)),ROW(Income!A$3:A$502)-2),4)),"")&lt;&gt;"",IFERROR(INDEX(Income!B$3:B$502,SMALL(IF((Income!D$3:D$502="INR")*(Income!A$3:A$502=DATE(2026,8,29)),ROW(Income!A$3:A$502)-2),4)),""),""))</f>
        <v/>
      </c>
      <c r="O177" s="153">
        <f t="array" ref="O177">IF(IFERROR(-INDEX(Expenses!D$3:D$999,SMALL(IF((Expenses!E$3:E$999="INR")*(Expenses!A$3:A$999=DATE(2026,8,30)),ROW(Expenses!A$3:A$999)-2),4)),0)+IFERROR(INDEX(Income!C$3:C$502,SMALL(IF((Income!D$3:D$502="INR")*(Income!A$3:A$502=DATE(2026,8,30)),ROW(Income!A$3:A$502)-2),4)),0)=0,"",IFERROR(-INDEX(Expenses!D$3:D$999,SMALL(IF((Expenses!E$3:E$999="INR")*(Expenses!A$3:A$999=DATE(2026,8,30)),ROW(Expenses!A$3:A$999)-2),4)),0)+IFERROR(INDEX(Income!C$3:C$502,SMALL(IF((Income!D$3:D$502="INR")*(Income!A$3:A$502=DATE(2026,8,30)),ROW(Income!A$3:A$502)-2),4)),0))</f>
        <v/>
      </c>
      <c r="P177" s="126">
        <f t="array" ref="P177">IF(IFERROR(INDEX(Expenses!B$3:B$999,SMALL(IF((Expenses!E$3:E$999="INR")*(Expenses!A$3:A$999=DATE(2026,8,30)),ROW(Expenses!A$3:A$999)-2),4)),"")&lt;&gt;"",IFERROR(INDEX(Expenses!B$3:B$999,SMALL(IF((Expenses!E$3:E$999="INR")*(Expenses!A$3:A$999=DATE(2026,8,30)),ROW(Expenses!A$3:A$999)-2),4)),""),IF(IFERROR(INDEX(Income!B$3:B$502,SMALL(IF((Income!D$3:D$502="INR")*(Income!A$3:A$502=DATE(2026,8,30)),ROW(Income!A$3:A$502)-2),4)),"")&lt;&gt;"",IFERROR(INDEX(Income!B$3:B$502,SMALL(IF((Income!D$3:D$502="INR")*(Income!A$3:A$502=DATE(2026,8,30)),ROW(Income!A$3:A$502)-2),4)),""),""))</f>
        <v/>
      </c>
      <c r="Q177" s="9" t="n"/>
      <c r="R177" s="9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68">
      <c r="A178" s="9" t="n"/>
      <c r="B178" s="9" t="n"/>
      <c r="C178" s="153">
        <f t="array" ref="C178">IF(IFERROR(-INDEX(Expenses!D$3:D$999,SMALL(IF((Expenses!E$3:E$999="INR")*(Expenses!A$3:A$999=DATE(2026,8,24)),ROW(Expenses!A$3:A$999)-2),5)),0)+IFERROR(INDEX(Income!C$3:C$502,SMALL(IF((Income!D$3:D$502="INR")*(Income!A$3:A$502=DATE(2026,8,24)),ROW(Income!A$3:A$502)-2),5)),0)=0,"",IFERROR(-INDEX(Expenses!D$3:D$999,SMALL(IF((Expenses!E$3:E$999="INR")*(Expenses!A$3:A$999=DATE(2026,8,24)),ROW(Expenses!A$3:A$999)-2),5)),0)+IFERROR(INDEX(Income!C$3:C$502,SMALL(IF((Income!D$3:D$502="INR")*(Income!A$3:A$502=DATE(2026,8,24)),ROW(Income!A$3:A$502)-2),5)),0))</f>
        <v/>
      </c>
      <c r="D178" s="126">
        <f t="array" ref="D178">IF(IFERROR(INDEX(Expenses!B$3:B$999,SMALL(IF((Expenses!E$3:E$999="INR")*(Expenses!A$3:A$999=DATE(2026,8,24)),ROW(Expenses!A$3:A$999)-2),5)),"")&lt;&gt;"",IFERROR(INDEX(Expenses!B$3:B$999,SMALL(IF((Expenses!E$3:E$999="INR")*(Expenses!A$3:A$999=DATE(2026,8,24)),ROW(Expenses!A$3:A$999)-2),5)),""),IF(IFERROR(INDEX(Income!B$3:B$502,SMALL(IF((Income!D$3:D$502="INR")*(Income!A$3:A$502=DATE(2026,8,24)),ROW(Income!A$3:A$502)-2),5)),"")&lt;&gt;"",IFERROR(INDEX(Income!B$3:B$502,SMALL(IF((Income!D$3:D$502="INR")*(Income!A$3:A$502=DATE(2026,8,24)),ROW(Income!A$3:A$502)-2),5)),""),""))</f>
        <v/>
      </c>
      <c r="E178" s="153">
        <f t="array" ref="E178">IF(IFERROR(-INDEX(Expenses!D$3:D$999,SMALL(IF((Expenses!E$3:E$999="INR")*(Expenses!A$3:A$999=DATE(2026,8,25)),ROW(Expenses!A$3:A$999)-2),5)),0)+IFERROR(INDEX(Income!C$3:C$502,SMALL(IF((Income!D$3:D$502="INR")*(Income!A$3:A$502=DATE(2026,8,25)),ROW(Income!A$3:A$502)-2),5)),0)=0,"",IFERROR(-INDEX(Expenses!D$3:D$999,SMALL(IF((Expenses!E$3:E$999="INR")*(Expenses!A$3:A$999=DATE(2026,8,25)),ROW(Expenses!A$3:A$999)-2),5)),0)+IFERROR(INDEX(Income!C$3:C$502,SMALL(IF((Income!D$3:D$502="INR")*(Income!A$3:A$502=DATE(2026,8,25)),ROW(Income!A$3:A$502)-2),5)),0))</f>
        <v/>
      </c>
      <c r="F178" s="126">
        <f t="array" ref="F178">IF(IFERROR(INDEX(Expenses!B$3:B$999,SMALL(IF((Expenses!E$3:E$999="INR")*(Expenses!A$3:A$999=DATE(2026,8,25)),ROW(Expenses!A$3:A$999)-2),5)),"")&lt;&gt;"",IFERROR(INDEX(Expenses!B$3:B$999,SMALL(IF((Expenses!E$3:E$999="INR")*(Expenses!A$3:A$999=DATE(2026,8,25)),ROW(Expenses!A$3:A$999)-2),5)),""),IF(IFERROR(INDEX(Income!B$3:B$502,SMALL(IF((Income!D$3:D$502="INR")*(Income!A$3:A$502=DATE(2026,8,25)),ROW(Income!A$3:A$502)-2),5)),"")&lt;&gt;"",IFERROR(INDEX(Income!B$3:B$502,SMALL(IF((Income!D$3:D$502="INR")*(Income!A$3:A$502=DATE(2026,8,25)),ROW(Income!A$3:A$502)-2),5)),""),""))</f>
        <v/>
      </c>
      <c r="G178" s="153">
        <f t="array" ref="G178">IF(IFERROR(-INDEX(Expenses!D$3:D$999,SMALL(IF((Expenses!E$3:E$999="INR")*(Expenses!A$3:A$999=DATE(2026,8,26)),ROW(Expenses!A$3:A$999)-2),5)),0)+IFERROR(INDEX(Income!C$3:C$502,SMALL(IF((Income!D$3:D$502="INR")*(Income!A$3:A$502=DATE(2026,8,26)),ROW(Income!A$3:A$502)-2),5)),0)=0,"",IFERROR(-INDEX(Expenses!D$3:D$999,SMALL(IF((Expenses!E$3:E$999="INR")*(Expenses!A$3:A$999=DATE(2026,8,26)),ROW(Expenses!A$3:A$999)-2),5)),0)+IFERROR(INDEX(Income!C$3:C$502,SMALL(IF((Income!D$3:D$502="INR")*(Income!A$3:A$502=DATE(2026,8,26)),ROW(Income!A$3:A$502)-2),5)),0))</f>
        <v/>
      </c>
      <c r="H178" s="126">
        <f t="array" ref="H178">IF(IFERROR(INDEX(Expenses!B$3:B$999,SMALL(IF((Expenses!E$3:E$999="INR")*(Expenses!A$3:A$999=DATE(2026,8,26)),ROW(Expenses!A$3:A$999)-2),5)),"")&lt;&gt;"",IFERROR(INDEX(Expenses!B$3:B$999,SMALL(IF((Expenses!E$3:E$999="INR")*(Expenses!A$3:A$999=DATE(2026,8,26)),ROW(Expenses!A$3:A$999)-2),5)),""),IF(IFERROR(INDEX(Income!B$3:B$502,SMALL(IF((Income!D$3:D$502="INR")*(Income!A$3:A$502=DATE(2026,8,26)),ROW(Income!A$3:A$502)-2),5)),"")&lt;&gt;"",IFERROR(INDEX(Income!B$3:B$502,SMALL(IF((Income!D$3:D$502="INR")*(Income!A$3:A$502=DATE(2026,8,26)),ROW(Income!A$3:A$502)-2),5)),""),""))</f>
        <v/>
      </c>
      <c r="I178" s="153">
        <f t="array" ref="I178">IF(IFERROR(-INDEX(Expenses!D$3:D$999,SMALL(IF((Expenses!E$3:E$999="INR")*(Expenses!A$3:A$999=DATE(2026,8,27)),ROW(Expenses!A$3:A$999)-2),5)),0)+IFERROR(INDEX(Income!C$3:C$502,SMALL(IF((Income!D$3:D$502="INR")*(Income!A$3:A$502=DATE(2026,8,27)),ROW(Income!A$3:A$502)-2),5)),0)=0,"",IFERROR(-INDEX(Expenses!D$3:D$999,SMALL(IF((Expenses!E$3:E$999="INR")*(Expenses!A$3:A$999=DATE(2026,8,27)),ROW(Expenses!A$3:A$999)-2),5)),0)+IFERROR(INDEX(Income!C$3:C$502,SMALL(IF((Income!D$3:D$502="INR")*(Income!A$3:A$502=DATE(2026,8,27)),ROW(Income!A$3:A$502)-2),5)),0))</f>
        <v/>
      </c>
      <c r="J178" s="126">
        <f t="array" ref="J178">IF(IFERROR(INDEX(Expenses!B$3:B$999,SMALL(IF((Expenses!E$3:E$999="INR")*(Expenses!A$3:A$999=DATE(2026,8,27)),ROW(Expenses!A$3:A$999)-2),5)),"")&lt;&gt;"",IFERROR(INDEX(Expenses!B$3:B$999,SMALL(IF((Expenses!E$3:E$999="INR")*(Expenses!A$3:A$999=DATE(2026,8,27)),ROW(Expenses!A$3:A$999)-2),5)),""),IF(IFERROR(INDEX(Income!B$3:B$502,SMALL(IF((Income!D$3:D$502="INR")*(Income!A$3:A$502=DATE(2026,8,27)),ROW(Income!A$3:A$502)-2),5)),"")&lt;&gt;"",IFERROR(INDEX(Income!B$3:B$502,SMALL(IF((Income!D$3:D$502="INR")*(Income!A$3:A$502=DATE(2026,8,27)),ROW(Income!A$3:A$502)-2),5)),""),""))</f>
        <v/>
      </c>
      <c r="K178" s="153">
        <f t="array" ref="K178">IF(IFERROR(-INDEX(Expenses!D$3:D$999,SMALL(IF((Expenses!E$3:E$999="INR")*(Expenses!A$3:A$999=DATE(2026,8,28)),ROW(Expenses!A$3:A$999)-2),5)),0)+IFERROR(INDEX(Income!C$3:C$502,SMALL(IF((Income!D$3:D$502="INR")*(Income!A$3:A$502=DATE(2026,8,28)),ROW(Income!A$3:A$502)-2),5)),0)=0,"",IFERROR(-INDEX(Expenses!D$3:D$999,SMALL(IF((Expenses!E$3:E$999="INR")*(Expenses!A$3:A$999=DATE(2026,8,28)),ROW(Expenses!A$3:A$999)-2),5)),0)+IFERROR(INDEX(Income!C$3:C$502,SMALL(IF((Income!D$3:D$502="INR")*(Income!A$3:A$502=DATE(2026,8,28)),ROW(Income!A$3:A$502)-2),5)),0))</f>
        <v/>
      </c>
      <c r="L178" s="126">
        <f t="array" ref="L178">IF(IFERROR(INDEX(Expenses!B$3:B$999,SMALL(IF((Expenses!E$3:E$999="INR")*(Expenses!A$3:A$999=DATE(2026,8,28)),ROW(Expenses!A$3:A$999)-2),5)),"")&lt;&gt;"",IFERROR(INDEX(Expenses!B$3:B$999,SMALL(IF((Expenses!E$3:E$999="INR")*(Expenses!A$3:A$999=DATE(2026,8,28)),ROW(Expenses!A$3:A$999)-2),5)),""),IF(IFERROR(INDEX(Income!B$3:B$502,SMALL(IF((Income!D$3:D$502="INR")*(Income!A$3:A$502=DATE(2026,8,28)),ROW(Income!A$3:A$502)-2),5)),"")&lt;&gt;"",IFERROR(INDEX(Income!B$3:B$502,SMALL(IF((Income!D$3:D$502="INR")*(Income!A$3:A$502=DATE(2026,8,28)),ROW(Income!A$3:A$502)-2),5)),""),""))</f>
        <v/>
      </c>
      <c r="M178" s="153">
        <f t="array" ref="M178">IF(IFERROR(-INDEX(Expenses!D$3:D$999,SMALL(IF((Expenses!E$3:E$999="INR")*(Expenses!A$3:A$999=DATE(2026,8,29)),ROW(Expenses!A$3:A$999)-2),5)),0)+IFERROR(INDEX(Income!C$3:C$502,SMALL(IF((Income!D$3:D$502="INR")*(Income!A$3:A$502=DATE(2026,8,29)),ROW(Income!A$3:A$502)-2),5)),0)=0,"",IFERROR(-INDEX(Expenses!D$3:D$999,SMALL(IF((Expenses!E$3:E$999="INR")*(Expenses!A$3:A$999=DATE(2026,8,29)),ROW(Expenses!A$3:A$999)-2),5)),0)+IFERROR(INDEX(Income!C$3:C$502,SMALL(IF((Income!D$3:D$502="INR")*(Income!A$3:A$502=DATE(2026,8,29)),ROW(Income!A$3:A$502)-2),5)),0))</f>
        <v/>
      </c>
      <c r="N178" s="126">
        <f t="array" ref="N178">IF(IFERROR(INDEX(Expenses!B$3:B$999,SMALL(IF((Expenses!E$3:E$999="INR")*(Expenses!A$3:A$999=DATE(2026,8,29)),ROW(Expenses!A$3:A$999)-2),5)),"")&lt;&gt;"",IFERROR(INDEX(Expenses!B$3:B$999,SMALL(IF((Expenses!E$3:E$999="INR")*(Expenses!A$3:A$999=DATE(2026,8,29)),ROW(Expenses!A$3:A$999)-2),5)),""),IF(IFERROR(INDEX(Income!B$3:B$502,SMALL(IF((Income!D$3:D$502="INR")*(Income!A$3:A$502=DATE(2026,8,29)),ROW(Income!A$3:A$502)-2),5)),"")&lt;&gt;"",IFERROR(INDEX(Income!B$3:B$502,SMALL(IF((Income!D$3:D$502="INR")*(Income!A$3:A$502=DATE(2026,8,29)),ROW(Income!A$3:A$502)-2),5)),""),""))</f>
        <v/>
      </c>
      <c r="O178" s="153">
        <f t="array" ref="O178">IF(IFERROR(-INDEX(Expenses!D$3:D$999,SMALL(IF((Expenses!E$3:E$999="INR")*(Expenses!A$3:A$999=DATE(2026,8,30)),ROW(Expenses!A$3:A$999)-2),5)),0)+IFERROR(INDEX(Income!C$3:C$502,SMALL(IF((Income!D$3:D$502="INR")*(Income!A$3:A$502=DATE(2026,8,30)),ROW(Income!A$3:A$502)-2),5)),0)=0,"",IFERROR(-INDEX(Expenses!D$3:D$999,SMALL(IF((Expenses!E$3:E$999="INR")*(Expenses!A$3:A$999=DATE(2026,8,30)),ROW(Expenses!A$3:A$999)-2),5)),0)+IFERROR(INDEX(Income!C$3:C$502,SMALL(IF((Income!D$3:D$502="INR")*(Income!A$3:A$502=DATE(2026,8,30)),ROW(Income!A$3:A$502)-2),5)),0))</f>
        <v/>
      </c>
      <c r="P178" s="126">
        <f t="array" ref="P178">IF(IFERROR(INDEX(Expenses!B$3:B$999,SMALL(IF((Expenses!E$3:E$999="INR")*(Expenses!A$3:A$999=DATE(2026,8,30)),ROW(Expenses!A$3:A$999)-2),5)),"")&lt;&gt;"",IFERROR(INDEX(Expenses!B$3:B$999,SMALL(IF((Expenses!E$3:E$999="INR")*(Expenses!A$3:A$999=DATE(2026,8,30)),ROW(Expenses!A$3:A$999)-2),5)),""),IF(IFERROR(INDEX(Income!B$3:B$502,SMALL(IF((Income!D$3:D$502="INR")*(Income!A$3:A$502=DATE(2026,8,30)),ROW(Income!A$3:A$502)-2),5)),"")&lt;&gt;"",IFERROR(INDEX(Income!B$3:B$502,SMALL(IF((Income!D$3:D$502="INR")*(Income!A$3:A$502=DATE(2026,8,30)),ROW(Income!A$3:A$502)-2),5)),""),""))</f>
        <v/>
      </c>
      <c r="Q178" s="9" t="n"/>
      <c r="R178" s="9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68">
      <c r="A179" s="151" t="n">
        <v>46265</v>
      </c>
      <c r="B179" s="103" t="n">
        <v>36</v>
      </c>
      <c r="C179" s="153">
        <f t="array" ref="C179">IF(IFERROR(-INDEX(Expenses!D$3:D$999,SMALL(IF((Expenses!E$3:E$999="INR")*(Expenses!A$3:A$999=DATE(2026,8,31)),ROW(Expenses!A$3:A$999)-2),1)),0)+IFERROR(INDEX(Income!C$3:C$502,SMALL(IF((Income!D$3:D$502="INR")*(Income!A$3:A$502=DATE(2026,8,31)),ROW(Income!A$3:A$502)-2),1)),0)=0,"",IFERROR(-INDEX(Expenses!D$3:D$999,SMALL(IF((Expenses!E$3:E$999="INR")*(Expenses!A$3:A$999=DATE(2026,8,31)),ROW(Expenses!A$3:A$999)-2),1)),0)+IFERROR(INDEX(Income!C$3:C$502,SMALL(IF((Income!D$3:D$502="INR")*(Income!A$3:A$502=DATE(2026,8,31)),ROW(Income!A$3:A$502)-2),1)),0))</f>
        <v/>
      </c>
      <c r="D179" s="126">
        <f t="array" ref="D179">IF(IFERROR(INDEX(Expenses!B$3:B$999,SMALL(IF((Expenses!E$3:E$999="INR")*(Expenses!A$3:A$999=DATE(2026,8,31)),ROW(Expenses!A$3:A$999)-2),1)),"")&lt;&gt;"",IFERROR(INDEX(Expenses!B$3:B$999,SMALL(IF((Expenses!E$3:E$999="INR")*(Expenses!A$3:A$999=DATE(2026,8,31)),ROW(Expenses!A$3:A$999)-2),1)),""),IF(IFERROR(INDEX(Income!B$3:B$502,SMALL(IF((Income!D$3:D$502="INR")*(Income!A$3:A$502=DATE(2026,8,31)),ROW(Income!A$3:A$502)-2),1)),"")&lt;&gt;"",IFERROR(INDEX(Income!B$3:B$502,SMALL(IF((Income!D$3:D$502="INR")*(Income!A$3:A$502=DATE(2026,8,31)),ROW(Income!A$3:A$502)-2),1)),""),""))</f>
        <v/>
      </c>
      <c r="E179" s="153">
        <f t="array" ref="E179">IF(IFERROR(-INDEX(Expenses!D$3:D$999,SMALL(IF((Expenses!E$3:E$999="INR")*(Expenses!A$3:A$999=DATE(2026,9,1)),ROW(Expenses!A$3:A$999)-2),1)),0)+IFERROR(INDEX(Income!C$3:C$502,SMALL(IF((Income!D$3:D$502="INR")*(Income!A$3:A$502=DATE(2026,9,1)),ROW(Income!A$3:A$502)-2),1)),0)=0,"",IFERROR(-INDEX(Expenses!D$3:D$999,SMALL(IF((Expenses!E$3:E$999="INR")*(Expenses!A$3:A$999=DATE(2026,9,1)),ROW(Expenses!A$3:A$999)-2),1)),0)+IFERROR(INDEX(Income!C$3:C$502,SMALL(IF((Income!D$3:D$502="INR")*(Income!A$3:A$502=DATE(2026,9,1)),ROW(Income!A$3:A$502)-2),1)),0))</f>
        <v/>
      </c>
      <c r="F179" s="126">
        <f t="array" ref="F179">IF(IFERROR(INDEX(Expenses!B$3:B$999,SMALL(IF((Expenses!E$3:E$999="INR")*(Expenses!A$3:A$999=DATE(2026,9,1)),ROW(Expenses!A$3:A$999)-2),1)),"")&lt;&gt;"",IFERROR(INDEX(Expenses!B$3:B$999,SMALL(IF((Expenses!E$3:E$999="INR")*(Expenses!A$3:A$999=DATE(2026,9,1)),ROW(Expenses!A$3:A$999)-2),1)),""),IF(IFERROR(INDEX(Income!B$3:B$502,SMALL(IF((Income!D$3:D$502="INR")*(Income!A$3:A$502=DATE(2026,9,1)),ROW(Income!A$3:A$502)-2),1)),"")&lt;&gt;"",IFERROR(INDEX(Income!B$3:B$502,SMALL(IF((Income!D$3:D$502="INR")*(Income!A$3:A$502=DATE(2026,9,1)),ROW(Income!A$3:A$502)-2),1)),""),""))</f>
        <v/>
      </c>
      <c r="G179" s="153">
        <f t="array" ref="G179">IF(IFERROR(-INDEX(Expenses!D$3:D$999,SMALL(IF((Expenses!E$3:E$999="INR")*(Expenses!A$3:A$999=DATE(2026,9,2)),ROW(Expenses!A$3:A$999)-2),1)),0)+IFERROR(INDEX(Income!C$3:C$502,SMALL(IF((Income!D$3:D$502="INR")*(Income!A$3:A$502=DATE(2026,9,2)),ROW(Income!A$3:A$502)-2),1)),0)=0,"",IFERROR(-INDEX(Expenses!D$3:D$999,SMALL(IF((Expenses!E$3:E$999="INR")*(Expenses!A$3:A$999=DATE(2026,9,2)),ROW(Expenses!A$3:A$999)-2),1)),0)+IFERROR(INDEX(Income!C$3:C$502,SMALL(IF((Income!D$3:D$502="INR")*(Income!A$3:A$502=DATE(2026,9,2)),ROW(Income!A$3:A$502)-2),1)),0))</f>
        <v/>
      </c>
      <c r="H179" s="126">
        <f t="array" ref="H179">IF(IFERROR(INDEX(Expenses!B$3:B$999,SMALL(IF((Expenses!E$3:E$999="INR")*(Expenses!A$3:A$999=DATE(2026,9,2)),ROW(Expenses!A$3:A$999)-2),1)),"")&lt;&gt;"",IFERROR(INDEX(Expenses!B$3:B$999,SMALL(IF((Expenses!E$3:E$999="INR")*(Expenses!A$3:A$999=DATE(2026,9,2)),ROW(Expenses!A$3:A$999)-2),1)),""),IF(IFERROR(INDEX(Income!B$3:B$502,SMALL(IF((Income!D$3:D$502="INR")*(Income!A$3:A$502=DATE(2026,9,2)),ROW(Income!A$3:A$502)-2),1)),"")&lt;&gt;"",IFERROR(INDEX(Income!B$3:B$502,SMALL(IF((Income!D$3:D$502="INR")*(Income!A$3:A$502=DATE(2026,9,2)),ROW(Income!A$3:A$502)-2),1)),""),""))</f>
        <v/>
      </c>
      <c r="I179" s="153">
        <f t="array" ref="I179">IF(IFERROR(-INDEX(Expenses!D$3:D$999,SMALL(IF((Expenses!E$3:E$999="INR")*(Expenses!A$3:A$999=DATE(2026,9,3)),ROW(Expenses!A$3:A$999)-2),1)),0)+IFERROR(INDEX(Income!C$3:C$502,SMALL(IF((Income!D$3:D$502="INR")*(Income!A$3:A$502=DATE(2026,9,3)),ROW(Income!A$3:A$502)-2),1)),0)=0,"",IFERROR(-INDEX(Expenses!D$3:D$999,SMALL(IF((Expenses!E$3:E$999="INR")*(Expenses!A$3:A$999=DATE(2026,9,3)),ROW(Expenses!A$3:A$999)-2),1)),0)+IFERROR(INDEX(Income!C$3:C$502,SMALL(IF((Income!D$3:D$502="INR")*(Income!A$3:A$502=DATE(2026,9,3)),ROW(Income!A$3:A$502)-2),1)),0))</f>
        <v/>
      </c>
      <c r="J179" s="126">
        <f t="array" ref="J179">IF(IFERROR(INDEX(Expenses!B$3:B$999,SMALL(IF((Expenses!E$3:E$999="INR")*(Expenses!A$3:A$999=DATE(2026,9,3)),ROW(Expenses!A$3:A$999)-2),1)),"")&lt;&gt;"",IFERROR(INDEX(Expenses!B$3:B$999,SMALL(IF((Expenses!E$3:E$999="INR")*(Expenses!A$3:A$999=DATE(2026,9,3)),ROW(Expenses!A$3:A$999)-2),1)),""),IF(IFERROR(INDEX(Income!B$3:B$502,SMALL(IF((Income!D$3:D$502="INR")*(Income!A$3:A$502=DATE(2026,9,3)),ROW(Income!A$3:A$502)-2),1)),"")&lt;&gt;"",IFERROR(INDEX(Income!B$3:B$502,SMALL(IF((Income!D$3:D$502="INR")*(Income!A$3:A$502=DATE(2026,9,3)),ROW(Income!A$3:A$502)-2),1)),""),""))</f>
        <v/>
      </c>
      <c r="K179" s="153">
        <f t="array" ref="K179">IF(IFERROR(-INDEX(Expenses!D$3:D$999,SMALL(IF((Expenses!E$3:E$999="INR")*(Expenses!A$3:A$999=DATE(2026,9,4)),ROW(Expenses!A$3:A$999)-2),1)),0)+IFERROR(INDEX(Income!C$3:C$502,SMALL(IF((Income!D$3:D$502="INR")*(Income!A$3:A$502=DATE(2026,9,4)),ROW(Income!A$3:A$502)-2),1)),0)=0,"",IFERROR(-INDEX(Expenses!D$3:D$999,SMALL(IF((Expenses!E$3:E$999="INR")*(Expenses!A$3:A$999=DATE(2026,9,4)),ROW(Expenses!A$3:A$999)-2),1)),0)+IFERROR(INDEX(Income!C$3:C$502,SMALL(IF((Income!D$3:D$502="INR")*(Income!A$3:A$502=DATE(2026,9,4)),ROW(Income!A$3:A$502)-2),1)),0))</f>
        <v/>
      </c>
      <c r="L179" s="126">
        <f t="array" ref="L179">IF(IFERROR(INDEX(Expenses!B$3:B$999,SMALL(IF((Expenses!E$3:E$999="INR")*(Expenses!A$3:A$999=DATE(2026,9,4)),ROW(Expenses!A$3:A$999)-2),1)),"")&lt;&gt;"",IFERROR(INDEX(Expenses!B$3:B$999,SMALL(IF((Expenses!E$3:E$999="INR")*(Expenses!A$3:A$999=DATE(2026,9,4)),ROW(Expenses!A$3:A$999)-2),1)),""),IF(IFERROR(INDEX(Income!B$3:B$502,SMALL(IF((Income!D$3:D$502="INR")*(Income!A$3:A$502=DATE(2026,9,4)),ROW(Income!A$3:A$502)-2),1)),"")&lt;&gt;"",IFERROR(INDEX(Income!B$3:B$502,SMALL(IF((Income!D$3:D$502="INR")*(Income!A$3:A$502=DATE(2026,9,4)),ROW(Income!A$3:A$502)-2),1)),""),""))</f>
        <v/>
      </c>
      <c r="M179" s="153">
        <f t="array" ref="M179">IF(IFERROR(-INDEX(Expenses!D$3:D$999,SMALL(IF((Expenses!E$3:E$999="INR")*(Expenses!A$3:A$999=DATE(2026,9,5)),ROW(Expenses!A$3:A$999)-2),1)),0)+IFERROR(INDEX(Income!C$3:C$502,SMALL(IF((Income!D$3:D$502="INR")*(Income!A$3:A$502=DATE(2026,9,5)),ROW(Income!A$3:A$502)-2),1)),0)=0,"",IFERROR(-INDEX(Expenses!D$3:D$999,SMALL(IF((Expenses!E$3:E$999="INR")*(Expenses!A$3:A$999=DATE(2026,9,5)),ROW(Expenses!A$3:A$999)-2),1)),0)+IFERROR(INDEX(Income!C$3:C$502,SMALL(IF((Income!D$3:D$502="INR")*(Income!A$3:A$502=DATE(2026,9,5)),ROW(Income!A$3:A$502)-2),1)),0))</f>
        <v/>
      </c>
      <c r="N179" s="126">
        <f t="array" ref="N179">IF(IFERROR(INDEX(Expenses!B$3:B$999,SMALL(IF((Expenses!E$3:E$999="INR")*(Expenses!A$3:A$999=DATE(2026,9,5)),ROW(Expenses!A$3:A$999)-2),1)),"")&lt;&gt;"",IFERROR(INDEX(Expenses!B$3:B$999,SMALL(IF((Expenses!E$3:E$999="INR")*(Expenses!A$3:A$999=DATE(2026,9,5)),ROW(Expenses!A$3:A$999)-2),1)),""),IF(IFERROR(INDEX(Income!B$3:B$502,SMALL(IF((Income!D$3:D$502="INR")*(Income!A$3:A$502=DATE(2026,9,5)),ROW(Income!A$3:A$502)-2),1)),"")&lt;&gt;"",IFERROR(INDEX(Income!B$3:B$502,SMALL(IF((Income!D$3:D$502="INR")*(Income!A$3:A$502=DATE(2026,9,5)),ROW(Income!A$3:A$502)-2),1)),""),""))</f>
        <v/>
      </c>
      <c r="O179" s="153">
        <f t="array" ref="O179">IF(IFERROR(-INDEX(Expenses!D$3:D$999,SMALL(IF((Expenses!E$3:E$999="INR")*(Expenses!A$3:A$999=DATE(2026,9,6)),ROW(Expenses!A$3:A$999)-2),1)),0)+IFERROR(INDEX(Income!C$3:C$502,SMALL(IF((Income!D$3:D$502="INR")*(Income!A$3:A$502=DATE(2026,9,6)),ROW(Income!A$3:A$502)-2),1)),0)=0,"",IFERROR(-INDEX(Expenses!D$3:D$999,SMALL(IF((Expenses!E$3:E$999="INR")*(Expenses!A$3:A$999=DATE(2026,9,6)),ROW(Expenses!A$3:A$999)-2),1)),0)+IFERROR(INDEX(Income!C$3:C$502,SMALL(IF((Income!D$3:D$502="INR")*(Income!A$3:A$502=DATE(2026,9,6)),ROW(Income!A$3:A$502)-2),1)),0))</f>
        <v/>
      </c>
      <c r="P179" s="126">
        <f t="array" ref="P179">IF(IFERROR(INDEX(Expenses!B$3:B$999,SMALL(IF((Expenses!E$3:E$999="INR")*(Expenses!A$3:A$999=DATE(2026,9,6)),ROW(Expenses!A$3:A$999)-2),1)),"")&lt;&gt;"",IFERROR(INDEX(Expenses!B$3:B$999,SMALL(IF((Expenses!E$3:E$999="INR")*(Expenses!A$3:A$999=DATE(2026,9,6)),ROW(Expenses!A$3:A$999)-2),1)),""),IF(IFERROR(INDEX(Income!B$3:B$502,SMALL(IF((Income!D$3:D$502="INR")*(Income!A$3:A$502=DATE(2026,9,6)),ROW(Income!A$3:A$502)-2),1)),"")&lt;&gt;"",IFERROR(INDEX(Income!B$3:B$502,SMALL(IF((Income!D$3:D$502="INR")*(Income!A$3:A$502=DATE(2026,9,6)),ROW(Income!A$3:A$502)-2),1)),""),""))</f>
        <v/>
      </c>
      <c r="Q179" s="103" t="n">
        <v>36</v>
      </c>
      <c r="R179" s="142">
        <f>SUM(C179:C183)+SUM(E179:E183)+SUM(G179:G183)+SUM(I179:I183)+SUM(K179:K183)+SUM(M179:M183)+SUM(O179:O183)</f>
        <v/>
      </c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68">
      <c r="A180" s="9" t="n"/>
      <c r="B180" s="9" t="n"/>
      <c r="C180" s="153">
        <f t="array" ref="C180">IF(IFERROR(-INDEX(Expenses!D$3:D$999,SMALL(IF((Expenses!E$3:E$999="INR")*(Expenses!A$3:A$999=DATE(2026,8,31)),ROW(Expenses!A$3:A$999)-2),2)),0)+IFERROR(INDEX(Income!C$3:C$502,SMALL(IF((Income!D$3:D$502="INR")*(Income!A$3:A$502=DATE(2026,8,31)),ROW(Income!A$3:A$502)-2),2)),0)=0,"",IFERROR(-INDEX(Expenses!D$3:D$999,SMALL(IF((Expenses!E$3:E$999="INR")*(Expenses!A$3:A$999=DATE(2026,8,31)),ROW(Expenses!A$3:A$999)-2),2)),0)+IFERROR(INDEX(Income!C$3:C$502,SMALL(IF((Income!D$3:D$502="INR")*(Income!A$3:A$502=DATE(2026,8,31)),ROW(Income!A$3:A$502)-2),2)),0))</f>
        <v/>
      </c>
      <c r="D180" s="126">
        <f t="array" ref="D180">IF(IFERROR(INDEX(Expenses!B$3:B$999,SMALL(IF((Expenses!E$3:E$999="INR")*(Expenses!A$3:A$999=DATE(2026,8,31)),ROW(Expenses!A$3:A$999)-2),2)),"")&lt;&gt;"",IFERROR(INDEX(Expenses!B$3:B$999,SMALL(IF((Expenses!E$3:E$999="INR")*(Expenses!A$3:A$999=DATE(2026,8,31)),ROW(Expenses!A$3:A$999)-2),2)),""),IF(IFERROR(INDEX(Income!B$3:B$502,SMALL(IF((Income!D$3:D$502="INR")*(Income!A$3:A$502=DATE(2026,8,31)),ROW(Income!A$3:A$502)-2),2)),"")&lt;&gt;"",IFERROR(INDEX(Income!B$3:B$502,SMALL(IF((Income!D$3:D$502="INR")*(Income!A$3:A$502=DATE(2026,8,31)),ROW(Income!A$3:A$502)-2),2)),""),""))</f>
        <v/>
      </c>
      <c r="E180" s="153">
        <f t="array" ref="E180">IF(IFERROR(-INDEX(Expenses!D$3:D$999,SMALL(IF((Expenses!E$3:E$999="INR")*(Expenses!A$3:A$999=DATE(2026,9,1)),ROW(Expenses!A$3:A$999)-2),2)),0)+IFERROR(INDEX(Income!C$3:C$502,SMALL(IF((Income!D$3:D$502="INR")*(Income!A$3:A$502=DATE(2026,9,1)),ROW(Income!A$3:A$502)-2),2)),0)=0,"",IFERROR(-INDEX(Expenses!D$3:D$999,SMALL(IF((Expenses!E$3:E$999="INR")*(Expenses!A$3:A$999=DATE(2026,9,1)),ROW(Expenses!A$3:A$999)-2),2)),0)+IFERROR(INDEX(Income!C$3:C$502,SMALL(IF((Income!D$3:D$502="INR")*(Income!A$3:A$502=DATE(2026,9,1)),ROW(Income!A$3:A$502)-2),2)),0))</f>
        <v/>
      </c>
      <c r="F180" s="126">
        <f t="array" ref="F180">IF(IFERROR(INDEX(Expenses!B$3:B$999,SMALL(IF((Expenses!E$3:E$999="INR")*(Expenses!A$3:A$999=DATE(2026,9,1)),ROW(Expenses!A$3:A$999)-2),2)),"")&lt;&gt;"",IFERROR(INDEX(Expenses!B$3:B$999,SMALL(IF((Expenses!E$3:E$999="INR")*(Expenses!A$3:A$999=DATE(2026,9,1)),ROW(Expenses!A$3:A$999)-2),2)),""),IF(IFERROR(INDEX(Income!B$3:B$502,SMALL(IF((Income!D$3:D$502="INR")*(Income!A$3:A$502=DATE(2026,9,1)),ROW(Income!A$3:A$502)-2),2)),"")&lt;&gt;"",IFERROR(INDEX(Income!B$3:B$502,SMALL(IF((Income!D$3:D$502="INR")*(Income!A$3:A$502=DATE(2026,9,1)),ROW(Income!A$3:A$502)-2),2)),""),""))</f>
        <v/>
      </c>
      <c r="G180" s="153">
        <f t="array" ref="G180">IF(IFERROR(-INDEX(Expenses!D$3:D$999,SMALL(IF((Expenses!E$3:E$999="INR")*(Expenses!A$3:A$999=DATE(2026,9,2)),ROW(Expenses!A$3:A$999)-2),2)),0)+IFERROR(INDEX(Income!C$3:C$502,SMALL(IF((Income!D$3:D$502="INR")*(Income!A$3:A$502=DATE(2026,9,2)),ROW(Income!A$3:A$502)-2),2)),0)=0,"",IFERROR(-INDEX(Expenses!D$3:D$999,SMALL(IF((Expenses!E$3:E$999="INR")*(Expenses!A$3:A$999=DATE(2026,9,2)),ROW(Expenses!A$3:A$999)-2),2)),0)+IFERROR(INDEX(Income!C$3:C$502,SMALL(IF((Income!D$3:D$502="INR")*(Income!A$3:A$502=DATE(2026,9,2)),ROW(Income!A$3:A$502)-2),2)),0))</f>
        <v/>
      </c>
      <c r="H180" s="126">
        <f t="array" ref="H180">IF(IFERROR(INDEX(Expenses!B$3:B$999,SMALL(IF((Expenses!E$3:E$999="INR")*(Expenses!A$3:A$999=DATE(2026,9,2)),ROW(Expenses!A$3:A$999)-2),2)),"")&lt;&gt;"",IFERROR(INDEX(Expenses!B$3:B$999,SMALL(IF((Expenses!E$3:E$999="INR")*(Expenses!A$3:A$999=DATE(2026,9,2)),ROW(Expenses!A$3:A$999)-2),2)),""),IF(IFERROR(INDEX(Income!B$3:B$502,SMALL(IF((Income!D$3:D$502="INR")*(Income!A$3:A$502=DATE(2026,9,2)),ROW(Income!A$3:A$502)-2),2)),"")&lt;&gt;"",IFERROR(INDEX(Income!B$3:B$502,SMALL(IF((Income!D$3:D$502="INR")*(Income!A$3:A$502=DATE(2026,9,2)),ROW(Income!A$3:A$502)-2),2)),""),""))</f>
        <v/>
      </c>
      <c r="I180" s="153">
        <f t="array" ref="I180">IF(IFERROR(-INDEX(Expenses!D$3:D$999,SMALL(IF((Expenses!E$3:E$999="INR")*(Expenses!A$3:A$999=DATE(2026,9,3)),ROW(Expenses!A$3:A$999)-2),2)),0)+IFERROR(INDEX(Income!C$3:C$502,SMALL(IF((Income!D$3:D$502="INR")*(Income!A$3:A$502=DATE(2026,9,3)),ROW(Income!A$3:A$502)-2),2)),0)=0,"",IFERROR(-INDEX(Expenses!D$3:D$999,SMALL(IF((Expenses!E$3:E$999="INR")*(Expenses!A$3:A$999=DATE(2026,9,3)),ROW(Expenses!A$3:A$999)-2),2)),0)+IFERROR(INDEX(Income!C$3:C$502,SMALL(IF((Income!D$3:D$502="INR")*(Income!A$3:A$502=DATE(2026,9,3)),ROW(Income!A$3:A$502)-2),2)),0))</f>
        <v/>
      </c>
      <c r="J180" s="126">
        <f t="array" ref="J180">IF(IFERROR(INDEX(Expenses!B$3:B$999,SMALL(IF((Expenses!E$3:E$999="INR")*(Expenses!A$3:A$999=DATE(2026,9,3)),ROW(Expenses!A$3:A$999)-2),2)),"")&lt;&gt;"",IFERROR(INDEX(Expenses!B$3:B$999,SMALL(IF((Expenses!E$3:E$999="INR")*(Expenses!A$3:A$999=DATE(2026,9,3)),ROW(Expenses!A$3:A$999)-2),2)),""),IF(IFERROR(INDEX(Income!B$3:B$502,SMALL(IF((Income!D$3:D$502="INR")*(Income!A$3:A$502=DATE(2026,9,3)),ROW(Income!A$3:A$502)-2),2)),"")&lt;&gt;"",IFERROR(INDEX(Income!B$3:B$502,SMALL(IF((Income!D$3:D$502="INR")*(Income!A$3:A$502=DATE(2026,9,3)),ROW(Income!A$3:A$502)-2),2)),""),""))</f>
        <v/>
      </c>
      <c r="K180" s="153">
        <f t="array" ref="K180">IF(IFERROR(-INDEX(Expenses!D$3:D$999,SMALL(IF((Expenses!E$3:E$999="INR")*(Expenses!A$3:A$999=DATE(2026,9,4)),ROW(Expenses!A$3:A$999)-2),2)),0)+IFERROR(INDEX(Income!C$3:C$502,SMALL(IF((Income!D$3:D$502="INR")*(Income!A$3:A$502=DATE(2026,9,4)),ROW(Income!A$3:A$502)-2),2)),0)=0,"",IFERROR(-INDEX(Expenses!D$3:D$999,SMALL(IF((Expenses!E$3:E$999="INR")*(Expenses!A$3:A$999=DATE(2026,9,4)),ROW(Expenses!A$3:A$999)-2),2)),0)+IFERROR(INDEX(Income!C$3:C$502,SMALL(IF((Income!D$3:D$502="INR")*(Income!A$3:A$502=DATE(2026,9,4)),ROW(Income!A$3:A$502)-2),2)),0))</f>
        <v/>
      </c>
      <c r="L180" s="126">
        <f t="array" ref="L180">IF(IFERROR(INDEX(Expenses!B$3:B$999,SMALL(IF((Expenses!E$3:E$999="INR")*(Expenses!A$3:A$999=DATE(2026,9,4)),ROW(Expenses!A$3:A$999)-2),2)),"")&lt;&gt;"",IFERROR(INDEX(Expenses!B$3:B$999,SMALL(IF((Expenses!E$3:E$999="INR")*(Expenses!A$3:A$999=DATE(2026,9,4)),ROW(Expenses!A$3:A$999)-2),2)),""),IF(IFERROR(INDEX(Income!B$3:B$502,SMALL(IF((Income!D$3:D$502="INR")*(Income!A$3:A$502=DATE(2026,9,4)),ROW(Income!A$3:A$502)-2),2)),"")&lt;&gt;"",IFERROR(INDEX(Income!B$3:B$502,SMALL(IF((Income!D$3:D$502="INR")*(Income!A$3:A$502=DATE(2026,9,4)),ROW(Income!A$3:A$502)-2),2)),""),""))</f>
        <v/>
      </c>
      <c r="M180" s="153">
        <f t="array" ref="M180">IF(IFERROR(-INDEX(Expenses!D$3:D$999,SMALL(IF((Expenses!E$3:E$999="INR")*(Expenses!A$3:A$999=DATE(2026,9,5)),ROW(Expenses!A$3:A$999)-2),2)),0)+IFERROR(INDEX(Income!C$3:C$502,SMALL(IF((Income!D$3:D$502="INR")*(Income!A$3:A$502=DATE(2026,9,5)),ROW(Income!A$3:A$502)-2),2)),0)=0,"",IFERROR(-INDEX(Expenses!D$3:D$999,SMALL(IF((Expenses!E$3:E$999="INR")*(Expenses!A$3:A$999=DATE(2026,9,5)),ROW(Expenses!A$3:A$999)-2),2)),0)+IFERROR(INDEX(Income!C$3:C$502,SMALL(IF((Income!D$3:D$502="INR")*(Income!A$3:A$502=DATE(2026,9,5)),ROW(Income!A$3:A$502)-2),2)),0))</f>
        <v/>
      </c>
      <c r="N180" s="126">
        <f t="array" ref="N180">IF(IFERROR(INDEX(Expenses!B$3:B$999,SMALL(IF((Expenses!E$3:E$999="INR")*(Expenses!A$3:A$999=DATE(2026,9,5)),ROW(Expenses!A$3:A$999)-2),2)),"")&lt;&gt;"",IFERROR(INDEX(Expenses!B$3:B$999,SMALL(IF((Expenses!E$3:E$999="INR")*(Expenses!A$3:A$999=DATE(2026,9,5)),ROW(Expenses!A$3:A$999)-2),2)),""),IF(IFERROR(INDEX(Income!B$3:B$502,SMALL(IF((Income!D$3:D$502="INR")*(Income!A$3:A$502=DATE(2026,9,5)),ROW(Income!A$3:A$502)-2),2)),"")&lt;&gt;"",IFERROR(INDEX(Income!B$3:B$502,SMALL(IF((Income!D$3:D$502="INR")*(Income!A$3:A$502=DATE(2026,9,5)),ROW(Income!A$3:A$502)-2),2)),""),""))</f>
        <v/>
      </c>
      <c r="O180" s="153">
        <f t="array" ref="O180">IF(IFERROR(-INDEX(Expenses!D$3:D$999,SMALL(IF((Expenses!E$3:E$999="INR")*(Expenses!A$3:A$999=DATE(2026,9,6)),ROW(Expenses!A$3:A$999)-2),2)),0)+IFERROR(INDEX(Income!C$3:C$502,SMALL(IF((Income!D$3:D$502="INR")*(Income!A$3:A$502=DATE(2026,9,6)),ROW(Income!A$3:A$502)-2),2)),0)=0,"",IFERROR(-INDEX(Expenses!D$3:D$999,SMALL(IF((Expenses!E$3:E$999="INR")*(Expenses!A$3:A$999=DATE(2026,9,6)),ROW(Expenses!A$3:A$999)-2),2)),0)+IFERROR(INDEX(Income!C$3:C$502,SMALL(IF((Income!D$3:D$502="INR")*(Income!A$3:A$502=DATE(2026,9,6)),ROW(Income!A$3:A$502)-2),2)),0))</f>
        <v/>
      </c>
      <c r="P180" s="126">
        <f t="array" ref="P180">IF(IFERROR(INDEX(Expenses!B$3:B$999,SMALL(IF((Expenses!E$3:E$999="INR")*(Expenses!A$3:A$999=DATE(2026,9,6)),ROW(Expenses!A$3:A$999)-2),2)),"")&lt;&gt;"",IFERROR(INDEX(Expenses!B$3:B$999,SMALL(IF((Expenses!E$3:E$999="INR")*(Expenses!A$3:A$999=DATE(2026,9,6)),ROW(Expenses!A$3:A$999)-2),2)),""),IF(IFERROR(INDEX(Income!B$3:B$502,SMALL(IF((Income!D$3:D$502="INR")*(Income!A$3:A$502=DATE(2026,9,6)),ROW(Income!A$3:A$502)-2),2)),"")&lt;&gt;"",IFERROR(INDEX(Income!B$3:B$502,SMALL(IF((Income!D$3:D$502="INR")*(Income!A$3:A$502=DATE(2026,9,6)),ROW(Income!A$3:A$502)-2),2)),""),""))</f>
        <v/>
      </c>
      <c r="Q180" s="9" t="n"/>
      <c r="R180" s="9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68">
      <c r="A181" s="9" t="n"/>
      <c r="B181" s="9" t="n"/>
      <c r="C181" s="153">
        <f t="array" ref="C181">IF(IFERROR(-INDEX(Expenses!D$3:D$999,SMALL(IF((Expenses!E$3:E$999="INR")*(Expenses!A$3:A$999=DATE(2026,8,31)),ROW(Expenses!A$3:A$999)-2),3)),0)+IFERROR(INDEX(Income!C$3:C$502,SMALL(IF((Income!D$3:D$502="INR")*(Income!A$3:A$502=DATE(2026,8,31)),ROW(Income!A$3:A$502)-2),3)),0)=0,"",IFERROR(-INDEX(Expenses!D$3:D$999,SMALL(IF((Expenses!E$3:E$999="INR")*(Expenses!A$3:A$999=DATE(2026,8,31)),ROW(Expenses!A$3:A$999)-2),3)),0)+IFERROR(INDEX(Income!C$3:C$502,SMALL(IF((Income!D$3:D$502="INR")*(Income!A$3:A$502=DATE(2026,8,31)),ROW(Income!A$3:A$502)-2),3)),0))</f>
        <v/>
      </c>
      <c r="D181" s="126">
        <f t="array" ref="D181">IF(IFERROR(INDEX(Expenses!B$3:B$999,SMALL(IF((Expenses!E$3:E$999="INR")*(Expenses!A$3:A$999=DATE(2026,8,31)),ROW(Expenses!A$3:A$999)-2),3)),"")&lt;&gt;"",IFERROR(INDEX(Expenses!B$3:B$999,SMALL(IF((Expenses!E$3:E$999="INR")*(Expenses!A$3:A$999=DATE(2026,8,31)),ROW(Expenses!A$3:A$999)-2),3)),""),IF(IFERROR(INDEX(Income!B$3:B$502,SMALL(IF((Income!D$3:D$502="INR")*(Income!A$3:A$502=DATE(2026,8,31)),ROW(Income!A$3:A$502)-2),3)),"")&lt;&gt;"",IFERROR(INDEX(Income!B$3:B$502,SMALL(IF((Income!D$3:D$502="INR")*(Income!A$3:A$502=DATE(2026,8,31)),ROW(Income!A$3:A$502)-2),3)),""),""))</f>
        <v/>
      </c>
      <c r="E181" s="153">
        <f t="array" ref="E181">IF(IFERROR(-INDEX(Expenses!D$3:D$999,SMALL(IF((Expenses!E$3:E$999="INR")*(Expenses!A$3:A$999=DATE(2026,9,1)),ROW(Expenses!A$3:A$999)-2),3)),0)+IFERROR(INDEX(Income!C$3:C$502,SMALL(IF((Income!D$3:D$502="INR")*(Income!A$3:A$502=DATE(2026,9,1)),ROW(Income!A$3:A$502)-2),3)),0)=0,"",IFERROR(-INDEX(Expenses!D$3:D$999,SMALL(IF((Expenses!E$3:E$999="INR")*(Expenses!A$3:A$999=DATE(2026,9,1)),ROW(Expenses!A$3:A$999)-2),3)),0)+IFERROR(INDEX(Income!C$3:C$502,SMALL(IF((Income!D$3:D$502="INR")*(Income!A$3:A$502=DATE(2026,9,1)),ROW(Income!A$3:A$502)-2),3)),0))</f>
        <v/>
      </c>
      <c r="F181" s="126">
        <f t="array" ref="F181">IF(IFERROR(INDEX(Expenses!B$3:B$999,SMALL(IF((Expenses!E$3:E$999="INR")*(Expenses!A$3:A$999=DATE(2026,9,1)),ROW(Expenses!A$3:A$999)-2),3)),"")&lt;&gt;"",IFERROR(INDEX(Expenses!B$3:B$999,SMALL(IF((Expenses!E$3:E$999="INR")*(Expenses!A$3:A$999=DATE(2026,9,1)),ROW(Expenses!A$3:A$999)-2),3)),""),IF(IFERROR(INDEX(Income!B$3:B$502,SMALL(IF((Income!D$3:D$502="INR")*(Income!A$3:A$502=DATE(2026,9,1)),ROW(Income!A$3:A$502)-2),3)),"")&lt;&gt;"",IFERROR(INDEX(Income!B$3:B$502,SMALL(IF((Income!D$3:D$502="INR")*(Income!A$3:A$502=DATE(2026,9,1)),ROW(Income!A$3:A$502)-2),3)),""),""))</f>
        <v/>
      </c>
      <c r="G181" s="153">
        <f t="array" ref="G181">IF(IFERROR(-INDEX(Expenses!D$3:D$999,SMALL(IF((Expenses!E$3:E$999="INR")*(Expenses!A$3:A$999=DATE(2026,9,2)),ROW(Expenses!A$3:A$999)-2),3)),0)+IFERROR(INDEX(Income!C$3:C$502,SMALL(IF((Income!D$3:D$502="INR")*(Income!A$3:A$502=DATE(2026,9,2)),ROW(Income!A$3:A$502)-2),3)),0)=0,"",IFERROR(-INDEX(Expenses!D$3:D$999,SMALL(IF((Expenses!E$3:E$999="INR")*(Expenses!A$3:A$999=DATE(2026,9,2)),ROW(Expenses!A$3:A$999)-2),3)),0)+IFERROR(INDEX(Income!C$3:C$502,SMALL(IF((Income!D$3:D$502="INR")*(Income!A$3:A$502=DATE(2026,9,2)),ROW(Income!A$3:A$502)-2),3)),0))</f>
        <v/>
      </c>
      <c r="H181" s="126">
        <f t="array" ref="H181">IF(IFERROR(INDEX(Expenses!B$3:B$999,SMALL(IF((Expenses!E$3:E$999="INR")*(Expenses!A$3:A$999=DATE(2026,9,2)),ROW(Expenses!A$3:A$999)-2),3)),"")&lt;&gt;"",IFERROR(INDEX(Expenses!B$3:B$999,SMALL(IF((Expenses!E$3:E$999="INR")*(Expenses!A$3:A$999=DATE(2026,9,2)),ROW(Expenses!A$3:A$999)-2),3)),""),IF(IFERROR(INDEX(Income!B$3:B$502,SMALL(IF((Income!D$3:D$502="INR")*(Income!A$3:A$502=DATE(2026,9,2)),ROW(Income!A$3:A$502)-2),3)),"")&lt;&gt;"",IFERROR(INDEX(Income!B$3:B$502,SMALL(IF((Income!D$3:D$502="INR")*(Income!A$3:A$502=DATE(2026,9,2)),ROW(Income!A$3:A$502)-2),3)),""),""))</f>
        <v/>
      </c>
      <c r="I181" s="153">
        <f t="array" ref="I181">IF(IFERROR(-INDEX(Expenses!D$3:D$999,SMALL(IF((Expenses!E$3:E$999="INR")*(Expenses!A$3:A$999=DATE(2026,9,3)),ROW(Expenses!A$3:A$999)-2),3)),0)+IFERROR(INDEX(Income!C$3:C$502,SMALL(IF((Income!D$3:D$502="INR")*(Income!A$3:A$502=DATE(2026,9,3)),ROW(Income!A$3:A$502)-2),3)),0)=0,"",IFERROR(-INDEX(Expenses!D$3:D$999,SMALL(IF((Expenses!E$3:E$999="INR")*(Expenses!A$3:A$999=DATE(2026,9,3)),ROW(Expenses!A$3:A$999)-2),3)),0)+IFERROR(INDEX(Income!C$3:C$502,SMALL(IF((Income!D$3:D$502="INR")*(Income!A$3:A$502=DATE(2026,9,3)),ROW(Income!A$3:A$502)-2),3)),0))</f>
        <v/>
      </c>
      <c r="J181" s="126">
        <f t="array" ref="J181">IF(IFERROR(INDEX(Expenses!B$3:B$999,SMALL(IF((Expenses!E$3:E$999="INR")*(Expenses!A$3:A$999=DATE(2026,9,3)),ROW(Expenses!A$3:A$999)-2),3)),"")&lt;&gt;"",IFERROR(INDEX(Expenses!B$3:B$999,SMALL(IF((Expenses!E$3:E$999="INR")*(Expenses!A$3:A$999=DATE(2026,9,3)),ROW(Expenses!A$3:A$999)-2),3)),""),IF(IFERROR(INDEX(Income!B$3:B$502,SMALL(IF((Income!D$3:D$502="INR")*(Income!A$3:A$502=DATE(2026,9,3)),ROW(Income!A$3:A$502)-2),3)),"")&lt;&gt;"",IFERROR(INDEX(Income!B$3:B$502,SMALL(IF((Income!D$3:D$502="INR")*(Income!A$3:A$502=DATE(2026,9,3)),ROW(Income!A$3:A$502)-2),3)),""),""))</f>
        <v/>
      </c>
      <c r="K181" s="153">
        <f t="array" ref="K181">IF(IFERROR(-INDEX(Expenses!D$3:D$999,SMALL(IF((Expenses!E$3:E$999="INR")*(Expenses!A$3:A$999=DATE(2026,9,4)),ROW(Expenses!A$3:A$999)-2),3)),0)+IFERROR(INDEX(Income!C$3:C$502,SMALL(IF((Income!D$3:D$502="INR")*(Income!A$3:A$502=DATE(2026,9,4)),ROW(Income!A$3:A$502)-2),3)),0)=0,"",IFERROR(-INDEX(Expenses!D$3:D$999,SMALL(IF((Expenses!E$3:E$999="INR")*(Expenses!A$3:A$999=DATE(2026,9,4)),ROW(Expenses!A$3:A$999)-2),3)),0)+IFERROR(INDEX(Income!C$3:C$502,SMALL(IF((Income!D$3:D$502="INR")*(Income!A$3:A$502=DATE(2026,9,4)),ROW(Income!A$3:A$502)-2),3)),0))</f>
        <v/>
      </c>
      <c r="L181" s="126">
        <f t="array" ref="L181">IF(IFERROR(INDEX(Expenses!B$3:B$999,SMALL(IF((Expenses!E$3:E$999="INR")*(Expenses!A$3:A$999=DATE(2026,9,4)),ROW(Expenses!A$3:A$999)-2),3)),"")&lt;&gt;"",IFERROR(INDEX(Expenses!B$3:B$999,SMALL(IF((Expenses!E$3:E$999="INR")*(Expenses!A$3:A$999=DATE(2026,9,4)),ROW(Expenses!A$3:A$999)-2),3)),""),IF(IFERROR(INDEX(Income!B$3:B$502,SMALL(IF((Income!D$3:D$502="INR")*(Income!A$3:A$502=DATE(2026,9,4)),ROW(Income!A$3:A$502)-2),3)),"")&lt;&gt;"",IFERROR(INDEX(Income!B$3:B$502,SMALL(IF((Income!D$3:D$502="INR")*(Income!A$3:A$502=DATE(2026,9,4)),ROW(Income!A$3:A$502)-2),3)),""),""))</f>
        <v/>
      </c>
      <c r="M181" s="153">
        <f t="array" ref="M181">IF(IFERROR(-INDEX(Expenses!D$3:D$999,SMALL(IF((Expenses!E$3:E$999="INR")*(Expenses!A$3:A$999=DATE(2026,9,5)),ROW(Expenses!A$3:A$999)-2),3)),0)+IFERROR(INDEX(Income!C$3:C$502,SMALL(IF((Income!D$3:D$502="INR")*(Income!A$3:A$502=DATE(2026,9,5)),ROW(Income!A$3:A$502)-2),3)),0)=0,"",IFERROR(-INDEX(Expenses!D$3:D$999,SMALL(IF((Expenses!E$3:E$999="INR")*(Expenses!A$3:A$999=DATE(2026,9,5)),ROW(Expenses!A$3:A$999)-2),3)),0)+IFERROR(INDEX(Income!C$3:C$502,SMALL(IF((Income!D$3:D$502="INR")*(Income!A$3:A$502=DATE(2026,9,5)),ROW(Income!A$3:A$502)-2),3)),0))</f>
        <v/>
      </c>
      <c r="N181" s="126">
        <f t="array" ref="N181">IF(IFERROR(INDEX(Expenses!B$3:B$999,SMALL(IF((Expenses!E$3:E$999="INR")*(Expenses!A$3:A$999=DATE(2026,9,5)),ROW(Expenses!A$3:A$999)-2),3)),"")&lt;&gt;"",IFERROR(INDEX(Expenses!B$3:B$999,SMALL(IF((Expenses!E$3:E$999="INR")*(Expenses!A$3:A$999=DATE(2026,9,5)),ROW(Expenses!A$3:A$999)-2),3)),""),IF(IFERROR(INDEX(Income!B$3:B$502,SMALL(IF((Income!D$3:D$502="INR")*(Income!A$3:A$502=DATE(2026,9,5)),ROW(Income!A$3:A$502)-2),3)),"")&lt;&gt;"",IFERROR(INDEX(Income!B$3:B$502,SMALL(IF((Income!D$3:D$502="INR")*(Income!A$3:A$502=DATE(2026,9,5)),ROW(Income!A$3:A$502)-2),3)),""),""))</f>
        <v/>
      </c>
      <c r="O181" s="153">
        <f t="array" ref="O181">IF(IFERROR(-INDEX(Expenses!D$3:D$999,SMALL(IF((Expenses!E$3:E$999="INR")*(Expenses!A$3:A$999=DATE(2026,9,6)),ROW(Expenses!A$3:A$999)-2),3)),0)+IFERROR(INDEX(Income!C$3:C$502,SMALL(IF((Income!D$3:D$502="INR")*(Income!A$3:A$502=DATE(2026,9,6)),ROW(Income!A$3:A$502)-2),3)),0)=0,"",IFERROR(-INDEX(Expenses!D$3:D$999,SMALL(IF((Expenses!E$3:E$999="INR")*(Expenses!A$3:A$999=DATE(2026,9,6)),ROW(Expenses!A$3:A$999)-2),3)),0)+IFERROR(INDEX(Income!C$3:C$502,SMALL(IF((Income!D$3:D$502="INR")*(Income!A$3:A$502=DATE(2026,9,6)),ROW(Income!A$3:A$502)-2),3)),0))</f>
        <v/>
      </c>
      <c r="P181" s="126">
        <f t="array" ref="P181">IF(IFERROR(INDEX(Expenses!B$3:B$999,SMALL(IF((Expenses!E$3:E$999="INR")*(Expenses!A$3:A$999=DATE(2026,9,6)),ROW(Expenses!A$3:A$999)-2),3)),"")&lt;&gt;"",IFERROR(INDEX(Expenses!B$3:B$999,SMALL(IF((Expenses!E$3:E$999="INR")*(Expenses!A$3:A$999=DATE(2026,9,6)),ROW(Expenses!A$3:A$999)-2),3)),""),IF(IFERROR(INDEX(Income!B$3:B$502,SMALL(IF((Income!D$3:D$502="INR")*(Income!A$3:A$502=DATE(2026,9,6)),ROW(Income!A$3:A$502)-2),3)),"")&lt;&gt;"",IFERROR(INDEX(Income!B$3:B$502,SMALL(IF((Income!D$3:D$502="INR")*(Income!A$3:A$502=DATE(2026,9,6)),ROW(Income!A$3:A$502)-2),3)),""),""))</f>
        <v/>
      </c>
      <c r="Q181" s="9" t="n"/>
      <c r="R181" s="9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68">
      <c r="A182" s="9" t="n"/>
      <c r="B182" s="9" t="n"/>
      <c r="C182" s="153">
        <f t="array" ref="C182">IF(IFERROR(-INDEX(Expenses!D$3:D$999,SMALL(IF((Expenses!E$3:E$999="INR")*(Expenses!A$3:A$999=DATE(2026,8,31)),ROW(Expenses!A$3:A$999)-2),4)),0)+IFERROR(INDEX(Income!C$3:C$502,SMALL(IF((Income!D$3:D$502="INR")*(Income!A$3:A$502=DATE(2026,8,31)),ROW(Income!A$3:A$502)-2),4)),0)=0,"",IFERROR(-INDEX(Expenses!D$3:D$999,SMALL(IF((Expenses!E$3:E$999="INR")*(Expenses!A$3:A$999=DATE(2026,8,31)),ROW(Expenses!A$3:A$999)-2),4)),0)+IFERROR(INDEX(Income!C$3:C$502,SMALL(IF((Income!D$3:D$502="INR")*(Income!A$3:A$502=DATE(2026,8,31)),ROW(Income!A$3:A$502)-2),4)),0))</f>
        <v/>
      </c>
      <c r="D182" s="126">
        <f t="array" ref="D182">IF(IFERROR(INDEX(Expenses!B$3:B$999,SMALL(IF((Expenses!E$3:E$999="INR")*(Expenses!A$3:A$999=DATE(2026,8,31)),ROW(Expenses!A$3:A$999)-2),4)),"")&lt;&gt;"",IFERROR(INDEX(Expenses!B$3:B$999,SMALL(IF((Expenses!E$3:E$999="INR")*(Expenses!A$3:A$999=DATE(2026,8,31)),ROW(Expenses!A$3:A$999)-2),4)),""),IF(IFERROR(INDEX(Income!B$3:B$502,SMALL(IF((Income!D$3:D$502="INR")*(Income!A$3:A$502=DATE(2026,8,31)),ROW(Income!A$3:A$502)-2),4)),"")&lt;&gt;"",IFERROR(INDEX(Income!B$3:B$502,SMALL(IF((Income!D$3:D$502="INR")*(Income!A$3:A$502=DATE(2026,8,31)),ROW(Income!A$3:A$502)-2),4)),""),""))</f>
        <v/>
      </c>
      <c r="E182" s="153">
        <f t="array" ref="E182">IF(IFERROR(-INDEX(Expenses!D$3:D$999,SMALL(IF((Expenses!E$3:E$999="INR")*(Expenses!A$3:A$999=DATE(2026,9,1)),ROW(Expenses!A$3:A$999)-2),4)),0)+IFERROR(INDEX(Income!C$3:C$502,SMALL(IF((Income!D$3:D$502="INR")*(Income!A$3:A$502=DATE(2026,9,1)),ROW(Income!A$3:A$502)-2),4)),0)=0,"",IFERROR(-INDEX(Expenses!D$3:D$999,SMALL(IF((Expenses!E$3:E$999="INR")*(Expenses!A$3:A$999=DATE(2026,9,1)),ROW(Expenses!A$3:A$999)-2),4)),0)+IFERROR(INDEX(Income!C$3:C$502,SMALL(IF((Income!D$3:D$502="INR")*(Income!A$3:A$502=DATE(2026,9,1)),ROW(Income!A$3:A$502)-2),4)),0))</f>
        <v/>
      </c>
      <c r="F182" s="126">
        <f t="array" ref="F182">IF(IFERROR(INDEX(Expenses!B$3:B$999,SMALL(IF((Expenses!E$3:E$999="INR")*(Expenses!A$3:A$999=DATE(2026,9,1)),ROW(Expenses!A$3:A$999)-2),4)),"")&lt;&gt;"",IFERROR(INDEX(Expenses!B$3:B$999,SMALL(IF((Expenses!E$3:E$999="INR")*(Expenses!A$3:A$999=DATE(2026,9,1)),ROW(Expenses!A$3:A$999)-2),4)),""),IF(IFERROR(INDEX(Income!B$3:B$502,SMALL(IF((Income!D$3:D$502="INR")*(Income!A$3:A$502=DATE(2026,9,1)),ROW(Income!A$3:A$502)-2),4)),"")&lt;&gt;"",IFERROR(INDEX(Income!B$3:B$502,SMALL(IF((Income!D$3:D$502="INR")*(Income!A$3:A$502=DATE(2026,9,1)),ROW(Income!A$3:A$502)-2),4)),""),""))</f>
        <v/>
      </c>
      <c r="G182" s="153">
        <f t="array" ref="G182">IF(IFERROR(-INDEX(Expenses!D$3:D$999,SMALL(IF((Expenses!E$3:E$999="INR")*(Expenses!A$3:A$999=DATE(2026,9,2)),ROW(Expenses!A$3:A$999)-2),4)),0)+IFERROR(INDEX(Income!C$3:C$502,SMALL(IF((Income!D$3:D$502="INR")*(Income!A$3:A$502=DATE(2026,9,2)),ROW(Income!A$3:A$502)-2),4)),0)=0,"",IFERROR(-INDEX(Expenses!D$3:D$999,SMALL(IF((Expenses!E$3:E$999="INR")*(Expenses!A$3:A$999=DATE(2026,9,2)),ROW(Expenses!A$3:A$999)-2),4)),0)+IFERROR(INDEX(Income!C$3:C$502,SMALL(IF((Income!D$3:D$502="INR")*(Income!A$3:A$502=DATE(2026,9,2)),ROW(Income!A$3:A$502)-2),4)),0))</f>
        <v/>
      </c>
      <c r="H182" s="126">
        <f t="array" ref="H182">IF(IFERROR(INDEX(Expenses!B$3:B$999,SMALL(IF((Expenses!E$3:E$999="INR")*(Expenses!A$3:A$999=DATE(2026,9,2)),ROW(Expenses!A$3:A$999)-2),4)),"")&lt;&gt;"",IFERROR(INDEX(Expenses!B$3:B$999,SMALL(IF((Expenses!E$3:E$999="INR")*(Expenses!A$3:A$999=DATE(2026,9,2)),ROW(Expenses!A$3:A$999)-2),4)),""),IF(IFERROR(INDEX(Income!B$3:B$502,SMALL(IF((Income!D$3:D$502="INR")*(Income!A$3:A$502=DATE(2026,9,2)),ROW(Income!A$3:A$502)-2),4)),"")&lt;&gt;"",IFERROR(INDEX(Income!B$3:B$502,SMALL(IF((Income!D$3:D$502="INR")*(Income!A$3:A$502=DATE(2026,9,2)),ROW(Income!A$3:A$502)-2),4)),""),""))</f>
        <v/>
      </c>
      <c r="I182" s="153">
        <f t="array" ref="I182">IF(IFERROR(-INDEX(Expenses!D$3:D$999,SMALL(IF((Expenses!E$3:E$999="INR")*(Expenses!A$3:A$999=DATE(2026,9,3)),ROW(Expenses!A$3:A$999)-2),4)),0)+IFERROR(INDEX(Income!C$3:C$502,SMALL(IF((Income!D$3:D$502="INR")*(Income!A$3:A$502=DATE(2026,9,3)),ROW(Income!A$3:A$502)-2),4)),0)=0,"",IFERROR(-INDEX(Expenses!D$3:D$999,SMALL(IF((Expenses!E$3:E$999="INR")*(Expenses!A$3:A$999=DATE(2026,9,3)),ROW(Expenses!A$3:A$999)-2),4)),0)+IFERROR(INDEX(Income!C$3:C$502,SMALL(IF((Income!D$3:D$502="INR")*(Income!A$3:A$502=DATE(2026,9,3)),ROW(Income!A$3:A$502)-2),4)),0))</f>
        <v/>
      </c>
      <c r="J182" s="126">
        <f t="array" ref="J182">IF(IFERROR(INDEX(Expenses!B$3:B$999,SMALL(IF((Expenses!E$3:E$999="INR")*(Expenses!A$3:A$999=DATE(2026,9,3)),ROW(Expenses!A$3:A$999)-2),4)),"")&lt;&gt;"",IFERROR(INDEX(Expenses!B$3:B$999,SMALL(IF((Expenses!E$3:E$999="INR")*(Expenses!A$3:A$999=DATE(2026,9,3)),ROW(Expenses!A$3:A$999)-2),4)),""),IF(IFERROR(INDEX(Income!B$3:B$502,SMALL(IF((Income!D$3:D$502="INR")*(Income!A$3:A$502=DATE(2026,9,3)),ROW(Income!A$3:A$502)-2),4)),"")&lt;&gt;"",IFERROR(INDEX(Income!B$3:B$502,SMALL(IF((Income!D$3:D$502="INR")*(Income!A$3:A$502=DATE(2026,9,3)),ROW(Income!A$3:A$502)-2),4)),""),""))</f>
        <v/>
      </c>
      <c r="K182" s="153">
        <f t="array" ref="K182">IF(IFERROR(-INDEX(Expenses!D$3:D$999,SMALL(IF((Expenses!E$3:E$999="INR")*(Expenses!A$3:A$999=DATE(2026,9,4)),ROW(Expenses!A$3:A$999)-2),4)),0)+IFERROR(INDEX(Income!C$3:C$502,SMALL(IF((Income!D$3:D$502="INR")*(Income!A$3:A$502=DATE(2026,9,4)),ROW(Income!A$3:A$502)-2),4)),0)=0,"",IFERROR(-INDEX(Expenses!D$3:D$999,SMALL(IF((Expenses!E$3:E$999="INR")*(Expenses!A$3:A$999=DATE(2026,9,4)),ROW(Expenses!A$3:A$999)-2),4)),0)+IFERROR(INDEX(Income!C$3:C$502,SMALL(IF((Income!D$3:D$502="INR")*(Income!A$3:A$502=DATE(2026,9,4)),ROW(Income!A$3:A$502)-2),4)),0))</f>
        <v/>
      </c>
      <c r="L182" s="126">
        <f t="array" ref="L182">IF(IFERROR(INDEX(Expenses!B$3:B$999,SMALL(IF((Expenses!E$3:E$999="INR")*(Expenses!A$3:A$999=DATE(2026,9,4)),ROW(Expenses!A$3:A$999)-2),4)),"")&lt;&gt;"",IFERROR(INDEX(Expenses!B$3:B$999,SMALL(IF((Expenses!E$3:E$999="INR")*(Expenses!A$3:A$999=DATE(2026,9,4)),ROW(Expenses!A$3:A$999)-2),4)),""),IF(IFERROR(INDEX(Income!B$3:B$502,SMALL(IF((Income!D$3:D$502="INR")*(Income!A$3:A$502=DATE(2026,9,4)),ROW(Income!A$3:A$502)-2),4)),"")&lt;&gt;"",IFERROR(INDEX(Income!B$3:B$502,SMALL(IF((Income!D$3:D$502="INR")*(Income!A$3:A$502=DATE(2026,9,4)),ROW(Income!A$3:A$502)-2),4)),""),""))</f>
        <v/>
      </c>
      <c r="M182" s="153">
        <f t="array" ref="M182">IF(IFERROR(-INDEX(Expenses!D$3:D$999,SMALL(IF((Expenses!E$3:E$999="INR")*(Expenses!A$3:A$999=DATE(2026,9,5)),ROW(Expenses!A$3:A$999)-2),4)),0)+IFERROR(INDEX(Income!C$3:C$502,SMALL(IF((Income!D$3:D$502="INR")*(Income!A$3:A$502=DATE(2026,9,5)),ROW(Income!A$3:A$502)-2),4)),0)=0,"",IFERROR(-INDEX(Expenses!D$3:D$999,SMALL(IF((Expenses!E$3:E$999="INR")*(Expenses!A$3:A$999=DATE(2026,9,5)),ROW(Expenses!A$3:A$999)-2),4)),0)+IFERROR(INDEX(Income!C$3:C$502,SMALL(IF((Income!D$3:D$502="INR")*(Income!A$3:A$502=DATE(2026,9,5)),ROW(Income!A$3:A$502)-2),4)),0))</f>
        <v/>
      </c>
      <c r="N182" s="126">
        <f t="array" ref="N182">IF(IFERROR(INDEX(Expenses!B$3:B$999,SMALL(IF((Expenses!E$3:E$999="INR")*(Expenses!A$3:A$999=DATE(2026,9,5)),ROW(Expenses!A$3:A$999)-2),4)),"")&lt;&gt;"",IFERROR(INDEX(Expenses!B$3:B$999,SMALL(IF((Expenses!E$3:E$999="INR")*(Expenses!A$3:A$999=DATE(2026,9,5)),ROW(Expenses!A$3:A$999)-2),4)),""),IF(IFERROR(INDEX(Income!B$3:B$502,SMALL(IF((Income!D$3:D$502="INR")*(Income!A$3:A$502=DATE(2026,9,5)),ROW(Income!A$3:A$502)-2),4)),"")&lt;&gt;"",IFERROR(INDEX(Income!B$3:B$502,SMALL(IF((Income!D$3:D$502="INR")*(Income!A$3:A$502=DATE(2026,9,5)),ROW(Income!A$3:A$502)-2),4)),""),""))</f>
        <v/>
      </c>
      <c r="O182" s="153">
        <f t="array" ref="O182">IF(IFERROR(-INDEX(Expenses!D$3:D$999,SMALL(IF((Expenses!E$3:E$999="INR")*(Expenses!A$3:A$999=DATE(2026,9,6)),ROW(Expenses!A$3:A$999)-2),4)),0)+IFERROR(INDEX(Income!C$3:C$502,SMALL(IF((Income!D$3:D$502="INR")*(Income!A$3:A$502=DATE(2026,9,6)),ROW(Income!A$3:A$502)-2),4)),0)=0,"",IFERROR(-INDEX(Expenses!D$3:D$999,SMALL(IF((Expenses!E$3:E$999="INR")*(Expenses!A$3:A$999=DATE(2026,9,6)),ROW(Expenses!A$3:A$999)-2),4)),0)+IFERROR(INDEX(Income!C$3:C$502,SMALL(IF((Income!D$3:D$502="INR")*(Income!A$3:A$502=DATE(2026,9,6)),ROW(Income!A$3:A$502)-2),4)),0))</f>
        <v/>
      </c>
      <c r="P182" s="126">
        <f t="array" ref="P182">IF(IFERROR(INDEX(Expenses!B$3:B$999,SMALL(IF((Expenses!E$3:E$999="INR")*(Expenses!A$3:A$999=DATE(2026,9,6)),ROW(Expenses!A$3:A$999)-2),4)),"")&lt;&gt;"",IFERROR(INDEX(Expenses!B$3:B$999,SMALL(IF((Expenses!E$3:E$999="INR")*(Expenses!A$3:A$999=DATE(2026,9,6)),ROW(Expenses!A$3:A$999)-2),4)),""),IF(IFERROR(INDEX(Income!B$3:B$502,SMALL(IF((Income!D$3:D$502="INR")*(Income!A$3:A$502=DATE(2026,9,6)),ROW(Income!A$3:A$502)-2),4)),"")&lt;&gt;"",IFERROR(INDEX(Income!B$3:B$502,SMALL(IF((Income!D$3:D$502="INR")*(Income!A$3:A$502=DATE(2026,9,6)),ROW(Income!A$3:A$502)-2),4)),""),""))</f>
        <v/>
      </c>
      <c r="Q182" s="9" t="n"/>
      <c r="R182" s="9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68">
      <c r="A183" s="9" t="n"/>
      <c r="B183" s="9" t="n"/>
      <c r="C183" s="153">
        <f t="array" ref="C183">IF(IFERROR(-INDEX(Expenses!D$3:D$999,SMALL(IF((Expenses!E$3:E$999="INR")*(Expenses!A$3:A$999=DATE(2026,8,31)),ROW(Expenses!A$3:A$999)-2),5)),0)+IFERROR(INDEX(Income!C$3:C$502,SMALL(IF((Income!D$3:D$502="INR")*(Income!A$3:A$502=DATE(2026,8,31)),ROW(Income!A$3:A$502)-2),5)),0)=0,"",IFERROR(-INDEX(Expenses!D$3:D$999,SMALL(IF((Expenses!E$3:E$999="INR")*(Expenses!A$3:A$999=DATE(2026,8,31)),ROW(Expenses!A$3:A$999)-2),5)),0)+IFERROR(INDEX(Income!C$3:C$502,SMALL(IF((Income!D$3:D$502="INR")*(Income!A$3:A$502=DATE(2026,8,31)),ROW(Income!A$3:A$502)-2),5)),0))</f>
        <v/>
      </c>
      <c r="D183" s="126">
        <f t="array" ref="D183">IF(IFERROR(INDEX(Expenses!B$3:B$999,SMALL(IF((Expenses!E$3:E$999="INR")*(Expenses!A$3:A$999=DATE(2026,8,31)),ROW(Expenses!A$3:A$999)-2),5)),"")&lt;&gt;"",IFERROR(INDEX(Expenses!B$3:B$999,SMALL(IF((Expenses!E$3:E$999="INR")*(Expenses!A$3:A$999=DATE(2026,8,31)),ROW(Expenses!A$3:A$999)-2),5)),""),IF(IFERROR(INDEX(Income!B$3:B$502,SMALL(IF((Income!D$3:D$502="INR")*(Income!A$3:A$502=DATE(2026,8,31)),ROW(Income!A$3:A$502)-2),5)),"")&lt;&gt;"",IFERROR(INDEX(Income!B$3:B$502,SMALL(IF((Income!D$3:D$502="INR")*(Income!A$3:A$502=DATE(2026,8,31)),ROW(Income!A$3:A$502)-2),5)),""),""))</f>
        <v/>
      </c>
      <c r="E183" s="153">
        <f t="array" ref="E183">IF(IFERROR(-INDEX(Expenses!D$3:D$999,SMALL(IF((Expenses!E$3:E$999="INR")*(Expenses!A$3:A$999=DATE(2026,9,1)),ROW(Expenses!A$3:A$999)-2),5)),0)+IFERROR(INDEX(Income!C$3:C$502,SMALL(IF((Income!D$3:D$502="INR")*(Income!A$3:A$502=DATE(2026,9,1)),ROW(Income!A$3:A$502)-2),5)),0)=0,"",IFERROR(-INDEX(Expenses!D$3:D$999,SMALL(IF((Expenses!E$3:E$999="INR")*(Expenses!A$3:A$999=DATE(2026,9,1)),ROW(Expenses!A$3:A$999)-2),5)),0)+IFERROR(INDEX(Income!C$3:C$502,SMALL(IF((Income!D$3:D$502="INR")*(Income!A$3:A$502=DATE(2026,9,1)),ROW(Income!A$3:A$502)-2),5)),0))</f>
        <v/>
      </c>
      <c r="F183" s="126">
        <f t="array" ref="F183">IF(IFERROR(INDEX(Expenses!B$3:B$999,SMALL(IF((Expenses!E$3:E$999="INR")*(Expenses!A$3:A$999=DATE(2026,9,1)),ROW(Expenses!A$3:A$999)-2),5)),"")&lt;&gt;"",IFERROR(INDEX(Expenses!B$3:B$999,SMALL(IF((Expenses!E$3:E$999="INR")*(Expenses!A$3:A$999=DATE(2026,9,1)),ROW(Expenses!A$3:A$999)-2),5)),""),IF(IFERROR(INDEX(Income!B$3:B$502,SMALL(IF((Income!D$3:D$502="INR")*(Income!A$3:A$502=DATE(2026,9,1)),ROW(Income!A$3:A$502)-2),5)),"")&lt;&gt;"",IFERROR(INDEX(Income!B$3:B$502,SMALL(IF((Income!D$3:D$502="INR")*(Income!A$3:A$502=DATE(2026,9,1)),ROW(Income!A$3:A$502)-2),5)),""),""))</f>
        <v/>
      </c>
      <c r="G183" s="153">
        <f t="array" ref="G183">IF(IFERROR(-INDEX(Expenses!D$3:D$999,SMALL(IF((Expenses!E$3:E$999="INR")*(Expenses!A$3:A$999=DATE(2026,9,2)),ROW(Expenses!A$3:A$999)-2),5)),0)+IFERROR(INDEX(Income!C$3:C$502,SMALL(IF((Income!D$3:D$502="INR")*(Income!A$3:A$502=DATE(2026,9,2)),ROW(Income!A$3:A$502)-2),5)),0)=0,"",IFERROR(-INDEX(Expenses!D$3:D$999,SMALL(IF((Expenses!E$3:E$999="INR")*(Expenses!A$3:A$999=DATE(2026,9,2)),ROW(Expenses!A$3:A$999)-2),5)),0)+IFERROR(INDEX(Income!C$3:C$502,SMALL(IF((Income!D$3:D$502="INR")*(Income!A$3:A$502=DATE(2026,9,2)),ROW(Income!A$3:A$502)-2),5)),0))</f>
        <v/>
      </c>
      <c r="H183" s="126">
        <f t="array" ref="H183">IF(IFERROR(INDEX(Expenses!B$3:B$999,SMALL(IF((Expenses!E$3:E$999="INR")*(Expenses!A$3:A$999=DATE(2026,9,2)),ROW(Expenses!A$3:A$999)-2),5)),"")&lt;&gt;"",IFERROR(INDEX(Expenses!B$3:B$999,SMALL(IF((Expenses!E$3:E$999="INR")*(Expenses!A$3:A$999=DATE(2026,9,2)),ROW(Expenses!A$3:A$999)-2),5)),""),IF(IFERROR(INDEX(Income!B$3:B$502,SMALL(IF((Income!D$3:D$502="INR")*(Income!A$3:A$502=DATE(2026,9,2)),ROW(Income!A$3:A$502)-2),5)),"")&lt;&gt;"",IFERROR(INDEX(Income!B$3:B$502,SMALL(IF((Income!D$3:D$502="INR")*(Income!A$3:A$502=DATE(2026,9,2)),ROW(Income!A$3:A$502)-2),5)),""),""))</f>
        <v/>
      </c>
      <c r="I183" s="153">
        <f t="array" ref="I183">IF(IFERROR(-INDEX(Expenses!D$3:D$999,SMALL(IF((Expenses!E$3:E$999="INR")*(Expenses!A$3:A$999=DATE(2026,9,3)),ROW(Expenses!A$3:A$999)-2),5)),0)+IFERROR(INDEX(Income!C$3:C$502,SMALL(IF((Income!D$3:D$502="INR")*(Income!A$3:A$502=DATE(2026,9,3)),ROW(Income!A$3:A$502)-2),5)),0)=0,"",IFERROR(-INDEX(Expenses!D$3:D$999,SMALL(IF((Expenses!E$3:E$999="INR")*(Expenses!A$3:A$999=DATE(2026,9,3)),ROW(Expenses!A$3:A$999)-2),5)),0)+IFERROR(INDEX(Income!C$3:C$502,SMALL(IF((Income!D$3:D$502="INR")*(Income!A$3:A$502=DATE(2026,9,3)),ROW(Income!A$3:A$502)-2),5)),0))</f>
        <v/>
      </c>
      <c r="J183" s="126">
        <f t="array" ref="J183">IF(IFERROR(INDEX(Expenses!B$3:B$999,SMALL(IF((Expenses!E$3:E$999="INR")*(Expenses!A$3:A$999=DATE(2026,9,3)),ROW(Expenses!A$3:A$999)-2),5)),"")&lt;&gt;"",IFERROR(INDEX(Expenses!B$3:B$999,SMALL(IF((Expenses!E$3:E$999="INR")*(Expenses!A$3:A$999=DATE(2026,9,3)),ROW(Expenses!A$3:A$999)-2),5)),""),IF(IFERROR(INDEX(Income!B$3:B$502,SMALL(IF((Income!D$3:D$502="INR")*(Income!A$3:A$502=DATE(2026,9,3)),ROW(Income!A$3:A$502)-2),5)),"")&lt;&gt;"",IFERROR(INDEX(Income!B$3:B$502,SMALL(IF((Income!D$3:D$502="INR")*(Income!A$3:A$502=DATE(2026,9,3)),ROW(Income!A$3:A$502)-2),5)),""),""))</f>
        <v/>
      </c>
      <c r="K183" s="153">
        <f t="array" ref="K183">IF(IFERROR(-INDEX(Expenses!D$3:D$999,SMALL(IF((Expenses!E$3:E$999="INR")*(Expenses!A$3:A$999=DATE(2026,9,4)),ROW(Expenses!A$3:A$999)-2),5)),0)+IFERROR(INDEX(Income!C$3:C$502,SMALL(IF((Income!D$3:D$502="INR")*(Income!A$3:A$502=DATE(2026,9,4)),ROW(Income!A$3:A$502)-2),5)),0)=0,"",IFERROR(-INDEX(Expenses!D$3:D$999,SMALL(IF((Expenses!E$3:E$999="INR")*(Expenses!A$3:A$999=DATE(2026,9,4)),ROW(Expenses!A$3:A$999)-2),5)),0)+IFERROR(INDEX(Income!C$3:C$502,SMALL(IF((Income!D$3:D$502="INR")*(Income!A$3:A$502=DATE(2026,9,4)),ROW(Income!A$3:A$502)-2),5)),0))</f>
        <v/>
      </c>
      <c r="L183" s="126">
        <f t="array" ref="L183">IF(IFERROR(INDEX(Expenses!B$3:B$999,SMALL(IF((Expenses!E$3:E$999="INR")*(Expenses!A$3:A$999=DATE(2026,9,4)),ROW(Expenses!A$3:A$999)-2),5)),"")&lt;&gt;"",IFERROR(INDEX(Expenses!B$3:B$999,SMALL(IF((Expenses!E$3:E$999="INR")*(Expenses!A$3:A$999=DATE(2026,9,4)),ROW(Expenses!A$3:A$999)-2),5)),""),IF(IFERROR(INDEX(Income!B$3:B$502,SMALL(IF((Income!D$3:D$502="INR")*(Income!A$3:A$502=DATE(2026,9,4)),ROW(Income!A$3:A$502)-2),5)),"")&lt;&gt;"",IFERROR(INDEX(Income!B$3:B$502,SMALL(IF((Income!D$3:D$502="INR")*(Income!A$3:A$502=DATE(2026,9,4)),ROW(Income!A$3:A$502)-2),5)),""),""))</f>
        <v/>
      </c>
      <c r="M183" s="153">
        <f t="array" ref="M183">IF(IFERROR(-INDEX(Expenses!D$3:D$999,SMALL(IF((Expenses!E$3:E$999="INR")*(Expenses!A$3:A$999=DATE(2026,9,5)),ROW(Expenses!A$3:A$999)-2),5)),0)+IFERROR(INDEX(Income!C$3:C$502,SMALL(IF((Income!D$3:D$502="INR")*(Income!A$3:A$502=DATE(2026,9,5)),ROW(Income!A$3:A$502)-2),5)),0)=0,"",IFERROR(-INDEX(Expenses!D$3:D$999,SMALL(IF((Expenses!E$3:E$999="INR")*(Expenses!A$3:A$999=DATE(2026,9,5)),ROW(Expenses!A$3:A$999)-2),5)),0)+IFERROR(INDEX(Income!C$3:C$502,SMALL(IF((Income!D$3:D$502="INR")*(Income!A$3:A$502=DATE(2026,9,5)),ROW(Income!A$3:A$502)-2),5)),0))</f>
        <v/>
      </c>
      <c r="N183" s="126">
        <f t="array" ref="N183">IF(IFERROR(INDEX(Expenses!B$3:B$999,SMALL(IF((Expenses!E$3:E$999="INR")*(Expenses!A$3:A$999=DATE(2026,9,5)),ROW(Expenses!A$3:A$999)-2),5)),"")&lt;&gt;"",IFERROR(INDEX(Expenses!B$3:B$999,SMALL(IF((Expenses!E$3:E$999="INR")*(Expenses!A$3:A$999=DATE(2026,9,5)),ROW(Expenses!A$3:A$999)-2),5)),""),IF(IFERROR(INDEX(Income!B$3:B$502,SMALL(IF((Income!D$3:D$502="INR")*(Income!A$3:A$502=DATE(2026,9,5)),ROW(Income!A$3:A$502)-2),5)),"")&lt;&gt;"",IFERROR(INDEX(Income!B$3:B$502,SMALL(IF((Income!D$3:D$502="INR")*(Income!A$3:A$502=DATE(2026,9,5)),ROW(Income!A$3:A$502)-2),5)),""),""))</f>
        <v/>
      </c>
      <c r="O183" s="153">
        <f t="array" ref="O183">IF(IFERROR(-INDEX(Expenses!D$3:D$999,SMALL(IF((Expenses!E$3:E$999="INR")*(Expenses!A$3:A$999=DATE(2026,9,6)),ROW(Expenses!A$3:A$999)-2),5)),0)+IFERROR(INDEX(Income!C$3:C$502,SMALL(IF((Income!D$3:D$502="INR")*(Income!A$3:A$502=DATE(2026,9,6)),ROW(Income!A$3:A$502)-2),5)),0)=0,"",IFERROR(-INDEX(Expenses!D$3:D$999,SMALL(IF((Expenses!E$3:E$999="INR")*(Expenses!A$3:A$999=DATE(2026,9,6)),ROW(Expenses!A$3:A$999)-2),5)),0)+IFERROR(INDEX(Income!C$3:C$502,SMALL(IF((Income!D$3:D$502="INR")*(Income!A$3:A$502=DATE(2026,9,6)),ROW(Income!A$3:A$502)-2),5)),0))</f>
        <v/>
      </c>
      <c r="P183" s="126">
        <f t="array" ref="P183">IF(IFERROR(INDEX(Expenses!B$3:B$999,SMALL(IF((Expenses!E$3:E$999="INR")*(Expenses!A$3:A$999=DATE(2026,9,6)),ROW(Expenses!A$3:A$999)-2),5)),"")&lt;&gt;"",IFERROR(INDEX(Expenses!B$3:B$999,SMALL(IF((Expenses!E$3:E$999="INR")*(Expenses!A$3:A$999=DATE(2026,9,6)),ROW(Expenses!A$3:A$999)-2),5)),""),IF(IFERROR(INDEX(Income!B$3:B$502,SMALL(IF((Income!D$3:D$502="INR")*(Income!A$3:A$502=DATE(2026,9,6)),ROW(Income!A$3:A$502)-2),5)),"")&lt;&gt;"",IFERROR(INDEX(Income!B$3:B$502,SMALL(IF((Income!D$3:D$502="INR")*(Income!A$3:A$502=DATE(2026,9,6)),ROW(Income!A$3:A$502)-2),5)),""),""))</f>
        <v/>
      </c>
      <c r="Q183" s="9" t="n"/>
      <c r="R183" s="9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68">
      <c r="A184" s="151" t="n">
        <v>46272</v>
      </c>
      <c r="B184" s="103" t="n">
        <v>37</v>
      </c>
      <c r="C184" s="153">
        <f t="array" ref="C184">IF(IFERROR(-INDEX(Expenses!D$3:D$999,SMALL(IF((Expenses!E$3:E$999="INR")*(Expenses!A$3:A$999=DATE(2026,9,7)),ROW(Expenses!A$3:A$999)-2),1)),0)+IFERROR(INDEX(Income!C$3:C$502,SMALL(IF((Income!D$3:D$502="INR")*(Income!A$3:A$502=DATE(2026,9,7)),ROW(Income!A$3:A$502)-2),1)),0)=0,"",IFERROR(-INDEX(Expenses!D$3:D$999,SMALL(IF((Expenses!E$3:E$999="INR")*(Expenses!A$3:A$999=DATE(2026,9,7)),ROW(Expenses!A$3:A$999)-2),1)),0)+IFERROR(INDEX(Income!C$3:C$502,SMALL(IF((Income!D$3:D$502="INR")*(Income!A$3:A$502=DATE(2026,9,7)),ROW(Income!A$3:A$502)-2),1)),0))</f>
        <v/>
      </c>
      <c r="D184" s="126">
        <f t="array" ref="D184">IF(IFERROR(INDEX(Expenses!B$3:B$999,SMALL(IF((Expenses!E$3:E$999="INR")*(Expenses!A$3:A$999=DATE(2026,9,7)),ROW(Expenses!A$3:A$999)-2),1)),"")&lt;&gt;"",IFERROR(INDEX(Expenses!B$3:B$999,SMALL(IF((Expenses!E$3:E$999="INR")*(Expenses!A$3:A$999=DATE(2026,9,7)),ROW(Expenses!A$3:A$999)-2),1)),""),IF(IFERROR(INDEX(Income!B$3:B$502,SMALL(IF((Income!D$3:D$502="INR")*(Income!A$3:A$502=DATE(2026,9,7)),ROW(Income!A$3:A$502)-2),1)),"")&lt;&gt;"",IFERROR(INDEX(Income!B$3:B$502,SMALL(IF((Income!D$3:D$502="INR")*(Income!A$3:A$502=DATE(2026,9,7)),ROW(Income!A$3:A$502)-2),1)),""),""))</f>
        <v/>
      </c>
      <c r="E184" s="153">
        <f t="array" ref="E184">IF(IFERROR(-INDEX(Expenses!D$3:D$999,SMALL(IF((Expenses!E$3:E$999="INR")*(Expenses!A$3:A$999=DATE(2026,9,8)),ROW(Expenses!A$3:A$999)-2),1)),0)+IFERROR(INDEX(Income!C$3:C$502,SMALL(IF((Income!D$3:D$502="INR")*(Income!A$3:A$502=DATE(2026,9,8)),ROW(Income!A$3:A$502)-2),1)),0)=0,"",IFERROR(-INDEX(Expenses!D$3:D$999,SMALL(IF((Expenses!E$3:E$999="INR")*(Expenses!A$3:A$999=DATE(2026,9,8)),ROW(Expenses!A$3:A$999)-2),1)),0)+IFERROR(INDEX(Income!C$3:C$502,SMALL(IF((Income!D$3:D$502="INR")*(Income!A$3:A$502=DATE(2026,9,8)),ROW(Income!A$3:A$502)-2),1)),0))</f>
        <v/>
      </c>
      <c r="F184" s="126">
        <f t="array" ref="F184">IF(IFERROR(INDEX(Expenses!B$3:B$999,SMALL(IF((Expenses!E$3:E$999="INR")*(Expenses!A$3:A$999=DATE(2026,9,8)),ROW(Expenses!A$3:A$999)-2),1)),"")&lt;&gt;"",IFERROR(INDEX(Expenses!B$3:B$999,SMALL(IF((Expenses!E$3:E$999="INR")*(Expenses!A$3:A$999=DATE(2026,9,8)),ROW(Expenses!A$3:A$999)-2),1)),""),IF(IFERROR(INDEX(Income!B$3:B$502,SMALL(IF((Income!D$3:D$502="INR")*(Income!A$3:A$502=DATE(2026,9,8)),ROW(Income!A$3:A$502)-2),1)),"")&lt;&gt;"",IFERROR(INDEX(Income!B$3:B$502,SMALL(IF((Income!D$3:D$502="INR")*(Income!A$3:A$502=DATE(2026,9,8)),ROW(Income!A$3:A$502)-2),1)),""),""))</f>
        <v/>
      </c>
      <c r="G184" s="153">
        <f t="array" ref="G184">IF(IFERROR(-INDEX(Expenses!D$3:D$999,SMALL(IF((Expenses!E$3:E$999="INR")*(Expenses!A$3:A$999=DATE(2026,9,9)),ROW(Expenses!A$3:A$999)-2),1)),0)+IFERROR(INDEX(Income!C$3:C$502,SMALL(IF((Income!D$3:D$502="INR")*(Income!A$3:A$502=DATE(2026,9,9)),ROW(Income!A$3:A$502)-2),1)),0)=0,"",IFERROR(-INDEX(Expenses!D$3:D$999,SMALL(IF((Expenses!E$3:E$999="INR")*(Expenses!A$3:A$999=DATE(2026,9,9)),ROW(Expenses!A$3:A$999)-2),1)),0)+IFERROR(INDEX(Income!C$3:C$502,SMALL(IF((Income!D$3:D$502="INR")*(Income!A$3:A$502=DATE(2026,9,9)),ROW(Income!A$3:A$502)-2),1)),0))</f>
        <v/>
      </c>
      <c r="H184" s="126">
        <f t="array" ref="H184">IF(IFERROR(INDEX(Expenses!B$3:B$999,SMALL(IF((Expenses!E$3:E$999="INR")*(Expenses!A$3:A$999=DATE(2026,9,9)),ROW(Expenses!A$3:A$999)-2),1)),"")&lt;&gt;"",IFERROR(INDEX(Expenses!B$3:B$999,SMALL(IF((Expenses!E$3:E$999="INR")*(Expenses!A$3:A$999=DATE(2026,9,9)),ROW(Expenses!A$3:A$999)-2),1)),""),IF(IFERROR(INDEX(Income!B$3:B$502,SMALL(IF((Income!D$3:D$502="INR")*(Income!A$3:A$502=DATE(2026,9,9)),ROW(Income!A$3:A$502)-2),1)),"")&lt;&gt;"",IFERROR(INDEX(Income!B$3:B$502,SMALL(IF((Income!D$3:D$502="INR")*(Income!A$3:A$502=DATE(2026,9,9)),ROW(Income!A$3:A$502)-2),1)),""),""))</f>
        <v/>
      </c>
      <c r="I184" s="153">
        <f t="array" ref="I184">IF(IFERROR(-INDEX(Expenses!D$3:D$999,SMALL(IF((Expenses!E$3:E$999="INR")*(Expenses!A$3:A$999=DATE(2026,9,10)),ROW(Expenses!A$3:A$999)-2),1)),0)+IFERROR(INDEX(Income!C$3:C$502,SMALL(IF((Income!D$3:D$502="INR")*(Income!A$3:A$502=DATE(2026,9,10)),ROW(Income!A$3:A$502)-2),1)),0)=0,"",IFERROR(-INDEX(Expenses!D$3:D$999,SMALL(IF((Expenses!E$3:E$999="INR")*(Expenses!A$3:A$999=DATE(2026,9,10)),ROW(Expenses!A$3:A$999)-2),1)),0)+IFERROR(INDEX(Income!C$3:C$502,SMALL(IF((Income!D$3:D$502="INR")*(Income!A$3:A$502=DATE(2026,9,10)),ROW(Income!A$3:A$502)-2),1)),0))</f>
        <v/>
      </c>
      <c r="J184" s="126">
        <f t="array" ref="J184">IF(IFERROR(INDEX(Expenses!B$3:B$999,SMALL(IF((Expenses!E$3:E$999="INR")*(Expenses!A$3:A$999=DATE(2026,9,10)),ROW(Expenses!A$3:A$999)-2),1)),"")&lt;&gt;"",IFERROR(INDEX(Expenses!B$3:B$999,SMALL(IF((Expenses!E$3:E$999="INR")*(Expenses!A$3:A$999=DATE(2026,9,10)),ROW(Expenses!A$3:A$999)-2),1)),""),IF(IFERROR(INDEX(Income!B$3:B$502,SMALL(IF((Income!D$3:D$502="INR")*(Income!A$3:A$502=DATE(2026,9,10)),ROW(Income!A$3:A$502)-2),1)),"")&lt;&gt;"",IFERROR(INDEX(Income!B$3:B$502,SMALL(IF((Income!D$3:D$502="INR")*(Income!A$3:A$502=DATE(2026,9,10)),ROW(Income!A$3:A$502)-2),1)),""),""))</f>
        <v/>
      </c>
      <c r="K184" s="153">
        <f t="array" ref="K184">IF(IFERROR(-INDEX(Expenses!D$3:D$999,SMALL(IF((Expenses!E$3:E$999="INR")*(Expenses!A$3:A$999=DATE(2026,9,11)),ROW(Expenses!A$3:A$999)-2),1)),0)+IFERROR(INDEX(Income!C$3:C$502,SMALL(IF((Income!D$3:D$502="INR")*(Income!A$3:A$502=DATE(2026,9,11)),ROW(Income!A$3:A$502)-2),1)),0)=0,"",IFERROR(-INDEX(Expenses!D$3:D$999,SMALL(IF((Expenses!E$3:E$999="INR")*(Expenses!A$3:A$999=DATE(2026,9,11)),ROW(Expenses!A$3:A$999)-2),1)),0)+IFERROR(INDEX(Income!C$3:C$502,SMALL(IF((Income!D$3:D$502="INR")*(Income!A$3:A$502=DATE(2026,9,11)),ROW(Income!A$3:A$502)-2),1)),0))</f>
        <v/>
      </c>
      <c r="L184" s="126">
        <f t="array" ref="L184">IF(IFERROR(INDEX(Expenses!B$3:B$999,SMALL(IF((Expenses!E$3:E$999="INR")*(Expenses!A$3:A$999=DATE(2026,9,11)),ROW(Expenses!A$3:A$999)-2),1)),"")&lt;&gt;"",IFERROR(INDEX(Expenses!B$3:B$999,SMALL(IF((Expenses!E$3:E$999="INR")*(Expenses!A$3:A$999=DATE(2026,9,11)),ROW(Expenses!A$3:A$999)-2),1)),""),IF(IFERROR(INDEX(Income!B$3:B$502,SMALL(IF((Income!D$3:D$502="INR")*(Income!A$3:A$502=DATE(2026,9,11)),ROW(Income!A$3:A$502)-2),1)),"")&lt;&gt;"",IFERROR(INDEX(Income!B$3:B$502,SMALL(IF((Income!D$3:D$502="INR")*(Income!A$3:A$502=DATE(2026,9,11)),ROW(Income!A$3:A$502)-2),1)),""),""))</f>
        <v/>
      </c>
      <c r="M184" s="153">
        <f t="array" ref="M184">IF(IFERROR(-INDEX(Expenses!D$3:D$999,SMALL(IF((Expenses!E$3:E$999="INR")*(Expenses!A$3:A$999=DATE(2026,9,12)),ROW(Expenses!A$3:A$999)-2),1)),0)+IFERROR(INDEX(Income!C$3:C$502,SMALL(IF((Income!D$3:D$502="INR")*(Income!A$3:A$502=DATE(2026,9,12)),ROW(Income!A$3:A$502)-2),1)),0)=0,"",IFERROR(-INDEX(Expenses!D$3:D$999,SMALL(IF((Expenses!E$3:E$999="INR")*(Expenses!A$3:A$999=DATE(2026,9,12)),ROW(Expenses!A$3:A$999)-2),1)),0)+IFERROR(INDEX(Income!C$3:C$502,SMALL(IF((Income!D$3:D$502="INR")*(Income!A$3:A$502=DATE(2026,9,12)),ROW(Income!A$3:A$502)-2),1)),0))</f>
        <v/>
      </c>
      <c r="N184" s="126">
        <f t="array" ref="N184">IF(IFERROR(INDEX(Expenses!B$3:B$999,SMALL(IF((Expenses!E$3:E$999="INR")*(Expenses!A$3:A$999=DATE(2026,9,12)),ROW(Expenses!A$3:A$999)-2),1)),"")&lt;&gt;"",IFERROR(INDEX(Expenses!B$3:B$999,SMALL(IF((Expenses!E$3:E$999="INR")*(Expenses!A$3:A$999=DATE(2026,9,12)),ROW(Expenses!A$3:A$999)-2),1)),""),IF(IFERROR(INDEX(Income!B$3:B$502,SMALL(IF((Income!D$3:D$502="INR")*(Income!A$3:A$502=DATE(2026,9,12)),ROW(Income!A$3:A$502)-2),1)),"")&lt;&gt;"",IFERROR(INDEX(Income!B$3:B$502,SMALL(IF((Income!D$3:D$502="INR")*(Income!A$3:A$502=DATE(2026,9,12)),ROW(Income!A$3:A$502)-2),1)),""),""))</f>
        <v/>
      </c>
      <c r="O184" s="153">
        <f t="array" ref="O184">IF(IFERROR(-INDEX(Expenses!D$3:D$999,SMALL(IF((Expenses!E$3:E$999="INR")*(Expenses!A$3:A$999=DATE(2026,9,13)),ROW(Expenses!A$3:A$999)-2),1)),0)+IFERROR(INDEX(Income!C$3:C$502,SMALL(IF((Income!D$3:D$502="INR")*(Income!A$3:A$502=DATE(2026,9,13)),ROW(Income!A$3:A$502)-2),1)),0)=0,"",IFERROR(-INDEX(Expenses!D$3:D$999,SMALL(IF((Expenses!E$3:E$999="INR")*(Expenses!A$3:A$999=DATE(2026,9,13)),ROW(Expenses!A$3:A$999)-2),1)),0)+IFERROR(INDEX(Income!C$3:C$502,SMALL(IF((Income!D$3:D$502="INR")*(Income!A$3:A$502=DATE(2026,9,13)),ROW(Income!A$3:A$502)-2),1)),0))</f>
        <v/>
      </c>
      <c r="P184" s="126">
        <f t="array" ref="P184">IF(IFERROR(INDEX(Expenses!B$3:B$999,SMALL(IF((Expenses!E$3:E$999="INR")*(Expenses!A$3:A$999=DATE(2026,9,13)),ROW(Expenses!A$3:A$999)-2),1)),"")&lt;&gt;"",IFERROR(INDEX(Expenses!B$3:B$999,SMALL(IF((Expenses!E$3:E$999="INR")*(Expenses!A$3:A$999=DATE(2026,9,13)),ROW(Expenses!A$3:A$999)-2),1)),""),IF(IFERROR(INDEX(Income!B$3:B$502,SMALL(IF((Income!D$3:D$502="INR")*(Income!A$3:A$502=DATE(2026,9,13)),ROW(Income!A$3:A$502)-2),1)),"")&lt;&gt;"",IFERROR(INDEX(Income!B$3:B$502,SMALL(IF((Income!D$3:D$502="INR")*(Income!A$3:A$502=DATE(2026,9,13)),ROW(Income!A$3:A$502)-2),1)),""),""))</f>
        <v/>
      </c>
      <c r="Q184" s="103" t="n">
        <v>37</v>
      </c>
      <c r="R184" s="142">
        <f>SUM(C184:C188)+SUM(E184:E188)+SUM(G184:G188)+SUM(I184:I188)+SUM(K184:K188)+SUM(M184:M188)+SUM(O184:O188)</f>
        <v/>
      </c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68">
      <c r="A185" s="9" t="n"/>
      <c r="B185" s="9" t="n"/>
      <c r="C185" s="153">
        <f t="array" ref="C185">IF(IFERROR(-INDEX(Expenses!D$3:D$999,SMALL(IF((Expenses!E$3:E$999="INR")*(Expenses!A$3:A$999=DATE(2026,9,7)),ROW(Expenses!A$3:A$999)-2),2)),0)+IFERROR(INDEX(Income!C$3:C$502,SMALL(IF((Income!D$3:D$502="INR")*(Income!A$3:A$502=DATE(2026,9,7)),ROW(Income!A$3:A$502)-2),2)),0)=0,"",IFERROR(-INDEX(Expenses!D$3:D$999,SMALL(IF((Expenses!E$3:E$999="INR")*(Expenses!A$3:A$999=DATE(2026,9,7)),ROW(Expenses!A$3:A$999)-2),2)),0)+IFERROR(INDEX(Income!C$3:C$502,SMALL(IF((Income!D$3:D$502="INR")*(Income!A$3:A$502=DATE(2026,9,7)),ROW(Income!A$3:A$502)-2),2)),0))</f>
        <v/>
      </c>
      <c r="D185" s="126">
        <f t="array" ref="D185">IF(IFERROR(INDEX(Expenses!B$3:B$999,SMALL(IF((Expenses!E$3:E$999="INR")*(Expenses!A$3:A$999=DATE(2026,9,7)),ROW(Expenses!A$3:A$999)-2),2)),"")&lt;&gt;"",IFERROR(INDEX(Expenses!B$3:B$999,SMALL(IF((Expenses!E$3:E$999="INR")*(Expenses!A$3:A$999=DATE(2026,9,7)),ROW(Expenses!A$3:A$999)-2),2)),""),IF(IFERROR(INDEX(Income!B$3:B$502,SMALL(IF((Income!D$3:D$502="INR")*(Income!A$3:A$502=DATE(2026,9,7)),ROW(Income!A$3:A$502)-2),2)),"")&lt;&gt;"",IFERROR(INDEX(Income!B$3:B$502,SMALL(IF((Income!D$3:D$502="INR")*(Income!A$3:A$502=DATE(2026,9,7)),ROW(Income!A$3:A$502)-2),2)),""),""))</f>
        <v/>
      </c>
      <c r="E185" s="153">
        <f t="array" ref="E185">IF(IFERROR(-INDEX(Expenses!D$3:D$999,SMALL(IF((Expenses!E$3:E$999="INR")*(Expenses!A$3:A$999=DATE(2026,9,8)),ROW(Expenses!A$3:A$999)-2),2)),0)+IFERROR(INDEX(Income!C$3:C$502,SMALL(IF((Income!D$3:D$502="INR")*(Income!A$3:A$502=DATE(2026,9,8)),ROW(Income!A$3:A$502)-2),2)),0)=0,"",IFERROR(-INDEX(Expenses!D$3:D$999,SMALL(IF((Expenses!E$3:E$999="INR")*(Expenses!A$3:A$999=DATE(2026,9,8)),ROW(Expenses!A$3:A$999)-2),2)),0)+IFERROR(INDEX(Income!C$3:C$502,SMALL(IF((Income!D$3:D$502="INR")*(Income!A$3:A$502=DATE(2026,9,8)),ROW(Income!A$3:A$502)-2),2)),0))</f>
        <v/>
      </c>
      <c r="F185" s="126">
        <f t="array" ref="F185">IF(IFERROR(INDEX(Expenses!B$3:B$999,SMALL(IF((Expenses!E$3:E$999="INR")*(Expenses!A$3:A$999=DATE(2026,9,8)),ROW(Expenses!A$3:A$999)-2),2)),"")&lt;&gt;"",IFERROR(INDEX(Expenses!B$3:B$999,SMALL(IF((Expenses!E$3:E$999="INR")*(Expenses!A$3:A$999=DATE(2026,9,8)),ROW(Expenses!A$3:A$999)-2),2)),""),IF(IFERROR(INDEX(Income!B$3:B$502,SMALL(IF((Income!D$3:D$502="INR")*(Income!A$3:A$502=DATE(2026,9,8)),ROW(Income!A$3:A$502)-2),2)),"")&lt;&gt;"",IFERROR(INDEX(Income!B$3:B$502,SMALL(IF((Income!D$3:D$502="INR")*(Income!A$3:A$502=DATE(2026,9,8)),ROW(Income!A$3:A$502)-2),2)),""),""))</f>
        <v/>
      </c>
      <c r="G185" s="153">
        <f t="array" ref="G185">IF(IFERROR(-INDEX(Expenses!D$3:D$999,SMALL(IF((Expenses!E$3:E$999="INR")*(Expenses!A$3:A$999=DATE(2026,9,9)),ROW(Expenses!A$3:A$999)-2),2)),0)+IFERROR(INDEX(Income!C$3:C$502,SMALL(IF((Income!D$3:D$502="INR")*(Income!A$3:A$502=DATE(2026,9,9)),ROW(Income!A$3:A$502)-2),2)),0)=0,"",IFERROR(-INDEX(Expenses!D$3:D$999,SMALL(IF((Expenses!E$3:E$999="INR")*(Expenses!A$3:A$999=DATE(2026,9,9)),ROW(Expenses!A$3:A$999)-2),2)),0)+IFERROR(INDEX(Income!C$3:C$502,SMALL(IF((Income!D$3:D$502="INR")*(Income!A$3:A$502=DATE(2026,9,9)),ROW(Income!A$3:A$502)-2),2)),0))</f>
        <v/>
      </c>
      <c r="H185" s="126">
        <f t="array" ref="H185">IF(IFERROR(INDEX(Expenses!B$3:B$999,SMALL(IF((Expenses!E$3:E$999="INR")*(Expenses!A$3:A$999=DATE(2026,9,9)),ROW(Expenses!A$3:A$999)-2),2)),"")&lt;&gt;"",IFERROR(INDEX(Expenses!B$3:B$999,SMALL(IF((Expenses!E$3:E$999="INR")*(Expenses!A$3:A$999=DATE(2026,9,9)),ROW(Expenses!A$3:A$999)-2),2)),""),IF(IFERROR(INDEX(Income!B$3:B$502,SMALL(IF((Income!D$3:D$502="INR")*(Income!A$3:A$502=DATE(2026,9,9)),ROW(Income!A$3:A$502)-2),2)),"")&lt;&gt;"",IFERROR(INDEX(Income!B$3:B$502,SMALL(IF((Income!D$3:D$502="INR")*(Income!A$3:A$502=DATE(2026,9,9)),ROW(Income!A$3:A$502)-2),2)),""),""))</f>
        <v/>
      </c>
      <c r="I185" s="153">
        <f t="array" ref="I185">IF(IFERROR(-INDEX(Expenses!D$3:D$999,SMALL(IF((Expenses!E$3:E$999="INR")*(Expenses!A$3:A$999=DATE(2026,9,10)),ROW(Expenses!A$3:A$999)-2),2)),0)+IFERROR(INDEX(Income!C$3:C$502,SMALL(IF((Income!D$3:D$502="INR")*(Income!A$3:A$502=DATE(2026,9,10)),ROW(Income!A$3:A$502)-2),2)),0)=0,"",IFERROR(-INDEX(Expenses!D$3:D$999,SMALL(IF((Expenses!E$3:E$999="INR")*(Expenses!A$3:A$999=DATE(2026,9,10)),ROW(Expenses!A$3:A$999)-2),2)),0)+IFERROR(INDEX(Income!C$3:C$502,SMALL(IF((Income!D$3:D$502="INR")*(Income!A$3:A$502=DATE(2026,9,10)),ROW(Income!A$3:A$502)-2),2)),0))</f>
        <v/>
      </c>
      <c r="J185" s="126">
        <f t="array" ref="J185">IF(IFERROR(INDEX(Expenses!B$3:B$999,SMALL(IF((Expenses!E$3:E$999="INR")*(Expenses!A$3:A$999=DATE(2026,9,10)),ROW(Expenses!A$3:A$999)-2),2)),"")&lt;&gt;"",IFERROR(INDEX(Expenses!B$3:B$999,SMALL(IF((Expenses!E$3:E$999="INR")*(Expenses!A$3:A$999=DATE(2026,9,10)),ROW(Expenses!A$3:A$999)-2),2)),""),IF(IFERROR(INDEX(Income!B$3:B$502,SMALL(IF((Income!D$3:D$502="INR")*(Income!A$3:A$502=DATE(2026,9,10)),ROW(Income!A$3:A$502)-2),2)),"")&lt;&gt;"",IFERROR(INDEX(Income!B$3:B$502,SMALL(IF((Income!D$3:D$502="INR")*(Income!A$3:A$502=DATE(2026,9,10)),ROW(Income!A$3:A$502)-2),2)),""),""))</f>
        <v/>
      </c>
      <c r="K185" s="153">
        <f t="array" ref="K185">IF(IFERROR(-INDEX(Expenses!D$3:D$999,SMALL(IF((Expenses!E$3:E$999="INR")*(Expenses!A$3:A$999=DATE(2026,9,11)),ROW(Expenses!A$3:A$999)-2),2)),0)+IFERROR(INDEX(Income!C$3:C$502,SMALL(IF((Income!D$3:D$502="INR")*(Income!A$3:A$502=DATE(2026,9,11)),ROW(Income!A$3:A$502)-2),2)),0)=0,"",IFERROR(-INDEX(Expenses!D$3:D$999,SMALL(IF((Expenses!E$3:E$999="INR")*(Expenses!A$3:A$999=DATE(2026,9,11)),ROW(Expenses!A$3:A$999)-2),2)),0)+IFERROR(INDEX(Income!C$3:C$502,SMALL(IF((Income!D$3:D$502="INR")*(Income!A$3:A$502=DATE(2026,9,11)),ROW(Income!A$3:A$502)-2),2)),0))</f>
        <v/>
      </c>
      <c r="L185" s="126">
        <f t="array" ref="L185">IF(IFERROR(INDEX(Expenses!B$3:B$999,SMALL(IF((Expenses!E$3:E$999="INR")*(Expenses!A$3:A$999=DATE(2026,9,11)),ROW(Expenses!A$3:A$999)-2),2)),"")&lt;&gt;"",IFERROR(INDEX(Expenses!B$3:B$999,SMALL(IF((Expenses!E$3:E$999="INR")*(Expenses!A$3:A$999=DATE(2026,9,11)),ROW(Expenses!A$3:A$999)-2),2)),""),IF(IFERROR(INDEX(Income!B$3:B$502,SMALL(IF((Income!D$3:D$502="INR")*(Income!A$3:A$502=DATE(2026,9,11)),ROW(Income!A$3:A$502)-2),2)),"")&lt;&gt;"",IFERROR(INDEX(Income!B$3:B$502,SMALL(IF((Income!D$3:D$502="INR")*(Income!A$3:A$502=DATE(2026,9,11)),ROW(Income!A$3:A$502)-2),2)),""),""))</f>
        <v/>
      </c>
      <c r="M185" s="153">
        <f t="array" ref="M185">IF(IFERROR(-INDEX(Expenses!D$3:D$999,SMALL(IF((Expenses!E$3:E$999="INR")*(Expenses!A$3:A$999=DATE(2026,9,12)),ROW(Expenses!A$3:A$999)-2),2)),0)+IFERROR(INDEX(Income!C$3:C$502,SMALL(IF((Income!D$3:D$502="INR")*(Income!A$3:A$502=DATE(2026,9,12)),ROW(Income!A$3:A$502)-2),2)),0)=0,"",IFERROR(-INDEX(Expenses!D$3:D$999,SMALL(IF((Expenses!E$3:E$999="INR")*(Expenses!A$3:A$999=DATE(2026,9,12)),ROW(Expenses!A$3:A$999)-2),2)),0)+IFERROR(INDEX(Income!C$3:C$502,SMALL(IF((Income!D$3:D$502="INR")*(Income!A$3:A$502=DATE(2026,9,12)),ROW(Income!A$3:A$502)-2),2)),0))</f>
        <v/>
      </c>
      <c r="N185" s="126">
        <f t="array" ref="N185">IF(IFERROR(INDEX(Expenses!B$3:B$999,SMALL(IF((Expenses!E$3:E$999="INR")*(Expenses!A$3:A$999=DATE(2026,9,12)),ROW(Expenses!A$3:A$999)-2),2)),"")&lt;&gt;"",IFERROR(INDEX(Expenses!B$3:B$999,SMALL(IF((Expenses!E$3:E$999="INR")*(Expenses!A$3:A$999=DATE(2026,9,12)),ROW(Expenses!A$3:A$999)-2),2)),""),IF(IFERROR(INDEX(Income!B$3:B$502,SMALL(IF((Income!D$3:D$502="INR")*(Income!A$3:A$502=DATE(2026,9,12)),ROW(Income!A$3:A$502)-2),2)),"")&lt;&gt;"",IFERROR(INDEX(Income!B$3:B$502,SMALL(IF((Income!D$3:D$502="INR")*(Income!A$3:A$502=DATE(2026,9,12)),ROW(Income!A$3:A$502)-2),2)),""),""))</f>
        <v/>
      </c>
      <c r="O185" s="153">
        <f t="array" ref="O185">IF(IFERROR(-INDEX(Expenses!D$3:D$999,SMALL(IF((Expenses!E$3:E$999="INR")*(Expenses!A$3:A$999=DATE(2026,9,13)),ROW(Expenses!A$3:A$999)-2),2)),0)+IFERROR(INDEX(Income!C$3:C$502,SMALL(IF((Income!D$3:D$502="INR")*(Income!A$3:A$502=DATE(2026,9,13)),ROW(Income!A$3:A$502)-2),2)),0)=0,"",IFERROR(-INDEX(Expenses!D$3:D$999,SMALL(IF((Expenses!E$3:E$999="INR")*(Expenses!A$3:A$999=DATE(2026,9,13)),ROW(Expenses!A$3:A$999)-2),2)),0)+IFERROR(INDEX(Income!C$3:C$502,SMALL(IF((Income!D$3:D$502="INR")*(Income!A$3:A$502=DATE(2026,9,13)),ROW(Income!A$3:A$502)-2),2)),0))</f>
        <v/>
      </c>
      <c r="P185" s="126">
        <f t="array" ref="P185">IF(IFERROR(INDEX(Expenses!B$3:B$999,SMALL(IF((Expenses!E$3:E$999="INR")*(Expenses!A$3:A$999=DATE(2026,9,13)),ROW(Expenses!A$3:A$999)-2),2)),"")&lt;&gt;"",IFERROR(INDEX(Expenses!B$3:B$999,SMALL(IF((Expenses!E$3:E$999="INR")*(Expenses!A$3:A$999=DATE(2026,9,13)),ROW(Expenses!A$3:A$999)-2),2)),""),IF(IFERROR(INDEX(Income!B$3:B$502,SMALL(IF((Income!D$3:D$502="INR")*(Income!A$3:A$502=DATE(2026,9,13)),ROW(Income!A$3:A$502)-2),2)),"")&lt;&gt;"",IFERROR(INDEX(Income!B$3:B$502,SMALL(IF((Income!D$3:D$502="INR")*(Income!A$3:A$502=DATE(2026,9,13)),ROW(Income!A$3:A$502)-2),2)),""),""))</f>
        <v/>
      </c>
      <c r="Q185" s="9" t="n"/>
      <c r="R185" s="9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68">
      <c r="A186" s="9" t="n"/>
      <c r="B186" s="9" t="n"/>
      <c r="C186" s="153">
        <f t="array" ref="C186">IF(IFERROR(-INDEX(Expenses!D$3:D$999,SMALL(IF((Expenses!E$3:E$999="INR")*(Expenses!A$3:A$999=DATE(2026,9,7)),ROW(Expenses!A$3:A$999)-2),3)),0)+IFERROR(INDEX(Income!C$3:C$502,SMALL(IF((Income!D$3:D$502="INR")*(Income!A$3:A$502=DATE(2026,9,7)),ROW(Income!A$3:A$502)-2),3)),0)=0,"",IFERROR(-INDEX(Expenses!D$3:D$999,SMALL(IF((Expenses!E$3:E$999="INR")*(Expenses!A$3:A$999=DATE(2026,9,7)),ROW(Expenses!A$3:A$999)-2),3)),0)+IFERROR(INDEX(Income!C$3:C$502,SMALL(IF((Income!D$3:D$502="INR")*(Income!A$3:A$502=DATE(2026,9,7)),ROW(Income!A$3:A$502)-2),3)),0))</f>
        <v/>
      </c>
      <c r="D186" s="126">
        <f t="array" ref="D186">IF(IFERROR(INDEX(Expenses!B$3:B$999,SMALL(IF((Expenses!E$3:E$999="INR")*(Expenses!A$3:A$999=DATE(2026,9,7)),ROW(Expenses!A$3:A$999)-2),3)),"")&lt;&gt;"",IFERROR(INDEX(Expenses!B$3:B$999,SMALL(IF((Expenses!E$3:E$999="INR")*(Expenses!A$3:A$999=DATE(2026,9,7)),ROW(Expenses!A$3:A$999)-2),3)),""),IF(IFERROR(INDEX(Income!B$3:B$502,SMALL(IF((Income!D$3:D$502="INR")*(Income!A$3:A$502=DATE(2026,9,7)),ROW(Income!A$3:A$502)-2),3)),"")&lt;&gt;"",IFERROR(INDEX(Income!B$3:B$502,SMALL(IF((Income!D$3:D$502="INR")*(Income!A$3:A$502=DATE(2026,9,7)),ROW(Income!A$3:A$502)-2),3)),""),""))</f>
        <v/>
      </c>
      <c r="E186" s="153">
        <f t="array" ref="E186">IF(IFERROR(-INDEX(Expenses!D$3:D$999,SMALL(IF((Expenses!E$3:E$999="INR")*(Expenses!A$3:A$999=DATE(2026,9,8)),ROW(Expenses!A$3:A$999)-2),3)),0)+IFERROR(INDEX(Income!C$3:C$502,SMALL(IF((Income!D$3:D$502="INR")*(Income!A$3:A$502=DATE(2026,9,8)),ROW(Income!A$3:A$502)-2),3)),0)=0,"",IFERROR(-INDEX(Expenses!D$3:D$999,SMALL(IF((Expenses!E$3:E$999="INR")*(Expenses!A$3:A$999=DATE(2026,9,8)),ROW(Expenses!A$3:A$999)-2),3)),0)+IFERROR(INDEX(Income!C$3:C$502,SMALL(IF((Income!D$3:D$502="INR")*(Income!A$3:A$502=DATE(2026,9,8)),ROW(Income!A$3:A$502)-2),3)),0))</f>
        <v/>
      </c>
      <c r="F186" s="126">
        <f t="array" ref="F186">IF(IFERROR(INDEX(Expenses!B$3:B$999,SMALL(IF((Expenses!E$3:E$999="INR")*(Expenses!A$3:A$999=DATE(2026,9,8)),ROW(Expenses!A$3:A$999)-2),3)),"")&lt;&gt;"",IFERROR(INDEX(Expenses!B$3:B$999,SMALL(IF((Expenses!E$3:E$999="INR")*(Expenses!A$3:A$999=DATE(2026,9,8)),ROW(Expenses!A$3:A$999)-2),3)),""),IF(IFERROR(INDEX(Income!B$3:B$502,SMALL(IF((Income!D$3:D$502="INR")*(Income!A$3:A$502=DATE(2026,9,8)),ROW(Income!A$3:A$502)-2),3)),"")&lt;&gt;"",IFERROR(INDEX(Income!B$3:B$502,SMALL(IF((Income!D$3:D$502="INR")*(Income!A$3:A$502=DATE(2026,9,8)),ROW(Income!A$3:A$502)-2),3)),""),""))</f>
        <v/>
      </c>
      <c r="G186" s="153">
        <f t="array" ref="G186">IF(IFERROR(-INDEX(Expenses!D$3:D$999,SMALL(IF((Expenses!E$3:E$999="INR")*(Expenses!A$3:A$999=DATE(2026,9,9)),ROW(Expenses!A$3:A$999)-2),3)),0)+IFERROR(INDEX(Income!C$3:C$502,SMALL(IF((Income!D$3:D$502="INR")*(Income!A$3:A$502=DATE(2026,9,9)),ROW(Income!A$3:A$502)-2),3)),0)=0,"",IFERROR(-INDEX(Expenses!D$3:D$999,SMALL(IF((Expenses!E$3:E$999="INR")*(Expenses!A$3:A$999=DATE(2026,9,9)),ROW(Expenses!A$3:A$999)-2),3)),0)+IFERROR(INDEX(Income!C$3:C$502,SMALL(IF((Income!D$3:D$502="INR")*(Income!A$3:A$502=DATE(2026,9,9)),ROW(Income!A$3:A$502)-2),3)),0))</f>
        <v/>
      </c>
      <c r="H186" s="126">
        <f t="array" ref="H186">IF(IFERROR(INDEX(Expenses!B$3:B$999,SMALL(IF((Expenses!E$3:E$999="INR")*(Expenses!A$3:A$999=DATE(2026,9,9)),ROW(Expenses!A$3:A$999)-2),3)),"")&lt;&gt;"",IFERROR(INDEX(Expenses!B$3:B$999,SMALL(IF((Expenses!E$3:E$999="INR")*(Expenses!A$3:A$999=DATE(2026,9,9)),ROW(Expenses!A$3:A$999)-2),3)),""),IF(IFERROR(INDEX(Income!B$3:B$502,SMALL(IF((Income!D$3:D$502="INR")*(Income!A$3:A$502=DATE(2026,9,9)),ROW(Income!A$3:A$502)-2),3)),"")&lt;&gt;"",IFERROR(INDEX(Income!B$3:B$502,SMALL(IF((Income!D$3:D$502="INR")*(Income!A$3:A$502=DATE(2026,9,9)),ROW(Income!A$3:A$502)-2),3)),""),""))</f>
        <v/>
      </c>
      <c r="I186" s="153">
        <f t="array" ref="I186">IF(IFERROR(-INDEX(Expenses!D$3:D$999,SMALL(IF((Expenses!E$3:E$999="INR")*(Expenses!A$3:A$999=DATE(2026,9,10)),ROW(Expenses!A$3:A$999)-2),3)),0)+IFERROR(INDEX(Income!C$3:C$502,SMALL(IF((Income!D$3:D$502="INR")*(Income!A$3:A$502=DATE(2026,9,10)),ROW(Income!A$3:A$502)-2),3)),0)=0,"",IFERROR(-INDEX(Expenses!D$3:D$999,SMALL(IF((Expenses!E$3:E$999="INR")*(Expenses!A$3:A$999=DATE(2026,9,10)),ROW(Expenses!A$3:A$999)-2),3)),0)+IFERROR(INDEX(Income!C$3:C$502,SMALL(IF((Income!D$3:D$502="INR")*(Income!A$3:A$502=DATE(2026,9,10)),ROW(Income!A$3:A$502)-2),3)),0))</f>
        <v/>
      </c>
      <c r="J186" s="126">
        <f t="array" ref="J186">IF(IFERROR(INDEX(Expenses!B$3:B$999,SMALL(IF((Expenses!E$3:E$999="INR")*(Expenses!A$3:A$999=DATE(2026,9,10)),ROW(Expenses!A$3:A$999)-2),3)),"")&lt;&gt;"",IFERROR(INDEX(Expenses!B$3:B$999,SMALL(IF((Expenses!E$3:E$999="INR")*(Expenses!A$3:A$999=DATE(2026,9,10)),ROW(Expenses!A$3:A$999)-2),3)),""),IF(IFERROR(INDEX(Income!B$3:B$502,SMALL(IF((Income!D$3:D$502="INR")*(Income!A$3:A$502=DATE(2026,9,10)),ROW(Income!A$3:A$502)-2),3)),"")&lt;&gt;"",IFERROR(INDEX(Income!B$3:B$502,SMALL(IF((Income!D$3:D$502="INR")*(Income!A$3:A$502=DATE(2026,9,10)),ROW(Income!A$3:A$502)-2),3)),""),""))</f>
        <v/>
      </c>
      <c r="K186" s="153">
        <f t="array" ref="K186">IF(IFERROR(-INDEX(Expenses!D$3:D$999,SMALL(IF((Expenses!E$3:E$999="INR")*(Expenses!A$3:A$999=DATE(2026,9,11)),ROW(Expenses!A$3:A$999)-2),3)),0)+IFERROR(INDEX(Income!C$3:C$502,SMALL(IF((Income!D$3:D$502="INR")*(Income!A$3:A$502=DATE(2026,9,11)),ROW(Income!A$3:A$502)-2),3)),0)=0,"",IFERROR(-INDEX(Expenses!D$3:D$999,SMALL(IF((Expenses!E$3:E$999="INR")*(Expenses!A$3:A$999=DATE(2026,9,11)),ROW(Expenses!A$3:A$999)-2),3)),0)+IFERROR(INDEX(Income!C$3:C$502,SMALL(IF((Income!D$3:D$502="INR")*(Income!A$3:A$502=DATE(2026,9,11)),ROW(Income!A$3:A$502)-2),3)),0))</f>
        <v/>
      </c>
      <c r="L186" s="126">
        <f t="array" ref="L186">IF(IFERROR(INDEX(Expenses!B$3:B$999,SMALL(IF((Expenses!E$3:E$999="INR")*(Expenses!A$3:A$999=DATE(2026,9,11)),ROW(Expenses!A$3:A$999)-2),3)),"")&lt;&gt;"",IFERROR(INDEX(Expenses!B$3:B$999,SMALL(IF((Expenses!E$3:E$999="INR")*(Expenses!A$3:A$999=DATE(2026,9,11)),ROW(Expenses!A$3:A$999)-2),3)),""),IF(IFERROR(INDEX(Income!B$3:B$502,SMALL(IF((Income!D$3:D$502="INR")*(Income!A$3:A$502=DATE(2026,9,11)),ROW(Income!A$3:A$502)-2),3)),"")&lt;&gt;"",IFERROR(INDEX(Income!B$3:B$502,SMALL(IF((Income!D$3:D$502="INR")*(Income!A$3:A$502=DATE(2026,9,11)),ROW(Income!A$3:A$502)-2),3)),""),""))</f>
        <v/>
      </c>
      <c r="M186" s="153">
        <f t="array" ref="M186">IF(IFERROR(-INDEX(Expenses!D$3:D$999,SMALL(IF((Expenses!E$3:E$999="INR")*(Expenses!A$3:A$999=DATE(2026,9,12)),ROW(Expenses!A$3:A$999)-2),3)),0)+IFERROR(INDEX(Income!C$3:C$502,SMALL(IF((Income!D$3:D$502="INR")*(Income!A$3:A$502=DATE(2026,9,12)),ROW(Income!A$3:A$502)-2),3)),0)=0,"",IFERROR(-INDEX(Expenses!D$3:D$999,SMALL(IF((Expenses!E$3:E$999="INR")*(Expenses!A$3:A$999=DATE(2026,9,12)),ROW(Expenses!A$3:A$999)-2),3)),0)+IFERROR(INDEX(Income!C$3:C$502,SMALL(IF((Income!D$3:D$502="INR")*(Income!A$3:A$502=DATE(2026,9,12)),ROW(Income!A$3:A$502)-2),3)),0))</f>
        <v/>
      </c>
      <c r="N186" s="126">
        <f t="array" ref="N186">IF(IFERROR(INDEX(Expenses!B$3:B$999,SMALL(IF((Expenses!E$3:E$999="INR")*(Expenses!A$3:A$999=DATE(2026,9,12)),ROW(Expenses!A$3:A$999)-2),3)),"")&lt;&gt;"",IFERROR(INDEX(Expenses!B$3:B$999,SMALL(IF((Expenses!E$3:E$999="INR")*(Expenses!A$3:A$999=DATE(2026,9,12)),ROW(Expenses!A$3:A$999)-2),3)),""),IF(IFERROR(INDEX(Income!B$3:B$502,SMALL(IF((Income!D$3:D$502="INR")*(Income!A$3:A$502=DATE(2026,9,12)),ROW(Income!A$3:A$502)-2),3)),"")&lt;&gt;"",IFERROR(INDEX(Income!B$3:B$502,SMALL(IF((Income!D$3:D$502="INR")*(Income!A$3:A$502=DATE(2026,9,12)),ROW(Income!A$3:A$502)-2),3)),""),""))</f>
        <v/>
      </c>
      <c r="O186" s="153">
        <f t="array" ref="O186">IF(IFERROR(-INDEX(Expenses!D$3:D$999,SMALL(IF((Expenses!E$3:E$999="INR")*(Expenses!A$3:A$999=DATE(2026,9,13)),ROW(Expenses!A$3:A$999)-2),3)),0)+IFERROR(INDEX(Income!C$3:C$502,SMALL(IF((Income!D$3:D$502="INR")*(Income!A$3:A$502=DATE(2026,9,13)),ROW(Income!A$3:A$502)-2),3)),0)=0,"",IFERROR(-INDEX(Expenses!D$3:D$999,SMALL(IF((Expenses!E$3:E$999="INR")*(Expenses!A$3:A$999=DATE(2026,9,13)),ROW(Expenses!A$3:A$999)-2),3)),0)+IFERROR(INDEX(Income!C$3:C$502,SMALL(IF((Income!D$3:D$502="INR")*(Income!A$3:A$502=DATE(2026,9,13)),ROW(Income!A$3:A$502)-2),3)),0))</f>
        <v/>
      </c>
      <c r="P186" s="126">
        <f t="array" ref="P186">IF(IFERROR(INDEX(Expenses!B$3:B$999,SMALL(IF((Expenses!E$3:E$999="INR")*(Expenses!A$3:A$999=DATE(2026,9,13)),ROW(Expenses!A$3:A$999)-2),3)),"")&lt;&gt;"",IFERROR(INDEX(Expenses!B$3:B$999,SMALL(IF((Expenses!E$3:E$999="INR")*(Expenses!A$3:A$999=DATE(2026,9,13)),ROW(Expenses!A$3:A$999)-2),3)),""),IF(IFERROR(INDEX(Income!B$3:B$502,SMALL(IF((Income!D$3:D$502="INR")*(Income!A$3:A$502=DATE(2026,9,13)),ROW(Income!A$3:A$502)-2),3)),"")&lt;&gt;"",IFERROR(INDEX(Income!B$3:B$502,SMALL(IF((Income!D$3:D$502="INR")*(Income!A$3:A$502=DATE(2026,9,13)),ROW(Income!A$3:A$502)-2),3)),""),""))</f>
        <v/>
      </c>
      <c r="Q186" s="9" t="n"/>
      <c r="R186" s="9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68">
      <c r="A187" s="9" t="n"/>
      <c r="B187" s="9" t="n"/>
      <c r="C187" s="153">
        <f t="array" ref="C187">IF(IFERROR(-INDEX(Expenses!D$3:D$999,SMALL(IF((Expenses!E$3:E$999="INR")*(Expenses!A$3:A$999=DATE(2026,9,7)),ROW(Expenses!A$3:A$999)-2),4)),0)+IFERROR(INDEX(Income!C$3:C$502,SMALL(IF((Income!D$3:D$502="INR")*(Income!A$3:A$502=DATE(2026,9,7)),ROW(Income!A$3:A$502)-2),4)),0)=0,"",IFERROR(-INDEX(Expenses!D$3:D$999,SMALL(IF((Expenses!E$3:E$999="INR")*(Expenses!A$3:A$999=DATE(2026,9,7)),ROW(Expenses!A$3:A$999)-2),4)),0)+IFERROR(INDEX(Income!C$3:C$502,SMALL(IF((Income!D$3:D$502="INR")*(Income!A$3:A$502=DATE(2026,9,7)),ROW(Income!A$3:A$502)-2),4)),0))</f>
        <v/>
      </c>
      <c r="D187" s="126">
        <f t="array" ref="D187">IF(IFERROR(INDEX(Expenses!B$3:B$999,SMALL(IF((Expenses!E$3:E$999="INR")*(Expenses!A$3:A$999=DATE(2026,9,7)),ROW(Expenses!A$3:A$999)-2),4)),"")&lt;&gt;"",IFERROR(INDEX(Expenses!B$3:B$999,SMALL(IF((Expenses!E$3:E$999="INR")*(Expenses!A$3:A$999=DATE(2026,9,7)),ROW(Expenses!A$3:A$999)-2),4)),""),IF(IFERROR(INDEX(Income!B$3:B$502,SMALL(IF((Income!D$3:D$502="INR")*(Income!A$3:A$502=DATE(2026,9,7)),ROW(Income!A$3:A$502)-2),4)),"")&lt;&gt;"",IFERROR(INDEX(Income!B$3:B$502,SMALL(IF((Income!D$3:D$502="INR")*(Income!A$3:A$502=DATE(2026,9,7)),ROW(Income!A$3:A$502)-2),4)),""),""))</f>
        <v/>
      </c>
      <c r="E187" s="153">
        <f t="array" ref="E187">IF(IFERROR(-INDEX(Expenses!D$3:D$999,SMALL(IF((Expenses!E$3:E$999="INR")*(Expenses!A$3:A$999=DATE(2026,9,8)),ROW(Expenses!A$3:A$999)-2),4)),0)+IFERROR(INDEX(Income!C$3:C$502,SMALL(IF((Income!D$3:D$502="INR")*(Income!A$3:A$502=DATE(2026,9,8)),ROW(Income!A$3:A$502)-2),4)),0)=0,"",IFERROR(-INDEX(Expenses!D$3:D$999,SMALL(IF((Expenses!E$3:E$999="INR")*(Expenses!A$3:A$999=DATE(2026,9,8)),ROW(Expenses!A$3:A$999)-2),4)),0)+IFERROR(INDEX(Income!C$3:C$502,SMALL(IF((Income!D$3:D$502="INR")*(Income!A$3:A$502=DATE(2026,9,8)),ROW(Income!A$3:A$502)-2),4)),0))</f>
        <v/>
      </c>
      <c r="F187" s="126">
        <f t="array" ref="F187">IF(IFERROR(INDEX(Expenses!B$3:B$999,SMALL(IF((Expenses!E$3:E$999="INR")*(Expenses!A$3:A$999=DATE(2026,9,8)),ROW(Expenses!A$3:A$999)-2),4)),"")&lt;&gt;"",IFERROR(INDEX(Expenses!B$3:B$999,SMALL(IF((Expenses!E$3:E$999="INR")*(Expenses!A$3:A$999=DATE(2026,9,8)),ROW(Expenses!A$3:A$999)-2),4)),""),IF(IFERROR(INDEX(Income!B$3:B$502,SMALL(IF((Income!D$3:D$502="INR")*(Income!A$3:A$502=DATE(2026,9,8)),ROW(Income!A$3:A$502)-2),4)),"")&lt;&gt;"",IFERROR(INDEX(Income!B$3:B$502,SMALL(IF((Income!D$3:D$502="INR")*(Income!A$3:A$502=DATE(2026,9,8)),ROW(Income!A$3:A$502)-2),4)),""),""))</f>
        <v/>
      </c>
      <c r="G187" s="153">
        <f t="array" ref="G187">IF(IFERROR(-INDEX(Expenses!D$3:D$999,SMALL(IF((Expenses!E$3:E$999="INR")*(Expenses!A$3:A$999=DATE(2026,9,9)),ROW(Expenses!A$3:A$999)-2),4)),0)+IFERROR(INDEX(Income!C$3:C$502,SMALL(IF((Income!D$3:D$502="INR")*(Income!A$3:A$502=DATE(2026,9,9)),ROW(Income!A$3:A$502)-2),4)),0)=0,"",IFERROR(-INDEX(Expenses!D$3:D$999,SMALL(IF((Expenses!E$3:E$999="INR")*(Expenses!A$3:A$999=DATE(2026,9,9)),ROW(Expenses!A$3:A$999)-2),4)),0)+IFERROR(INDEX(Income!C$3:C$502,SMALL(IF((Income!D$3:D$502="INR")*(Income!A$3:A$502=DATE(2026,9,9)),ROW(Income!A$3:A$502)-2),4)),0))</f>
        <v/>
      </c>
      <c r="H187" s="126">
        <f t="array" ref="H187">IF(IFERROR(INDEX(Expenses!B$3:B$999,SMALL(IF((Expenses!E$3:E$999="INR")*(Expenses!A$3:A$999=DATE(2026,9,9)),ROW(Expenses!A$3:A$999)-2),4)),"")&lt;&gt;"",IFERROR(INDEX(Expenses!B$3:B$999,SMALL(IF((Expenses!E$3:E$999="INR")*(Expenses!A$3:A$999=DATE(2026,9,9)),ROW(Expenses!A$3:A$999)-2),4)),""),IF(IFERROR(INDEX(Income!B$3:B$502,SMALL(IF((Income!D$3:D$502="INR")*(Income!A$3:A$502=DATE(2026,9,9)),ROW(Income!A$3:A$502)-2),4)),"")&lt;&gt;"",IFERROR(INDEX(Income!B$3:B$502,SMALL(IF((Income!D$3:D$502="INR")*(Income!A$3:A$502=DATE(2026,9,9)),ROW(Income!A$3:A$502)-2),4)),""),""))</f>
        <v/>
      </c>
      <c r="I187" s="153">
        <f t="array" ref="I187">IF(IFERROR(-INDEX(Expenses!D$3:D$999,SMALL(IF((Expenses!E$3:E$999="INR")*(Expenses!A$3:A$999=DATE(2026,9,10)),ROW(Expenses!A$3:A$999)-2),4)),0)+IFERROR(INDEX(Income!C$3:C$502,SMALL(IF((Income!D$3:D$502="INR")*(Income!A$3:A$502=DATE(2026,9,10)),ROW(Income!A$3:A$502)-2),4)),0)=0,"",IFERROR(-INDEX(Expenses!D$3:D$999,SMALL(IF((Expenses!E$3:E$999="INR")*(Expenses!A$3:A$999=DATE(2026,9,10)),ROW(Expenses!A$3:A$999)-2),4)),0)+IFERROR(INDEX(Income!C$3:C$502,SMALL(IF((Income!D$3:D$502="INR")*(Income!A$3:A$502=DATE(2026,9,10)),ROW(Income!A$3:A$502)-2),4)),0))</f>
        <v/>
      </c>
      <c r="J187" s="126">
        <f t="array" ref="J187">IF(IFERROR(INDEX(Expenses!B$3:B$999,SMALL(IF((Expenses!E$3:E$999="INR")*(Expenses!A$3:A$999=DATE(2026,9,10)),ROW(Expenses!A$3:A$999)-2),4)),"")&lt;&gt;"",IFERROR(INDEX(Expenses!B$3:B$999,SMALL(IF((Expenses!E$3:E$999="INR")*(Expenses!A$3:A$999=DATE(2026,9,10)),ROW(Expenses!A$3:A$999)-2),4)),""),IF(IFERROR(INDEX(Income!B$3:B$502,SMALL(IF((Income!D$3:D$502="INR")*(Income!A$3:A$502=DATE(2026,9,10)),ROW(Income!A$3:A$502)-2),4)),"")&lt;&gt;"",IFERROR(INDEX(Income!B$3:B$502,SMALL(IF((Income!D$3:D$502="INR")*(Income!A$3:A$502=DATE(2026,9,10)),ROW(Income!A$3:A$502)-2),4)),""),""))</f>
        <v/>
      </c>
      <c r="K187" s="153">
        <f t="array" ref="K187">IF(IFERROR(-INDEX(Expenses!D$3:D$999,SMALL(IF((Expenses!E$3:E$999="INR")*(Expenses!A$3:A$999=DATE(2026,9,11)),ROW(Expenses!A$3:A$999)-2),4)),0)+IFERROR(INDEX(Income!C$3:C$502,SMALL(IF((Income!D$3:D$502="INR")*(Income!A$3:A$502=DATE(2026,9,11)),ROW(Income!A$3:A$502)-2),4)),0)=0,"",IFERROR(-INDEX(Expenses!D$3:D$999,SMALL(IF((Expenses!E$3:E$999="INR")*(Expenses!A$3:A$999=DATE(2026,9,11)),ROW(Expenses!A$3:A$999)-2),4)),0)+IFERROR(INDEX(Income!C$3:C$502,SMALL(IF((Income!D$3:D$502="INR")*(Income!A$3:A$502=DATE(2026,9,11)),ROW(Income!A$3:A$502)-2),4)),0))</f>
        <v/>
      </c>
      <c r="L187" s="126">
        <f t="array" ref="L187">IF(IFERROR(INDEX(Expenses!B$3:B$999,SMALL(IF((Expenses!E$3:E$999="INR")*(Expenses!A$3:A$999=DATE(2026,9,11)),ROW(Expenses!A$3:A$999)-2),4)),"")&lt;&gt;"",IFERROR(INDEX(Expenses!B$3:B$999,SMALL(IF((Expenses!E$3:E$999="INR")*(Expenses!A$3:A$999=DATE(2026,9,11)),ROW(Expenses!A$3:A$999)-2),4)),""),IF(IFERROR(INDEX(Income!B$3:B$502,SMALL(IF((Income!D$3:D$502="INR")*(Income!A$3:A$502=DATE(2026,9,11)),ROW(Income!A$3:A$502)-2),4)),"")&lt;&gt;"",IFERROR(INDEX(Income!B$3:B$502,SMALL(IF((Income!D$3:D$502="INR")*(Income!A$3:A$502=DATE(2026,9,11)),ROW(Income!A$3:A$502)-2),4)),""),""))</f>
        <v/>
      </c>
      <c r="M187" s="153">
        <f t="array" ref="M187">IF(IFERROR(-INDEX(Expenses!D$3:D$999,SMALL(IF((Expenses!E$3:E$999="INR")*(Expenses!A$3:A$999=DATE(2026,9,12)),ROW(Expenses!A$3:A$999)-2),4)),0)+IFERROR(INDEX(Income!C$3:C$502,SMALL(IF((Income!D$3:D$502="INR")*(Income!A$3:A$502=DATE(2026,9,12)),ROW(Income!A$3:A$502)-2),4)),0)=0,"",IFERROR(-INDEX(Expenses!D$3:D$999,SMALL(IF((Expenses!E$3:E$999="INR")*(Expenses!A$3:A$999=DATE(2026,9,12)),ROW(Expenses!A$3:A$999)-2),4)),0)+IFERROR(INDEX(Income!C$3:C$502,SMALL(IF((Income!D$3:D$502="INR")*(Income!A$3:A$502=DATE(2026,9,12)),ROW(Income!A$3:A$502)-2),4)),0))</f>
        <v/>
      </c>
      <c r="N187" s="126">
        <f t="array" ref="N187">IF(IFERROR(INDEX(Expenses!B$3:B$999,SMALL(IF((Expenses!E$3:E$999="INR")*(Expenses!A$3:A$999=DATE(2026,9,12)),ROW(Expenses!A$3:A$999)-2),4)),"")&lt;&gt;"",IFERROR(INDEX(Expenses!B$3:B$999,SMALL(IF((Expenses!E$3:E$999="INR")*(Expenses!A$3:A$999=DATE(2026,9,12)),ROW(Expenses!A$3:A$999)-2),4)),""),IF(IFERROR(INDEX(Income!B$3:B$502,SMALL(IF((Income!D$3:D$502="INR")*(Income!A$3:A$502=DATE(2026,9,12)),ROW(Income!A$3:A$502)-2),4)),"")&lt;&gt;"",IFERROR(INDEX(Income!B$3:B$502,SMALL(IF((Income!D$3:D$502="INR")*(Income!A$3:A$502=DATE(2026,9,12)),ROW(Income!A$3:A$502)-2),4)),""),""))</f>
        <v/>
      </c>
      <c r="O187" s="153">
        <f t="array" ref="O187">IF(IFERROR(-INDEX(Expenses!D$3:D$999,SMALL(IF((Expenses!E$3:E$999="INR")*(Expenses!A$3:A$999=DATE(2026,9,13)),ROW(Expenses!A$3:A$999)-2),4)),0)+IFERROR(INDEX(Income!C$3:C$502,SMALL(IF((Income!D$3:D$502="INR")*(Income!A$3:A$502=DATE(2026,9,13)),ROW(Income!A$3:A$502)-2),4)),0)=0,"",IFERROR(-INDEX(Expenses!D$3:D$999,SMALL(IF((Expenses!E$3:E$999="INR")*(Expenses!A$3:A$999=DATE(2026,9,13)),ROW(Expenses!A$3:A$999)-2),4)),0)+IFERROR(INDEX(Income!C$3:C$502,SMALL(IF((Income!D$3:D$502="INR")*(Income!A$3:A$502=DATE(2026,9,13)),ROW(Income!A$3:A$502)-2),4)),0))</f>
        <v/>
      </c>
      <c r="P187" s="126">
        <f t="array" ref="P187">IF(IFERROR(INDEX(Expenses!B$3:B$999,SMALL(IF((Expenses!E$3:E$999="INR")*(Expenses!A$3:A$999=DATE(2026,9,13)),ROW(Expenses!A$3:A$999)-2),4)),"")&lt;&gt;"",IFERROR(INDEX(Expenses!B$3:B$999,SMALL(IF((Expenses!E$3:E$999="INR")*(Expenses!A$3:A$999=DATE(2026,9,13)),ROW(Expenses!A$3:A$999)-2),4)),""),IF(IFERROR(INDEX(Income!B$3:B$502,SMALL(IF((Income!D$3:D$502="INR")*(Income!A$3:A$502=DATE(2026,9,13)),ROW(Income!A$3:A$502)-2),4)),"")&lt;&gt;"",IFERROR(INDEX(Income!B$3:B$502,SMALL(IF((Income!D$3:D$502="INR")*(Income!A$3:A$502=DATE(2026,9,13)),ROW(Income!A$3:A$502)-2),4)),""),""))</f>
        <v/>
      </c>
      <c r="Q187" s="9" t="n"/>
      <c r="R187" s="9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68">
      <c r="A188" s="9" t="n"/>
      <c r="B188" s="9" t="n"/>
      <c r="C188" s="153">
        <f t="array" ref="C188">IF(IFERROR(-INDEX(Expenses!D$3:D$999,SMALL(IF((Expenses!E$3:E$999="INR")*(Expenses!A$3:A$999=DATE(2026,9,7)),ROW(Expenses!A$3:A$999)-2),5)),0)+IFERROR(INDEX(Income!C$3:C$502,SMALL(IF((Income!D$3:D$502="INR")*(Income!A$3:A$502=DATE(2026,9,7)),ROW(Income!A$3:A$502)-2),5)),0)=0,"",IFERROR(-INDEX(Expenses!D$3:D$999,SMALL(IF((Expenses!E$3:E$999="INR")*(Expenses!A$3:A$999=DATE(2026,9,7)),ROW(Expenses!A$3:A$999)-2),5)),0)+IFERROR(INDEX(Income!C$3:C$502,SMALL(IF((Income!D$3:D$502="INR")*(Income!A$3:A$502=DATE(2026,9,7)),ROW(Income!A$3:A$502)-2),5)),0))</f>
        <v/>
      </c>
      <c r="D188" s="126">
        <f t="array" ref="D188">IF(IFERROR(INDEX(Expenses!B$3:B$999,SMALL(IF((Expenses!E$3:E$999="INR")*(Expenses!A$3:A$999=DATE(2026,9,7)),ROW(Expenses!A$3:A$999)-2),5)),"")&lt;&gt;"",IFERROR(INDEX(Expenses!B$3:B$999,SMALL(IF((Expenses!E$3:E$999="INR")*(Expenses!A$3:A$999=DATE(2026,9,7)),ROW(Expenses!A$3:A$999)-2),5)),""),IF(IFERROR(INDEX(Income!B$3:B$502,SMALL(IF((Income!D$3:D$502="INR")*(Income!A$3:A$502=DATE(2026,9,7)),ROW(Income!A$3:A$502)-2),5)),"")&lt;&gt;"",IFERROR(INDEX(Income!B$3:B$502,SMALL(IF((Income!D$3:D$502="INR")*(Income!A$3:A$502=DATE(2026,9,7)),ROW(Income!A$3:A$502)-2),5)),""),""))</f>
        <v/>
      </c>
      <c r="E188" s="153">
        <f t="array" ref="E188">IF(IFERROR(-INDEX(Expenses!D$3:D$999,SMALL(IF((Expenses!E$3:E$999="INR")*(Expenses!A$3:A$999=DATE(2026,9,8)),ROW(Expenses!A$3:A$999)-2),5)),0)+IFERROR(INDEX(Income!C$3:C$502,SMALL(IF((Income!D$3:D$502="INR")*(Income!A$3:A$502=DATE(2026,9,8)),ROW(Income!A$3:A$502)-2),5)),0)=0,"",IFERROR(-INDEX(Expenses!D$3:D$999,SMALL(IF((Expenses!E$3:E$999="INR")*(Expenses!A$3:A$999=DATE(2026,9,8)),ROW(Expenses!A$3:A$999)-2),5)),0)+IFERROR(INDEX(Income!C$3:C$502,SMALL(IF((Income!D$3:D$502="INR")*(Income!A$3:A$502=DATE(2026,9,8)),ROW(Income!A$3:A$502)-2),5)),0))</f>
        <v/>
      </c>
      <c r="F188" s="126">
        <f t="array" ref="F188">IF(IFERROR(INDEX(Expenses!B$3:B$999,SMALL(IF((Expenses!E$3:E$999="INR")*(Expenses!A$3:A$999=DATE(2026,9,8)),ROW(Expenses!A$3:A$999)-2),5)),"")&lt;&gt;"",IFERROR(INDEX(Expenses!B$3:B$999,SMALL(IF((Expenses!E$3:E$999="INR")*(Expenses!A$3:A$999=DATE(2026,9,8)),ROW(Expenses!A$3:A$999)-2),5)),""),IF(IFERROR(INDEX(Income!B$3:B$502,SMALL(IF((Income!D$3:D$502="INR")*(Income!A$3:A$502=DATE(2026,9,8)),ROW(Income!A$3:A$502)-2),5)),"")&lt;&gt;"",IFERROR(INDEX(Income!B$3:B$502,SMALL(IF((Income!D$3:D$502="INR")*(Income!A$3:A$502=DATE(2026,9,8)),ROW(Income!A$3:A$502)-2),5)),""),""))</f>
        <v/>
      </c>
      <c r="G188" s="153">
        <f t="array" ref="G188">IF(IFERROR(-INDEX(Expenses!D$3:D$999,SMALL(IF((Expenses!E$3:E$999="INR")*(Expenses!A$3:A$999=DATE(2026,9,9)),ROW(Expenses!A$3:A$999)-2),5)),0)+IFERROR(INDEX(Income!C$3:C$502,SMALL(IF((Income!D$3:D$502="INR")*(Income!A$3:A$502=DATE(2026,9,9)),ROW(Income!A$3:A$502)-2),5)),0)=0,"",IFERROR(-INDEX(Expenses!D$3:D$999,SMALL(IF((Expenses!E$3:E$999="INR")*(Expenses!A$3:A$999=DATE(2026,9,9)),ROW(Expenses!A$3:A$999)-2),5)),0)+IFERROR(INDEX(Income!C$3:C$502,SMALL(IF((Income!D$3:D$502="INR")*(Income!A$3:A$502=DATE(2026,9,9)),ROW(Income!A$3:A$502)-2),5)),0))</f>
        <v/>
      </c>
      <c r="H188" s="126">
        <f t="array" ref="H188">IF(IFERROR(INDEX(Expenses!B$3:B$999,SMALL(IF((Expenses!E$3:E$999="INR")*(Expenses!A$3:A$999=DATE(2026,9,9)),ROW(Expenses!A$3:A$999)-2),5)),"")&lt;&gt;"",IFERROR(INDEX(Expenses!B$3:B$999,SMALL(IF((Expenses!E$3:E$999="INR")*(Expenses!A$3:A$999=DATE(2026,9,9)),ROW(Expenses!A$3:A$999)-2),5)),""),IF(IFERROR(INDEX(Income!B$3:B$502,SMALL(IF((Income!D$3:D$502="INR")*(Income!A$3:A$502=DATE(2026,9,9)),ROW(Income!A$3:A$502)-2),5)),"")&lt;&gt;"",IFERROR(INDEX(Income!B$3:B$502,SMALL(IF((Income!D$3:D$502="INR")*(Income!A$3:A$502=DATE(2026,9,9)),ROW(Income!A$3:A$502)-2),5)),""),""))</f>
        <v/>
      </c>
      <c r="I188" s="153">
        <f t="array" ref="I188">IF(IFERROR(-INDEX(Expenses!D$3:D$999,SMALL(IF((Expenses!E$3:E$999="INR")*(Expenses!A$3:A$999=DATE(2026,9,10)),ROW(Expenses!A$3:A$999)-2),5)),0)+IFERROR(INDEX(Income!C$3:C$502,SMALL(IF((Income!D$3:D$502="INR")*(Income!A$3:A$502=DATE(2026,9,10)),ROW(Income!A$3:A$502)-2),5)),0)=0,"",IFERROR(-INDEX(Expenses!D$3:D$999,SMALL(IF((Expenses!E$3:E$999="INR")*(Expenses!A$3:A$999=DATE(2026,9,10)),ROW(Expenses!A$3:A$999)-2),5)),0)+IFERROR(INDEX(Income!C$3:C$502,SMALL(IF((Income!D$3:D$502="INR")*(Income!A$3:A$502=DATE(2026,9,10)),ROW(Income!A$3:A$502)-2),5)),0))</f>
        <v/>
      </c>
      <c r="J188" s="126">
        <f t="array" ref="J188">IF(IFERROR(INDEX(Expenses!B$3:B$999,SMALL(IF((Expenses!E$3:E$999="INR")*(Expenses!A$3:A$999=DATE(2026,9,10)),ROW(Expenses!A$3:A$999)-2),5)),"")&lt;&gt;"",IFERROR(INDEX(Expenses!B$3:B$999,SMALL(IF((Expenses!E$3:E$999="INR")*(Expenses!A$3:A$999=DATE(2026,9,10)),ROW(Expenses!A$3:A$999)-2),5)),""),IF(IFERROR(INDEX(Income!B$3:B$502,SMALL(IF((Income!D$3:D$502="INR")*(Income!A$3:A$502=DATE(2026,9,10)),ROW(Income!A$3:A$502)-2),5)),"")&lt;&gt;"",IFERROR(INDEX(Income!B$3:B$502,SMALL(IF((Income!D$3:D$502="INR")*(Income!A$3:A$502=DATE(2026,9,10)),ROW(Income!A$3:A$502)-2),5)),""),""))</f>
        <v/>
      </c>
      <c r="K188" s="153">
        <f t="array" ref="K188">IF(IFERROR(-INDEX(Expenses!D$3:D$999,SMALL(IF((Expenses!E$3:E$999="INR")*(Expenses!A$3:A$999=DATE(2026,9,11)),ROW(Expenses!A$3:A$999)-2),5)),0)+IFERROR(INDEX(Income!C$3:C$502,SMALL(IF((Income!D$3:D$502="INR")*(Income!A$3:A$502=DATE(2026,9,11)),ROW(Income!A$3:A$502)-2),5)),0)=0,"",IFERROR(-INDEX(Expenses!D$3:D$999,SMALL(IF((Expenses!E$3:E$999="INR")*(Expenses!A$3:A$999=DATE(2026,9,11)),ROW(Expenses!A$3:A$999)-2),5)),0)+IFERROR(INDEX(Income!C$3:C$502,SMALL(IF((Income!D$3:D$502="INR")*(Income!A$3:A$502=DATE(2026,9,11)),ROW(Income!A$3:A$502)-2),5)),0))</f>
        <v/>
      </c>
      <c r="L188" s="126">
        <f t="array" ref="L188">IF(IFERROR(INDEX(Expenses!B$3:B$999,SMALL(IF((Expenses!E$3:E$999="INR")*(Expenses!A$3:A$999=DATE(2026,9,11)),ROW(Expenses!A$3:A$999)-2),5)),"")&lt;&gt;"",IFERROR(INDEX(Expenses!B$3:B$999,SMALL(IF((Expenses!E$3:E$999="INR")*(Expenses!A$3:A$999=DATE(2026,9,11)),ROW(Expenses!A$3:A$999)-2),5)),""),IF(IFERROR(INDEX(Income!B$3:B$502,SMALL(IF((Income!D$3:D$502="INR")*(Income!A$3:A$502=DATE(2026,9,11)),ROW(Income!A$3:A$502)-2),5)),"")&lt;&gt;"",IFERROR(INDEX(Income!B$3:B$502,SMALL(IF((Income!D$3:D$502="INR")*(Income!A$3:A$502=DATE(2026,9,11)),ROW(Income!A$3:A$502)-2),5)),""),""))</f>
        <v/>
      </c>
      <c r="M188" s="153">
        <f t="array" ref="M188">IF(IFERROR(-INDEX(Expenses!D$3:D$999,SMALL(IF((Expenses!E$3:E$999="INR")*(Expenses!A$3:A$999=DATE(2026,9,12)),ROW(Expenses!A$3:A$999)-2),5)),0)+IFERROR(INDEX(Income!C$3:C$502,SMALL(IF((Income!D$3:D$502="INR")*(Income!A$3:A$502=DATE(2026,9,12)),ROW(Income!A$3:A$502)-2),5)),0)=0,"",IFERROR(-INDEX(Expenses!D$3:D$999,SMALL(IF((Expenses!E$3:E$999="INR")*(Expenses!A$3:A$999=DATE(2026,9,12)),ROW(Expenses!A$3:A$999)-2),5)),0)+IFERROR(INDEX(Income!C$3:C$502,SMALL(IF((Income!D$3:D$502="INR")*(Income!A$3:A$502=DATE(2026,9,12)),ROW(Income!A$3:A$502)-2),5)),0))</f>
        <v/>
      </c>
      <c r="N188" s="126">
        <f t="array" ref="N188">IF(IFERROR(INDEX(Expenses!B$3:B$999,SMALL(IF((Expenses!E$3:E$999="INR")*(Expenses!A$3:A$999=DATE(2026,9,12)),ROW(Expenses!A$3:A$999)-2),5)),"")&lt;&gt;"",IFERROR(INDEX(Expenses!B$3:B$999,SMALL(IF((Expenses!E$3:E$999="INR")*(Expenses!A$3:A$999=DATE(2026,9,12)),ROW(Expenses!A$3:A$999)-2),5)),""),IF(IFERROR(INDEX(Income!B$3:B$502,SMALL(IF((Income!D$3:D$502="INR")*(Income!A$3:A$502=DATE(2026,9,12)),ROW(Income!A$3:A$502)-2),5)),"")&lt;&gt;"",IFERROR(INDEX(Income!B$3:B$502,SMALL(IF((Income!D$3:D$502="INR")*(Income!A$3:A$502=DATE(2026,9,12)),ROW(Income!A$3:A$502)-2),5)),""),""))</f>
        <v/>
      </c>
      <c r="O188" s="153">
        <f t="array" ref="O188">IF(IFERROR(-INDEX(Expenses!D$3:D$999,SMALL(IF((Expenses!E$3:E$999="INR")*(Expenses!A$3:A$999=DATE(2026,9,13)),ROW(Expenses!A$3:A$999)-2),5)),0)+IFERROR(INDEX(Income!C$3:C$502,SMALL(IF((Income!D$3:D$502="INR")*(Income!A$3:A$502=DATE(2026,9,13)),ROW(Income!A$3:A$502)-2),5)),0)=0,"",IFERROR(-INDEX(Expenses!D$3:D$999,SMALL(IF((Expenses!E$3:E$999="INR")*(Expenses!A$3:A$999=DATE(2026,9,13)),ROW(Expenses!A$3:A$999)-2),5)),0)+IFERROR(INDEX(Income!C$3:C$502,SMALL(IF((Income!D$3:D$502="INR")*(Income!A$3:A$502=DATE(2026,9,13)),ROW(Income!A$3:A$502)-2),5)),0))</f>
        <v/>
      </c>
      <c r="P188" s="126">
        <f t="array" ref="P188">IF(IFERROR(INDEX(Expenses!B$3:B$999,SMALL(IF((Expenses!E$3:E$999="INR")*(Expenses!A$3:A$999=DATE(2026,9,13)),ROW(Expenses!A$3:A$999)-2),5)),"")&lt;&gt;"",IFERROR(INDEX(Expenses!B$3:B$999,SMALL(IF((Expenses!E$3:E$999="INR")*(Expenses!A$3:A$999=DATE(2026,9,13)),ROW(Expenses!A$3:A$999)-2),5)),""),IF(IFERROR(INDEX(Income!B$3:B$502,SMALL(IF((Income!D$3:D$502="INR")*(Income!A$3:A$502=DATE(2026,9,13)),ROW(Income!A$3:A$502)-2),5)),"")&lt;&gt;"",IFERROR(INDEX(Income!B$3:B$502,SMALL(IF((Income!D$3:D$502="INR")*(Income!A$3:A$502=DATE(2026,9,13)),ROW(Income!A$3:A$502)-2),5)),""),""))</f>
        <v/>
      </c>
      <c r="Q188" s="9" t="n"/>
      <c r="R188" s="9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68">
      <c r="A189" s="151" t="n">
        <v>46279</v>
      </c>
      <c r="B189" s="103" t="n">
        <v>38</v>
      </c>
      <c r="C189" s="153">
        <f t="array" ref="C189">IF(IFERROR(-INDEX(Expenses!D$3:D$999,SMALL(IF((Expenses!E$3:E$999="INR")*(Expenses!A$3:A$999=DATE(2026,9,14)),ROW(Expenses!A$3:A$999)-2),1)),0)+IFERROR(INDEX(Income!C$3:C$502,SMALL(IF((Income!D$3:D$502="INR")*(Income!A$3:A$502=DATE(2026,9,14)),ROW(Income!A$3:A$502)-2),1)),0)=0,"",IFERROR(-INDEX(Expenses!D$3:D$999,SMALL(IF((Expenses!E$3:E$999="INR")*(Expenses!A$3:A$999=DATE(2026,9,14)),ROW(Expenses!A$3:A$999)-2),1)),0)+IFERROR(INDEX(Income!C$3:C$502,SMALL(IF((Income!D$3:D$502="INR")*(Income!A$3:A$502=DATE(2026,9,14)),ROW(Income!A$3:A$502)-2),1)),0))</f>
        <v/>
      </c>
      <c r="D189" s="126">
        <f t="array" ref="D189">IF(IFERROR(INDEX(Expenses!B$3:B$999,SMALL(IF((Expenses!E$3:E$999="INR")*(Expenses!A$3:A$999=DATE(2026,9,14)),ROW(Expenses!A$3:A$999)-2),1)),"")&lt;&gt;"",IFERROR(INDEX(Expenses!B$3:B$999,SMALL(IF((Expenses!E$3:E$999="INR")*(Expenses!A$3:A$999=DATE(2026,9,14)),ROW(Expenses!A$3:A$999)-2),1)),""),IF(IFERROR(INDEX(Income!B$3:B$502,SMALL(IF((Income!D$3:D$502="INR")*(Income!A$3:A$502=DATE(2026,9,14)),ROW(Income!A$3:A$502)-2),1)),"")&lt;&gt;"",IFERROR(INDEX(Income!B$3:B$502,SMALL(IF((Income!D$3:D$502="INR")*(Income!A$3:A$502=DATE(2026,9,14)),ROW(Income!A$3:A$502)-2),1)),""),""))</f>
        <v/>
      </c>
      <c r="E189" s="153">
        <f t="array" ref="E189">IF(IFERROR(-INDEX(Expenses!D$3:D$999,SMALL(IF((Expenses!E$3:E$999="INR")*(Expenses!A$3:A$999=DATE(2026,9,15)),ROW(Expenses!A$3:A$999)-2),1)),0)+IFERROR(INDEX(Income!C$3:C$502,SMALL(IF((Income!D$3:D$502="INR")*(Income!A$3:A$502=DATE(2026,9,15)),ROW(Income!A$3:A$502)-2),1)),0)=0,"",IFERROR(-INDEX(Expenses!D$3:D$999,SMALL(IF((Expenses!E$3:E$999="INR")*(Expenses!A$3:A$999=DATE(2026,9,15)),ROW(Expenses!A$3:A$999)-2),1)),0)+IFERROR(INDEX(Income!C$3:C$502,SMALL(IF((Income!D$3:D$502="INR")*(Income!A$3:A$502=DATE(2026,9,15)),ROW(Income!A$3:A$502)-2),1)),0))</f>
        <v/>
      </c>
      <c r="F189" s="126">
        <f t="array" ref="F189">IF(IFERROR(INDEX(Expenses!B$3:B$999,SMALL(IF((Expenses!E$3:E$999="INR")*(Expenses!A$3:A$999=DATE(2026,9,15)),ROW(Expenses!A$3:A$999)-2),1)),"")&lt;&gt;"",IFERROR(INDEX(Expenses!B$3:B$999,SMALL(IF((Expenses!E$3:E$999="INR")*(Expenses!A$3:A$999=DATE(2026,9,15)),ROW(Expenses!A$3:A$999)-2),1)),""),IF(IFERROR(INDEX(Income!B$3:B$502,SMALL(IF((Income!D$3:D$502="INR")*(Income!A$3:A$502=DATE(2026,9,15)),ROW(Income!A$3:A$502)-2),1)),"")&lt;&gt;"",IFERROR(INDEX(Income!B$3:B$502,SMALL(IF((Income!D$3:D$502="INR")*(Income!A$3:A$502=DATE(2026,9,15)),ROW(Income!A$3:A$502)-2),1)),""),""))</f>
        <v/>
      </c>
      <c r="G189" s="153">
        <f t="array" ref="G189">IF(IFERROR(-INDEX(Expenses!D$3:D$999,SMALL(IF((Expenses!E$3:E$999="INR")*(Expenses!A$3:A$999=DATE(2026,9,16)),ROW(Expenses!A$3:A$999)-2),1)),0)+IFERROR(INDEX(Income!C$3:C$502,SMALL(IF((Income!D$3:D$502="INR")*(Income!A$3:A$502=DATE(2026,9,16)),ROW(Income!A$3:A$502)-2),1)),0)=0,"",IFERROR(-INDEX(Expenses!D$3:D$999,SMALL(IF((Expenses!E$3:E$999="INR")*(Expenses!A$3:A$999=DATE(2026,9,16)),ROW(Expenses!A$3:A$999)-2),1)),0)+IFERROR(INDEX(Income!C$3:C$502,SMALL(IF((Income!D$3:D$502="INR")*(Income!A$3:A$502=DATE(2026,9,16)),ROW(Income!A$3:A$502)-2),1)),0))</f>
        <v/>
      </c>
      <c r="H189" s="126">
        <f t="array" ref="H189">IF(IFERROR(INDEX(Expenses!B$3:B$999,SMALL(IF((Expenses!E$3:E$999="INR")*(Expenses!A$3:A$999=DATE(2026,9,16)),ROW(Expenses!A$3:A$999)-2),1)),"")&lt;&gt;"",IFERROR(INDEX(Expenses!B$3:B$999,SMALL(IF((Expenses!E$3:E$999="INR")*(Expenses!A$3:A$999=DATE(2026,9,16)),ROW(Expenses!A$3:A$999)-2),1)),""),IF(IFERROR(INDEX(Income!B$3:B$502,SMALL(IF((Income!D$3:D$502="INR")*(Income!A$3:A$502=DATE(2026,9,16)),ROW(Income!A$3:A$502)-2),1)),"")&lt;&gt;"",IFERROR(INDEX(Income!B$3:B$502,SMALL(IF((Income!D$3:D$502="INR")*(Income!A$3:A$502=DATE(2026,9,16)),ROW(Income!A$3:A$502)-2),1)),""),""))</f>
        <v/>
      </c>
      <c r="I189" s="153">
        <f t="array" ref="I189">IF(IFERROR(-INDEX(Expenses!D$3:D$999,SMALL(IF((Expenses!E$3:E$999="INR")*(Expenses!A$3:A$999=DATE(2026,9,17)),ROW(Expenses!A$3:A$999)-2),1)),0)+IFERROR(INDEX(Income!C$3:C$502,SMALL(IF((Income!D$3:D$502="INR")*(Income!A$3:A$502=DATE(2026,9,17)),ROW(Income!A$3:A$502)-2),1)),0)=0,"",IFERROR(-INDEX(Expenses!D$3:D$999,SMALL(IF((Expenses!E$3:E$999="INR")*(Expenses!A$3:A$999=DATE(2026,9,17)),ROW(Expenses!A$3:A$999)-2),1)),0)+IFERROR(INDEX(Income!C$3:C$502,SMALL(IF((Income!D$3:D$502="INR")*(Income!A$3:A$502=DATE(2026,9,17)),ROW(Income!A$3:A$502)-2),1)),0))</f>
        <v/>
      </c>
      <c r="J189" s="126">
        <f t="array" ref="J189">IF(IFERROR(INDEX(Expenses!B$3:B$999,SMALL(IF((Expenses!E$3:E$999="INR")*(Expenses!A$3:A$999=DATE(2026,9,17)),ROW(Expenses!A$3:A$999)-2),1)),"")&lt;&gt;"",IFERROR(INDEX(Expenses!B$3:B$999,SMALL(IF((Expenses!E$3:E$999="INR")*(Expenses!A$3:A$999=DATE(2026,9,17)),ROW(Expenses!A$3:A$999)-2),1)),""),IF(IFERROR(INDEX(Income!B$3:B$502,SMALL(IF((Income!D$3:D$502="INR")*(Income!A$3:A$502=DATE(2026,9,17)),ROW(Income!A$3:A$502)-2),1)),"")&lt;&gt;"",IFERROR(INDEX(Income!B$3:B$502,SMALL(IF((Income!D$3:D$502="INR")*(Income!A$3:A$502=DATE(2026,9,17)),ROW(Income!A$3:A$502)-2),1)),""),""))</f>
        <v/>
      </c>
      <c r="K189" s="153">
        <f t="array" ref="K189">IF(IFERROR(-INDEX(Expenses!D$3:D$999,SMALL(IF((Expenses!E$3:E$999="INR")*(Expenses!A$3:A$999=DATE(2026,9,18)),ROW(Expenses!A$3:A$999)-2),1)),0)+IFERROR(INDEX(Income!C$3:C$502,SMALL(IF((Income!D$3:D$502="INR")*(Income!A$3:A$502=DATE(2026,9,18)),ROW(Income!A$3:A$502)-2),1)),0)=0,"",IFERROR(-INDEX(Expenses!D$3:D$999,SMALL(IF((Expenses!E$3:E$999="INR")*(Expenses!A$3:A$999=DATE(2026,9,18)),ROW(Expenses!A$3:A$999)-2),1)),0)+IFERROR(INDEX(Income!C$3:C$502,SMALL(IF((Income!D$3:D$502="INR")*(Income!A$3:A$502=DATE(2026,9,18)),ROW(Income!A$3:A$502)-2),1)),0))</f>
        <v/>
      </c>
      <c r="L189" s="126">
        <f t="array" ref="L189">IF(IFERROR(INDEX(Expenses!B$3:B$999,SMALL(IF((Expenses!E$3:E$999="INR")*(Expenses!A$3:A$999=DATE(2026,9,18)),ROW(Expenses!A$3:A$999)-2),1)),"")&lt;&gt;"",IFERROR(INDEX(Expenses!B$3:B$999,SMALL(IF((Expenses!E$3:E$999="INR")*(Expenses!A$3:A$999=DATE(2026,9,18)),ROW(Expenses!A$3:A$999)-2),1)),""),IF(IFERROR(INDEX(Income!B$3:B$502,SMALL(IF((Income!D$3:D$502="INR")*(Income!A$3:A$502=DATE(2026,9,18)),ROW(Income!A$3:A$502)-2),1)),"")&lt;&gt;"",IFERROR(INDEX(Income!B$3:B$502,SMALL(IF((Income!D$3:D$502="INR")*(Income!A$3:A$502=DATE(2026,9,18)),ROW(Income!A$3:A$502)-2),1)),""),""))</f>
        <v/>
      </c>
      <c r="M189" s="153">
        <f t="array" ref="M189">IF(IFERROR(-INDEX(Expenses!D$3:D$999,SMALL(IF((Expenses!E$3:E$999="INR")*(Expenses!A$3:A$999=DATE(2026,9,19)),ROW(Expenses!A$3:A$999)-2),1)),0)+IFERROR(INDEX(Income!C$3:C$502,SMALL(IF((Income!D$3:D$502="INR")*(Income!A$3:A$502=DATE(2026,9,19)),ROW(Income!A$3:A$502)-2),1)),0)=0,"",IFERROR(-INDEX(Expenses!D$3:D$999,SMALL(IF((Expenses!E$3:E$999="INR")*(Expenses!A$3:A$999=DATE(2026,9,19)),ROW(Expenses!A$3:A$999)-2),1)),0)+IFERROR(INDEX(Income!C$3:C$502,SMALL(IF((Income!D$3:D$502="INR")*(Income!A$3:A$502=DATE(2026,9,19)),ROW(Income!A$3:A$502)-2),1)),0))</f>
        <v/>
      </c>
      <c r="N189" s="126">
        <f t="array" ref="N189">IF(IFERROR(INDEX(Expenses!B$3:B$999,SMALL(IF((Expenses!E$3:E$999="INR")*(Expenses!A$3:A$999=DATE(2026,9,19)),ROW(Expenses!A$3:A$999)-2),1)),"")&lt;&gt;"",IFERROR(INDEX(Expenses!B$3:B$999,SMALL(IF((Expenses!E$3:E$999="INR")*(Expenses!A$3:A$999=DATE(2026,9,19)),ROW(Expenses!A$3:A$999)-2),1)),""),IF(IFERROR(INDEX(Income!B$3:B$502,SMALL(IF((Income!D$3:D$502="INR")*(Income!A$3:A$502=DATE(2026,9,19)),ROW(Income!A$3:A$502)-2),1)),"")&lt;&gt;"",IFERROR(INDEX(Income!B$3:B$502,SMALL(IF((Income!D$3:D$502="INR")*(Income!A$3:A$502=DATE(2026,9,19)),ROW(Income!A$3:A$502)-2),1)),""),""))</f>
        <v/>
      </c>
      <c r="O189" s="153">
        <f t="array" ref="O189">IF(IFERROR(-INDEX(Expenses!D$3:D$999,SMALL(IF((Expenses!E$3:E$999="INR")*(Expenses!A$3:A$999=DATE(2026,9,20)),ROW(Expenses!A$3:A$999)-2),1)),0)+IFERROR(INDEX(Income!C$3:C$502,SMALL(IF((Income!D$3:D$502="INR")*(Income!A$3:A$502=DATE(2026,9,20)),ROW(Income!A$3:A$502)-2),1)),0)=0,"",IFERROR(-INDEX(Expenses!D$3:D$999,SMALL(IF((Expenses!E$3:E$999="INR")*(Expenses!A$3:A$999=DATE(2026,9,20)),ROW(Expenses!A$3:A$999)-2),1)),0)+IFERROR(INDEX(Income!C$3:C$502,SMALL(IF((Income!D$3:D$502="INR")*(Income!A$3:A$502=DATE(2026,9,20)),ROW(Income!A$3:A$502)-2),1)),0))</f>
        <v/>
      </c>
      <c r="P189" s="126">
        <f t="array" ref="P189">IF(IFERROR(INDEX(Expenses!B$3:B$999,SMALL(IF((Expenses!E$3:E$999="INR")*(Expenses!A$3:A$999=DATE(2026,9,20)),ROW(Expenses!A$3:A$999)-2),1)),"")&lt;&gt;"",IFERROR(INDEX(Expenses!B$3:B$999,SMALL(IF((Expenses!E$3:E$999="INR")*(Expenses!A$3:A$999=DATE(2026,9,20)),ROW(Expenses!A$3:A$999)-2),1)),""),IF(IFERROR(INDEX(Income!B$3:B$502,SMALL(IF((Income!D$3:D$502="INR")*(Income!A$3:A$502=DATE(2026,9,20)),ROW(Income!A$3:A$502)-2),1)),"")&lt;&gt;"",IFERROR(INDEX(Income!B$3:B$502,SMALL(IF((Income!D$3:D$502="INR")*(Income!A$3:A$502=DATE(2026,9,20)),ROW(Income!A$3:A$502)-2),1)),""),""))</f>
        <v/>
      </c>
      <c r="Q189" s="103" t="n">
        <v>38</v>
      </c>
      <c r="R189" s="142">
        <f>SUM(C189:C193)+SUM(E189:E193)+SUM(G189:G193)+SUM(I189:I193)+SUM(K189:K193)+SUM(M189:M193)+SUM(O189:O193)</f>
        <v/>
      </c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68">
      <c r="A190" s="9" t="n"/>
      <c r="B190" s="9" t="n"/>
      <c r="C190" s="153">
        <f t="array" ref="C190">IF(IFERROR(-INDEX(Expenses!D$3:D$999,SMALL(IF((Expenses!E$3:E$999="INR")*(Expenses!A$3:A$999=DATE(2026,9,14)),ROW(Expenses!A$3:A$999)-2),2)),0)+IFERROR(INDEX(Income!C$3:C$502,SMALL(IF((Income!D$3:D$502="INR")*(Income!A$3:A$502=DATE(2026,9,14)),ROW(Income!A$3:A$502)-2),2)),0)=0,"",IFERROR(-INDEX(Expenses!D$3:D$999,SMALL(IF((Expenses!E$3:E$999="INR")*(Expenses!A$3:A$999=DATE(2026,9,14)),ROW(Expenses!A$3:A$999)-2),2)),0)+IFERROR(INDEX(Income!C$3:C$502,SMALL(IF((Income!D$3:D$502="INR")*(Income!A$3:A$502=DATE(2026,9,14)),ROW(Income!A$3:A$502)-2),2)),0))</f>
        <v/>
      </c>
      <c r="D190" s="126">
        <f t="array" ref="D190">IF(IFERROR(INDEX(Expenses!B$3:B$999,SMALL(IF((Expenses!E$3:E$999="INR")*(Expenses!A$3:A$999=DATE(2026,9,14)),ROW(Expenses!A$3:A$999)-2),2)),"")&lt;&gt;"",IFERROR(INDEX(Expenses!B$3:B$999,SMALL(IF((Expenses!E$3:E$999="INR")*(Expenses!A$3:A$999=DATE(2026,9,14)),ROW(Expenses!A$3:A$999)-2),2)),""),IF(IFERROR(INDEX(Income!B$3:B$502,SMALL(IF((Income!D$3:D$502="INR")*(Income!A$3:A$502=DATE(2026,9,14)),ROW(Income!A$3:A$502)-2),2)),"")&lt;&gt;"",IFERROR(INDEX(Income!B$3:B$502,SMALL(IF((Income!D$3:D$502="INR")*(Income!A$3:A$502=DATE(2026,9,14)),ROW(Income!A$3:A$502)-2),2)),""),""))</f>
        <v/>
      </c>
      <c r="E190" s="153">
        <f t="array" ref="E190">IF(IFERROR(-INDEX(Expenses!D$3:D$999,SMALL(IF((Expenses!E$3:E$999="INR")*(Expenses!A$3:A$999=DATE(2026,9,15)),ROW(Expenses!A$3:A$999)-2),2)),0)+IFERROR(INDEX(Income!C$3:C$502,SMALL(IF((Income!D$3:D$502="INR")*(Income!A$3:A$502=DATE(2026,9,15)),ROW(Income!A$3:A$502)-2),2)),0)=0,"",IFERROR(-INDEX(Expenses!D$3:D$999,SMALL(IF((Expenses!E$3:E$999="INR")*(Expenses!A$3:A$999=DATE(2026,9,15)),ROW(Expenses!A$3:A$999)-2),2)),0)+IFERROR(INDEX(Income!C$3:C$502,SMALL(IF((Income!D$3:D$502="INR")*(Income!A$3:A$502=DATE(2026,9,15)),ROW(Income!A$3:A$502)-2),2)),0))</f>
        <v/>
      </c>
      <c r="F190" s="126">
        <f t="array" ref="F190">IF(IFERROR(INDEX(Expenses!B$3:B$999,SMALL(IF((Expenses!E$3:E$999="INR")*(Expenses!A$3:A$999=DATE(2026,9,15)),ROW(Expenses!A$3:A$999)-2),2)),"")&lt;&gt;"",IFERROR(INDEX(Expenses!B$3:B$999,SMALL(IF((Expenses!E$3:E$999="INR")*(Expenses!A$3:A$999=DATE(2026,9,15)),ROW(Expenses!A$3:A$999)-2),2)),""),IF(IFERROR(INDEX(Income!B$3:B$502,SMALL(IF((Income!D$3:D$502="INR")*(Income!A$3:A$502=DATE(2026,9,15)),ROW(Income!A$3:A$502)-2),2)),"")&lt;&gt;"",IFERROR(INDEX(Income!B$3:B$502,SMALL(IF((Income!D$3:D$502="INR")*(Income!A$3:A$502=DATE(2026,9,15)),ROW(Income!A$3:A$502)-2),2)),""),""))</f>
        <v/>
      </c>
      <c r="G190" s="153">
        <f t="array" ref="G190">IF(IFERROR(-INDEX(Expenses!D$3:D$999,SMALL(IF((Expenses!E$3:E$999="INR")*(Expenses!A$3:A$999=DATE(2026,9,16)),ROW(Expenses!A$3:A$999)-2),2)),0)+IFERROR(INDEX(Income!C$3:C$502,SMALL(IF((Income!D$3:D$502="INR")*(Income!A$3:A$502=DATE(2026,9,16)),ROW(Income!A$3:A$502)-2),2)),0)=0,"",IFERROR(-INDEX(Expenses!D$3:D$999,SMALL(IF((Expenses!E$3:E$999="INR")*(Expenses!A$3:A$999=DATE(2026,9,16)),ROW(Expenses!A$3:A$999)-2),2)),0)+IFERROR(INDEX(Income!C$3:C$502,SMALL(IF((Income!D$3:D$502="INR")*(Income!A$3:A$502=DATE(2026,9,16)),ROW(Income!A$3:A$502)-2),2)),0))</f>
        <v/>
      </c>
      <c r="H190" s="126">
        <f t="array" ref="H190">IF(IFERROR(INDEX(Expenses!B$3:B$999,SMALL(IF((Expenses!E$3:E$999="INR")*(Expenses!A$3:A$999=DATE(2026,9,16)),ROW(Expenses!A$3:A$999)-2),2)),"")&lt;&gt;"",IFERROR(INDEX(Expenses!B$3:B$999,SMALL(IF((Expenses!E$3:E$999="INR")*(Expenses!A$3:A$999=DATE(2026,9,16)),ROW(Expenses!A$3:A$999)-2),2)),""),IF(IFERROR(INDEX(Income!B$3:B$502,SMALL(IF((Income!D$3:D$502="INR")*(Income!A$3:A$502=DATE(2026,9,16)),ROW(Income!A$3:A$502)-2),2)),"")&lt;&gt;"",IFERROR(INDEX(Income!B$3:B$502,SMALL(IF((Income!D$3:D$502="INR")*(Income!A$3:A$502=DATE(2026,9,16)),ROW(Income!A$3:A$502)-2),2)),""),""))</f>
        <v/>
      </c>
      <c r="I190" s="153">
        <f t="array" ref="I190">IF(IFERROR(-INDEX(Expenses!D$3:D$999,SMALL(IF((Expenses!E$3:E$999="INR")*(Expenses!A$3:A$999=DATE(2026,9,17)),ROW(Expenses!A$3:A$999)-2),2)),0)+IFERROR(INDEX(Income!C$3:C$502,SMALL(IF((Income!D$3:D$502="INR")*(Income!A$3:A$502=DATE(2026,9,17)),ROW(Income!A$3:A$502)-2),2)),0)=0,"",IFERROR(-INDEX(Expenses!D$3:D$999,SMALL(IF((Expenses!E$3:E$999="INR")*(Expenses!A$3:A$999=DATE(2026,9,17)),ROW(Expenses!A$3:A$999)-2),2)),0)+IFERROR(INDEX(Income!C$3:C$502,SMALL(IF((Income!D$3:D$502="INR")*(Income!A$3:A$502=DATE(2026,9,17)),ROW(Income!A$3:A$502)-2),2)),0))</f>
        <v/>
      </c>
      <c r="J190" s="126">
        <f t="array" ref="J190">IF(IFERROR(INDEX(Expenses!B$3:B$999,SMALL(IF((Expenses!E$3:E$999="INR")*(Expenses!A$3:A$999=DATE(2026,9,17)),ROW(Expenses!A$3:A$999)-2),2)),"")&lt;&gt;"",IFERROR(INDEX(Expenses!B$3:B$999,SMALL(IF((Expenses!E$3:E$999="INR")*(Expenses!A$3:A$999=DATE(2026,9,17)),ROW(Expenses!A$3:A$999)-2),2)),""),IF(IFERROR(INDEX(Income!B$3:B$502,SMALL(IF((Income!D$3:D$502="INR")*(Income!A$3:A$502=DATE(2026,9,17)),ROW(Income!A$3:A$502)-2),2)),"")&lt;&gt;"",IFERROR(INDEX(Income!B$3:B$502,SMALL(IF((Income!D$3:D$502="INR")*(Income!A$3:A$502=DATE(2026,9,17)),ROW(Income!A$3:A$502)-2),2)),""),""))</f>
        <v/>
      </c>
      <c r="K190" s="153">
        <f t="array" ref="K190">IF(IFERROR(-INDEX(Expenses!D$3:D$999,SMALL(IF((Expenses!E$3:E$999="INR")*(Expenses!A$3:A$999=DATE(2026,9,18)),ROW(Expenses!A$3:A$999)-2),2)),0)+IFERROR(INDEX(Income!C$3:C$502,SMALL(IF((Income!D$3:D$502="INR")*(Income!A$3:A$502=DATE(2026,9,18)),ROW(Income!A$3:A$502)-2),2)),0)=0,"",IFERROR(-INDEX(Expenses!D$3:D$999,SMALL(IF((Expenses!E$3:E$999="INR")*(Expenses!A$3:A$999=DATE(2026,9,18)),ROW(Expenses!A$3:A$999)-2),2)),0)+IFERROR(INDEX(Income!C$3:C$502,SMALL(IF((Income!D$3:D$502="INR")*(Income!A$3:A$502=DATE(2026,9,18)),ROW(Income!A$3:A$502)-2),2)),0))</f>
        <v/>
      </c>
      <c r="L190" s="126">
        <f t="array" ref="L190">IF(IFERROR(INDEX(Expenses!B$3:B$999,SMALL(IF((Expenses!E$3:E$999="INR")*(Expenses!A$3:A$999=DATE(2026,9,18)),ROW(Expenses!A$3:A$999)-2),2)),"")&lt;&gt;"",IFERROR(INDEX(Expenses!B$3:B$999,SMALL(IF((Expenses!E$3:E$999="INR")*(Expenses!A$3:A$999=DATE(2026,9,18)),ROW(Expenses!A$3:A$999)-2),2)),""),IF(IFERROR(INDEX(Income!B$3:B$502,SMALL(IF((Income!D$3:D$502="INR")*(Income!A$3:A$502=DATE(2026,9,18)),ROW(Income!A$3:A$502)-2),2)),"")&lt;&gt;"",IFERROR(INDEX(Income!B$3:B$502,SMALL(IF((Income!D$3:D$502="INR")*(Income!A$3:A$502=DATE(2026,9,18)),ROW(Income!A$3:A$502)-2),2)),""),""))</f>
        <v/>
      </c>
      <c r="M190" s="153">
        <f t="array" ref="M190">IF(IFERROR(-INDEX(Expenses!D$3:D$999,SMALL(IF((Expenses!E$3:E$999="INR")*(Expenses!A$3:A$999=DATE(2026,9,19)),ROW(Expenses!A$3:A$999)-2),2)),0)+IFERROR(INDEX(Income!C$3:C$502,SMALL(IF((Income!D$3:D$502="INR")*(Income!A$3:A$502=DATE(2026,9,19)),ROW(Income!A$3:A$502)-2),2)),0)=0,"",IFERROR(-INDEX(Expenses!D$3:D$999,SMALL(IF((Expenses!E$3:E$999="INR")*(Expenses!A$3:A$999=DATE(2026,9,19)),ROW(Expenses!A$3:A$999)-2),2)),0)+IFERROR(INDEX(Income!C$3:C$502,SMALL(IF((Income!D$3:D$502="INR")*(Income!A$3:A$502=DATE(2026,9,19)),ROW(Income!A$3:A$502)-2),2)),0))</f>
        <v/>
      </c>
      <c r="N190" s="126">
        <f t="array" ref="N190">IF(IFERROR(INDEX(Expenses!B$3:B$999,SMALL(IF((Expenses!E$3:E$999="INR")*(Expenses!A$3:A$999=DATE(2026,9,19)),ROW(Expenses!A$3:A$999)-2),2)),"")&lt;&gt;"",IFERROR(INDEX(Expenses!B$3:B$999,SMALL(IF((Expenses!E$3:E$999="INR")*(Expenses!A$3:A$999=DATE(2026,9,19)),ROW(Expenses!A$3:A$999)-2),2)),""),IF(IFERROR(INDEX(Income!B$3:B$502,SMALL(IF((Income!D$3:D$502="INR")*(Income!A$3:A$502=DATE(2026,9,19)),ROW(Income!A$3:A$502)-2),2)),"")&lt;&gt;"",IFERROR(INDEX(Income!B$3:B$502,SMALL(IF((Income!D$3:D$502="INR")*(Income!A$3:A$502=DATE(2026,9,19)),ROW(Income!A$3:A$502)-2),2)),""),""))</f>
        <v/>
      </c>
      <c r="O190" s="153">
        <f t="array" ref="O190">IF(IFERROR(-INDEX(Expenses!D$3:D$999,SMALL(IF((Expenses!E$3:E$999="INR")*(Expenses!A$3:A$999=DATE(2026,9,20)),ROW(Expenses!A$3:A$999)-2),2)),0)+IFERROR(INDEX(Income!C$3:C$502,SMALL(IF((Income!D$3:D$502="INR")*(Income!A$3:A$502=DATE(2026,9,20)),ROW(Income!A$3:A$502)-2),2)),0)=0,"",IFERROR(-INDEX(Expenses!D$3:D$999,SMALL(IF((Expenses!E$3:E$999="INR")*(Expenses!A$3:A$999=DATE(2026,9,20)),ROW(Expenses!A$3:A$999)-2),2)),0)+IFERROR(INDEX(Income!C$3:C$502,SMALL(IF((Income!D$3:D$502="INR")*(Income!A$3:A$502=DATE(2026,9,20)),ROW(Income!A$3:A$502)-2),2)),0))</f>
        <v/>
      </c>
      <c r="P190" s="126">
        <f t="array" ref="P190">IF(IFERROR(INDEX(Expenses!B$3:B$999,SMALL(IF((Expenses!E$3:E$999="INR")*(Expenses!A$3:A$999=DATE(2026,9,20)),ROW(Expenses!A$3:A$999)-2),2)),"")&lt;&gt;"",IFERROR(INDEX(Expenses!B$3:B$999,SMALL(IF((Expenses!E$3:E$999="INR")*(Expenses!A$3:A$999=DATE(2026,9,20)),ROW(Expenses!A$3:A$999)-2),2)),""),IF(IFERROR(INDEX(Income!B$3:B$502,SMALL(IF((Income!D$3:D$502="INR")*(Income!A$3:A$502=DATE(2026,9,20)),ROW(Income!A$3:A$502)-2),2)),"")&lt;&gt;"",IFERROR(INDEX(Income!B$3:B$502,SMALL(IF((Income!D$3:D$502="INR")*(Income!A$3:A$502=DATE(2026,9,20)),ROW(Income!A$3:A$502)-2),2)),""),""))</f>
        <v/>
      </c>
      <c r="Q190" s="9" t="n"/>
      <c r="R190" s="9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68">
      <c r="A191" s="9" t="n"/>
      <c r="B191" s="9" t="n"/>
      <c r="C191" s="153">
        <f t="array" ref="C191">IF(IFERROR(-INDEX(Expenses!D$3:D$999,SMALL(IF((Expenses!E$3:E$999="INR")*(Expenses!A$3:A$999=DATE(2026,9,14)),ROW(Expenses!A$3:A$999)-2),3)),0)+IFERROR(INDEX(Income!C$3:C$502,SMALL(IF((Income!D$3:D$502="INR")*(Income!A$3:A$502=DATE(2026,9,14)),ROW(Income!A$3:A$502)-2),3)),0)=0,"",IFERROR(-INDEX(Expenses!D$3:D$999,SMALL(IF((Expenses!E$3:E$999="INR")*(Expenses!A$3:A$999=DATE(2026,9,14)),ROW(Expenses!A$3:A$999)-2),3)),0)+IFERROR(INDEX(Income!C$3:C$502,SMALL(IF((Income!D$3:D$502="INR")*(Income!A$3:A$502=DATE(2026,9,14)),ROW(Income!A$3:A$502)-2),3)),0))</f>
        <v/>
      </c>
      <c r="D191" s="126">
        <f t="array" ref="D191">IF(IFERROR(INDEX(Expenses!B$3:B$999,SMALL(IF((Expenses!E$3:E$999="INR")*(Expenses!A$3:A$999=DATE(2026,9,14)),ROW(Expenses!A$3:A$999)-2),3)),"")&lt;&gt;"",IFERROR(INDEX(Expenses!B$3:B$999,SMALL(IF((Expenses!E$3:E$999="INR")*(Expenses!A$3:A$999=DATE(2026,9,14)),ROW(Expenses!A$3:A$999)-2),3)),""),IF(IFERROR(INDEX(Income!B$3:B$502,SMALL(IF((Income!D$3:D$502="INR")*(Income!A$3:A$502=DATE(2026,9,14)),ROW(Income!A$3:A$502)-2),3)),"")&lt;&gt;"",IFERROR(INDEX(Income!B$3:B$502,SMALL(IF((Income!D$3:D$502="INR")*(Income!A$3:A$502=DATE(2026,9,14)),ROW(Income!A$3:A$502)-2),3)),""),""))</f>
        <v/>
      </c>
      <c r="E191" s="153">
        <f t="array" ref="E191">IF(IFERROR(-INDEX(Expenses!D$3:D$999,SMALL(IF((Expenses!E$3:E$999="INR")*(Expenses!A$3:A$999=DATE(2026,9,15)),ROW(Expenses!A$3:A$999)-2),3)),0)+IFERROR(INDEX(Income!C$3:C$502,SMALL(IF((Income!D$3:D$502="INR")*(Income!A$3:A$502=DATE(2026,9,15)),ROW(Income!A$3:A$502)-2),3)),0)=0,"",IFERROR(-INDEX(Expenses!D$3:D$999,SMALL(IF((Expenses!E$3:E$999="INR")*(Expenses!A$3:A$999=DATE(2026,9,15)),ROW(Expenses!A$3:A$999)-2),3)),0)+IFERROR(INDEX(Income!C$3:C$502,SMALL(IF((Income!D$3:D$502="INR")*(Income!A$3:A$502=DATE(2026,9,15)),ROW(Income!A$3:A$502)-2),3)),0))</f>
        <v/>
      </c>
      <c r="F191" s="126">
        <f t="array" ref="F191">IF(IFERROR(INDEX(Expenses!B$3:B$999,SMALL(IF((Expenses!E$3:E$999="INR")*(Expenses!A$3:A$999=DATE(2026,9,15)),ROW(Expenses!A$3:A$999)-2),3)),"")&lt;&gt;"",IFERROR(INDEX(Expenses!B$3:B$999,SMALL(IF((Expenses!E$3:E$999="INR")*(Expenses!A$3:A$999=DATE(2026,9,15)),ROW(Expenses!A$3:A$999)-2),3)),""),IF(IFERROR(INDEX(Income!B$3:B$502,SMALL(IF((Income!D$3:D$502="INR")*(Income!A$3:A$502=DATE(2026,9,15)),ROW(Income!A$3:A$502)-2),3)),"")&lt;&gt;"",IFERROR(INDEX(Income!B$3:B$502,SMALL(IF((Income!D$3:D$502="INR")*(Income!A$3:A$502=DATE(2026,9,15)),ROW(Income!A$3:A$502)-2),3)),""),""))</f>
        <v/>
      </c>
      <c r="G191" s="153">
        <f t="array" ref="G191">IF(IFERROR(-INDEX(Expenses!D$3:D$999,SMALL(IF((Expenses!E$3:E$999="INR")*(Expenses!A$3:A$999=DATE(2026,9,16)),ROW(Expenses!A$3:A$999)-2),3)),0)+IFERROR(INDEX(Income!C$3:C$502,SMALL(IF((Income!D$3:D$502="INR")*(Income!A$3:A$502=DATE(2026,9,16)),ROW(Income!A$3:A$502)-2),3)),0)=0,"",IFERROR(-INDEX(Expenses!D$3:D$999,SMALL(IF((Expenses!E$3:E$999="INR")*(Expenses!A$3:A$999=DATE(2026,9,16)),ROW(Expenses!A$3:A$999)-2),3)),0)+IFERROR(INDEX(Income!C$3:C$502,SMALL(IF((Income!D$3:D$502="INR")*(Income!A$3:A$502=DATE(2026,9,16)),ROW(Income!A$3:A$502)-2),3)),0))</f>
        <v/>
      </c>
      <c r="H191" s="126">
        <f t="array" ref="H191">IF(IFERROR(INDEX(Expenses!B$3:B$999,SMALL(IF((Expenses!E$3:E$999="INR")*(Expenses!A$3:A$999=DATE(2026,9,16)),ROW(Expenses!A$3:A$999)-2),3)),"")&lt;&gt;"",IFERROR(INDEX(Expenses!B$3:B$999,SMALL(IF((Expenses!E$3:E$999="INR")*(Expenses!A$3:A$999=DATE(2026,9,16)),ROW(Expenses!A$3:A$999)-2),3)),""),IF(IFERROR(INDEX(Income!B$3:B$502,SMALL(IF((Income!D$3:D$502="INR")*(Income!A$3:A$502=DATE(2026,9,16)),ROW(Income!A$3:A$502)-2),3)),"")&lt;&gt;"",IFERROR(INDEX(Income!B$3:B$502,SMALL(IF((Income!D$3:D$502="INR")*(Income!A$3:A$502=DATE(2026,9,16)),ROW(Income!A$3:A$502)-2),3)),""),""))</f>
        <v/>
      </c>
      <c r="I191" s="153">
        <f t="array" ref="I191">IF(IFERROR(-INDEX(Expenses!D$3:D$999,SMALL(IF((Expenses!E$3:E$999="INR")*(Expenses!A$3:A$999=DATE(2026,9,17)),ROW(Expenses!A$3:A$999)-2),3)),0)+IFERROR(INDEX(Income!C$3:C$502,SMALL(IF((Income!D$3:D$502="INR")*(Income!A$3:A$502=DATE(2026,9,17)),ROW(Income!A$3:A$502)-2),3)),0)=0,"",IFERROR(-INDEX(Expenses!D$3:D$999,SMALL(IF((Expenses!E$3:E$999="INR")*(Expenses!A$3:A$999=DATE(2026,9,17)),ROW(Expenses!A$3:A$999)-2),3)),0)+IFERROR(INDEX(Income!C$3:C$502,SMALL(IF((Income!D$3:D$502="INR")*(Income!A$3:A$502=DATE(2026,9,17)),ROW(Income!A$3:A$502)-2),3)),0))</f>
        <v/>
      </c>
      <c r="J191" s="126">
        <f t="array" ref="J191">IF(IFERROR(INDEX(Expenses!B$3:B$999,SMALL(IF((Expenses!E$3:E$999="INR")*(Expenses!A$3:A$999=DATE(2026,9,17)),ROW(Expenses!A$3:A$999)-2),3)),"")&lt;&gt;"",IFERROR(INDEX(Expenses!B$3:B$999,SMALL(IF((Expenses!E$3:E$999="INR")*(Expenses!A$3:A$999=DATE(2026,9,17)),ROW(Expenses!A$3:A$999)-2),3)),""),IF(IFERROR(INDEX(Income!B$3:B$502,SMALL(IF((Income!D$3:D$502="INR")*(Income!A$3:A$502=DATE(2026,9,17)),ROW(Income!A$3:A$502)-2),3)),"")&lt;&gt;"",IFERROR(INDEX(Income!B$3:B$502,SMALL(IF((Income!D$3:D$502="INR")*(Income!A$3:A$502=DATE(2026,9,17)),ROW(Income!A$3:A$502)-2),3)),""),""))</f>
        <v/>
      </c>
      <c r="K191" s="153">
        <f t="array" ref="K191">IF(IFERROR(-INDEX(Expenses!D$3:D$999,SMALL(IF((Expenses!E$3:E$999="INR")*(Expenses!A$3:A$999=DATE(2026,9,18)),ROW(Expenses!A$3:A$999)-2),3)),0)+IFERROR(INDEX(Income!C$3:C$502,SMALL(IF((Income!D$3:D$502="INR")*(Income!A$3:A$502=DATE(2026,9,18)),ROW(Income!A$3:A$502)-2),3)),0)=0,"",IFERROR(-INDEX(Expenses!D$3:D$999,SMALL(IF((Expenses!E$3:E$999="INR")*(Expenses!A$3:A$999=DATE(2026,9,18)),ROW(Expenses!A$3:A$999)-2),3)),0)+IFERROR(INDEX(Income!C$3:C$502,SMALL(IF((Income!D$3:D$502="INR")*(Income!A$3:A$502=DATE(2026,9,18)),ROW(Income!A$3:A$502)-2),3)),0))</f>
        <v/>
      </c>
      <c r="L191" s="126">
        <f t="array" ref="L191">IF(IFERROR(INDEX(Expenses!B$3:B$999,SMALL(IF((Expenses!E$3:E$999="INR")*(Expenses!A$3:A$999=DATE(2026,9,18)),ROW(Expenses!A$3:A$999)-2),3)),"")&lt;&gt;"",IFERROR(INDEX(Expenses!B$3:B$999,SMALL(IF((Expenses!E$3:E$999="INR")*(Expenses!A$3:A$999=DATE(2026,9,18)),ROW(Expenses!A$3:A$999)-2),3)),""),IF(IFERROR(INDEX(Income!B$3:B$502,SMALL(IF((Income!D$3:D$502="INR")*(Income!A$3:A$502=DATE(2026,9,18)),ROW(Income!A$3:A$502)-2),3)),"")&lt;&gt;"",IFERROR(INDEX(Income!B$3:B$502,SMALL(IF((Income!D$3:D$502="INR")*(Income!A$3:A$502=DATE(2026,9,18)),ROW(Income!A$3:A$502)-2),3)),""),""))</f>
        <v/>
      </c>
      <c r="M191" s="153">
        <f t="array" ref="M191">IF(IFERROR(-INDEX(Expenses!D$3:D$999,SMALL(IF((Expenses!E$3:E$999="INR")*(Expenses!A$3:A$999=DATE(2026,9,19)),ROW(Expenses!A$3:A$999)-2),3)),0)+IFERROR(INDEX(Income!C$3:C$502,SMALL(IF((Income!D$3:D$502="INR")*(Income!A$3:A$502=DATE(2026,9,19)),ROW(Income!A$3:A$502)-2),3)),0)=0,"",IFERROR(-INDEX(Expenses!D$3:D$999,SMALL(IF((Expenses!E$3:E$999="INR")*(Expenses!A$3:A$999=DATE(2026,9,19)),ROW(Expenses!A$3:A$999)-2),3)),0)+IFERROR(INDEX(Income!C$3:C$502,SMALL(IF((Income!D$3:D$502="INR")*(Income!A$3:A$502=DATE(2026,9,19)),ROW(Income!A$3:A$502)-2),3)),0))</f>
        <v/>
      </c>
      <c r="N191" s="126">
        <f t="array" ref="N191">IF(IFERROR(INDEX(Expenses!B$3:B$999,SMALL(IF((Expenses!E$3:E$999="INR")*(Expenses!A$3:A$999=DATE(2026,9,19)),ROW(Expenses!A$3:A$999)-2),3)),"")&lt;&gt;"",IFERROR(INDEX(Expenses!B$3:B$999,SMALL(IF((Expenses!E$3:E$999="INR")*(Expenses!A$3:A$999=DATE(2026,9,19)),ROW(Expenses!A$3:A$999)-2),3)),""),IF(IFERROR(INDEX(Income!B$3:B$502,SMALL(IF((Income!D$3:D$502="INR")*(Income!A$3:A$502=DATE(2026,9,19)),ROW(Income!A$3:A$502)-2),3)),"")&lt;&gt;"",IFERROR(INDEX(Income!B$3:B$502,SMALL(IF((Income!D$3:D$502="INR")*(Income!A$3:A$502=DATE(2026,9,19)),ROW(Income!A$3:A$502)-2),3)),""),""))</f>
        <v/>
      </c>
      <c r="O191" s="153">
        <f t="array" ref="O191">IF(IFERROR(-INDEX(Expenses!D$3:D$999,SMALL(IF((Expenses!E$3:E$999="INR")*(Expenses!A$3:A$999=DATE(2026,9,20)),ROW(Expenses!A$3:A$999)-2),3)),0)+IFERROR(INDEX(Income!C$3:C$502,SMALL(IF((Income!D$3:D$502="INR")*(Income!A$3:A$502=DATE(2026,9,20)),ROW(Income!A$3:A$502)-2),3)),0)=0,"",IFERROR(-INDEX(Expenses!D$3:D$999,SMALL(IF((Expenses!E$3:E$999="INR")*(Expenses!A$3:A$999=DATE(2026,9,20)),ROW(Expenses!A$3:A$999)-2),3)),0)+IFERROR(INDEX(Income!C$3:C$502,SMALL(IF((Income!D$3:D$502="INR")*(Income!A$3:A$502=DATE(2026,9,20)),ROW(Income!A$3:A$502)-2),3)),0))</f>
        <v/>
      </c>
      <c r="P191" s="126">
        <f t="array" ref="P191">IF(IFERROR(INDEX(Expenses!B$3:B$999,SMALL(IF((Expenses!E$3:E$999="INR")*(Expenses!A$3:A$999=DATE(2026,9,20)),ROW(Expenses!A$3:A$999)-2),3)),"")&lt;&gt;"",IFERROR(INDEX(Expenses!B$3:B$999,SMALL(IF((Expenses!E$3:E$999="INR")*(Expenses!A$3:A$999=DATE(2026,9,20)),ROW(Expenses!A$3:A$999)-2),3)),""),IF(IFERROR(INDEX(Income!B$3:B$502,SMALL(IF((Income!D$3:D$502="INR")*(Income!A$3:A$502=DATE(2026,9,20)),ROW(Income!A$3:A$502)-2),3)),"")&lt;&gt;"",IFERROR(INDEX(Income!B$3:B$502,SMALL(IF((Income!D$3:D$502="INR")*(Income!A$3:A$502=DATE(2026,9,20)),ROW(Income!A$3:A$502)-2),3)),""),""))</f>
        <v/>
      </c>
      <c r="Q191" s="9" t="n"/>
      <c r="R191" s="9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68">
      <c r="A192" s="9" t="n"/>
      <c r="B192" s="9" t="n"/>
      <c r="C192" s="153">
        <f t="array" ref="C192">IF(IFERROR(-INDEX(Expenses!D$3:D$999,SMALL(IF((Expenses!E$3:E$999="INR")*(Expenses!A$3:A$999=DATE(2026,9,14)),ROW(Expenses!A$3:A$999)-2),4)),0)+IFERROR(INDEX(Income!C$3:C$502,SMALL(IF((Income!D$3:D$502="INR")*(Income!A$3:A$502=DATE(2026,9,14)),ROW(Income!A$3:A$502)-2),4)),0)=0,"",IFERROR(-INDEX(Expenses!D$3:D$999,SMALL(IF((Expenses!E$3:E$999="INR")*(Expenses!A$3:A$999=DATE(2026,9,14)),ROW(Expenses!A$3:A$999)-2),4)),0)+IFERROR(INDEX(Income!C$3:C$502,SMALL(IF((Income!D$3:D$502="INR")*(Income!A$3:A$502=DATE(2026,9,14)),ROW(Income!A$3:A$502)-2),4)),0))</f>
        <v/>
      </c>
      <c r="D192" s="126">
        <f t="array" ref="D192">IF(IFERROR(INDEX(Expenses!B$3:B$999,SMALL(IF((Expenses!E$3:E$999="INR")*(Expenses!A$3:A$999=DATE(2026,9,14)),ROW(Expenses!A$3:A$999)-2),4)),"")&lt;&gt;"",IFERROR(INDEX(Expenses!B$3:B$999,SMALL(IF((Expenses!E$3:E$999="INR")*(Expenses!A$3:A$999=DATE(2026,9,14)),ROW(Expenses!A$3:A$999)-2),4)),""),IF(IFERROR(INDEX(Income!B$3:B$502,SMALL(IF((Income!D$3:D$502="INR")*(Income!A$3:A$502=DATE(2026,9,14)),ROW(Income!A$3:A$502)-2),4)),"")&lt;&gt;"",IFERROR(INDEX(Income!B$3:B$502,SMALL(IF((Income!D$3:D$502="INR")*(Income!A$3:A$502=DATE(2026,9,14)),ROW(Income!A$3:A$502)-2),4)),""),""))</f>
        <v/>
      </c>
      <c r="E192" s="153">
        <f t="array" ref="E192">IF(IFERROR(-INDEX(Expenses!D$3:D$999,SMALL(IF((Expenses!E$3:E$999="INR")*(Expenses!A$3:A$999=DATE(2026,9,15)),ROW(Expenses!A$3:A$999)-2),4)),0)+IFERROR(INDEX(Income!C$3:C$502,SMALL(IF((Income!D$3:D$502="INR")*(Income!A$3:A$502=DATE(2026,9,15)),ROW(Income!A$3:A$502)-2),4)),0)=0,"",IFERROR(-INDEX(Expenses!D$3:D$999,SMALL(IF((Expenses!E$3:E$999="INR")*(Expenses!A$3:A$999=DATE(2026,9,15)),ROW(Expenses!A$3:A$999)-2),4)),0)+IFERROR(INDEX(Income!C$3:C$502,SMALL(IF((Income!D$3:D$502="INR")*(Income!A$3:A$502=DATE(2026,9,15)),ROW(Income!A$3:A$502)-2),4)),0))</f>
        <v/>
      </c>
      <c r="F192" s="126">
        <f t="array" ref="F192">IF(IFERROR(INDEX(Expenses!B$3:B$999,SMALL(IF((Expenses!E$3:E$999="INR")*(Expenses!A$3:A$999=DATE(2026,9,15)),ROW(Expenses!A$3:A$999)-2),4)),"")&lt;&gt;"",IFERROR(INDEX(Expenses!B$3:B$999,SMALL(IF((Expenses!E$3:E$999="INR")*(Expenses!A$3:A$999=DATE(2026,9,15)),ROW(Expenses!A$3:A$999)-2),4)),""),IF(IFERROR(INDEX(Income!B$3:B$502,SMALL(IF((Income!D$3:D$502="INR")*(Income!A$3:A$502=DATE(2026,9,15)),ROW(Income!A$3:A$502)-2),4)),"")&lt;&gt;"",IFERROR(INDEX(Income!B$3:B$502,SMALL(IF((Income!D$3:D$502="INR")*(Income!A$3:A$502=DATE(2026,9,15)),ROW(Income!A$3:A$502)-2),4)),""),""))</f>
        <v/>
      </c>
      <c r="G192" s="153">
        <f t="array" ref="G192">IF(IFERROR(-INDEX(Expenses!D$3:D$999,SMALL(IF((Expenses!E$3:E$999="INR")*(Expenses!A$3:A$999=DATE(2026,9,16)),ROW(Expenses!A$3:A$999)-2),4)),0)+IFERROR(INDEX(Income!C$3:C$502,SMALL(IF((Income!D$3:D$502="INR")*(Income!A$3:A$502=DATE(2026,9,16)),ROW(Income!A$3:A$502)-2),4)),0)=0,"",IFERROR(-INDEX(Expenses!D$3:D$999,SMALL(IF((Expenses!E$3:E$999="INR")*(Expenses!A$3:A$999=DATE(2026,9,16)),ROW(Expenses!A$3:A$999)-2),4)),0)+IFERROR(INDEX(Income!C$3:C$502,SMALL(IF((Income!D$3:D$502="INR")*(Income!A$3:A$502=DATE(2026,9,16)),ROW(Income!A$3:A$502)-2),4)),0))</f>
        <v/>
      </c>
      <c r="H192" s="126">
        <f t="array" ref="H192">IF(IFERROR(INDEX(Expenses!B$3:B$999,SMALL(IF((Expenses!E$3:E$999="INR")*(Expenses!A$3:A$999=DATE(2026,9,16)),ROW(Expenses!A$3:A$999)-2),4)),"")&lt;&gt;"",IFERROR(INDEX(Expenses!B$3:B$999,SMALL(IF((Expenses!E$3:E$999="INR")*(Expenses!A$3:A$999=DATE(2026,9,16)),ROW(Expenses!A$3:A$999)-2),4)),""),IF(IFERROR(INDEX(Income!B$3:B$502,SMALL(IF((Income!D$3:D$502="INR")*(Income!A$3:A$502=DATE(2026,9,16)),ROW(Income!A$3:A$502)-2),4)),"")&lt;&gt;"",IFERROR(INDEX(Income!B$3:B$502,SMALL(IF((Income!D$3:D$502="INR")*(Income!A$3:A$502=DATE(2026,9,16)),ROW(Income!A$3:A$502)-2),4)),""),""))</f>
        <v/>
      </c>
      <c r="I192" s="153">
        <f t="array" ref="I192">IF(IFERROR(-INDEX(Expenses!D$3:D$999,SMALL(IF((Expenses!E$3:E$999="INR")*(Expenses!A$3:A$999=DATE(2026,9,17)),ROW(Expenses!A$3:A$999)-2),4)),0)+IFERROR(INDEX(Income!C$3:C$502,SMALL(IF((Income!D$3:D$502="INR")*(Income!A$3:A$502=DATE(2026,9,17)),ROW(Income!A$3:A$502)-2),4)),0)=0,"",IFERROR(-INDEX(Expenses!D$3:D$999,SMALL(IF((Expenses!E$3:E$999="INR")*(Expenses!A$3:A$999=DATE(2026,9,17)),ROW(Expenses!A$3:A$999)-2),4)),0)+IFERROR(INDEX(Income!C$3:C$502,SMALL(IF((Income!D$3:D$502="INR")*(Income!A$3:A$502=DATE(2026,9,17)),ROW(Income!A$3:A$502)-2),4)),0))</f>
        <v/>
      </c>
      <c r="J192" s="126">
        <f t="array" ref="J192">IF(IFERROR(INDEX(Expenses!B$3:B$999,SMALL(IF((Expenses!E$3:E$999="INR")*(Expenses!A$3:A$999=DATE(2026,9,17)),ROW(Expenses!A$3:A$999)-2),4)),"")&lt;&gt;"",IFERROR(INDEX(Expenses!B$3:B$999,SMALL(IF((Expenses!E$3:E$999="INR")*(Expenses!A$3:A$999=DATE(2026,9,17)),ROW(Expenses!A$3:A$999)-2),4)),""),IF(IFERROR(INDEX(Income!B$3:B$502,SMALL(IF((Income!D$3:D$502="INR")*(Income!A$3:A$502=DATE(2026,9,17)),ROW(Income!A$3:A$502)-2),4)),"")&lt;&gt;"",IFERROR(INDEX(Income!B$3:B$502,SMALL(IF((Income!D$3:D$502="INR")*(Income!A$3:A$502=DATE(2026,9,17)),ROW(Income!A$3:A$502)-2),4)),""),""))</f>
        <v/>
      </c>
      <c r="K192" s="153">
        <f t="array" ref="K192">IF(IFERROR(-INDEX(Expenses!D$3:D$999,SMALL(IF((Expenses!E$3:E$999="INR")*(Expenses!A$3:A$999=DATE(2026,9,18)),ROW(Expenses!A$3:A$999)-2),4)),0)+IFERROR(INDEX(Income!C$3:C$502,SMALL(IF((Income!D$3:D$502="INR")*(Income!A$3:A$502=DATE(2026,9,18)),ROW(Income!A$3:A$502)-2),4)),0)=0,"",IFERROR(-INDEX(Expenses!D$3:D$999,SMALL(IF((Expenses!E$3:E$999="INR")*(Expenses!A$3:A$999=DATE(2026,9,18)),ROW(Expenses!A$3:A$999)-2),4)),0)+IFERROR(INDEX(Income!C$3:C$502,SMALL(IF((Income!D$3:D$502="INR")*(Income!A$3:A$502=DATE(2026,9,18)),ROW(Income!A$3:A$502)-2),4)),0))</f>
        <v/>
      </c>
      <c r="L192" s="126">
        <f t="array" ref="L192">IF(IFERROR(INDEX(Expenses!B$3:B$999,SMALL(IF((Expenses!E$3:E$999="INR")*(Expenses!A$3:A$999=DATE(2026,9,18)),ROW(Expenses!A$3:A$999)-2),4)),"")&lt;&gt;"",IFERROR(INDEX(Expenses!B$3:B$999,SMALL(IF((Expenses!E$3:E$999="INR")*(Expenses!A$3:A$999=DATE(2026,9,18)),ROW(Expenses!A$3:A$999)-2),4)),""),IF(IFERROR(INDEX(Income!B$3:B$502,SMALL(IF((Income!D$3:D$502="INR")*(Income!A$3:A$502=DATE(2026,9,18)),ROW(Income!A$3:A$502)-2),4)),"")&lt;&gt;"",IFERROR(INDEX(Income!B$3:B$502,SMALL(IF((Income!D$3:D$502="INR")*(Income!A$3:A$502=DATE(2026,9,18)),ROW(Income!A$3:A$502)-2),4)),""),""))</f>
        <v/>
      </c>
      <c r="M192" s="153">
        <f t="array" ref="M192">IF(IFERROR(-INDEX(Expenses!D$3:D$999,SMALL(IF((Expenses!E$3:E$999="INR")*(Expenses!A$3:A$999=DATE(2026,9,19)),ROW(Expenses!A$3:A$999)-2),4)),0)+IFERROR(INDEX(Income!C$3:C$502,SMALL(IF((Income!D$3:D$502="INR")*(Income!A$3:A$502=DATE(2026,9,19)),ROW(Income!A$3:A$502)-2),4)),0)=0,"",IFERROR(-INDEX(Expenses!D$3:D$999,SMALL(IF((Expenses!E$3:E$999="INR")*(Expenses!A$3:A$999=DATE(2026,9,19)),ROW(Expenses!A$3:A$999)-2),4)),0)+IFERROR(INDEX(Income!C$3:C$502,SMALL(IF((Income!D$3:D$502="INR")*(Income!A$3:A$502=DATE(2026,9,19)),ROW(Income!A$3:A$502)-2),4)),0))</f>
        <v/>
      </c>
      <c r="N192" s="126">
        <f t="array" ref="N192">IF(IFERROR(INDEX(Expenses!B$3:B$999,SMALL(IF((Expenses!E$3:E$999="INR")*(Expenses!A$3:A$999=DATE(2026,9,19)),ROW(Expenses!A$3:A$999)-2),4)),"")&lt;&gt;"",IFERROR(INDEX(Expenses!B$3:B$999,SMALL(IF((Expenses!E$3:E$999="INR")*(Expenses!A$3:A$999=DATE(2026,9,19)),ROW(Expenses!A$3:A$999)-2),4)),""),IF(IFERROR(INDEX(Income!B$3:B$502,SMALL(IF((Income!D$3:D$502="INR")*(Income!A$3:A$502=DATE(2026,9,19)),ROW(Income!A$3:A$502)-2),4)),"")&lt;&gt;"",IFERROR(INDEX(Income!B$3:B$502,SMALL(IF((Income!D$3:D$502="INR")*(Income!A$3:A$502=DATE(2026,9,19)),ROW(Income!A$3:A$502)-2),4)),""),""))</f>
        <v/>
      </c>
      <c r="O192" s="153">
        <f t="array" ref="O192">IF(IFERROR(-INDEX(Expenses!D$3:D$999,SMALL(IF((Expenses!E$3:E$999="INR")*(Expenses!A$3:A$999=DATE(2026,9,20)),ROW(Expenses!A$3:A$999)-2),4)),0)+IFERROR(INDEX(Income!C$3:C$502,SMALL(IF((Income!D$3:D$502="INR")*(Income!A$3:A$502=DATE(2026,9,20)),ROW(Income!A$3:A$502)-2),4)),0)=0,"",IFERROR(-INDEX(Expenses!D$3:D$999,SMALL(IF((Expenses!E$3:E$999="INR")*(Expenses!A$3:A$999=DATE(2026,9,20)),ROW(Expenses!A$3:A$999)-2),4)),0)+IFERROR(INDEX(Income!C$3:C$502,SMALL(IF((Income!D$3:D$502="INR")*(Income!A$3:A$502=DATE(2026,9,20)),ROW(Income!A$3:A$502)-2),4)),0))</f>
        <v/>
      </c>
      <c r="P192" s="126">
        <f t="array" ref="P192">IF(IFERROR(INDEX(Expenses!B$3:B$999,SMALL(IF((Expenses!E$3:E$999="INR")*(Expenses!A$3:A$999=DATE(2026,9,20)),ROW(Expenses!A$3:A$999)-2),4)),"")&lt;&gt;"",IFERROR(INDEX(Expenses!B$3:B$999,SMALL(IF((Expenses!E$3:E$999="INR")*(Expenses!A$3:A$999=DATE(2026,9,20)),ROW(Expenses!A$3:A$999)-2),4)),""),IF(IFERROR(INDEX(Income!B$3:B$502,SMALL(IF((Income!D$3:D$502="INR")*(Income!A$3:A$502=DATE(2026,9,20)),ROW(Income!A$3:A$502)-2),4)),"")&lt;&gt;"",IFERROR(INDEX(Income!B$3:B$502,SMALL(IF((Income!D$3:D$502="INR")*(Income!A$3:A$502=DATE(2026,9,20)),ROW(Income!A$3:A$502)-2),4)),""),""))</f>
        <v/>
      </c>
      <c r="Q192" s="9" t="n"/>
      <c r="R192" s="9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68">
      <c r="A193" s="9" t="n"/>
      <c r="B193" s="9" t="n"/>
      <c r="C193" s="153">
        <f t="array" ref="C193">IF(IFERROR(-INDEX(Expenses!D$3:D$999,SMALL(IF((Expenses!E$3:E$999="INR")*(Expenses!A$3:A$999=DATE(2026,9,14)),ROW(Expenses!A$3:A$999)-2),5)),0)+IFERROR(INDEX(Income!C$3:C$502,SMALL(IF((Income!D$3:D$502="INR")*(Income!A$3:A$502=DATE(2026,9,14)),ROW(Income!A$3:A$502)-2),5)),0)=0,"",IFERROR(-INDEX(Expenses!D$3:D$999,SMALL(IF((Expenses!E$3:E$999="INR")*(Expenses!A$3:A$999=DATE(2026,9,14)),ROW(Expenses!A$3:A$999)-2),5)),0)+IFERROR(INDEX(Income!C$3:C$502,SMALL(IF((Income!D$3:D$502="INR")*(Income!A$3:A$502=DATE(2026,9,14)),ROW(Income!A$3:A$502)-2),5)),0))</f>
        <v/>
      </c>
      <c r="D193" s="126">
        <f t="array" ref="D193">IF(IFERROR(INDEX(Expenses!B$3:B$999,SMALL(IF((Expenses!E$3:E$999="INR")*(Expenses!A$3:A$999=DATE(2026,9,14)),ROW(Expenses!A$3:A$999)-2),5)),"")&lt;&gt;"",IFERROR(INDEX(Expenses!B$3:B$999,SMALL(IF((Expenses!E$3:E$999="INR")*(Expenses!A$3:A$999=DATE(2026,9,14)),ROW(Expenses!A$3:A$999)-2),5)),""),IF(IFERROR(INDEX(Income!B$3:B$502,SMALL(IF((Income!D$3:D$502="INR")*(Income!A$3:A$502=DATE(2026,9,14)),ROW(Income!A$3:A$502)-2),5)),"")&lt;&gt;"",IFERROR(INDEX(Income!B$3:B$502,SMALL(IF((Income!D$3:D$502="INR")*(Income!A$3:A$502=DATE(2026,9,14)),ROW(Income!A$3:A$502)-2),5)),""),""))</f>
        <v/>
      </c>
      <c r="E193" s="153">
        <f t="array" ref="E193">IF(IFERROR(-INDEX(Expenses!D$3:D$999,SMALL(IF((Expenses!E$3:E$999="INR")*(Expenses!A$3:A$999=DATE(2026,9,15)),ROW(Expenses!A$3:A$999)-2),5)),0)+IFERROR(INDEX(Income!C$3:C$502,SMALL(IF((Income!D$3:D$502="INR")*(Income!A$3:A$502=DATE(2026,9,15)),ROW(Income!A$3:A$502)-2),5)),0)=0,"",IFERROR(-INDEX(Expenses!D$3:D$999,SMALL(IF((Expenses!E$3:E$999="INR")*(Expenses!A$3:A$999=DATE(2026,9,15)),ROW(Expenses!A$3:A$999)-2),5)),0)+IFERROR(INDEX(Income!C$3:C$502,SMALL(IF((Income!D$3:D$502="INR")*(Income!A$3:A$502=DATE(2026,9,15)),ROW(Income!A$3:A$502)-2),5)),0))</f>
        <v/>
      </c>
      <c r="F193" s="126">
        <f t="array" ref="F193">IF(IFERROR(INDEX(Expenses!B$3:B$999,SMALL(IF((Expenses!E$3:E$999="INR")*(Expenses!A$3:A$999=DATE(2026,9,15)),ROW(Expenses!A$3:A$999)-2),5)),"")&lt;&gt;"",IFERROR(INDEX(Expenses!B$3:B$999,SMALL(IF((Expenses!E$3:E$999="INR")*(Expenses!A$3:A$999=DATE(2026,9,15)),ROW(Expenses!A$3:A$999)-2),5)),""),IF(IFERROR(INDEX(Income!B$3:B$502,SMALL(IF((Income!D$3:D$502="INR")*(Income!A$3:A$502=DATE(2026,9,15)),ROW(Income!A$3:A$502)-2),5)),"")&lt;&gt;"",IFERROR(INDEX(Income!B$3:B$502,SMALL(IF((Income!D$3:D$502="INR")*(Income!A$3:A$502=DATE(2026,9,15)),ROW(Income!A$3:A$502)-2),5)),""),""))</f>
        <v/>
      </c>
      <c r="G193" s="153">
        <f t="array" ref="G193">IF(IFERROR(-INDEX(Expenses!D$3:D$999,SMALL(IF((Expenses!E$3:E$999="INR")*(Expenses!A$3:A$999=DATE(2026,9,16)),ROW(Expenses!A$3:A$999)-2),5)),0)+IFERROR(INDEX(Income!C$3:C$502,SMALL(IF((Income!D$3:D$502="INR")*(Income!A$3:A$502=DATE(2026,9,16)),ROW(Income!A$3:A$502)-2),5)),0)=0,"",IFERROR(-INDEX(Expenses!D$3:D$999,SMALL(IF((Expenses!E$3:E$999="INR")*(Expenses!A$3:A$999=DATE(2026,9,16)),ROW(Expenses!A$3:A$999)-2),5)),0)+IFERROR(INDEX(Income!C$3:C$502,SMALL(IF((Income!D$3:D$502="INR")*(Income!A$3:A$502=DATE(2026,9,16)),ROW(Income!A$3:A$502)-2),5)),0))</f>
        <v/>
      </c>
      <c r="H193" s="126">
        <f t="array" ref="H193">IF(IFERROR(INDEX(Expenses!B$3:B$999,SMALL(IF((Expenses!E$3:E$999="INR")*(Expenses!A$3:A$999=DATE(2026,9,16)),ROW(Expenses!A$3:A$999)-2),5)),"")&lt;&gt;"",IFERROR(INDEX(Expenses!B$3:B$999,SMALL(IF((Expenses!E$3:E$999="INR")*(Expenses!A$3:A$999=DATE(2026,9,16)),ROW(Expenses!A$3:A$999)-2),5)),""),IF(IFERROR(INDEX(Income!B$3:B$502,SMALL(IF((Income!D$3:D$502="INR")*(Income!A$3:A$502=DATE(2026,9,16)),ROW(Income!A$3:A$502)-2),5)),"")&lt;&gt;"",IFERROR(INDEX(Income!B$3:B$502,SMALL(IF((Income!D$3:D$502="INR")*(Income!A$3:A$502=DATE(2026,9,16)),ROW(Income!A$3:A$502)-2),5)),""),""))</f>
        <v/>
      </c>
      <c r="I193" s="153">
        <f t="array" ref="I193">IF(IFERROR(-INDEX(Expenses!D$3:D$999,SMALL(IF((Expenses!E$3:E$999="INR")*(Expenses!A$3:A$999=DATE(2026,9,17)),ROW(Expenses!A$3:A$999)-2),5)),0)+IFERROR(INDEX(Income!C$3:C$502,SMALL(IF((Income!D$3:D$502="INR")*(Income!A$3:A$502=DATE(2026,9,17)),ROW(Income!A$3:A$502)-2),5)),0)=0,"",IFERROR(-INDEX(Expenses!D$3:D$999,SMALL(IF((Expenses!E$3:E$999="INR")*(Expenses!A$3:A$999=DATE(2026,9,17)),ROW(Expenses!A$3:A$999)-2),5)),0)+IFERROR(INDEX(Income!C$3:C$502,SMALL(IF((Income!D$3:D$502="INR")*(Income!A$3:A$502=DATE(2026,9,17)),ROW(Income!A$3:A$502)-2),5)),0))</f>
        <v/>
      </c>
      <c r="J193" s="126">
        <f t="array" ref="J193">IF(IFERROR(INDEX(Expenses!B$3:B$999,SMALL(IF((Expenses!E$3:E$999="INR")*(Expenses!A$3:A$999=DATE(2026,9,17)),ROW(Expenses!A$3:A$999)-2),5)),"")&lt;&gt;"",IFERROR(INDEX(Expenses!B$3:B$999,SMALL(IF((Expenses!E$3:E$999="INR")*(Expenses!A$3:A$999=DATE(2026,9,17)),ROW(Expenses!A$3:A$999)-2),5)),""),IF(IFERROR(INDEX(Income!B$3:B$502,SMALL(IF((Income!D$3:D$502="INR")*(Income!A$3:A$502=DATE(2026,9,17)),ROW(Income!A$3:A$502)-2),5)),"")&lt;&gt;"",IFERROR(INDEX(Income!B$3:B$502,SMALL(IF((Income!D$3:D$502="INR")*(Income!A$3:A$502=DATE(2026,9,17)),ROW(Income!A$3:A$502)-2),5)),""),""))</f>
        <v/>
      </c>
      <c r="K193" s="153">
        <f t="array" ref="K193">IF(IFERROR(-INDEX(Expenses!D$3:D$999,SMALL(IF((Expenses!E$3:E$999="INR")*(Expenses!A$3:A$999=DATE(2026,9,18)),ROW(Expenses!A$3:A$999)-2),5)),0)+IFERROR(INDEX(Income!C$3:C$502,SMALL(IF((Income!D$3:D$502="INR")*(Income!A$3:A$502=DATE(2026,9,18)),ROW(Income!A$3:A$502)-2),5)),0)=0,"",IFERROR(-INDEX(Expenses!D$3:D$999,SMALL(IF((Expenses!E$3:E$999="INR")*(Expenses!A$3:A$999=DATE(2026,9,18)),ROW(Expenses!A$3:A$999)-2),5)),0)+IFERROR(INDEX(Income!C$3:C$502,SMALL(IF((Income!D$3:D$502="INR")*(Income!A$3:A$502=DATE(2026,9,18)),ROW(Income!A$3:A$502)-2),5)),0))</f>
        <v/>
      </c>
      <c r="L193" s="126">
        <f t="array" ref="L193">IF(IFERROR(INDEX(Expenses!B$3:B$999,SMALL(IF((Expenses!E$3:E$999="INR")*(Expenses!A$3:A$999=DATE(2026,9,18)),ROW(Expenses!A$3:A$999)-2),5)),"")&lt;&gt;"",IFERROR(INDEX(Expenses!B$3:B$999,SMALL(IF((Expenses!E$3:E$999="INR")*(Expenses!A$3:A$999=DATE(2026,9,18)),ROW(Expenses!A$3:A$999)-2),5)),""),IF(IFERROR(INDEX(Income!B$3:B$502,SMALL(IF((Income!D$3:D$502="INR")*(Income!A$3:A$502=DATE(2026,9,18)),ROW(Income!A$3:A$502)-2),5)),"")&lt;&gt;"",IFERROR(INDEX(Income!B$3:B$502,SMALL(IF((Income!D$3:D$502="INR")*(Income!A$3:A$502=DATE(2026,9,18)),ROW(Income!A$3:A$502)-2),5)),""),""))</f>
        <v/>
      </c>
      <c r="M193" s="153">
        <f t="array" ref="M193">IF(IFERROR(-INDEX(Expenses!D$3:D$999,SMALL(IF((Expenses!E$3:E$999="INR")*(Expenses!A$3:A$999=DATE(2026,9,19)),ROW(Expenses!A$3:A$999)-2),5)),0)+IFERROR(INDEX(Income!C$3:C$502,SMALL(IF((Income!D$3:D$502="INR")*(Income!A$3:A$502=DATE(2026,9,19)),ROW(Income!A$3:A$502)-2),5)),0)=0,"",IFERROR(-INDEX(Expenses!D$3:D$999,SMALL(IF((Expenses!E$3:E$999="INR")*(Expenses!A$3:A$999=DATE(2026,9,19)),ROW(Expenses!A$3:A$999)-2),5)),0)+IFERROR(INDEX(Income!C$3:C$502,SMALL(IF((Income!D$3:D$502="INR")*(Income!A$3:A$502=DATE(2026,9,19)),ROW(Income!A$3:A$502)-2),5)),0))</f>
        <v/>
      </c>
      <c r="N193" s="126">
        <f t="array" ref="N193">IF(IFERROR(INDEX(Expenses!B$3:B$999,SMALL(IF((Expenses!E$3:E$999="INR")*(Expenses!A$3:A$999=DATE(2026,9,19)),ROW(Expenses!A$3:A$999)-2),5)),"")&lt;&gt;"",IFERROR(INDEX(Expenses!B$3:B$999,SMALL(IF((Expenses!E$3:E$999="INR")*(Expenses!A$3:A$999=DATE(2026,9,19)),ROW(Expenses!A$3:A$999)-2),5)),""),IF(IFERROR(INDEX(Income!B$3:B$502,SMALL(IF((Income!D$3:D$502="INR")*(Income!A$3:A$502=DATE(2026,9,19)),ROW(Income!A$3:A$502)-2),5)),"")&lt;&gt;"",IFERROR(INDEX(Income!B$3:B$502,SMALL(IF((Income!D$3:D$502="INR")*(Income!A$3:A$502=DATE(2026,9,19)),ROW(Income!A$3:A$502)-2),5)),""),""))</f>
        <v/>
      </c>
      <c r="O193" s="153">
        <f t="array" ref="O193">IF(IFERROR(-INDEX(Expenses!D$3:D$999,SMALL(IF((Expenses!E$3:E$999="INR")*(Expenses!A$3:A$999=DATE(2026,9,20)),ROW(Expenses!A$3:A$999)-2),5)),0)+IFERROR(INDEX(Income!C$3:C$502,SMALL(IF((Income!D$3:D$502="INR")*(Income!A$3:A$502=DATE(2026,9,20)),ROW(Income!A$3:A$502)-2),5)),0)=0,"",IFERROR(-INDEX(Expenses!D$3:D$999,SMALL(IF((Expenses!E$3:E$999="INR")*(Expenses!A$3:A$999=DATE(2026,9,20)),ROW(Expenses!A$3:A$999)-2),5)),0)+IFERROR(INDEX(Income!C$3:C$502,SMALL(IF((Income!D$3:D$502="INR")*(Income!A$3:A$502=DATE(2026,9,20)),ROW(Income!A$3:A$502)-2),5)),0))</f>
        <v/>
      </c>
      <c r="P193" s="126">
        <f t="array" ref="P193">IF(IFERROR(INDEX(Expenses!B$3:B$999,SMALL(IF((Expenses!E$3:E$999="INR")*(Expenses!A$3:A$999=DATE(2026,9,20)),ROW(Expenses!A$3:A$999)-2),5)),"")&lt;&gt;"",IFERROR(INDEX(Expenses!B$3:B$999,SMALL(IF((Expenses!E$3:E$999="INR")*(Expenses!A$3:A$999=DATE(2026,9,20)),ROW(Expenses!A$3:A$999)-2),5)),""),IF(IFERROR(INDEX(Income!B$3:B$502,SMALL(IF((Income!D$3:D$502="INR")*(Income!A$3:A$502=DATE(2026,9,20)),ROW(Income!A$3:A$502)-2),5)),"")&lt;&gt;"",IFERROR(INDEX(Income!B$3:B$502,SMALL(IF((Income!D$3:D$502="INR")*(Income!A$3:A$502=DATE(2026,9,20)),ROW(Income!A$3:A$502)-2),5)),""),""))</f>
        <v/>
      </c>
      <c r="Q193" s="9" t="n"/>
      <c r="R193" s="9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68">
      <c r="A194" s="151" t="n">
        <v>46286</v>
      </c>
      <c r="B194" s="103" t="n">
        <v>39</v>
      </c>
      <c r="C194" s="153">
        <f t="array" ref="C194">IF(IFERROR(-INDEX(Expenses!D$3:D$999,SMALL(IF((Expenses!E$3:E$999="INR")*(Expenses!A$3:A$999=DATE(2026,9,21)),ROW(Expenses!A$3:A$999)-2),1)),0)+IFERROR(INDEX(Income!C$3:C$502,SMALL(IF((Income!D$3:D$502="INR")*(Income!A$3:A$502=DATE(2026,9,21)),ROW(Income!A$3:A$502)-2),1)),0)=0,"",IFERROR(-INDEX(Expenses!D$3:D$999,SMALL(IF((Expenses!E$3:E$999="INR")*(Expenses!A$3:A$999=DATE(2026,9,21)),ROW(Expenses!A$3:A$999)-2),1)),0)+IFERROR(INDEX(Income!C$3:C$502,SMALL(IF((Income!D$3:D$502="INR")*(Income!A$3:A$502=DATE(2026,9,21)),ROW(Income!A$3:A$502)-2),1)),0))</f>
        <v/>
      </c>
      <c r="D194" s="126">
        <f t="array" ref="D194">IF(IFERROR(INDEX(Expenses!B$3:B$999,SMALL(IF((Expenses!E$3:E$999="INR")*(Expenses!A$3:A$999=DATE(2026,9,21)),ROW(Expenses!A$3:A$999)-2),1)),"")&lt;&gt;"",IFERROR(INDEX(Expenses!B$3:B$999,SMALL(IF((Expenses!E$3:E$999="INR")*(Expenses!A$3:A$999=DATE(2026,9,21)),ROW(Expenses!A$3:A$999)-2),1)),""),IF(IFERROR(INDEX(Income!B$3:B$502,SMALL(IF((Income!D$3:D$502="INR")*(Income!A$3:A$502=DATE(2026,9,21)),ROW(Income!A$3:A$502)-2),1)),"")&lt;&gt;"",IFERROR(INDEX(Income!B$3:B$502,SMALL(IF((Income!D$3:D$502="INR")*(Income!A$3:A$502=DATE(2026,9,21)),ROW(Income!A$3:A$502)-2),1)),""),""))</f>
        <v/>
      </c>
      <c r="E194" s="153">
        <f t="array" ref="E194">IF(IFERROR(-INDEX(Expenses!D$3:D$999,SMALL(IF((Expenses!E$3:E$999="INR")*(Expenses!A$3:A$999=DATE(2026,9,22)),ROW(Expenses!A$3:A$999)-2),1)),0)+IFERROR(INDEX(Income!C$3:C$502,SMALL(IF((Income!D$3:D$502="INR")*(Income!A$3:A$502=DATE(2026,9,22)),ROW(Income!A$3:A$502)-2),1)),0)=0,"",IFERROR(-INDEX(Expenses!D$3:D$999,SMALL(IF((Expenses!E$3:E$999="INR")*(Expenses!A$3:A$999=DATE(2026,9,22)),ROW(Expenses!A$3:A$999)-2),1)),0)+IFERROR(INDEX(Income!C$3:C$502,SMALL(IF((Income!D$3:D$502="INR")*(Income!A$3:A$502=DATE(2026,9,22)),ROW(Income!A$3:A$502)-2),1)),0))</f>
        <v/>
      </c>
      <c r="F194" s="126">
        <f t="array" ref="F194">IF(IFERROR(INDEX(Expenses!B$3:B$999,SMALL(IF((Expenses!E$3:E$999="INR")*(Expenses!A$3:A$999=DATE(2026,9,22)),ROW(Expenses!A$3:A$999)-2),1)),"")&lt;&gt;"",IFERROR(INDEX(Expenses!B$3:B$999,SMALL(IF((Expenses!E$3:E$999="INR")*(Expenses!A$3:A$999=DATE(2026,9,22)),ROW(Expenses!A$3:A$999)-2),1)),""),IF(IFERROR(INDEX(Income!B$3:B$502,SMALL(IF((Income!D$3:D$502="INR")*(Income!A$3:A$502=DATE(2026,9,22)),ROW(Income!A$3:A$502)-2),1)),"")&lt;&gt;"",IFERROR(INDEX(Income!B$3:B$502,SMALL(IF((Income!D$3:D$502="INR")*(Income!A$3:A$502=DATE(2026,9,22)),ROW(Income!A$3:A$502)-2),1)),""),""))</f>
        <v/>
      </c>
      <c r="G194" s="153">
        <f t="array" ref="G194">IF(IFERROR(-INDEX(Expenses!D$3:D$999,SMALL(IF((Expenses!E$3:E$999="INR")*(Expenses!A$3:A$999=DATE(2026,9,23)),ROW(Expenses!A$3:A$999)-2),1)),0)+IFERROR(INDEX(Income!C$3:C$502,SMALL(IF((Income!D$3:D$502="INR")*(Income!A$3:A$502=DATE(2026,9,23)),ROW(Income!A$3:A$502)-2),1)),0)=0,"",IFERROR(-INDEX(Expenses!D$3:D$999,SMALL(IF((Expenses!E$3:E$999="INR")*(Expenses!A$3:A$999=DATE(2026,9,23)),ROW(Expenses!A$3:A$999)-2),1)),0)+IFERROR(INDEX(Income!C$3:C$502,SMALL(IF((Income!D$3:D$502="INR")*(Income!A$3:A$502=DATE(2026,9,23)),ROW(Income!A$3:A$502)-2),1)),0))</f>
        <v/>
      </c>
      <c r="H194" s="126">
        <f t="array" ref="H194">IF(IFERROR(INDEX(Expenses!B$3:B$999,SMALL(IF((Expenses!E$3:E$999="INR")*(Expenses!A$3:A$999=DATE(2026,9,23)),ROW(Expenses!A$3:A$999)-2),1)),"")&lt;&gt;"",IFERROR(INDEX(Expenses!B$3:B$999,SMALL(IF((Expenses!E$3:E$999="INR")*(Expenses!A$3:A$999=DATE(2026,9,23)),ROW(Expenses!A$3:A$999)-2),1)),""),IF(IFERROR(INDEX(Income!B$3:B$502,SMALL(IF((Income!D$3:D$502="INR")*(Income!A$3:A$502=DATE(2026,9,23)),ROW(Income!A$3:A$502)-2),1)),"")&lt;&gt;"",IFERROR(INDEX(Income!B$3:B$502,SMALL(IF((Income!D$3:D$502="INR")*(Income!A$3:A$502=DATE(2026,9,23)),ROW(Income!A$3:A$502)-2),1)),""),""))</f>
        <v/>
      </c>
      <c r="I194" s="153">
        <f t="array" ref="I194">IF(IFERROR(-INDEX(Expenses!D$3:D$999,SMALL(IF((Expenses!E$3:E$999="INR")*(Expenses!A$3:A$999=DATE(2026,9,24)),ROW(Expenses!A$3:A$999)-2),1)),0)+IFERROR(INDEX(Income!C$3:C$502,SMALL(IF((Income!D$3:D$502="INR")*(Income!A$3:A$502=DATE(2026,9,24)),ROW(Income!A$3:A$502)-2),1)),0)=0,"",IFERROR(-INDEX(Expenses!D$3:D$999,SMALL(IF((Expenses!E$3:E$999="INR")*(Expenses!A$3:A$999=DATE(2026,9,24)),ROW(Expenses!A$3:A$999)-2),1)),0)+IFERROR(INDEX(Income!C$3:C$502,SMALL(IF((Income!D$3:D$502="INR")*(Income!A$3:A$502=DATE(2026,9,24)),ROW(Income!A$3:A$502)-2),1)),0))</f>
        <v/>
      </c>
      <c r="J194" s="126">
        <f t="array" ref="J194">IF(IFERROR(INDEX(Expenses!B$3:B$999,SMALL(IF((Expenses!E$3:E$999="INR")*(Expenses!A$3:A$999=DATE(2026,9,24)),ROW(Expenses!A$3:A$999)-2),1)),"")&lt;&gt;"",IFERROR(INDEX(Expenses!B$3:B$999,SMALL(IF((Expenses!E$3:E$999="INR")*(Expenses!A$3:A$999=DATE(2026,9,24)),ROW(Expenses!A$3:A$999)-2),1)),""),IF(IFERROR(INDEX(Income!B$3:B$502,SMALL(IF((Income!D$3:D$502="INR")*(Income!A$3:A$502=DATE(2026,9,24)),ROW(Income!A$3:A$502)-2),1)),"")&lt;&gt;"",IFERROR(INDEX(Income!B$3:B$502,SMALL(IF((Income!D$3:D$502="INR")*(Income!A$3:A$502=DATE(2026,9,24)),ROW(Income!A$3:A$502)-2),1)),""),""))</f>
        <v/>
      </c>
      <c r="K194" s="153">
        <f t="array" ref="K194">IF(IFERROR(-INDEX(Expenses!D$3:D$999,SMALL(IF((Expenses!E$3:E$999="INR")*(Expenses!A$3:A$999=DATE(2026,9,25)),ROW(Expenses!A$3:A$999)-2),1)),0)+IFERROR(INDEX(Income!C$3:C$502,SMALL(IF((Income!D$3:D$502="INR")*(Income!A$3:A$502=DATE(2026,9,25)),ROW(Income!A$3:A$502)-2),1)),0)=0,"",IFERROR(-INDEX(Expenses!D$3:D$999,SMALL(IF((Expenses!E$3:E$999="INR")*(Expenses!A$3:A$999=DATE(2026,9,25)),ROW(Expenses!A$3:A$999)-2),1)),0)+IFERROR(INDEX(Income!C$3:C$502,SMALL(IF((Income!D$3:D$502="INR")*(Income!A$3:A$502=DATE(2026,9,25)),ROW(Income!A$3:A$502)-2),1)),0))</f>
        <v/>
      </c>
      <c r="L194" s="126">
        <f t="array" ref="L194">IF(IFERROR(INDEX(Expenses!B$3:B$999,SMALL(IF((Expenses!E$3:E$999="INR")*(Expenses!A$3:A$999=DATE(2026,9,25)),ROW(Expenses!A$3:A$999)-2),1)),"")&lt;&gt;"",IFERROR(INDEX(Expenses!B$3:B$999,SMALL(IF((Expenses!E$3:E$999="INR")*(Expenses!A$3:A$999=DATE(2026,9,25)),ROW(Expenses!A$3:A$999)-2),1)),""),IF(IFERROR(INDEX(Income!B$3:B$502,SMALL(IF((Income!D$3:D$502="INR")*(Income!A$3:A$502=DATE(2026,9,25)),ROW(Income!A$3:A$502)-2),1)),"")&lt;&gt;"",IFERROR(INDEX(Income!B$3:B$502,SMALL(IF((Income!D$3:D$502="INR")*(Income!A$3:A$502=DATE(2026,9,25)),ROW(Income!A$3:A$502)-2),1)),""),""))</f>
        <v/>
      </c>
      <c r="M194" s="153">
        <f t="array" ref="M194">IF(IFERROR(-INDEX(Expenses!D$3:D$999,SMALL(IF((Expenses!E$3:E$999="INR")*(Expenses!A$3:A$999=DATE(2026,9,26)),ROW(Expenses!A$3:A$999)-2),1)),0)+IFERROR(INDEX(Income!C$3:C$502,SMALL(IF((Income!D$3:D$502="INR")*(Income!A$3:A$502=DATE(2026,9,26)),ROW(Income!A$3:A$502)-2),1)),0)=0,"",IFERROR(-INDEX(Expenses!D$3:D$999,SMALL(IF((Expenses!E$3:E$999="INR")*(Expenses!A$3:A$999=DATE(2026,9,26)),ROW(Expenses!A$3:A$999)-2),1)),0)+IFERROR(INDEX(Income!C$3:C$502,SMALL(IF((Income!D$3:D$502="INR")*(Income!A$3:A$502=DATE(2026,9,26)),ROW(Income!A$3:A$502)-2),1)),0))</f>
        <v/>
      </c>
      <c r="N194" s="126">
        <f t="array" ref="N194">IF(IFERROR(INDEX(Expenses!B$3:B$999,SMALL(IF((Expenses!E$3:E$999="INR")*(Expenses!A$3:A$999=DATE(2026,9,26)),ROW(Expenses!A$3:A$999)-2),1)),"")&lt;&gt;"",IFERROR(INDEX(Expenses!B$3:B$999,SMALL(IF((Expenses!E$3:E$999="INR")*(Expenses!A$3:A$999=DATE(2026,9,26)),ROW(Expenses!A$3:A$999)-2),1)),""),IF(IFERROR(INDEX(Income!B$3:B$502,SMALL(IF((Income!D$3:D$502="INR")*(Income!A$3:A$502=DATE(2026,9,26)),ROW(Income!A$3:A$502)-2),1)),"")&lt;&gt;"",IFERROR(INDEX(Income!B$3:B$502,SMALL(IF((Income!D$3:D$502="INR")*(Income!A$3:A$502=DATE(2026,9,26)),ROW(Income!A$3:A$502)-2),1)),""),""))</f>
        <v/>
      </c>
      <c r="O194" s="153">
        <f t="array" ref="O194">IF(IFERROR(-INDEX(Expenses!D$3:D$999,SMALL(IF((Expenses!E$3:E$999="INR")*(Expenses!A$3:A$999=DATE(2026,9,27)),ROW(Expenses!A$3:A$999)-2),1)),0)+IFERROR(INDEX(Income!C$3:C$502,SMALL(IF((Income!D$3:D$502="INR")*(Income!A$3:A$502=DATE(2026,9,27)),ROW(Income!A$3:A$502)-2),1)),0)=0,"",IFERROR(-INDEX(Expenses!D$3:D$999,SMALL(IF((Expenses!E$3:E$999="INR")*(Expenses!A$3:A$999=DATE(2026,9,27)),ROW(Expenses!A$3:A$999)-2),1)),0)+IFERROR(INDEX(Income!C$3:C$502,SMALL(IF((Income!D$3:D$502="INR")*(Income!A$3:A$502=DATE(2026,9,27)),ROW(Income!A$3:A$502)-2),1)),0))</f>
        <v/>
      </c>
      <c r="P194" s="126">
        <f t="array" ref="P194">IF(IFERROR(INDEX(Expenses!B$3:B$999,SMALL(IF((Expenses!E$3:E$999="INR")*(Expenses!A$3:A$999=DATE(2026,9,27)),ROW(Expenses!A$3:A$999)-2),1)),"")&lt;&gt;"",IFERROR(INDEX(Expenses!B$3:B$999,SMALL(IF((Expenses!E$3:E$999="INR")*(Expenses!A$3:A$999=DATE(2026,9,27)),ROW(Expenses!A$3:A$999)-2),1)),""),IF(IFERROR(INDEX(Income!B$3:B$502,SMALL(IF((Income!D$3:D$502="INR")*(Income!A$3:A$502=DATE(2026,9,27)),ROW(Income!A$3:A$502)-2),1)),"")&lt;&gt;"",IFERROR(INDEX(Income!B$3:B$502,SMALL(IF((Income!D$3:D$502="INR")*(Income!A$3:A$502=DATE(2026,9,27)),ROW(Income!A$3:A$502)-2),1)),""),""))</f>
        <v/>
      </c>
      <c r="Q194" s="103" t="n">
        <v>39</v>
      </c>
      <c r="R194" s="142">
        <f>SUM(C194:C198)+SUM(E194:E198)+SUM(G194:G198)+SUM(I194:I198)+SUM(K194:K198)+SUM(M194:M198)+SUM(O194:O198)</f>
        <v/>
      </c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68">
      <c r="A195" s="9" t="n"/>
      <c r="B195" s="9" t="n"/>
      <c r="C195" s="153">
        <f t="array" ref="C195">IF(IFERROR(-INDEX(Expenses!D$3:D$999,SMALL(IF((Expenses!E$3:E$999="INR")*(Expenses!A$3:A$999=DATE(2026,9,21)),ROW(Expenses!A$3:A$999)-2),2)),0)+IFERROR(INDEX(Income!C$3:C$502,SMALL(IF((Income!D$3:D$502="INR")*(Income!A$3:A$502=DATE(2026,9,21)),ROW(Income!A$3:A$502)-2),2)),0)=0,"",IFERROR(-INDEX(Expenses!D$3:D$999,SMALL(IF((Expenses!E$3:E$999="INR")*(Expenses!A$3:A$999=DATE(2026,9,21)),ROW(Expenses!A$3:A$999)-2),2)),0)+IFERROR(INDEX(Income!C$3:C$502,SMALL(IF((Income!D$3:D$502="INR")*(Income!A$3:A$502=DATE(2026,9,21)),ROW(Income!A$3:A$502)-2),2)),0))</f>
        <v/>
      </c>
      <c r="D195" s="126">
        <f t="array" ref="D195">IF(IFERROR(INDEX(Expenses!B$3:B$999,SMALL(IF((Expenses!E$3:E$999="INR")*(Expenses!A$3:A$999=DATE(2026,9,21)),ROW(Expenses!A$3:A$999)-2),2)),"")&lt;&gt;"",IFERROR(INDEX(Expenses!B$3:B$999,SMALL(IF((Expenses!E$3:E$999="INR")*(Expenses!A$3:A$999=DATE(2026,9,21)),ROW(Expenses!A$3:A$999)-2),2)),""),IF(IFERROR(INDEX(Income!B$3:B$502,SMALL(IF((Income!D$3:D$502="INR")*(Income!A$3:A$502=DATE(2026,9,21)),ROW(Income!A$3:A$502)-2),2)),"")&lt;&gt;"",IFERROR(INDEX(Income!B$3:B$502,SMALL(IF((Income!D$3:D$502="INR")*(Income!A$3:A$502=DATE(2026,9,21)),ROW(Income!A$3:A$502)-2),2)),""),""))</f>
        <v/>
      </c>
      <c r="E195" s="153">
        <f t="array" ref="E195">IF(IFERROR(-INDEX(Expenses!D$3:D$999,SMALL(IF((Expenses!E$3:E$999="INR")*(Expenses!A$3:A$999=DATE(2026,9,22)),ROW(Expenses!A$3:A$999)-2),2)),0)+IFERROR(INDEX(Income!C$3:C$502,SMALL(IF((Income!D$3:D$502="INR")*(Income!A$3:A$502=DATE(2026,9,22)),ROW(Income!A$3:A$502)-2),2)),0)=0,"",IFERROR(-INDEX(Expenses!D$3:D$999,SMALL(IF((Expenses!E$3:E$999="INR")*(Expenses!A$3:A$999=DATE(2026,9,22)),ROW(Expenses!A$3:A$999)-2),2)),0)+IFERROR(INDEX(Income!C$3:C$502,SMALL(IF((Income!D$3:D$502="INR")*(Income!A$3:A$502=DATE(2026,9,22)),ROW(Income!A$3:A$502)-2),2)),0))</f>
        <v/>
      </c>
      <c r="F195" s="126">
        <f t="array" ref="F195">IF(IFERROR(INDEX(Expenses!B$3:B$999,SMALL(IF((Expenses!E$3:E$999="INR")*(Expenses!A$3:A$999=DATE(2026,9,22)),ROW(Expenses!A$3:A$999)-2),2)),"")&lt;&gt;"",IFERROR(INDEX(Expenses!B$3:B$999,SMALL(IF((Expenses!E$3:E$999="INR")*(Expenses!A$3:A$999=DATE(2026,9,22)),ROW(Expenses!A$3:A$999)-2),2)),""),IF(IFERROR(INDEX(Income!B$3:B$502,SMALL(IF((Income!D$3:D$502="INR")*(Income!A$3:A$502=DATE(2026,9,22)),ROW(Income!A$3:A$502)-2),2)),"")&lt;&gt;"",IFERROR(INDEX(Income!B$3:B$502,SMALL(IF((Income!D$3:D$502="INR")*(Income!A$3:A$502=DATE(2026,9,22)),ROW(Income!A$3:A$502)-2),2)),""),""))</f>
        <v/>
      </c>
      <c r="G195" s="153">
        <f t="array" ref="G195">IF(IFERROR(-INDEX(Expenses!D$3:D$999,SMALL(IF((Expenses!E$3:E$999="INR")*(Expenses!A$3:A$999=DATE(2026,9,23)),ROW(Expenses!A$3:A$999)-2),2)),0)+IFERROR(INDEX(Income!C$3:C$502,SMALL(IF((Income!D$3:D$502="INR")*(Income!A$3:A$502=DATE(2026,9,23)),ROW(Income!A$3:A$502)-2),2)),0)=0,"",IFERROR(-INDEX(Expenses!D$3:D$999,SMALL(IF((Expenses!E$3:E$999="INR")*(Expenses!A$3:A$999=DATE(2026,9,23)),ROW(Expenses!A$3:A$999)-2),2)),0)+IFERROR(INDEX(Income!C$3:C$502,SMALL(IF((Income!D$3:D$502="INR")*(Income!A$3:A$502=DATE(2026,9,23)),ROW(Income!A$3:A$502)-2),2)),0))</f>
        <v/>
      </c>
      <c r="H195" s="126">
        <f t="array" ref="H195">IF(IFERROR(INDEX(Expenses!B$3:B$999,SMALL(IF((Expenses!E$3:E$999="INR")*(Expenses!A$3:A$999=DATE(2026,9,23)),ROW(Expenses!A$3:A$999)-2),2)),"")&lt;&gt;"",IFERROR(INDEX(Expenses!B$3:B$999,SMALL(IF((Expenses!E$3:E$999="INR")*(Expenses!A$3:A$999=DATE(2026,9,23)),ROW(Expenses!A$3:A$999)-2),2)),""),IF(IFERROR(INDEX(Income!B$3:B$502,SMALL(IF((Income!D$3:D$502="INR")*(Income!A$3:A$502=DATE(2026,9,23)),ROW(Income!A$3:A$502)-2),2)),"")&lt;&gt;"",IFERROR(INDEX(Income!B$3:B$502,SMALL(IF((Income!D$3:D$502="INR")*(Income!A$3:A$502=DATE(2026,9,23)),ROW(Income!A$3:A$502)-2),2)),""),""))</f>
        <v/>
      </c>
      <c r="I195" s="153">
        <f t="array" ref="I195">IF(IFERROR(-INDEX(Expenses!D$3:D$999,SMALL(IF((Expenses!E$3:E$999="INR")*(Expenses!A$3:A$999=DATE(2026,9,24)),ROW(Expenses!A$3:A$999)-2),2)),0)+IFERROR(INDEX(Income!C$3:C$502,SMALL(IF((Income!D$3:D$502="INR")*(Income!A$3:A$502=DATE(2026,9,24)),ROW(Income!A$3:A$502)-2),2)),0)=0,"",IFERROR(-INDEX(Expenses!D$3:D$999,SMALL(IF((Expenses!E$3:E$999="INR")*(Expenses!A$3:A$999=DATE(2026,9,24)),ROW(Expenses!A$3:A$999)-2),2)),0)+IFERROR(INDEX(Income!C$3:C$502,SMALL(IF((Income!D$3:D$502="INR")*(Income!A$3:A$502=DATE(2026,9,24)),ROW(Income!A$3:A$502)-2),2)),0))</f>
        <v/>
      </c>
      <c r="J195" s="126">
        <f t="array" ref="J195">IF(IFERROR(INDEX(Expenses!B$3:B$999,SMALL(IF((Expenses!E$3:E$999="INR")*(Expenses!A$3:A$999=DATE(2026,9,24)),ROW(Expenses!A$3:A$999)-2),2)),"")&lt;&gt;"",IFERROR(INDEX(Expenses!B$3:B$999,SMALL(IF((Expenses!E$3:E$999="INR")*(Expenses!A$3:A$999=DATE(2026,9,24)),ROW(Expenses!A$3:A$999)-2),2)),""),IF(IFERROR(INDEX(Income!B$3:B$502,SMALL(IF((Income!D$3:D$502="INR")*(Income!A$3:A$502=DATE(2026,9,24)),ROW(Income!A$3:A$502)-2),2)),"")&lt;&gt;"",IFERROR(INDEX(Income!B$3:B$502,SMALL(IF((Income!D$3:D$502="INR")*(Income!A$3:A$502=DATE(2026,9,24)),ROW(Income!A$3:A$502)-2),2)),""),""))</f>
        <v/>
      </c>
      <c r="K195" s="153">
        <f t="array" ref="K195">IF(IFERROR(-INDEX(Expenses!D$3:D$999,SMALL(IF((Expenses!E$3:E$999="INR")*(Expenses!A$3:A$999=DATE(2026,9,25)),ROW(Expenses!A$3:A$999)-2),2)),0)+IFERROR(INDEX(Income!C$3:C$502,SMALL(IF((Income!D$3:D$502="INR")*(Income!A$3:A$502=DATE(2026,9,25)),ROW(Income!A$3:A$502)-2),2)),0)=0,"",IFERROR(-INDEX(Expenses!D$3:D$999,SMALL(IF((Expenses!E$3:E$999="INR")*(Expenses!A$3:A$999=DATE(2026,9,25)),ROW(Expenses!A$3:A$999)-2),2)),0)+IFERROR(INDEX(Income!C$3:C$502,SMALL(IF((Income!D$3:D$502="INR")*(Income!A$3:A$502=DATE(2026,9,25)),ROW(Income!A$3:A$502)-2),2)),0))</f>
        <v/>
      </c>
      <c r="L195" s="126">
        <f t="array" ref="L195">IF(IFERROR(INDEX(Expenses!B$3:B$999,SMALL(IF((Expenses!E$3:E$999="INR")*(Expenses!A$3:A$999=DATE(2026,9,25)),ROW(Expenses!A$3:A$999)-2),2)),"")&lt;&gt;"",IFERROR(INDEX(Expenses!B$3:B$999,SMALL(IF((Expenses!E$3:E$999="INR")*(Expenses!A$3:A$999=DATE(2026,9,25)),ROW(Expenses!A$3:A$999)-2),2)),""),IF(IFERROR(INDEX(Income!B$3:B$502,SMALL(IF((Income!D$3:D$502="INR")*(Income!A$3:A$502=DATE(2026,9,25)),ROW(Income!A$3:A$502)-2),2)),"")&lt;&gt;"",IFERROR(INDEX(Income!B$3:B$502,SMALL(IF((Income!D$3:D$502="INR")*(Income!A$3:A$502=DATE(2026,9,25)),ROW(Income!A$3:A$502)-2),2)),""),""))</f>
        <v/>
      </c>
      <c r="M195" s="153">
        <f t="array" ref="M195">IF(IFERROR(-INDEX(Expenses!D$3:D$999,SMALL(IF((Expenses!E$3:E$999="INR")*(Expenses!A$3:A$999=DATE(2026,9,26)),ROW(Expenses!A$3:A$999)-2),2)),0)+IFERROR(INDEX(Income!C$3:C$502,SMALL(IF((Income!D$3:D$502="INR")*(Income!A$3:A$502=DATE(2026,9,26)),ROW(Income!A$3:A$502)-2),2)),0)=0,"",IFERROR(-INDEX(Expenses!D$3:D$999,SMALL(IF((Expenses!E$3:E$999="INR")*(Expenses!A$3:A$999=DATE(2026,9,26)),ROW(Expenses!A$3:A$999)-2),2)),0)+IFERROR(INDEX(Income!C$3:C$502,SMALL(IF((Income!D$3:D$502="INR")*(Income!A$3:A$502=DATE(2026,9,26)),ROW(Income!A$3:A$502)-2),2)),0))</f>
        <v/>
      </c>
      <c r="N195" s="126">
        <f t="array" ref="N195">IF(IFERROR(INDEX(Expenses!B$3:B$999,SMALL(IF((Expenses!E$3:E$999="INR")*(Expenses!A$3:A$999=DATE(2026,9,26)),ROW(Expenses!A$3:A$999)-2),2)),"")&lt;&gt;"",IFERROR(INDEX(Expenses!B$3:B$999,SMALL(IF((Expenses!E$3:E$999="INR")*(Expenses!A$3:A$999=DATE(2026,9,26)),ROW(Expenses!A$3:A$999)-2),2)),""),IF(IFERROR(INDEX(Income!B$3:B$502,SMALL(IF((Income!D$3:D$502="INR")*(Income!A$3:A$502=DATE(2026,9,26)),ROW(Income!A$3:A$502)-2),2)),"")&lt;&gt;"",IFERROR(INDEX(Income!B$3:B$502,SMALL(IF((Income!D$3:D$502="INR")*(Income!A$3:A$502=DATE(2026,9,26)),ROW(Income!A$3:A$502)-2),2)),""),""))</f>
        <v/>
      </c>
      <c r="O195" s="153">
        <f t="array" ref="O195">IF(IFERROR(-INDEX(Expenses!D$3:D$999,SMALL(IF((Expenses!E$3:E$999="INR")*(Expenses!A$3:A$999=DATE(2026,9,27)),ROW(Expenses!A$3:A$999)-2),2)),0)+IFERROR(INDEX(Income!C$3:C$502,SMALL(IF((Income!D$3:D$502="INR")*(Income!A$3:A$502=DATE(2026,9,27)),ROW(Income!A$3:A$502)-2),2)),0)=0,"",IFERROR(-INDEX(Expenses!D$3:D$999,SMALL(IF((Expenses!E$3:E$999="INR")*(Expenses!A$3:A$999=DATE(2026,9,27)),ROW(Expenses!A$3:A$999)-2),2)),0)+IFERROR(INDEX(Income!C$3:C$502,SMALL(IF((Income!D$3:D$502="INR")*(Income!A$3:A$502=DATE(2026,9,27)),ROW(Income!A$3:A$502)-2),2)),0))</f>
        <v/>
      </c>
      <c r="P195" s="126">
        <f t="array" ref="P195">IF(IFERROR(INDEX(Expenses!B$3:B$999,SMALL(IF((Expenses!E$3:E$999="INR")*(Expenses!A$3:A$999=DATE(2026,9,27)),ROW(Expenses!A$3:A$999)-2),2)),"")&lt;&gt;"",IFERROR(INDEX(Expenses!B$3:B$999,SMALL(IF((Expenses!E$3:E$999="INR")*(Expenses!A$3:A$999=DATE(2026,9,27)),ROW(Expenses!A$3:A$999)-2),2)),""),IF(IFERROR(INDEX(Income!B$3:B$502,SMALL(IF((Income!D$3:D$502="INR")*(Income!A$3:A$502=DATE(2026,9,27)),ROW(Income!A$3:A$502)-2),2)),"")&lt;&gt;"",IFERROR(INDEX(Income!B$3:B$502,SMALL(IF((Income!D$3:D$502="INR")*(Income!A$3:A$502=DATE(2026,9,27)),ROW(Income!A$3:A$502)-2),2)),""),""))</f>
        <v/>
      </c>
      <c r="Q195" s="9" t="n"/>
      <c r="R195" s="9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68">
      <c r="A196" s="9" t="n"/>
      <c r="B196" s="9" t="n"/>
      <c r="C196" s="153">
        <f t="array" ref="C196">IF(IFERROR(-INDEX(Expenses!D$3:D$999,SMALL(IF((Expenses!E$3:E$999="INR")*(Expenses!A$3:A$999=DATE(2026,9,21)),ROW(Expenses!A$3:A$999)-2),3)),0)+IFERROR(INDEX(Income!C$3:C$502,SMALL(IF((Income!D$3:D$502="INR")*(Income!A$3:A$502=DATE(2026,9,21)),ROW(Income!A$3:A$502)-2),3)),0)=0,"",IFERROR(-INDEX(Expenses!D$3:D$999,SMALL(IF((Expenses!E$3:E$999="INR")*(Expenses!A$3:A$999=DATE(2026,9,21)),ROW(Expenses!A$3:A$999)-2),3)),0)+IFERROR(INDEX(Income!C$3:C$502,SMALL(IF((Income!D$3:D$502="INR")*(Income!A$3:A$502=DATE(2026,9,21)),ROW(Income!A$3:A$502)-2),3)),0))</f>
        <v/>
      </c>
      <c r="D196" s="126">
        <f t="array" ref="D196">IF(IFERROR(INDEX(Expenses!B$3:B$999,SMALL(IF((Expenses!E$3:E$999="INR")*(Expenses!A$3:A$999=DATE(2026,9,21)),ROW(Expenses!A$3:A$999)-2),3)),"")&lt;&gt;"",IFERROR(INDEX(Expenses!B$3:B$999,SMALL(IF((Expenses!E$3:E$999="INR")*(Expenses!A$3:A$999=DATE(2026,9,21)),ROW(Expenses!A$3:A$999)-2),3)),""),IF(IFERROR(INDEX(Income!B$3:B$502,SMALL(IF((Income!D$3:D$502="INR")*(Income!A$3:A$502=DATE(2026,9,21)),ROW(Income!A$3:A$502)-2),3)),"")&lt;&gt;"",IFERROR(INDEX(Income!B$3:B$502,SMALL(IF((Income!D$3:D$502="INR")*(Income!A$3:A$502=DATE(2026,9,21)),ROW(Income!A$3:A$502)-2),3)),""),""))</f>
        <v/>
      </c>
      <c r="E196" s="153">
        <f t="array" ref="E196">IF(IFERROR(-INDEX(Expenses!D$3:D$999,SMALL(IF((Expenses!E$3:E$999="INR")*(Expenses!A$3:A$999=DATE(2026,9,22)),ROW(Expenses!A$3:A$999)-2),3)),0)+IFERROR(INDEX(Income!C$3:C$502,SMALL(IF((Income!D$3:D$502="INR")*(Income!A$3:A$502=DATE(2026,9,22)),ROW(Income!A$3:A$502)-2),3)),0)=0,"",IFERROR(-INDEX(Expenses!D$3:D$999,SMALL(IF((Expenses!E$3:E$999="INR")*(Expenses!A$3:A$999=DATE(2026,9,22)),ROW(Expenses!A$3:A$999)-2),3)),0)+IFERROR(INDEX(Income!C$3:C$502,SMALL(IF((Income!D$3:D$502="INR")*(Income!A$3:A$502=DATE(2026,9,22)),ROW(Income!A$3:A$502)-2),3)),0))</f>
        <v/>
      </c>
      <c r="F196" s="126">
        <f t="array" ref="F196">IF(IFERROR(INDEX(Expenses!B$3:B$999,SMALL(IF((Expenses!E$3:E$999="INR")*(Expenses!A$3:A$999=DATE(2026,9,22)),ROW(Expenses!A$3:A$999)-2),3)),"")&lt;&gt;"",IFERROR(INDEX(Expenses!B$3:B$999,SMALL(IF((Expenses!E$3:E$999="INR")*(Expenses!A$3:A$999=DATE(2026,9,22)),ROW(Expenses!A$3:A$999)-2),3)),""),IF(IFERROR(INDEX(Income!B$3:B$502,SMALL(IF((Income!D$3:D$502="INR")*(Income!A$3:A$502=DATE(2026,9,22)),ROW(Income!A$3:A$502)-2),3)),"")&lt;&gt;"",IFERROR(INDEX(Income!B$3:B$502,SMALL(IF((Income!D$3:D$502="INR")*(Income!A$3:A$502=DATE(2026,9,22)),ROW(Income!A$3:A$502)-2),3)),""),""))</f>
        <v/>
      </c>
      <c r="G196" s="153">
        <f t="array" ref="G196">IF(IFERROR(-INDEX(Expenses!D$3:D$999,SMALL(IF((Expenses!E$3:E$999="INR")*(Expenses!A$3:A$999=DATE(2026,9,23)),ROW(Expenses!A$3:A$999)-2),3)),0)+IFERROR(INDEX(Income!C$3:C$502,SMALL(IF((Income!D$3:D$502="INR")*(Income!A$3:A$502=DATE(2026,9,23)),ROW(Income!A$3:A$502)-2),3)),0)=0,"",IFERROR(-INDEX(Expenses!D$3:D$999,SMALL(IF((Expenses!E$3:E$999="INR")*(Expenses!A$3:A$999=DATE(2026,9,23)),ROW(Expenses!A$3:A$999)-2),3)),0)+IFERROR(INDEX(Income!C$3:C$502,SMALL(IF((Income!D$3:D$502="INR")*(Income!A$3:A$502=DATE(2026,9,23)),ROW(Income!A$3:A$502)-2),3)),0))</f>
        <v/>
      </c>
      <c r="H196" s="126">
        <f t="array" ref="H196">IF(IFERROR(INDEX(Expenses!B$3:B$999,SMALL(IF((Expenses!E$3:E$999="INR")*(Expenses!A$3:A$999=DATE(2026,9,23)),ROW(Expenses!A$3:A$999)-2),3)),"")&lt;&gt;"",IFERROR(INDEX(Expenses!B$3:B$999,SMALL(IF((Expenses!E$3:E$999="INR")*(Expenses!A$3:A$999=DATE(2026,9,23)),ROW(Expenses!A$3:A$999)-2),3)),""),IF(IFERROR(INDEX(Income!B$3:B$502,SMALL(IF((Income!D$3:D$502="INR")*(Income!A$3:A$502=DATE(2026,9,23)),ROW(Income!A$3:A$502)-2),3)),"")&lt;&gt;"",IFERROR(INDEX(Income!B$3:B$502,SMALL(IF((Income!D$3:D$502="INR")*(Income!A$3:A$502=DATE(2026,9,23)),ROW(Income!A$3:A$502)-2),3)),""),""))</f>
        <v/>
      </c>
      <c r="I196" s="153">
        <f t="array" ref="I196">IF(IFERROR(-INDEX(Expenses!D$3:D$999,SMALL(IF((Expenses!E$3:E$999="INR")*(Expenses!A$3:A$999=DATE(2026,9,24)),ROW(Expenses!A$3:A$999)-2),3)),0)+IFERROR(INDEX(Income!C$3:C$502,SMALL(IF((Income!D$3:D$502="INR")*(Income!A$3:A$502=DATE(2026,9,24)),ROW(Income!A$3:A$502)-2),3)),0)=0,"",IFERROR(-INDEX(Expenses!D$3:D$999,SMALL(IF((Expenses!E$3:E$999="INR")*(Expenses!A$3:A$999=DATE(2026,9,24)),ROW(Expenses!A$3:A$999)-2),3)),0)+IFERROR(INDEX(Income!C$3:C$502,SMALL(IF((Income!D$3:D$502="INR")*(Income!A$3:A$502=DATE(2026,9,24)),ROW(Income!A$3:A$502)-2),3)),0))</f>
        <v/>
      </c>
      <c r="J196" s="126">
        <f t="array" ref="J196">IF(IFERROR(INDEX(Expenses!B$3:B$999,SMALL(IF((Expenses!E$3:E$999="INR")*(Expenses!A$3:A$999=DATE(2026,9,24)),ROW(Expenses!A$3:A$999)-2),3)),"")&lt;&gt;"",IFERROR(INDEX(Expenses!B$3:B$999,SMALL(IF((Expenses!E$3:E$999="INR")*(Expenses!A$3:A$999=DATE(2026,9,24)),ROW(Expenses!A$3:A$999)-2),3)),""),IF(IFERROR(INDEX(Income!B$3:B$502,SMALL(IF((Income!D$3:D$502="INR")*(Income!A$3:A$502=DATE(2026,9,24)),ROW(Income!A$3:A$502)-2),3)),"")&lt;&gt;"",IFERROR(INDEX(Income!B$3:B$502,SMALL(IF((Income!D$3:D$502="INR")*(Income!A$3:A$502=DATE(2026,9,24)),ROW(Income!A$3:A$502)-2),3)),""),""))</f>
        <v/>
      </c>
      <c r="K196" s="153">
        <f t="array" ref="K196">IF(IFERROR(-INDEX(Expenses!D$3:D$999,SMALL(IF((Expenses!E$3:E$999="INR")*(Expenses!A$3:A$999=DATE(2026,9,25)),ROW(Expenses!A$3:A$999)-2),3)),0)+IFERROR(INDEX(Income!C$3:C$502,SMALL(IF((Income!D$3:D$502="INR")*(Income!A$3:A$502=DATE(2026,9,25)),ROW(Income!A$3:A$502)-2),3)),0)=0,"",IFERROR(-INDEX(Expenses!D$3:D$999,SMALL(IF((Expenses!E$3:E$999="INR")*(Expenses!A$3:A$999=DATE(2026,9,25)),ROW(Expenses!A$3:A$999)-2),3)),0)+IFERROR(INDEX(Income!C$3:C$502,SMALL(IF((Income!D$3:D$502="INR")*(Income!A$3:A$502=DATE(2026,9,25)),ROW(Income!A$3:A$502)-2),3)),0))</f>
        <v/>
      </c>
      <c r="L196" s="126">
        <f t="array" ref="L196">IF(IFERROR(INDEX(Expenses!B$3:B$999,SMALL(IF((Expenses!E$3:E$999="INR")*(Expenses!A$3:A$999=DATE(2026,9,25)),ROW(Expenses!A$3:A$999)-2),3)),"")&lt;&gt;"",IFERROR(INDEX(Expenses!B$3:B$999,SMALL(IF((Expenses!E$3:E$999="INR")*(Expenses!A$3:A$999=DATE(2026,9,25)),ROW(Expenses!A$3:A$999)-2),3)),""),IF(IFERROR(INDEX(Income!B$3:B$502,SMALL(IF((Income!D$3:D$502="INR")*(Income!A$3:A$502=DATE(2026,9,25)),ROW(Income!A$3:A$502)-2),3)),"")&lt;&gt;"",IFERROR(INDEX(Income!B$3:B$502,SMALL(IF((Income!D$3:D$502="INR")*(Income!A$3:A$502=DATE(2026,9,25)),ROW(Income!A$3:A$502)-2),3)),""),""))</f>
        <v/>
      </c>
      <c r="M196" s="153">
        <f t="array" ref="M196">IF(IFERROR(-INDEX(Expenses!D$3:D$999,SMALL(IF((Expenses!E$3:E$999="INR")*(Expenses!A$3:A$999=DATE(2026,9,26)),ROW(Expenses!A$3:A$999)-2),3)),0)+IFERROR(INDEX(Income!C$3:C$502,SMALL(IF((Income!D$3:D$502="INR")*(Income!A$3:A$502=DATE(2026,9,26)),ROW(Income!A$3:A$502)-2),3)),0)=0,"",IFERROR(-INDEX(Expenses!D$3:D$999,SMALL(IF((Expenses!E$3:E$999="INR")*(Expenses!A$3:A$999=DATE(2026,9,26)),ROW(Expenses!A$3:A$999)-2),3)),0)+IFERROR(INDEX(Income!C$3:C$502,SMALL(IF((Income!D$3:D$502="INR")*(Income!A$3:A$502=DATE(2026,9,26)),ROW(Income!A$3:A$502)-2),3)),0))</f>
        <v/>
      </c>
      <c r="N196" s="126">
        <f t="array" ref="N196">IF(IFERROR(INDEX(Expenses!B$3:B$999,SMALL(IF((Expenses!E$3:E$999="INR")*(Expenses!A$3:A$999=DATE(2026,9,26)),ROW(Expenses!A$3:A$999)-2),3)),"")&lt;&gt;"",IFERROR(INDEX(Expenses!B$3:B$999,SMALL(IF((Expenses!E$3:E$999="INR")*(Expenses!A$3:A$999=DATE(2026,9,26)),ROW(Expenses!A$3:A$999)-2),3)),""),IF(IFERROR(INDEX(Income!B$3:B$502,SMALL(IF((Income!D$3:D$502="INR")*(Income!A$3:A$502=DATE(2026,9,26)),ROW(Income!A$3:A$502)-2),3)),"")&lt;&gt;"",IFERROR(INDEX(Income!B$3:B$502,SMALL(IF((Income!D$3:D$502="INR")*(Income!A$3:A$502=DATE(2026,9,26)),ROW(Income!A$3:A$502)-2),3)),""),""))</f>
        <v/>
      </c>
      <c r="O196" s="153">
        <f t="array" ref="O196">IF(IFERROR(-INDEX(Expenses!D$3:D$999,SMALL(IF((Expenses!E$3:E$999="INR")*(Expenses!A$3:A$999=DATE(2026,9,27)),ROW(Expenses!A$3:A$999)-2),3)),0)+IFERROR(INDEX(Income!C$3:C$502,SMALL(IF((Income!D$3:D$502="INR")*(Income!A$3:A$502=DATE(2026,9,27)),ROW(Income!A$3:A$502)-2),3)),0)=0,"",IFERROR(-INDEX(Expenses!D$3:D$999,SMALL(IF((Expenses!E$3:E$999="INR")*(Expenses!A$3:A$999=DATE(2026,9,27)),ROW(Expenses!A$3:A$999)-2),3)),0)+IFERROR(INDEX(Income!C$3:C$502,SMALL(IF((Income!D$3:D$502="INR")*(Income!A$3:A$502=DATE(2026,9,27)),ROW(Income!A$3:A$502)-2),3)),0))</f>
        <v/>
      </c>
      <c r="P196" s="126">
        <f t="array" ref="P196">IF(IFERROR(INDEX(Expenses!B$3:B$999,SMALL(IF((Expenses!E$3:E$999="INR")*(Expenses!A$3:A$999=DATE(2026,9,27)),ROW(Expenses!A$3:A$999)-2),3)),"")&lt;&gt;"",IFERROR(INDEX(Expenses!B$3:B$999,SMALL(IF((Expenses!E$3:E$999="INR")*(Expenses!A$3:A$999=DATE(2026,9,27)),ROW(Expenses!A$3:A$999)-2),3)),""),IF(IFERROR(INDEX(Income!B$3:B$502,SMALL(IF((Income!D$3:D$502="INR")*(Income!A$3:A$502=DATE(2026,9,27)),ROW(Income!A$3:A$502)-2),3)),"")&lt;&gt;"",IFERROR(INDEX(Income!B$3:B$502,SMALL(IF((Income!D$3:D$502="INR")*(Income!A$3:A$502=DATE(2026,9,27)),ROW(Income!A$3:A$502)-2),3)),""),""))</f>
        <v/>
      </c>
      <c r="Q196" s="9" t="n"/>
      <c r="R196" s="9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68">
      <c r="A197" s="9" t="n"/>
      <c r="B197" s="9" t="n"/>
      <c r="C197" s="153">
        <f t="array" ref="C197">IF(IFERROR(-INDEX(Expenses!D$3:D$999,SMALL(IF((Expenses!E$3:E$999="INR")*(Expenses!A$3:A$999=DATE(2026,9,21)),ROW(Expenses!A$3:A$999)-2),4)),0)+IFERROR(INDEX(Income!C$3:C$502,SMALL(IF((Income!D$3:D$502="INR")*(Income!A$3:A$502=DATE(2026,9,21)),ROW(Income!A$3:A$502)-2),4)),0)=0,"",IFERROR(-INDEX(Expenses!D$3:D$999,SMALL(IF((Expenses!E$3:E$999="INR")*(Expenses!A$3:A$999=DATE(2026,9,21)),ROW(Expenses!A$3:A$999)-2),4)),0)+IFERROR(INDEX(Income!C$3:C$502,SMALL(IF((Income!D$3:D$502="INR")*(Income!A$3:A$502=DATE(2026,9,21)),ROW(Income!A$3:A$502)-2),4)),0))</f>
        <v/>
      </c>
      <c r="D197" s="126">
        <f t="array" ref="D197">IF(IFERROR(INDEX(Expenses!B$3:B$999,SMALL(IF((Expenses!E$3:E$999="INR")*(Expenses!A$3:A$999=DATE(2026,9,21)),ROW(Expenses!A$3:A$999)-2),4)),"")&lt;&gt;"",IFERROR(INDEX(Expenses!B$3:B$999,SMALL(IF((Expenses!E$3:E$999="INR")*(Expenses!A$3:A$999=DATE(2026,9,21)),ROW(Expenses!A$3:A$999)-2),4)),""),IF(IFERROR(INDEX(Income!B$3:B$502,SMALL(IF((Income!D$3:D$502="INR")*(Income!A$3:A$502=DATE(2026,9,21)),ROW(Income!A$3:A$502)-2),4)),"")&lt;&gt;"",IFERROR(INDEX(Income!B$3:B$502,SMALL(IF((Income!D$3:D$502="INR")*(Income!A$3:A$502=DATE(2026,9,21)),ROW(Income!A$3:A$502)-2),4)),""),""))</f>
        <v/>
      </c>
      <c r="E197" s="153">
        <f t="array" ref="E197">IF(IFERROR(-INDEX(Expenses!D$3:D$999,SMALL(IF((Expenses!E$3:E$999="INR")*(Expenses!A$3:A$999=DATE(2026,9,22)),ROW(Expenses!A$3:A$999)-2),4)),0)+IFERROR(INDEX(Income!C$3:C$502,SMALL(IF((Income!D$3:D$502="INR")*(Income!A$3:A$502=DATE(2026,9,22)),ROW(Income!A$3:A$502)-2),4)),0)=0,"",IFERROR(-INDEX(Expenses!D$3:D$999,SMALL(IF((Expenses!E$3:E$999="INR")*(Expenses!A$3:A$999=DATE(2026,9,22)),ROW(Expenses!A$3:A$999)-2),4)),0)+IFERROR(INDEX(Income!C$3:C$502,SMALL(IF((Income!D$3:D$502="INR")*(Income!A$3:A$502=DATE(2026,9,22)),ROW(Income!A$3:A$502)-2),4)),0))</f>
        <v/>
      </c>
      <c r="F197" s="126">
        <f t="array" ref="F197">IF(IFERROR(INDEX(Expenses!B$3:B$999,SMALL(IF((Expenses!E$3:E$999="INR")*(Expenses!A$3:A$999=DATE(2026,9,22)),ROW(Expenses!A$3:A$999)-2),4)),"")&lt;&gt;"",IFERROR(INDEX(Expenses!B$3:B$999,SMALL(IF((Expenses!E$3:E$999="INR")*(Expenses!A$3:A$999=DATE(2026,9,22)),ROW(Expenses!A$3:A$999)-2),4)),""),IF(IFERROR(INDEX(Income!B$3:B$502,SMALL(IF((Income!D$3:D$502="INR")*(Income!A$3:A$502=DATE(2026,9,22)),ROW(Income!A$3:A$502)-2),4)),"")&lt;&gt;"",IFERROR(INDEX(Income!B$3:B$502,SMALL(IF((Income!D$3:D$502="INR")*(Income!A$3:A$502=DATE(2026,9,22)),ROW(Income!A$3:A$502)-2),4)),""),""))</f>
        <v/>
      </c>
      <c r="G197" s="153">
        <f t="array" ref="G197">IF(IFERROR(-INDEX(Expenses!D$3:D$999,SMALL(IF((Expenses!E$3:E$999="INR")*(Expenses!A$3:A$999=DATE(2026,9,23)),ROW(Expenses!A$3:A$999)-2),4)),0)+IFERROR(INDEX(Income!C$3:C$502,SMALL(IF((Income!D$3:D$502="INR")*(Income!A$3:A$502=DATE(2026,9,23)),ROW(Income!A$3:A$502)-2),4)),0)=0,"",IFERROR(-INDEX(Expenses!D$3:D$999,SMALL(IF((Expenses!E$3:E$999="INR")*(Expenses!A$3:A$999=DATE(2026,9,23)),ROW(Expenses!A$3:A$999)-2),4)),0)+IFERROR(INDEX(Income!C$3:C$502,SMALL(IF((Income!D$3:D$502="INR")*(Income!A$3:A$502=DATE(2026,9,23)),ROW(Income!A$3:A$502)-2),4)),0))</f>
        <v/>
      </c>
      <c r="H197" s="126">
        <f t="array" ref="H197">IF(IFERROR(INDEX(Expenses!B$3:B$999,SMALL(IF((Expenses!E$3:E$999="INR")*(Expenses!A$3:A$999=DATE(2026,9,23)),ROW(Expenses!A$3:A$999)-2),4)),"")&lt;&gt;"",IFERROR(INDEX(Expenses!B$3:B$999,SMALL(IF((Expenses!E$3:E$999="INR")*(Expenses!A$3:A$999=DATE(2026,9,23)),ROW(Expenses!A$3:A$999)-2),4)),""),IF(IFERROR(INDEX(Income!B$3:B$502,SMALL(IF((Income!D$3:D$502="INR")*(Income!A$3:A$502=DATE(2026,9,23)),ROW(Income!A$3:A$502)-2),4)),"")&lt;&gt;"",IFERROR(INDEX(Income!B$3:B$502,SMALL(IF((Income!D$3:D$502="INR")*(Income!A$3:A$502=DATE(2026,9,23)),ROW(Income!A$3:A$502)-2),4)),""),""))</f>
        <v/>
      </c>
      <c r="I197" s="153">
        <f t="array" ref="I197">IF(IFERROR(-INDEX(Expenses!D$3:D$999,SMALL(IF((Expenses!E$3:E$999="INR")*(Expenses!A$3:A$999=DATE(2026,9,24)),ROW(Expenses!A$3:A$999)-2),4)),0)+IFERROR(INDEX(Income!C$3:C$502,SMALL(IF((Income!D$3:D$502="INR")*(Income!A$3:A$502=DATE(2026,9,24)),ROW(Income!A$3:A$502)-2),4)),0)=0,"",IFERROR(-INDEX(Expenses!D$3:D$999,SMALL(IF((Expenses!E$3:E$999="INR")*(Expenses!A$3:A$999=DATE(2026,9,24)),ROW(Expenses!A$3:A$999)-2),4)),0)+IFERROR(INDEX(Income!C$3:C$502,SMALL(IF((Income!D$3:D$502="INR")*(Income!A$3:A$502=DATE(2026,9,24)),ROW(Income!A$3:A$502)-2),4)),0))</f>
        <v/>
      </c>
      <c r="J197" s="126">
        <f t="array" ref="J197">IF(IFERROR(INDEX(Expenses!B$3:B$999,SMALL(IF((Expenses!E$3:E$999="INR")*(Expenses!A$3:A$999=DATE(2026,9,24)),ROW(Expenses!A$3:A$999)-2),4)),"")&lt;&gt;"",IFERROR(INDEX(Expenses!B$3:B$999,SMALL(IF((Expenses!E$3:E$999="INR")*(Expenses!A$3:A$999=DATE(2026,9,24)),ROW(Expenses!A$3:A$999)-2),4)),""),IF(IFERROR(INDEX(Income!B$3:B$502,SMALL(IF((Income!D$3:D$502="INR")*(Income!A$3:A$502=DATE(2026,9,24)),ROW(Income!A$3:A$502)-2),4)),"")&lt;&gt;"",IFERROR(INDEX(Income!B$3:B$502,SMALL(IF((Income!D$3:D$502="INR")*(Income!A$3:A$502=DATE(2026,9,24)),ROW(Income!A$3:A$502)-2),4)),""),""))</f>
        <v/>
      </c>
      <c r="K197" s="153">
        <f t="array" ref="K197">IF(IFERROR(-INDEX(Expenses!D$3:D$999,SMALL(IF((Expenses!E$3:E$999="INR")*(Expenses!A$3:A$999=DATE(2026,9,25)),ROW(Expenses!A$3:A$999)-2),4)),0)+IFERROR(INDEX(Income!C$3:C$502,SMALL(IF((Income!D$3:D$502="INR")*(Income!A$3:A$502=DATE(2026,9,25)),ROW(Income!A$3:A$502)-2),4)),0)=0,"",IFERROR(-INDEX(Expenses!D$3:D$999,SMALL(IF((Expenses!E$3:E$999="INR")*(Expenses!A$3:A$999=DATE(2026,9,25)),ROW(Expenses!A$3:A$999)-2),4)),0)+IFERROR(INDEX(Income!C$3:C$502,SMALL(IF((Income!D$3:D$502="INR")*(Income!A$3:A$502=DATE(2026,9,25)),ROW(Income!A$3:A$502)-2),4)),0))</f>
        <v/>
      </c>
      <c r="L197" s="126">
        <f t="array" ref="L197">IF(IFERROR(INDEX(Expenses!B$3:B$999,SMALL(IF((Expenses!E$3:E$999="INR")*(Expenses!A$3:A$999=DATE(2026,9,25)),ROW(Expenses!A$3:A$999)-2),4)),"")&lt;&gt;"",IFERROR(INDEX(Expenses!B$3:B$999,SMALL(IF((Expenses!E$3:E$999="INR")*(Expenses!A$3:A$999=DATE(2026,9,25)),ROW(Expenses!A$3:A$999)-2),4)),""),IF(IFERROR(INDEX(Income!B$3:B$502,SMALL(IF((Income!D$3:D$502="INR")*(Income!A$3:A$502=DATE(2026,9,25)),ROW(Income!A$3:A$502)-2),4)),"")&lt;&gt;"",IFERROR(INDEX(Income!B$3:B$502,SMALL(IF((Income!D$3:D$502="INR")*(Income!A$3:A$502=DATE(2026,9,25)),ROW(Income!A$3:A$502)-2),4)),""),""))</f>
        <v/>
      </c>
      <c r="M197" s="153">
        <f t="array" ref="M197">IF(IFERROR(-INDEX(Expenses!D$3:D$999,SMALL(IF((Expenses!E$3:E$999="INR")*(Expenses!A$3:A$999=DATE(2026,9,26)),ROW(Expenses!A$3:A$999)-2),4)),0)+IFERROR(INDEX(Income!C$3:C$502,SMALL(IF((Income!D$3:D$502="INR")*(Income!A$3:A$502=DATE(2026,9,26)),ROW(Income!A$3:A$502)-2),4)),0)=0,"",IFERROR(-INDEX(Expenses!D$3:D$999,SMALL(IF((Expenses!E$3:E$999="INR")*(Expenses!A$3:A$999=DATE(2026,9,26)),ROW(Expenses!A$3:A$999)-2),4)),0)+IFERROR(INDEX(Income!C$3:C$502,SMALL(IF((Income!D$3:D$502="INR")*(Income!A$3:A$502=DATE(2026,9,26)),ROW(Income!A$3:A$502)-2),4)),0))</f>
        <v/>
      </c>
      <c r="N197" s="126">
        <f t="array" ref="N197">IF(IFERROR(INDEX(Expenses!B$3:B$999,SMALL(IF((Expenses!E$3:E$999="INR")*(Expenses!A$3:A$999=DATE(2026,9,26)),ROW(Expenses!A$3:A$999)-2),4)),"")&lt;&gt;"",IFERROR(INDEX(Expenses!B$3:B$999,SMALL(IF((Expenses!E$3:E$999="INR")*(Expenses!A$3:A$999=DATE(2026,9,26)),ROW(Expenses!A$3:A$999)-2),4)),""),IF(IFERROR(INDEX(Income!B$3:B$502,SMALL(IF((Income!D$3:D$502="INR")*(Income!A$3:A$502=DATE(2026,9,26)),ROW(Income!A$3:A$502)-2),4)),"")&lt;&gt;"",IFERROR(INDEX(Income!B$3:B$502,SMALL(IF((Income!D$3:D$502="INR")*(Income!A$3:A$502=DATE(2026,9,26)),ROW(Income!A$3:A$502)-2),4)),""),""))</f>
        <v/>
      </c>
      <c r="O197" s="153">
        <f t="array" ref="O197">IF(IFERROR(-INDEX(Expenses!D$3:D$999,SMALL(IF((Expenses!E$3:E$999="INR")*(Expenses!A$3:A$999=DATE(2026,9,27)),ROW(Expenses!A$3:A$999)-2),4)),0)+IFERROR(INDEX(Income!C$3:C$502,SMALL(IF((Income!D$3:D$502="INR")*(Income!A$3:A$502=DATE(2026,9,27)),ROW(Income!A$3:A$502)-2),4)),0)=0,"",IFERROR(-INDEX(Expenses!D$3:D$999,SMALL(IF((Expenses!E$3:E$999="INR")*(Expenses!A$3:A$999=DATE(2026,9,27)),ROW(Expenses!A$3:A$999)-2),4)),0)+IFERROR(INDEX(Income!C$3:C$502,SMALL(IF((Income!D$3:D$502="INR")*(Income!A$3:A$502=DATE(2026,9,27)),ROW(Income!A$3:A$502)-2),4)),0))</f>
        <v/>
      </c>
      <c r="P197" s="126">
        <f t="array" ref="P197">IF(IFERROR(INDEX(Expenses!B$3:B$999,SMALL(IF((Expenses!E$3:E$999="INR")*(Expenses!A$3:A$999=DATE(2026,9,27)),ROW(Expenses!A$3:A$999)-2),4)),"")&lt;&gt;"",IFERROR(INDEX(Expenses!B$3:B$999,SMALL(IF((Expenses!E$3:E$999="INR")*(Expenses!A$3:A$999=DATE(2026,9,27)),ROW(Expenses!A$3:A$999)-2),4)),""),IF(IFERROR(INDEX(Income!B$3:B$502,SMALL(IF((Income!D$3:D$502="INR")*(Income!A$3:A$502=DATE(2026,9,27)),ROW(Income!A$3:A$502)-2),4)),"")&lt;&gt;"",IFERROR(INDEX(Income!B$3:B$502,SMALL(IF((Income!D$3:D$502="INR")*(Income!A$3:A$502=DATE(2026,9,27)),ROW(Income!A$3:A$502)-2),4)),""),""))</f>
        <v/>
      </c>
      <c r="Q197" s="9" t="n"/>
      <c r="R197" s="9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68">
      <c r="A198" s="9" t="n"/>
      <c r="B198" s="9" t="n"/>
      <c r="C198" s="153">
        <f t="array" ref="C198">IF(IFERROR(-INDEX(Expenses!D$3:D$999,SMALL(IF((Expenses!E$3:E$999="INR")*(Expenses!A$3:A$999=DATE(2026,9,21)),ROW(Expenses!A$3:A$999)-2),5)),0)+IFERROR(INDEX(Income!C$3:C$502,SMALL(IF((Income!D$3:D$502="INR")*(Income!A$3:A$502=DATE(2026,9,21)),ROW(Income!A$3:A$502)-2),5)),0)=0,"",IFERROR(-INDEX(Expenses!D$3:D$999,SMALL(IF((Expenses!E$3:E$999="INR")*(Expenses!A$3:A$999=DATE(2026,9,21)),ROW(Expenses!A$3:A$999)-2),5)),0)+IFERROR(INDEX(Income!C$3:C$502,SMALL(IF((Income!D$3:D$502="INR")*(Income!A$3:A$502=DATE(2026,9,21)),ROW(Income!A$3:A$502)-2),5)),0))</f>
        <v/>
      </c>
      <c r="D198" s="126">
        <f t="array" ref="D198">IF(IFERROR(INDEX(Expenses!B$3:B$999,SMALL(IF((Expenses!E$3:E$999="INR")*(Expenses!A$3:A$999=DATE(2026,9,21)),ROW(Expenses!A$3:A$999)-2),5)),"")&lt;&gt;"",IFERROR(INDEX(Expenses!B$3:B$999,SMALL(IF((Expenses!E$3:E$999="INR")*(Expenses!A$3:A$999=DATE(2026,9,21)),ROW(Expenses!A$3:A$999)-2),5)),""),IF(IFERROR(INDEX(Income!B$3:B$502,SMALL(IF((Income!D$3:D$502="INR")*(Income!A$3:A$502=DATE(2026,9,21)),ROW(Income!A$3:A$502)-2),5)),"")&lt;&gt;"",IFERROR(INDEX(Income!B$3:B$502,SMALL(IF((Income!D$3:D$502="INR")*(Income!A$3:A$502=DATE(2026,9,21)),ROW(Income!A$3:A$502)-2),5)),""),""))</f>
        <v/>
      </c>
      <c r="E198" s="153">
        <f t="array" ref="E198">IF(IFERROR(-INDEX(Expenses!D$3:D$999,SMALL(IF((Expenses!E$3:E$999="INR")*(Expenses!A$3:A$999=DATE(2026,9,22)),ROW(Expenses!A$3:A$999)-2),5)),0)+IFERROR(INDEX(Income!C$3:C$502,SMALL(IF((Income!D$3:D$502="INR")*(Income!A$3:A$502=DATE(2026,9,22)),ROW(Income!A$3:A$502)-2),5)),0)=0,"",IFERROR(-INDEX(Expenses!D$3:D$999,SMALL(IF((Expenses!E$3:E$999="INR")*(Expenses!A$3:A$999=DATE(2026,9,22)),ROW(Expenses!A$3:A$999)-2),5)),0)+IFERROR(INDEX(Income!C$3:C$502,SMALL(IF((Income!D$3:D$502="INR")*(Income!A$3:A$502=DATE(2026,9,22)),ROW(Income!A$3:A$502)-2),5)),0))</f>
        <v/>
      </c>
      <c r="F198" s="126">
        <f t="array" ref="F198">IF(IFERROR(INDEX(Expenses!B$3:B$999,SMALL(IF((Expenses!E$3:E$999="INR")*(Expenses!A$3:A$999=DATE(2026,9,22)),ROW(Expenses!A$3:A$999)-2),5)),"")&lt;&gt;"",IFERROR(INDEX(Expenses!B$3:B$999,SMALL(IF((Expenses!E$3:E$999="INR")*(Expenses!A$3:A$999=DATE(2026,9,22)),ROW(Expenses!A$3:A$999)-2),5)),""),IF(IFERROR(INDEX(Income!B$3:B$502,SMALL(IF((Income!D$3:D$502="INR")*(Income!A$3:A$502=DATE(2026,9,22)),ROW(Income!A$3:A$502)-2),5)),"")&lt;&gt;"",IFERROR(INDEX(Income!B$3:B$502,SMALL(IF((Income!D$3:D$502="INR")*(Income!A$3:A$502=DATE(2026,9,22)),ROW(Income!A$3:A$502)-2),5)),""),""))</f>
        <v/>
      </c>
      <c r="G198" s="153">
        <f t="array" ref="G198">IF(IFERROR(-INDEX(Expenses!D$3:D$999,SMALL(IF((Expenses!E$3:E$999="INR")*(Expenses!A$3:A$999=DATE(2026,9,23)),ROW(Expenses!A$3:A$999)-2),5)),0)+IFERROR(INDEX(Income!C$3:C$502,SMALL(IF((Income!D$3:D$502="INR")*(Income!A$3:A$502=DATE(2026,9,23)),ROW(Income!A$3:A$502)-2),5)),0)=0,"",IFERROR(-INDEX(Expenses!D$3:D$999,SMALL(IF((Expenses!E$3:E$999="INR")*(Expenses!A$3:A$999=DATE(2026,9,23)),ROW(Expenses!A$3:A$999)-2),5)),0)+IFERROR(INDEX(Income!C$3:C$502,SMALL(IF((Income!D$3:D$502="INR")*(Income!A$3:A$502=DATE(2026,9,23)),ROW(Income!A$3:A$502)-2),5)),0))</f>
        <v/>
      </c>
      <c r="H198" s="126">
        <f t="array" ref="H198">IF(IFERROR(INDEX(Expenses!B$3:B$999,SMALL(IF((Expenses!E$3:E$999="INR")*(Expenses!A$3:A$999=DATE(2026,9,23)),ROW(Expenses!A$3:A$999)-2),5)),"")&lt;&gt;"",IFERROR(INDEX(Expenses!B$3:B$999,SMALL(IF((Expenses!E$3:E$999="INR")*(Expenses!A$3:A$999=DATE(2026,9,23)),ROW(Expenses!A$3:A$999)-2),5)),""),IF(IFERROR(INDEX(Income!B$3:B$502,SMALL(IF((Income!D$3:D$502="INR")*(Income!A$3:A$502=DATE(2026,9,23)),ROW(Income!A$3:A$502)-2),5)),"")&lt;&gt;"",IFERROR(INDEX(Income!B$3:B$502,SMALL(IF((Income!D$3:D$502="INR")*(Income!A$3:A$502=DATE(2026,9,23)),ROW(Income!A$3:A$502)-2),5)),""),""))</f>
        <v/>
      </c>
      <c r="I198" s="153">
        <f t="array" ref="I198">IF(IFERROR(-INDEX(Expenses!D$3:D$999,SMALL(IF((Expenses!E$3:E$999="INR")*(Expenses!A$3:A$999=DATE(2026,9,24)),ROW(Expenses!A$3:A$999)-2),5)),0)+IFERROR(INDEX(Income!C$3:C$502,SMALL(IF((Income!D$3:D$502="INR")*(Income!A$3:A$502=DATE(2026,9,24)),ROW(Income!A$3:A$502)-2),5)),0)=0,"",IFERROR(-INDEX(Expenses!D$3:D$999,SMALL(IF((Expenses!E$3:E$999="INR")*(Expenses!A$3:A$999=DATE(2026,9,24)),ROW(Expenses!A$3:A$999)-2),5)),0)+IFERROR(INDEX(Income!C$3:C$502,SMALL(IF((Income!D$3:D$502="INR")*(Income!A$3:A$502=DATE(2026,9,24)),ROW(Income!A$3:A$502)-2),5)),0))</f>
        <v/>
      </c>
      <c r="J198" s="126">
        <f t="array" ref="J198">IF(IFERROR(INDEX(Expenses!B$3:B$999,SMALL(IF((Expenses!E$3:E$999="INR")*(Expenses!A$3:A$999=DATE(2026,9,24)),ROW(Expenses!A$3:A$999)-2),5)),"")&lt;&gt;"",IFERROR(INDEX(Expenses!B$3:B$999,SMALL(IF((Expenses!E$3:E$999="INR")*(Expenses!A$3:A$999=DATE(2026,9,24)),ROW(Expenses!A$3:A$999)-2),5)),""),IF(IFERROR(INDEX(Income!B$3:B$502,SMALL(IF((Income!D$3:D$502="INR")*(Income!A$3:A$502=DATE(2026,9,24)),ROW(Income!A$3:A$502)-2),5)),"")&lt;&gt;"",IFERROR(INDEX(Income!B$3:B$502,SMALL(IF((Income!D$3:D$502="INR")*(Income!A$3:A$502=DATE(2026,9,24)),ROW(Income!A$3:A$502)-2),5)),""),""))</f>
        <v/>
      </c>
      <c r="K198" s="153">
        <f t="array" ref="K198">IF(IFERROR(-INDEX(Expenses!D$3:D$999,SMALL(IF((Expenses!E$3:E$999="INR")*(Expenses!A$3:A$999=DATE(2026,9,25)),ROW(Expenses!A$3:A$999)-2),5)),0)+IFERROR(INDEX(Income!C$3:C$502,SMALL(IF((Income!D$3:D$502="INR")*(Income!A$3:A$502=DATE(2026,9,25)),ROW(Income!A$3:A$502)-2),5)),0)=0,"",IFERROR(-INDEX(Expenses!D$3:D$999,SMALL(IF((Expenses!E$3:E$999="INR")*(Expenses!A$3:A$999=DATE(2026,9,25)),ROW(Expenses!A$3:A$999)-2),5)),0)+IFERROR(INDEX(Income!C$3:C$502,SMALL(IF((Income!D$3:D$502="INR")*(Income!A$3:A$502=DATE(2026,9,25)),ROW(Income!A$3:A$502)-2),5)),0))</f>
        <v/>
      </c>
      <c r="L198" s="126">
        <f t="array" ref="L198">IF(IFERROR(INDEX(Expenses!B$3:B$999,SMALL(IF((Expenses!E$3:E$999="INR")*(Expenses!A$3:A$999=DATE(2026,9,25)),ROW(Expenses!A$3:A$999)-2),5)),"")&lt;&gt;"",IFERROR(INDEX(Expenses!B$3:B$999,SMALL(IF((Expenses!E$3:E$999="INR")*(Expenses!A$3:A$999=DATE(2026,9,25)),ROW(Expenses!A$3:A$999)-2),5)),""),IF(IFERROR(INDEX(Income!B$3:B$502,SMALL(IF((Income!D$3:D$502="INR")*(Income!A$3:A$502=DATE(2026,9,25)),ROW(Income!A$3:A$502)-2),5)),"")&lt;&gt;"",IFERROR(INDEX(Income!B$3:B$502,SMALL(IF((Income!D$3:D$502="INR")*(Income!A$3:A$502=DATE(2026,9,25)),ROW(Income!A$3:A$502)-2),5)),""),""))</f>
        <v/>
      </c>
      <c r="M198" s="153">
        <f t="array" ref="M198">IF(IFERROR(-INDEX(Expenses!D$3:D$999,SMALL(IF((Expenses!E$3:E$999="INR")*(Expenses!A$3:A$999=DATE(2026,9,26)),ROW(Expenses!A$3:A$999)-2),5)),0)+IFERROR(INDEX(Income!C$3:C$502,SMALL(IF((Income!D$3:D$502="INR")*(Income!A$3:A$502=DATE(2026,9,26)),ROW(Income!A$3:A$502)-2),5)),0)=0,"",IFERROR(-INDEX(Expenses!D$3:D$999,SMALL(IF((Expenses!E$3:E$999="INR")*(Expenses!A$3:A$999=DATE(2026,9,26)),ROW(Expenses!A$3:A$999)-2),5)),0)+IFERROR(INDEX(Income!C$3:C$502,SMALL(IF((Income!D$3:D$502="INR")*(Income!A$3:A$502=DATE(2026,9,26)),ROW(Income!A$3:A$502)-2),5)),0))</f>
        <v/>
      </c>
      <c r="N198" s="126">
        <f t="array" ref="N198">IF(IFERROR(INDEX(Expenses!B$3:B$999,SMALL(IF((Expenses!E$3:E$999="INR")*(Expenses!A$3:A$999=DATE(2026,9,26)),ROW(Expenses!A$3:A$999)-2),5)),"")&lt;&gt;"",IFERROR(INDEX(Expenses!B$3:B$999,SMALL(IF((Expenses!E$3:E$999="INR")*(Expenses!A$3:A$999=DATE(2026,9,26)),ROW(Expenses!A$3:A$999)-2),5)),""),IF(IFERROR(INDEX(Income!B$3:B$502,SMALL(IF((Income!D$3:D$502="INR")*(Income!A$3:A$502=DATE(2026,9,26)),ROW(Income!A$3:A$502)-2),5)),"")&lt;&gt;"",IFERROR(INDEX(Income!B$3:B$502,SMALL(IF((Income!D$3:D$502="INR")*(Income!A$3:A$502=DATE(2026,9,26)),ROW(Income!A$3:A$502)-2),5)),""),""))</f>
        <v/>
      </c>
      <c r="O198" s="153">
        <f t="array" ref="O198">IF(IFERROR(-INDEX(Expenses!D$3:D$999,SMALL(IF((Expenses!E$3:E$999="INR")*(Expenses!A$3:A$999=DATE(2026,9,27)),ROW(Expenses!A$3:A$999)-2),5)),0)+IFERROR(INDEX(Income!C$3:C$502,SMALL(IF((Income!D$3:D$502="INR")*(Income!A$3:A$502=DATE(2026,9,27)),ROW(Income!A$3:A$502)-2),5)),0)=0,"",IFERROR(-INDEX(Expenses!D$3:D$999,SMALL(IF((Expenses!E$3:E$999="INR")*(Expenses!A$3:A$999=DATE(2026,9,27)),ROW(Expenses!A$3:A$999)-2),5)),0)+IFERROR(INDEX(Income!C$3:C$502,SMALL(IF((Income!D$3:D$502="INR")*(Income!A$3:A$502=DATE(2026,9,27)),ROW(Income!A$3:A$502)-2),5)),0))</f>
        <v/>
      </c>
      <c r="P198" s="126">
        <f t="array" ref="P198">IF(IFERROR(INDEX(Expenses!B$3:B$999,SMALL(IF((Expenses!E$3:E$999="INR")*(Expenses!A$3:A$999=DATE(2026,9,27)),ROW(Expenses!A$3:A$999)-2),5)),"")&lt;&gt;"",IFERROR(INDEX(Expenses!B$3:B$999,SMALL(IF((Expenses!E$3:E$999="INR")*(Expenses!A$3:A$999=DATE(2026,9,27)),ROW(Expenses!A$3:A$999)-2),5)),""),IF(IFERROR(INDEX(Income!B$3:B$502,SMALL(IF((Income!D$3:D$502="INR")*(Income!A$3:A$502=DATE(2026,9,27)),ROW(Income!A$3:A$502)-2),5)),"")&lt;&gt;"",IFERROR(INDEX(Income!B$3:B$502,SMALL(IF((Income!D$3:D$502="INR")*(Income!A$3:A$502=DATE(2026,9,27)),ROW(Income!A$3:A$502)-2),5)),""),""))</f>
        <v/>
      </c>
      <c r="Q198" s="9" t="n"/>
      <c r="R198" s="9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68">
      <c r="A199" s="151" t="n">
        <v>46293</v>
      </c>
      <c r="B199" s="103" t="n">
        <v>40</v>
      </c>
      <c r="C199" s="153">
        <f t="array" ref="C199">IF(IFERROR(-INDEX(Expenses!D$3:D$999,SMALL(IF((Expenses!E$3:E$999="INR")*(Expenses!A$3:A$999=DATE(2026,9,28)),ROW(Expenses!A$3:A$999)-2),1)),0)+IFERROR(INDEX(Income!C$3:C$502,SMALL(IF((Income!D$3:D$502="INR")*(Income!A$3:A$502=DATE(2026,9,28)),ROW(Income!A$3:A$502)-2),1)),0)=0,"",IFERROR(-INDEX(Expenses!D$3:D$999,SMALL(IF((Expenses!E$3:E$999="INR")*(Expenses!A$3:A$999=DATE(2026,9,28)),ROW(Expenses!A$3:A$999)-2),1)),0)+IFERROR(INDEX(Income!C$3:C$502,SMALL(IF((Income!D$3:D$502="INR")*(Income!A$3:A$502=DATE(2026,9,28)),ROW(Income!A$3:A$502)-2),1)),0))</f>
        <v/>
      </c>
      <c r="D199" s="126">
        <f t="array" ref="D199">IF(IFERROR(INDEX(Expenses!B$3:B$999,SMALL(IF((Expenses!E$3:E$999="INR")*(Expenses!A$3:A$999=DATE(2026,9,28)),ROW(Expenses!A$3:A$999)-2),1)),"")&lt;&gt;"",IFERROR(INDEX(Expenses!B$3:B$999,SMALL(IF((Expenses!E$3:E$999="INR")*(Expenses!A$3:A$999=DATE(2026,9,28)),ROW(Expenses!A$3:A$999)-2),1)),""),IF(IFERROR(INDEX(Income!B$3:B$502,SMALL(IF((Income!D$3:D$502="INR")*(Income!A$3:A$502=DATE(2026,9,28)),ROW(Income!A$3:A$502)-2),1)),"")&lt;&gt;"",IFERROR(INDEX(Income!B$3:B$502,SMALL(IF((Income!D$3:D$502="INR")*(Income!A$3:A$502=DATE(2026,9,28)),ROW(Income!A$3:A$502)-2),1)),""),""))</f>
        <v/>
      </c>
      <c r="E199" s="153">
        <f t="array" ref="E199">IF(IFERROR(-INDEX(Expenses!D$3:D$999,SMALL(IF((Expenses!E$3:E$999="INR")*(Expenses!A$3:A$999=DATE(2026,9,29)),ROW(Expenses!A$3:A$999)-2),1)),0)+IFERROR(INDEX(Income!C$3:C$502,SMALL(IF((Income!D$3:D$502="INR")*(Income!A$3:A$502=DATE(2026,9,29)),ROW(Income!A$3:A$502)-2),1)),0)=0,"",IFERROR(-INDEX(Expenses!D$3:D$999,SMALL(IF((Expenses!E$3:E$999="INR")*(Expenses!A$3:A$999=DATE(2026,9,29)),ROW(Expenses!A$3:A$999)-2),1)),0)+IFERROR(INDEX(Income!C$3:C$502,SMALL(IF((Income!D$3:D$502="INR")*(Income!A$3:A$502=DATE(2026,9,29)),ROW(Income!A$3:A$502)-2),1)),0))</f>
        <v/>
      </c>
      <c r="F199" s="126">
        <f t="array" ref="F199">IF(IFERROR(INDEX(Expenses!B$3:B$999,SMALL(IF((Expenses!E$3:E$999="INR")*(Expenses!A$3:A$999=DATE(2026,9,29)),ROW(Expenses!A$3:A$999)-2),1)),"")&lt;&gt;"",IFERROR(INDEX(Expenses!B$3:B$999,SMALL(IF((Expenses!E$3:E$999="INR")*(Expenses!A$3:A$999=DATE(2026,9,29)),ROW(Expenses!A$3:A$999)-2),1)),""),IF(IFERROR(INDEX(Income!B$3:B$502,SMALL(IF((Income!D$3:D$502="INR")*(Income!A$3:A$502=DATE(2026,9,29)),ROW(Income!A$3:A$502)-2),1)),"")&lt;&gt;"",IFERROR(INDEX(Income!B$3:B$502,SMALL(IF((Income!D$3:D$502="INR")*(Income!A$3:A$502=DATE(2026,9,29)),ROW(Income!A$3:A$502)-2),1)),""),""))</f>
        <v/>
      </c>
      <c r="G199" s="153">
        <f t="array" ref="G199">IF(IFERROR(-INDEX(Expenses!D$3:D$999,SMALL(IF((Expenses!E$3:E$999="INR")*(Expenses!A$3:A$999=DATE(2026,9,30)),ROW(Expenses!A$3:A$999)-2),1)),0)+IFERROR(INDEX(Income!C$3:C$502,SMALL(IF((Income!D$3:D$502="INR")*(Income!A$3:A$502=DATE(2026,9,30)),ROW(Income!A$3:A$502)-2),1)),0)=0,"",IFERROR(-INDEX(Expenses!D$3:D$999,SMALL(IF((Expenses!E$3:E$999="INR")*(Expenses!A$3:A$999=DATE(2026,9,30)),ROW(Expenses!A$3:A$999)-2),1)),0)+IFERROR(INDEX(Income!C$3:C$502,SMALL(IF((Income!D$3:D$502="INR")*(Income!A$3:A$502=DATE(2026,9,30)),ROW(Income!A$3:A$502)-2),1)),0))</f>
        <v/>
      </c>
      <c r="H199" s="126">
        <f t="array" ref="H199">IF(IFERROR(INDEX(Expenses!B$3:B$999,SMALL(IF((Expenses!E$3:E$999="INR")*(Expenses!A$3:A$999=DATE(2026,9,30)),ROW(Expenses!A$3:A$999)-2),1)),"")&lt;&gt;"",IFERROR(INDEX(Expenses!B$3:B$999,SMALL(IF((Expenses!E$3:E$999="INR")*(Expenses!A$3:A$999=DATE(2026,9,30)),ROW(Expenses!A$3:A$999)-2),1)),""),IF(IFERROR(INDEX(Income!B$3:B$502,SMALL(IF((Income!D$3:D$502="INR")*(Income!A$3:A$502=DATE(2026,9,30)),ROW(Income!A$3:A$502)-2),1)),"")&lt;&gt;"",IFERROR(INDEX(Income!B$3:B$502,SMALL(IF((Income!D$3:D$502="INR")*(Income!A$3:A$502=DATE(2026,9,30)),ROW(Income!A$3:A$502)-2),1)),""),""))</f>
        <v/>
      </c>
      <c r="I199" s="153">
        <f t="array" ref="I199">IF(IFERROR(-INDEX(Expenses!D$3:D$999,SMALL(IF((Expenses!E$3:E$999="INR")*(Expenses!A$3:A$999=DATE(2026,10,1)),ROW(Expenses!A$3:A$999)-2),1)),0)+IFERROR(INDEX(Income!C$3:C$502,SMALL(IF((Income!D$3:D$502="INR")*(Income!A$3:A$502=DATE(2026,10,1)),ROW(Income!A$3:A$502)-2),1)),0)=0,"",IFERROR(-INDEX(Expenses!D$3:D$999,SMALL(IF((Expenses!E$3:E$999="INR")*(Expenses!A$3:A$999=DATE(2026,10,1)),ROW(Expenses!A$3:A$999)-2),1)),0)+IFERROR(INDEX(Income!C$3:C$502,SMALL(IF((Income!D$3:D$502="INR")*(Income!A$3:A$502=DATE(2026,10,1)),ROW(Income!A$3:A$502)-2),1)),0))</f>
        <v/>
      </c>
      <c r="J199" s="126">
        <f t="array" ref="J199">IF(IFERROR(INDEX(Expenses!B$3:B$999,SMALL(IF((Expenses!E$3:E$999="INR")*(Expenses!A$3:A$999=DATE(2026,10,1)),ROW(Expenses!A$3:A$999)-2),1)),"")&lt;&gt;"",IFERROR(INDEX(Expenses!B$3:B$999,SMALL(IF((Expenses!E$3:E$999="INR")*(Expenses!A$3:A$999=DATE(2026,10,1)),ROW(Expenses!A$3:A$999)-2),1)),""),IF(IFERROR(INDEX(Income!B$3:B$502,SMALL(IF((Income!D$3:D$502="INR")*(Income!A$3:A$502=DATE(2026,10,1)),ROW(Income!A$3:A$502)-2),1)),"")&lt;&gt;"",IFERROR(INDEX(Income!B$3:B$502,SMALL(IF((Income!D$3:D$502="INR")*(Income!A$3:A$502=DATE(2026,10,1)),ROW(Income!A$3:A$502)-2),1)),""),""))</f>
        <v/>
      </c>
      <c r="K199" s="153">
        <f t="array" ref="K199">IF(IFERROR(-INDEX(Expenses!D$3:D$999,SMALL(IF((Expenses!E$3:E$999="INR")*(Expenses!A$3:A$999=DATE(2026,10,2)),ROW(Expenses!A$3:A$999)-2),1)),0)+IFERROR(INDEX(Income!C$3:C$502,SMALL(IF((Income!D$3:D$502="INR")*(Income!A$3:A$502=DATE(2026,10,2)),ROW(Income!A$3:A$502)-2),1)),0)=0,"",IFERROR(-INDEX(Expenses!D$3:D$999,SMALL(IF((Expenses!E$3:E$999="INR")*(Expenses!A$3:A$999=DATE(2026,10,2)),ROW(Expenses!A$3:A$999)-2),1)),0)+IFERROR(INDEX(Income!C$3:C$502,SMALL(IF((Income!D$3:D$502="INR")*(Income!A$3:A$502=DATE(2026,10,2)),ROW(Income!A$3:A$502)-2),1)),0))</f>
        <v/>
      </c>
      <c r="L199" s="126">
        <f t="array" ref="L199">IF(IFERROR(INDEX(Expenses!B$3:B$999,SMALL(IF((Expenses!E$3:E$999="INR")*(Expenses!A$3:A$999=DATE(2026,10,2)),ROW(Expenses!A$3:A$999)-2),1)),"")&lt;&gt;"",IFERROR(INDEX(Expenses!B$3:B$999,SMALL(IF((Expenses!E$3:E$999="INR")*(Expenses!A$3:A$999=DATE(2026,10,2)),ROW(Expenses!A$3:A$999)-2),1)),""),IF(IFERROR(INDEX(Income!B$3:B$502,SMALL(IF((Income!D$3:D$502="INR")*(Income!A$3:A$502=DATE(2026,10,2)),ROW(Income!A$3:A$502)-2),1)),"")&lt;&gt;"",IFERROR(INDEX(Income!B$3:B$502,SMALL(IF((Income!D$3:D$502="INR")*(Income!A$3:A$502=DATE(2026,10,2)),ROW(Income!A$3:A$502)-2),1)),""),""))</f>
        <v/>
      </c>
      <c r="M199" s="153">
        <f t="array" ref="M199">IF(IFERROR(-INDEX(Expenses!D$3:D$999,SMALL(IF((Expenses!E$3:E$999="INR")*(Expenses!A$3:A$999=DATE(2026,10,3)),ROW(Expenses!A$3:A$999)-2),1)),0)+IFERROR(INDEX(Income!C$3:C$502,SMALL(IF((Income!D$3:D$502="INR")*(Income!A$3:A$502=DATE(2026,10,3)),ROW(Income!A$3:A$502)-2),1)),0)=0,"",IFERROR(-INDEX(Expenses!D$3:D$999,SMALL(IF((Expenses!E$3:E$999="INR")*(Expenses!A$3:A$999=DATE(2026,10,3)),ROW(Expenses!A$3:A$999)-2),1)),0)+IFERROR(INDEX(Income!C$3:C$502,SMALL(IF((Income!D$3:D$502="INR")*(Income!A$3:A$502=DATE(2026,10,3)),ROW(Income!A$3:A$502)-2),1)),0))</f>
        <v/>
      </c>
      <c r="N199" s="126">
        <f t="array" ref="N199">IF(IFERROR(INDEX(Expenses!B$3:B$999,SMALL(IF((Expenses!E$3:E$999="INR")*(Expenses!A$3:A$999=DATE(2026,10,3)),ROW(Expenses!A$3:A$999)-2),1)),"")&lt;&gt;"",IFERROR(INDEX(Expenses!B$3:B$999,SMALL(IF((Expenses!E$3:E$999="INR")*(Expenses!A$3:A$999=DATE(2026,10,3)),ROW(Expenses!A$3:A$999)-2),1)),""),IF(IFERROR(INDEX(Income!B$3:B$502,SMALL(IF((Income!D$3:D$502="INR")*(Income!A$3:A$502=DATE(2026,10,3)),ROW(Income!A$3:A$502)-2),1)),"")&lt;&gt;"",IFERROR(INDEX(Income!B$3:B$502,SMALL(IF((Income!D$3:D$502="INR")*(Income!A$3:A$502=DATE(2026,10,3)),ROW(Income!A$3:A$502)-2),1)),""),""))</f>
        <v/>
      </c>
      <c r="O199" s="153">
        <f t="array" ref="O199">IF(IFERROR(-INDEX(Expenses!D$3:D$999,SMALL(IF((Expenses!E$3:E$999="INR")*(Expenses!A$3:A$999=DATE(2026,10,4)),ROW(Expenses!A$3:A$999)-2),1)),0)+IFERROR(INDEX(Income!C$3:C$502,SMALL(IF((Income!D$3:D$502="INR")*(Income!A$3:A$502=DATE(2026,10,4)),ROW(Income!A$3:A$502)-2),1)),0)=0,"",IFERROR(-INDEX(Expenses!D$3:D$999,SMALL(IF((Expenses!E$3:E$999="INR")*(Expenses!A$3:A$999=DATE(2026,10,4)),ROW(Expenses!A$3:A$999)-2),1)),0)+IFERROR(INDEX(Income!C$3:C$502,SMALL(IF((Income!D$3:D$502="INR")*(Income!A$3:A$502=DATE(2026,10,4)),ROW(Income!A$3:A$502)-2),1)),0))</f>
        <v/>
      </c>
      <c r="P199" s="126">
        <f t="array" ref="P199">IF(IFERROR(INDEX(Expenses!B$3:B$999,SMALL(IF((Expenses!E$3:E$999="INR")*(Expenses!A$3:A$999=DATE(2026,10,4)),ROW(Expenses!A$3:A$999)-2),1)),"")&lt;&gt;"",IFERROR(INDEX(Expenses!B$3:B$999,SMALL(IF((Expenses!E$3:E$999="INR")*(Expenses!A$3:A$999=DATE(2026,10,4)),ROW(Expenses!A$3:A$999)-2),1)),""),IF(IFERROR(INDEX(Income!B$3:B$502,SMALL(IF((Income!D$3:D$502="INR")*(Income!A$3:A$502=DATE(2026,10,4)),ROW(Income!A$3:A$502)-2),1)),"")&lt;&gt;"",IFERROR(INDEX(Income!B$3:B$502,SMALL(IF((Income!D$3:D$502="INR")*(Income!A$3:A$502=DATE(2026,10,4)),ROW(Income!A$3:A$502)-2),1)),""),""))</f>
        <v/>
      </c>
      <c r="Q199" s="103" t="n">
        <v>40</v>
      </c>
      <c r="R199" s="142">
        <f>SUM(C199:C203)+SUM(E199:E203)+SUM(G199:G203)+SUM(I199:I203)+SUM(K199:K203)+SUM(M199:M203)+SUM(O199:O203)</f>
        <v/>
      </c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68">
      <c r="A200" s="9" t="n"/>
      <c r="B200" s="9" t="n"/>
      <c r="C200" s="153">
        <f t="array" ref="C200">IF(IFERROR(-INDEX(Expenses!D$3:D$999,SMALL(IF((Expenses!E$3:E$999="INR")*(Expenses!A$3:A$999=DATE(2026,9,28)),ROW(Expenses!A$3:A$999)-2),2)),0)+IFERROR(INDEX(Income!C$3:C$502,SMALL(IF((Income!D$3:D$502="INR")*(Income!A$3:A$502=DATE(2026,9,28)),ROW(Income!A$3:A$502)-2),2)),0)=0,"",IFERROR(-INDEX(Expenses!D$3:D$999,SMALL(IF((Expenses!E$3:E$999="INR")*(Expenses!A$3:A$999=DATE(2026,9,28)),ROW(Expenses!A$3:A$999)-2),2)),0)+IFERROR(INDEX(Income!C$3:C$502,SMALL(IF((Income!D$3:D$502="INR")*(Income!A$3:A$502=DATE(2026,9,28)),ROW(Income!A$3:A$502)-2),2)),0))</f>
        <v/>
      </c>
      <c r="D200" s="126">
        <f t="array" ref="D200">IF(IFERROR(INDEX(Expenses!B$3:B$999,SMALL(IF((Expenses!E$3:E$999="INR")*(Expenses!A$3:A$999=DATE(2026,9,28)),ROW(Expenses!A$3:A$999)-2),2)),"")&lt;&gt;"",IFERROR(INDEX(Expenses!B$3:B$999,SMALL(IF((Expenses!E$3:E$999="INR")*(Expenses!A$3:A$999=DATE(2026,9,28)),ROW(Expenses!A$3:A$999)-2),2)),""),IF(IFERROR(INDEX(Income!B$3:B$502,SMALL(IF((Income!D$3:D$502="INR")*(Income!A$3:A$502=DATE(2026,9,28)),ROW(Income!A$3:A$502)-2),2)),"")&lt;&gt;"",IFERROR(INDEX(Income!B$3:B$502,SMALL(IF((Income!D$3:D$502="INR")*(Income!A$3:A$502=DATE(2026,9,28)),ROW(Income!A$3:A$502)-2),2)),""),""))</f>
        <v/>
      </c>
      <c r="E200" s="153">
        <f t="array" ref="E200">IF(IFERROR(-INDEX(Expenses!D$3:D$999,SMALL(IF((Expenses!E$3:E$999="INR")*(Expenses!A$3:A$999=DATE(2026,9,29)),ROW(Expenses!A$3:A$999)-2),2)),0)+IFERROR(INDEX(Income!C$3:C$502,SMALL(IF((Income!D$3:D$502="INR")*(Income!A$3:A$502=DATE(2026,9,29)),ROW(Income!A$3:A$502)-2),2)),0)=0,"",IFERROR(-INDEX(Expenses!D$3:D$999,SMALL(IF((Expenses!E$3:E$999="INR")*(Expenses!A$3:A$999=DATE(2026,9,29)),ROW(Expenses!A$3:A$999)-2),2)),0)+IFERROR(INDEX(Income!C$3:C$502,SMALL(IF((Income!D$3:D$502="INR")*(Income!A$3:A$502=DATE(2026,9,29)),ROW(Income!A$3:A$502)-2),2)),0))</f>
        <v/>
      </c>
      <c r="F200" s="126">
        <f t="array" ref="F200">IF(IFERROR(INDEX(Expenses!B$3:B$999,SMALL(IF((Expenses!E$3:E$999="INR")*(Expenses!A$3:A$999=DATE(2026,9,29)),ROW(Expenses!A$3:A$999)-2),2)),"")&lt;&gt;"",IFERROR(INDEX(Expenses!B$3:B$999,SMALL(IF((Expenses!E$3:E$999="INR")*(Expenses!A$3:A$999=DATE(2026,9,29)),ROW(Expenses!A$3:A$999)-2),2)),""),IF(IFERROR(INDEX(Income!B$3:B$502,SMALL(IF((Income!D$3:D$502="INR")*(Income!A$3:A$502=DATE(2026,9,29)),ROW(Income!A$3:A$502)-2),2)),"")&lt;&gt;"",IFERROR(INDEX(Income!B$3:B$502,SMALL(IF((Income!D$3:D$502="INR")*(Income!A$3:A$502=DATE(2026,9,29)),ROW(Income!A$3:A$502)-2),2)),""),""))</f>
        <v/>
      </c>
      <c r="G200" s="153">
        <f t="array" ref="G200">IF(IFERROR(-INDEX(Expenses!D$3:D$999,SMALL(IF((Expenses!E$3:E$999="INR")*(Expenses!A$3:A$999=DATE(2026,9,30)),ROW(Expenses!A$3:A$999)-2),2)),0)+IFERROR(INDEX(Income!C$3:C$502,SMALL(IF((Income!D$3:D$502="INR")*(Income!A$3:A$502=DATE(2026,9,30)),ROW(Income!A$3:A$502)-2),2)),0)=0,"",IFERROR(-INDEX(Expenses!D$3:D$999,SMALL(IF((Expenses!E$3:E$999="INR")*(Expenses!A$3:A$999=DATE(2026,9,30)),ROW(Expenses!A$3:A$999)-2),2)),0)+IFERROR(INDEX(Income!C$3:C$502,SMALL(IF((Income!D$3:D$502="INR")*(Income!A$3:A$502=DATE(2026,9,30)),ROW(Income!A$3:A$502)-2),2)),0))</f>
        <v/>
      </c>
      <c r="H200" s="126">
        <f t="array" ref="H200">IF(IFERROR(INDEX(Expenses!B$3:B$999,SMALL(IF((Expenses!E$3:E$999="INR")*(Expenses!A$3:A$999=DATE(2026,9,30)),ROW(Expenses!A$3:A$999)-2),2)),"")&lt;&gt;"",IFERROR(INDEX(Expenses!B$3:B$999,SMALL(IF((Expenses!E$3:E$999="INR")*(Expenses!A$3:A$999=DATE(2026,9,30)),ROW(Expenses!A$3:A$999)-2),2)),""),IF(IFERROR(INDEX(Income!B$3:B$502,SMALL(IF((Income!D$3:D$502="INR")*(Income!A$3:A$502=DATE(2026,9,30)),ROW(Income!A$3:A$502)-2),2)),"")&lt;&gt;"",IFERROR(INDEX(Income!B$3:B$502,SMALL(IF((Income!D$3:D$502="INR")*(Income!A$3:A$502=DATE(2026,9,30)),ROW(Income!A$3:A$502)-2),2)),""),""))</f>
        <v/>
      </c>
      <c r="I200" s="153">
        <f t="array" ref="I200">IF(IFERROR(-INDEX(Expenses!D$3:D$999,SMALL(IF((Expenses!E$3:E$999="INR")*(Expenses!A$3:A$999=DATE(2026,10,1)),ROW(Expenses!A$3:A$999)-2),2)),0)+IFERROR(INDEX(Income!C$3:C$502,SMALL(IF((Income!D$3:D$502="INR")*(Income!A$3:A$502=DATE(2026,10,1)),ROW(Income!A$3:A$502)-2),2)),0)=0,"",IFERROR(-INDEX(Expenses!D$3:D$999,SMALL(IF((Expenses!E$3:E$999="INR")*(Expenses!A$3:A$999=DATE(2026,10,1)),ROW(Expenses!A$3:A$999)-2),2)),0)+IFERROR(INDEX(Income!C$3:C$502,SMALL(IF((Income!D$3:D$502="INR")*(Income!A$3:A$502=DATE(2026,10,1)),ROW(Income!A$3:A$502)-2),2)),0))</f>
        <v/>
      </c>
      <c r="J200" s="126">
        <f t="array" ref="J200">IF(IFERROR(INDEX(Expenses!B$3:B$999,SMALL(IF((Expenses!E$3:E$999="INR")*(Expenses!A$3:A$999=DATE(2026,10,1)),ROW(Expenses!A$3:A$999)-2),2)),"")&lt;&gt;"",IFERROR(INDEX(Expenses!B$3:B$999,SMALL(IF((Expenses!E$3:E$999="INR")*(Expenses!A$3:A$999=DATE(2026,10,1)),ROW(Expenses!A$3:A$999)-2),2)),""),IF(IFERROR(INDEX(Income!B$3:B$502,SMALL(IF((Income!D$3:D$502="INR")*(Income!A$3:A$502=DATE(2026,10,1)),ROW(Income!A$3:A$502)-2),2)),"")&lt;&gt;"",IFERROR(INDEX(Income!B$3:B$502,SMALL(IF((Income!D$3:D$502="INR")*(Income!A$3:A$502=DATE(2026,10,1)),ROW(Income!A$3:A$502)-2),2)),""),""))</f>
        <v/>
      </c>
      <c r="K200" s="153">
        <f t="array" ref="K200">IF(IFERROR(-INDEX(Expenses!D$3:D$999,SMALL(IF((Expenses!E$3:E$999="INR")*(Expenses!A$3:A$999=DATE(2026,10,2)),ROW(Expenses!A$3:A$999)-2),2)),0)+IFERROR(INDEX(Income!C$3:C$502,SMALL(IF((Income!D$3:D$502="INR")*(Income!A$3:A$502=DATE(2026,10,2)),ROW(Income!A$3:A$502)-2),2)),0)=0,"",IFERROR(-INDEX(Expenses!D$3:D$999,SMALL(IF((Expenses!E$3:E$999="INR")*(Expenses!A$3:A$999=DATE(2026,10,2)),ROW(Expenses!A$3:A$999)-2),2)),0)+IFERROR(INDEX(Income!C$3:C$502,SMALL(IF((Income!D$3:D$502="INR")*(Income!A$3:A$502=DATE(2026,10,2)),ROW(Income!A$3:A$502)-2),2)),0))</f>
        <v/>
      </c>
      <c r="L200" s="126">
        <f t="array" ref="L200">IF(IFERROR(INDEX(Expenses!B$3:B$999,SMALL(IF((Expenses!E$3:E$999="INR")*(Expenses!A$3:A$999=DATE(2026,10,2)),ROW(Expenses!A$3:A$999)-2),2)),"")&lt;&gt;"",IFERROR(INDEX(Expenses!B$3:B$999,SMALL(IF((Expenses!E$3:E$999="INR")*(Expenses!A$3:A$999=DATE(2026,10,2)),ROW(Expenses!A$3:A$999)-2),2)),""),IF(IFERROR(INDEX(Income!B$3:B$502,SMALL(IF((Income!D$3:D$502="INR")*(Income!A$3:A$502=DATE(2026,10,2)),ROW(Income!A$3:A$502)-2),2)),"")&lt;&gt;"",IFERROR(INDEX(Income!B$3:B$502,SMALL(IF((Income!D$3:D$502="INR")*(Income!A$3:A$502=DATE(2026,10,2)),ROW(Income!A$3:A$502)-2),2)),""),""))</f>
        <v/>
      </c>
      <c r="M200" s="153">
        <f t="array" ref="M200">IF(IFERROR(-INDEX(Expenses!D$3:D$999,SMALL(IF((Expenses!E$3:E$999="INR")*(Expenses!A$3:A$999=DATE(2026,10,3)),ROW(Expenses!A$3:A$999)-2),2)),0)+IFERROR(INDEX(Income!C$3:C$502,SMALL(IF((Income!D$3:D$502="INR")*(Income!A$3:A$502=DATE(2026,10,3)),ROW(Income!A$3:A$502)-2),2)),0)=0,"",IFERROR(-INDEX(Expenses!D$3:D$999,SMALL(IF((Expenses!E$3:E$999="INR")*(Expenses!A$3:A$999=DATE(2026,10,3)),ROW(Expenses!A$3:A$999)-2),2)),0)+IFERROR(INDEX(Income!C$3:C$502,SMALL(IF((Income!D$3:D$502="INR")*(Income!A$3:A$502=DATE(2026,10,3)),ROW(Income!A$3:A$502)-2),2)),0))</f>
        <v/>
      </c>
      <c r="N200" s="126">
        <f t="array" ref="N200">IF(IFERROR(INDEX(Expenses!B$3:B$999,SMALL(IF((Expenses!E$3:E$999="INR")*(Expenses!A$3:A$999=DATE(2026,10,3)),ROW(Expenses!A$3:A$999)-2),2)),"")&lt;&gt;"",IFERROR(INDEX(Expenses!B$3:B$999,SMALL(IF((Expenses!E$3:E$999="INR")*(Expenses!A$3:A$999=DATE(2026,10,3)),ROW(Expenses!A$3:A$999)-2),2)),""),IF(IFERROR(INDEX(Income!B$3:B$502,SMALL(IF((Income!D$3:D$502="INR")*(Income!A$3:A$502=DATE(2026,10,3)),ROW(Income!A$3:A$502)-2),2)),"")&lt;&gt;"",IFERROR(INDEX(Income!B$3:B$502,SMALL(IF((Income!D$3:D$502="INR")*(Income!A$3:A$502=DATE(2026,10,3)),ROW(Income!A$3:A$502)-2),2)),""),""))</f>
        <v/>
      </c>
      <c r="O200" s="153">
        <f t="array" ref="O200">IF(IFERROR(-INDEX(Expenses!D$3:D$999,SMALL(IF((Expenses!E$3:E$999="INR")*(Expenses!A$3:A$999=DATE(2026,10,4)),ROW(Expenses!A$3:A$999)-2),2)),0)+IFERROR(INDEX(Income!C$3:C$502,SMALL(IF((Income!D$3:D$502="INR")*(Income!A$3:A$502=DATE(2026,10,4)),ROW(Income!A$3:A$502)-2),2)),0)=0,"",IFERROR(-INDEX(Expenses!D$3:D$999,SMALL(IF((Expenses!E$3:E$999="INR")*(Expenses!A$3:A$999=DATE(2026,10,4)),ROW(Expenses!A$3:A$999)-2),2)),0)+IFERROR(INDEX(Income!C$3:C$502,SMALL(IF((Income!D$3:D$502="INR")*(Income!A$3:A$502=DATE(2026,10,4)),ROW(Income!A$3:A$502)-2),2)),0))</f>
        <v/>
      </c>
      <c r="P200" s="126">
        <f t="array" ref="P200">IF(IFERROR(INDEX(Expenses!B$3:B$999,SMALL(IF((Expenses!E$3:E$999="INR")*(Expenses!A$3:A$999=DATE(2026,10,4)),ROW(Expenses!A$3:A$999)-2),2)),"")&lt;&gt;"",IFERROR(INDEX(Expenses!B$3:B$999,SMALL(IF((Expenses!E$3:E$999="INR")*(Expenses!A$3:A$999=DATE(2026,10,4)),ROW(Expenses!A$3:A$999)-2),2)),""),IF(IFERROR(INDEX(Income!B$3:B$502,SMALL(IF((Income!D$3:D$502="INR")*(Income!A$3:A$502=DATE(2026,10,4)),ROW(Income!A$3:A$502)-2),2)),"")&lt;&gt;"",IFERROR(INDEX(Income!B$3:B$502,SMALL(IF((Income!D$3:D$502="INR")*(Income!A$3:A$502=DATE(2026,10,4)),ROW(Income!A$3:A$502)-2),2)),""),""))</f>
        <v/>
      </c>
      <c r="Q200" s="9" t="n"/>
      <c r="R200" s="9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68">
      <c r="A201" s="9" t="n"/>
      <c r="B201" s="9" t="n"/>
      <c r="C201" s="153">
        <f t="array" ref="C201">IF(IFERROR(-INDEX(Expenses!D$3:D$999,SMALL(IF((Expenses!E$3:E$999="INR")*(Expenses!A$3:A$999=DATE(2026,9,28)),ROW(Expenses!A$3:A$999)-2),3)),0)+IFERROR(INDEX(Income!C$3:C$502,SMALL(IF((Income!D$3:D$502="INR")*(Income!A$3:A$502=DATE(2026,9,28)),ROW(Income!A$3:A$502)-2),3)),0)=0,"",IFERROR(-INDEX(Expenses!D$3:D$999,SMALL(IF((Expenses!E$3:E$999="INR")*(Expenses!A$3:A$999=DATE(2026,9,28)),ROW(Expenses!A$3:A$999)-2),3)),0)+IFERROR(INDEX(Income!C$3:C$502,SMALL(IF((Income!D$3:D$502="INR")*(Income!A$3:A$502=DATE(2026,9,28)),ROW(Income!A$3:A$502)-2),3)),0))</f>
        <v/>
      </c>
      <c r="D201" s="126">
        <f t="array" ref="D201">IF(IFERROR(INDEX(Expenses!B$3:B$999,SMALL(IF((Expenses!E$3:E$999="INR")*(Expenses!A$3:A$999=DATE(2026,9,28)),ROW(Expenses!A$3:A$999)-2),3)),"")&lt;&gt;"",IFERROR(INDEX(Expenses!B$3:B$999,SMALL(IF((Expenses!E$3:E$999="INR")*(Expenses!A$3:A$999=DATE(2026,9,28)),ROW(Expenses!A$3:A$999)-2),3)),""),IF(IFERROR(INDEX(Income!B$3:B$502,SMALL(IF((Income!D$3:D$502="INR")*(Income!A$3:A$502=DATE(2026,9,28)),ROW(Income!A$3:A$502)-2),3)),"")&lt;&gt;"",IFERROR(INDEX(Income!B$3:B$502,SMALL(IF((Income!D$3:D$502="INR")*(Income!A$3:A$502=DATE(2026,9,28)),ROW(Income!A$3:A$502)-2),3)),""),""))</f>
        <v/>
      </c>
      <c r="E201" s="153">
        <f t="array" ref="E201">IF(IFERROR(-INDEX(Expenses!D$3:D$999,SMALL(IF((Expenses!E$3:E$999="INR")*(Expenses!A$3:A$999=DATE(2026,9,29)),ROW(Expenses!A$3:A$999)-2),3)),0)+IFERROR(INDEX(Income!C$3:C$502,SMALL(IF((Income!D$3:D$502="INR")*(Income!A$3:A$502=DATE(2026,9,29)),ROW(Income!A$3:A$502)-2),3)),0)=0,"",IFERROR(-INDEX(Expenses!D$3:D$999,SMALL(IF((Expenses!E$3:E$999="INR")*(Expenses!A$3:A$999=DATE(2026,9,29)),ROW(Expenses!A$3:A$999)-2),3)),0)+IFERROR(INDEX(Income!C$3:C$502,SMALL(IF((Income!D$3:D$502="INR")*(Income!A$3:A$502=DATE(2026,9,29)),ROW(Income!A$3:A$502)-2),3)),0))</f>
        <v/>
      </c>
      <c r="F201" s="126">
        <f t="array" ref="F201">IF(IFERROR(INDEX(Expenses!B$3:B$999,SMALL(IF((Expenses!E$3:E$999="INR")*(Expenses!A$3:A$999=DATE(2026,9,29)),ROW(Expenses!A$3:A$999)-2),3)),"")&lt;&gt;"",IFERROR(INDEX(Expenses!B$3:B$999,SMALL(IF((Expenses!E$3:E$999="INR")*(Expenses!A$3:A$999=DATE(2026,9,29)),ROW(Expenses!A$3:A$999)-2),3)),""),IF(IFERROR(INDEX(Income!B$3:B$502,SMALL(IF((Income!D$3:D$502="INR")*(Income!A$3:A$502=DATE(2026,9,29)),ROW(Income!A$3:A$502)-2),3)),"")&lt;&gt;"",IFERROR(INDEX(Income!B$3:B$502,SMALL(IF((Income!D$3:D$502="INR")*(Income!A$3:A$502=DATE(2026,9,29)),ROW(Income!A$3:A$502)-2),3)),""),""))</f>
        <v/>
      </c>
      <c r="G201" s="153">
        <f t="array" ref="G201">IF(IFERROR(-INDEX(Expenses!D$3:D$999,SMALL(IF((Expenses!E$3:E$999="INR")*(Expenses!A$3:A$999=DATE(2026,9,30)),ROW(Expenses!A$3:A$999)-2),3)),0)+IFERROR(INDEX(Income!C$3:C$502,SMALL(IF((Income!D$3:D$502="INR")*(Income!A$3:A$502=DATE(2026,9,30)),ROW(Income!A$3:A$502)-2),3)),0)=0,"",IFERROR(-INDEX(Expenses!D$3:D$999,SMALL(IF((Expenses!E$3:E$999="INR")*(Expenses!A$3:A$999=DATE(2026,9,30)),ROW(Expenses!A$3:A$999)-2),3)),0)+IFERROR(INDEX(Income!C$3:C$502,SMALL(IF((Income!D$3:D$502="INR")*(Income!A$3:A$502=DATE(2026,9,30)),ROW(Income!A$3:A$502)-2),3)),0))</f>
        <v/>
      </c>
      <c r="H201" s="126">
        <f t="array" ref="H201">IF(IFERROR(INDEX(Expenses!B$3:B$999,SMALL(IF((Expenses!E$3:E$999="INR")*(Expenses!A$3:A$999=DATE(2026,9,30)),ROW(Expenses!A$3:A$999)-2),3)),"")&lt;&gt;"",IFERROR(INDEX(Expenses!B$3:B$999,SMALL(IF((Expenses!E$3:E$999="INR")*(Expenses!A$3:A$999=DATE(2026,9,30)),ROW(Expenses!A$3:A$999)-2),3)),""),IF(IFERROR(INDEX(Income!B$3:B$502,SMALL(IF((Income!D$3:D$502="INR")*(Income!A$3:A$502=DATE(2026,9,30)),ROW(Income!A$3:A$502)-2),3)),"")&lt;&gt;"",IFERROR(INDEX(Income!B$3:B$502,SMALL(IF((Income!D$3:D$502="INR")*(Income!A$3:A$502=DATE(2026,9,30)),ROW(Income!A$3:A$502)-2),3)),""),""))</f>
        <v/>
      </c>
      <c r="I201" s="153">
        <f t="array" ref="I201">IF(IFERROR(-INDEX(Expenses!D$3:D$999,SMALL(IF((Expenses!E$3:E$999="INR")*(Expenses!A$3:A$999=DATE(2026,10,1)),ROW(Expenses!A$3:A$999)-2),3)),0)+IFERROR(INDEX(Income!C$3:C$502,SMALL(IF((Income!D$3:D$502="INR")*(Income!A$3:A$502=DATE(2026,10,1)),ROW(Income!A$3:A$502)-2),3)),0)=0,"",IFERROR(-INDEX(Expenses!D$3:D$999,SMALL(IF((Expenses!E$3:E$999="INR")*(Expenses!A$3:A$999=DATE(2026,10,1)),ROW(Expenses!A$3:A$999)-2),3)),0)+IFERROR(INDEX(Income!C$3:C$502,SMALL(IF((Income!D$3:D$502="INR")*(Income!A$3:A$502=DATE(2026,10,1)),ROW(Income!A$3:A$502)-2),3)),0))</f>
        <v/>
      </c>
      <c r="J201" s="126">
        <f t="array" ref="J201">IF(IFERROR(INDEX(Expenses!B$3:B$999,SMALL(IF((Expenses!E$3:E$999="INR")*(Expenses!A$3:A$999=DATE(2026,10,1)),ROW(Expenses!A$3:A$999)-2),3)),"")&lt;&gt;"",IFERROR(INDEX(Expenses!B$3:B$999,SMALL(IF((Expenses!E$3:E$999="INR")*(Expenses!A$3:A$999=DATE(2026,10,1)),ROW(Expenses!A$3:A$999)-2),3)),""),IF(IFERROR(INDEX(Income!B$3:B$502,SMALL(IF((Income!D$3:D$502="INR")*(Income!A$3:A$502=DATE(2026,10,1)),ROW(Income!A$3:A$502)-2),3)),"")&lt;&gt;"",IFERROR(INDEX(Income!B$3:B$502,SMALL(IF((Income!D$3:D$502="INR")*(Income!A$3:A$502=DATE(2026,10,1)),ROW(Income!A$3:A$502)-2),3)),""),""))</f>
        <v/>
      </c>
      <c r="K201" s="153">
        <f t="array" ref="K201">IF(IFERROR(-INDEX(Expenses!D$3:D$999,SMALL(IF((Expenses!E$3:E$999="INR")*(Expenses!A$3:A$999=DATE(2026,10,2)),ROW(Expenses!A$3:A$999)-2),3)),0)+IFERROR(INDEX(Income!C$3:C$502,SMALL(IF((Income!D$3:D$502="INR")*(Income!A$3:A$502=DATE(2026,10,2)),ROW(Income!A$3:A$502)-2),3)),0)=0,"",IFERROR(-INDEX(Expenses!D$3:D$999,SMALL(IF((Expenses!E$3:E$999="INR")*(Expenses!A$3:A$999=DATE(2026,10,2)),ROW(Expenses!A$3:A$999)-2),3)),0)+IFERROR(INDEX(Income!C$3:C$502,SMALL(IF((Income!D$3:D$502="INR")*(Income!A$3:A$502=DATE(2026,10,2)),ROW(Income!A$3:A$502)-2),3)),0))</f>
        <v/>
      </c>
      <c r="L201" s="126">
        <f t="array" ref="L201">IF(IFERROR(INDEX(Expenses!B$3:B$999,SMALL(IF((Expenses!E$3:E$999="INR")*(Expenses!A$3:A$999=DATE(2026,10,2)),ROW(Expenses!A$3:A$999)-2),3)),"")&lt;&gt;"",IFERROR(INDEX(Expenses!B$3:B$999,SMALL(IF((Expenses!E$3:E$999="INR")*(Expenses!A$3:A$999=DATE(2026,10,2)),ROW(Expenses!A$3:A$999)-2),3)),""),IF(IFERROR(INDEX(Income!B$3:B$502,SMALL(IF((Income!D$3:D$502="INR")*(Income!A$3:A$502=DATE(2026,10,2)),ROW(Income!A$3:A$502)-2),3)),"")&lt;&gt;"",IFERROR(INDEX(Income!B$3:B$502,SMALL(IF((Income!D$3:D$502="INR")*(Income!A$3:A$502=DATE(2026,10,2)),ROW(Income!A$3:A$502)-2),3)),""),""))</f>
        <v/>
      </c>
      <c r="M201" s="153">
        <f t="array" ref="M201">IF(IFERROR(-INDEX(Expenses!D$3:D$999,SMALL(IF((Expenses!E$3:E$999="INR")*(Expenses!A$3:A$999=DATE(2026,10,3)),ROW(Expenses!A$3:A$999)-2),3)),0)+IFERROR(INDEX(Income!C$3:C$502,SMALL(IF((Income!D$3:D$502="INR")*(Income!A$3:A$502=DATE(2026,10,3)),ROW(Income!A$3:A$502)-2),3)),0)=0,"",IFERROR(-INDEX(Expenses!D$3:D$999,SMALL(IF((Expenses!E$3:E$999="INR")*(Expenses!A$3:A$999=DATE(2026,10,3)),ROW(Expenses!A$3:A$999)-2),3)),0)+IFERROR(INDEX(Income!C$3:C$502,SMALL(IF((Income!D$3:D$502="INR")*(Income!A$3:A$502=DATE(2026,10,3)),ROW(Income!A$3:A$502)-2),3)),0))</f>
        <v/>
      </c>
      <c r="N201" s="126">
        <f t="array" ref="N201">IF(IFERROR(INDEX(Expenses!B$3:B$999,SMALL(IF((Expenses!E$3:E$999="INR")*(Expenses!A$3:A$999=DATE(2026,10,3)),ROW(Expenses!A$3:A$999)-2),3)),"")&lt;&gt;"",IFERROR(INDEX(Expenses!B$3:B$999,SMALL(IF((Expenses!E$3:E$999="INR")*(Expenses!A$3:A$999=DATE(2026,10,3)),ROW(Expenses!A$3:A$999)-2),3)),""),IF(IFERROR(INDEX(Income!B$3:B$502,SMALL(IF((Income!D$3:D$502="INR")*(Income!A$3:A$502=DATE(2026,10,3)),ROW(Income!A$3:A$502)-2),3)),"")&lt;&gt;"",IFERROR(INDEX(Income!B$3:B$502,SMALL(IF((Income!D$3:D$502="INR")*(Income!A$3:A$502=DATE(2026,10,3)),ROW(Income!A$3:A$502)-2),3)),""),""))</f>
        <v/>
      </c>
      <c r="O201" s="153">
        <f t="array" ref="O201">IF(IFERROR(-INDEX(Expenses!D$3:D$999,SMALL(IF((Expenses!E$3:E$999="INR")*(Expenses!A$3:A$999=DATE(2026,10,4)),ROW(Expenses!A$3:A$999)-2),3)),0)+IFERROR(INDEX(Income!C$3:C$502,SMALL(IF((Income!D$3:D$502="INR")*(Income!A$3:A$502=DATE(2026,10,4)),ROW(Income!A$3:A$502)-2),3)),0)=0,"",IFERROR(-INDEX(Expenses!D$3:D$999,SMALL(IF((Expenses!E$3:E$999="INR")*(Expenses!A$3:A$999=DATE(2026,10,4)),ROW(Expenses!A$3:A$999)-2),3)),0)+IFERROR(INDEX(Income!C$3:C$502,SMALL(IF((Income!D$3:D$502="INR")*(Income!A$3:A$502=DATE(2026,10,4)),ROW(Income!A$3:A$502)-2),3)),0))</f>
        <v/>
      </c>
      <c r="P201" s="126">
        <f t="array" ref="P201">IF(IFERROR(INDEX(Expenses!B$3:B$999,SMALL(IF((Expenses!E$3:E$999="INR")*(Expenses!A$3:A$999=DATE(2026,10,4)),ROW(Expenses!A$3:A$999)-2),3)),"")&lt;&gt;"",IFERROR(INDEX(Expenses!B$3:B$999,SMALL(IF((Expenses!E$3:E$999="INR")*(Expenses!A$3:A$999=DATE(2026,10,4)),ROW(Expenses!A$3:A$999)-2),3)),""),IF(IFERROR(INDEX(Income!B$3:B$502,SMALL(IF((Income!D$3:D$502="INR")*(Income!A$3:A$502=DATE(2026,10,4)),ROW(Income!A$3:A$502)-2),3)),"")&lt;&gt;"",IFERROR(INDEX(Income!B$3:B$502,SMALL(IF((Income!D$3:D$502="INR")*(Income!A$3:A$502=DATE(2026,10,4)),ROW(Income!A$3:A$502)-2),3)),""),""))</f>
        <v/>
      </c>
      <c r="Q201" s="9" t="n"/>
      <c r="R201" s="9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68">
      <c r="A202" s="9" t="n"/>
      <c r="B202" s="9" t="n"/>
      <c r="C202" s="153">
        <f t="array" ref="C202">IF(IFERROR(-INDEX(Expenses!D$3:D$999,SMALL(IF((Expenses!E$3:E$999="INR")*(Expenses!A$3:A$999=DATE(2026,9,28)),ROW(Expenses!A$3:A$999)-2),4)),0)+IFERROR(INDEX(Income!C$3:C$502,SMALL(IF((Income!D$3:D$502="INR")*(Income!A$3:A$502=DATE(2026,9,28)),ROW(Income!A$3:A$502)-2),4)),0)=0,"",IFERROR(-INDEX(Expenses!D$3:D$999,SMALL(IF((Expenses!E$3:E$999="INR")*(Expenses!A$3:A$999=DATE(2026,9,28)),ROW(Expenses!A$3:A$999)-2),4)),0)+IFERROR(INDEX(Income!C$3:C$502,SMALL(IF((Income!D$3:D$502="INR")*(Income!A$3:A$502=DATE(2026,9,28)),ROW(Income!A$3:A$502)-2),4)),0))</f>
        <v/>
      </c>
      <c r="D202" s="126">
        <f t="array" ref="D202">IF(IFERROR(INDEX(Expenses!B$3:B$999,SMALL(IF((Expenses!E$3:E$999="INR")*(Expenses!A$3:A$999=DATE(2026,9,28)),ROW(Expenses!A$3:A$999)-2),4)),"")&lt;&gt;"",IFERROR(INDEX(Expenses!B$3:B$999,SMALL(IF((Expenses!E$3:E$999="INR")*(Expenses!A$3:A$999=DATE(2026,9,28)),ROW(Expenses!A$3:A$999)-2),4)),""),IF(IFERROR(INDEX(Income!B$3:B$502,SMALL(IF((Income!D$3:D$502="INR")*(Income!A$3:A$502=DATE(2026,9,28)),ROW(Income!A$3:A$502)-2),4)),"")&lt;&gt;"",IFERROR(INDEX(Income!B$3:B$502,SMALL(IF((Income!D$3:D$502="INR")*(Income!A$3:A$502=DATE(2026,9,28)),ROW(Income!A$3:A$502)-2),4)),""),""))</f>
        <v/>
      </c>
      <c r="E202" s="153">
        <f t="array" ref="E202">IF(IFERROR(-INDEX(Expenses!D$3:D$999,SMALL(IF((Expenses!E$3:E$999="INR")*(Expenses!A$3:A$999=DATE(2026,9,29)),ROW(Expenses!A$3:A$999)-2),4)),0)+IFERROR(INDEX(Income!C$3:C$502,SMALL(IF((Income!D$3:D$502="INR")*(Income!A$3:A$502=DATE(2026,9,29)),ROW(Income!A$3:A$502)-2),4)),0)=0,"",IFERROR(-INDEX(Expenses!D$3:D$999,SMALL(IF((Expenses!E$3:E$999="INR")*(Expenses!A$3:A$999=DATE(2026,9,29)),ROW(Expenses!A$3:A$999)-2),4)),0)+IFERROR(INDEX(Income!C$3:C$502,SMALL(IF((Income!D$3:D$502="INR")*(Income!A$3:A$502=DATE(2026,9,29)),ROW(Income!A$3:A$502)-2),4)),0))</f>
        <v/>
      </c>
      <c r="F202" s="126">
        <f t="array" ref="F202">IF(IFERROR(INDEX(Expenses!B$3:B$999,SMALL(IF((Expenses!E$3:E$999="INR")*(Expenses!A$3:A$999=DATE(2026,9,29)),ROW(Expenses!A$3:A$999)-2),4)),"")&lt;&gt;"",IFERROR(INDEX(Expenses!B$3:B$999,SMALL(IF((Expenses!E$3:E$999="INR")*(Expenses!A$3:A$999=DATE(2026,9,29)),ROW(Expenses!A$3:A$999)-2),4)),""),IF(IFERROR(INDEX(Income!B$3:B$502,SMALL(IF((Income!D$3:D$502="INR")*(Income!A$3:A$502=DATE(2026,9,29)),ROW(Income!A$3:A$502)-2),4)),"")&lt;&gt;"",IFERROR(INDEX(Income!B$3:B$502,SMALL(IF((Income!D$3:D$502="INR")*(Income!A$3:A$502=DATE(2026,9,29)),ROW(Income!A$3:A$502)-2),4)),""),""))</f>
        <v/>
      </c>
      <c r="G202" s="153">
        <f t="array" ref="G202">IF(IFERROR(-INDEX(Expenses!D$3:D$999,SMALL(IF((Expenses!E$3:E$999="INR")*(Expenses!A$3:A$999=DATE(2026,9,30)),ROW(Expenses!A$3:A$999)-2),4)),0)+IFERROR(INDEX(Income!C$3:C$502,SMALL(IF((Income!D$3:D$502="INR")*(Income!A$3:A$502=DATE(2026,9,30)),ROW(Income!A$3:A$502)-2),4)),0)=0,"",IFERROR(-INDEX(Expenses!D$3:D$999,SMALL(IF((Expenses!E$3:E$999="INR")*(Expenses!A$3:A$999=DATE(2026,9,30)),ROW(Expenses!A$3:A$999)-2),4)),0)+IFERROR(INDEX(Income!C$3:C$502,SMALL(IF((Income!D$3:D$502="INR")*(Income!A$3:A$502=DATE(2026,9,30)),ROW(Income!A$3:A$502)-2),4)),0))</f>
        <v/>
      </c>
      <c r="H202" s="126">
        <f t="array" ref="H202">IF(IFERROR(INDEX(Expenses!B$3:B$999,SMALL(IF((Expenses!E$3:E$999="INR")*(Expenses!A$3:A$999=DATE(2026,9,30)),ROW(Expenses!A$3:A$999)-2),4)),"")&lt;&gt;"",IFERROR(INDEX(Expenses!B$3:B$999,SMALL(IF((Expenses!E$3:E$999="INR")*(Expenses!A$3:A$999=DATE(2026,9,30)),ROW(Expenses!A$3:A$999)-2),4)),""),IF(IFERROR(INDEX(Income!B$3:B$502,SMALL(IF((Income!D$3:D$502="INR")*(Income!A$3:A$502=DATE(2026,9,30)),ROW(Income!A$3:A$502)-2),4)),"")&lt;&gt;"",IFERROR(INDEX(Income!B$3:B$502,SMALL(IF((Income!D$3:D$502="INR")*(Income!A$3:A$502=DATE(2026,9,30)),ROW(Income!A$3:A$502)-2),4)),""),""))</f>
        <v/>
      </c>
      <c r="I202" s="153">
        <f t="array" ref="I202">IF(IFERROR(-INDEX(Expenses!D$3:D$999,SMALL(IF((Expenses!E$3:E$999="INR")*(Expenses!A$3:A$999=DATE(2026,10,1)),ROW(Expenses!A$3:A$999)-2),4)),0)+IFERROR(INDEX(Income!C$3:C$502,SMALL(IF((Income!D$3:D$502="INR")*(Income!A$3:A$502=DATE(2026,10,1)),ROW(Income!A$3:A$502)-2),4)),0)=0,"",IFERROR(-INDEX(Expenses!D$3:D$999,SMALL(IF((Expenses!E$3:E$999="INR")*(Expenses!A$3:A$999=DATE(2026,10,1)),ROW(Expenses!A$3:A$999)-2),4)),0)+IFERROR(INDEX(Income!C$3:C$502,SMALL(IF((Income!D$3:D$502="INR")*(Income!A$3:A$502=DATE(2026,10,1)),ROW(Income!A$3:A$502)-2),4)),0))</f>
        <v/>
      </c>
      <c r="J202" s="126">
        <f t="array" ref="J202">IF(IFERROR(INDEX(Expenses!B$3:B$999,SMALL(IF((Expenses!E$3:E$999="INR")*(Expenses!A$3:A$999=DATE(2026,10,1)),ROW(Expenses!A$3:A$999)-2),4)),"")&lt;&gt;"",IFERROR(INDEX(Expenses!B$3:B$999,SMALL(IF((Expenses!E$3:E$999="INR")*(Expenses!A$3:A$999=DATE(2026,10,1)),ROW(Expenses!A$3:A$999)-2),4)),""),IF(IFERROR(INDEX(Income!B$3:B$502,SMALL(IF((Income!D$3:D$502="INR")*(Income!A$3:A$502=DATE(2026,10,1)),ROW(Income!A$3:A$502)-2),4)),"")&lt;&gt;"",IFERROR(INDEX(Income!B$3:B$502,SMALL(IF((Income!D$3:D$502="INR")*(Income!A$3:A$502=DATE(2026,10,1)),ROW(Income!A$3:A$502)-2),4)),""),""))</f>
        <v/>
      </c>
      <c r="K202" s="153">
        <f t="array" ref="K202">IF(IFERROR(-INDEX(Expenses!D$3:D$999,SMALL(IF((Expenses!E$3:E$999="INR")*(Expenses!A$3:A$999=DATE(2026,10,2)),ROW(Expenses!A$3:A$999)-2),4)),0)+IFERROR(INDEX(Income!C$3:C$502,SMALL(IF((Income!D$3:D$502="INR")*(Income!A$3:A$502=DATE(2026,10,2)),ROW(Income!A$3:A$502)-2),4)),0)=0,"",IFERROR(-INDEX(Expenses!D$3:D$999,SMALL(IF((Expenses!E$3:E$999="INR")*(Expenses!A$3:A$999=DATE(2026,10,2)),ROW(Expenses!A$3:A$999)-2),4)),0)+IFERROR(INDEX(Income!C$3:C$502,SMALL(IF((Income!D$3:D$502="INR")*(Income!A$3:A$502=DATE(2026,10,2)),ROW(Income!A$3:A$502)-2),4)),0))</f>
        <v/>
      </c>
      <c r="L202" s="126">
        <f t="array" ref="L202">IF(IFERROR(INDEX(Expenses!B$3:B$999,SMALL(IF((Expenses!E$3:E$999="INR")*(Expenses!A$3:A$999=DATE(2026,10,2)),ROW(Expenses!A$3:A$999)-2),4)),"")&lt;&gt;"",IFERROR(INDEX(Expenses!B$3:B$999,SMALL(IF((Expenses!E$3:E$999="INR")*(Expenses!A$3:A$999=DATE(2026,10,2)),ROW(Expenses!A$3:A$999)-2),4)),""),IF(IFERROR(INDEX(Income!B$3:B$502,SMALL(IF((Income!D$3:D$502="INR")*(Income!A$3:A$502=DATE(2026,10,2)),ROW(Income!A$3:A$502)-2),4)),"")&lt;&gt;"",IFERROR(INDEX(Income!B$3:B$502,SMALL(IF((Income!D$3:D$502="INR")*(Income!A$3:A$502=DATE(2026,10,2)),ROW(Income!A$3:A$502)-2),4)),""),""))</f>
        <v/>
      </c>
      <c r="M202" s="153">
        <f t="array" ref="M202">IF(IFERROR(-INDEX(Expenses!D$3:D$999,SMALL(IF((Expenses!E$3:E$999="INR")*(Expenses!A$3:A$999=DATE(2026,10,3)),ROW(Expenses!A$3:A$999)-2),4)),0)+IFERROR(INDEX(Income!C$3:C$502,SMALL(IF((Income!D$3:D$502="INR")*(Income!A$3:A$502=DATE(2026,10,3)),ROW(Income!A$3:A$502)-2),4)),0)=0,"",IFERROR(-INDEX(Expenses!D$3:D$999,SMALL(IF((Expenses!E$3:E$999="INR")*(Expenses!A$3:A$999=DATE(2026,10,3)),ROW(Expenses!A$3:A$999)-2),4)),0)+IFERROR(INDEX(Income!C$3:C$502,SMALL(IF((Income!D$3:D$502="INR")*(Income!A$3:A$502=DATE(2026,10,3)),ROW(Income!A$3:A$502)-2),4)),0))</f>
        <v/>
      </c>
      <c r="N202" s="126">
        <f t="array" ref="N202">IF(IFERROR(INDEX(Expenses!B$3:B$999,SMALL(IF((Expenses!E$3:E$999="INR")*(Expenses!A$3:A$999=DATE(2026,10,3)),ROW(Expenses!A$3:A$999)-2),4)),"")&lt;&gt;"",IFERROR(INDEX(Expenses!B$3:B$999,SMALL(IF((Expenses!E$3:E$999="INR")*(Expenses!A$3:A$999=DATE(2026,10,3)),ROW(Expenses!A$3:A$999)-2),4)),""),IF(IFERROR(INDEX(Income!B$3:B$502,SMALL(IF((Income!D$3:D$502="INR")*(Income!A$3:A$502=DATE(2026,10,3)),ROW(Income!A$3:A$502)-2),4)),"")&lt;&gt;"",IFERROR(INDEX(Income!B$3:B$502,SMALL(IF((Income!D$3:D$502="INR")*(Income!A$3:A$502=DATE(2026,10,3)),ROW(Income!A$3:A$502)-2),4)),""),""))</f>
        <v/>
      </c>
      <c r="O202" s="153">
        <f t="array" ref="O202">IF(IFERROR(-INDEX(Expenses!D$3:D$999,SMALL(IF((Expenses!E$3:E$999="INR")*(Expenses!A$3:A$999=DATE(2026,10,4)),ROW(Expenses!A$3:A$999)-2),4)),0)+IFERROR(INDEX(Income!C$3:C$502,SMALL(IF((Income!D$3:D$502="INR")*(Income!A$3:A$502=DATE(2026,10,4)),ROW(Income!A$3:A$502)-2),4)),0)=0,"",IFERROR(-INDEX(Expenses!D$3:D$999,SMALL(IF((Expenses!E$3:E$999="INR")*(Expenses!A$3:A$999=DATE(2026,10,4)),ROW(Expenses!A$3:A$999)-2),4)),0)+IFERROR(INDEX(Income!C$3:C$502,SMALL(IF((Income!D$3:D$502="INR")*(Income!A$3:A$502=DATE(2026,10,4)),ROW(Income!A$3:A$502)-2),4)),0))</f>
        <v/>
      </c>
      <c r="P202" s="126">
        <f t="array" ref="P202">IF(IFERROR(INDEX(Expenses!B$3:B$999,SMALL(IF((Expenses!E$3:E$999="INR")*(Expenses!A$3:A$999=DATE(2026,10,4)),ROW(Expenses!A$3:A$999)-2),4)),"")&lt;&gt;"",IFERROR(INDEX(Expenses!B$3:B$999,SMALL(IF((Expenses!E$3:E$999="INR")*(Expenses!A$3:A$999=DATE(2026,10,4)),ROW(Expenses!A$3:A$999)-2),4)),""),IF(IFERROR(INDEX(Income!B$3:B$502,SMALL(IF((Income!D$3:D$502="INR")*(Income!A$3:A$502=DATE(2026,10,4)),ROW(Income!A$3:A$502)-2),4)),"")&lt;&gt;"",IFERROR(INDEX(Income!B$3:B$502,SMALL(IF((Income!D$3:D$502="INR")*(Income!A$3:A$502=DATE(2026,10,4)),ROW(Income!A$3:A$502)-2),4)),""),""))</f>
        <v/>
      </c>
      <c r="Q202" s="9" t="n"/>
      <c r="R202" s="9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68">
      <c r="A203" s="9" t="n"/>
      <c r="B203" s="9" t="n"/>
      <c r="C203" s="153">
        <f t="array" ref="C203">IF(IFERROR(-INDEX(Expenses!D$3:D$999,SMALL(IF((Expenses!E$3:E$999="INR")*(Expenses!A$3:A$999=DATE(2026,9,28)),ROW(Expenses!A$3:A$999)-2),5)),0)+IFERROR(INDEX(Income!C$3:C$502,SMALL(IF((Income!D$3:D$502="INR")*(Income!A$3:A$502=DATE(2026,9,28)),ROW(Income!A$3:A$502)-2),5)),0)=0,"",IFERROR(-INDEX(Expenses!D$3:D$999,SMALL(IF((Expenses!E$3:E$999="INR")*(Expenses!A$3:A$999=DATE(2026,9,28)),ROW(Expenses!A$3:A$999)-2),5)),0)+IFERROR(INDEX(Income!C$3:C$502,SMALL(IF((Income!D$3:D$502="INR")*(Income!A$3:A$502=DATE(2026,9,28)),ROW(Income!A$3:A$502)-2),5)),0))</f>
        <v/>
      </c>
      <c r="D203" s="126">
        <f t="array" ref="D203">IF(IFERROR(INDEX(Expenses!B$3:B$999,SMALL(IF((Expenses!E$3:E$999="INR")*(Expenses!A$3:A$999=DATE(2026,9,28)),ROW(Expenses!A$3:A$999)-2),5)),"")&lt;&gt;"",IFERROR(INDEX(Expenses!B$3:B$999,SMALL(IF((Expenses!E$3:E$999="INR")*(Expenses!A$3:A$999=DATE(2026,9,28)),ROW(Expenses!A$3:A$999)-2),5)),""),IF(IFERROR(INDEX(Income!B$3:B$502,SMALL(IF((Income!D$3:D$502="INR")*(Income!A$3:A$502=DATE(2026,9,28)),ROW(Income!A$3:A$502)-2),5)),"")&lt;&gt;"",IFERROR(INDEX(Income!B$3:B$502,SMALL(IF((Income!D$3:D$502="INR")*(Income!A$3:A$502=DATE(2026,9,28)),ROW(Income!A$3:A$502)-2),5)),""),""))</f>
        <v/>
      </c>
      <c r="E203" s="153">
        <f t="array" ref="E203">IF(IFERROR(-INDEX(Expenses!D$3:D$999,SMALL(IF((Expenses!E$3:E$999="INR")*(Expenses!A$3:A$999=DATE(2026,9,29)),ROW(Expenses!A$3:A$999)-2),5)),0)+IFERROR(INDEX(Income!C$3:C$502,SMALL(IF((Income!D$3:D$502="INR")*(Income!A$3:A$502=DATE(2026,9,29)),ROW(Income!A$3:A$502)-2),5)),0)=0,"",IFERROR(-INDEX(Expenses!D$3:D$999,SMALL(IF((Expenses!E$3:E$999="INR")*(Expenses!A$3:A$999=DATE(2026,9,29)),ROW(Expenses!A$3:A$999)-2),5)),0)+IFERROR(INDEX(Income!C$3:C$502,SMALL(IF((Income!D$3:D$502="INR")*(Income!A$3:A$502=DATE(2026,9,29)),ROW(Income!A$3:A$502)-2),5)),0))</f>
        <v/>
      </c>
      <c r="F203" s="126">
        <f t="array" ref="F203">IF(IFERROR(INDEX(Expenses!B$3:B$999,SMALL(IF((Expenses!E$3:E$999="INR")*(Expenses!A$3:A$999=DATE(2026,9,29)),ROW(Expenses!A$3:A$999)-2),5)),"")&lt;&gt;"",IFERROR(INDEX(Expenses!B$3:B$999,SMALL(IF((Expenses!E$3:E$999="INR")*(Expenses!A$3:A$999=DATE(2026,9,29)),ROW(Expenses!A$3:A$999)-2),5)),""),IF(IFERROR(INDEX(Income!B$3:B$502,SMALL(IF((Income!D$3:D$502="INR")*(Income!A$3:A$502=DATE(2026,9,29)),ROW(Income!A$3:A$502)-2),5)),"")&lt;&gt;"",IFERROR(INDEX(Income!B$3:B$502,SMALL(IF((Income!D$3:D$502="INR")*(Income!A$3:A$502=DATE(2026,9,29)),ROW(Income!A$3:A$502)-2),5)),""),""))</f>
        <v/>
      </c>
      <c r="G203" s="153">
        <f t="array" ref="G203">IF(IFERROR(-INDEX(Expenses!D$3:D$999,SMALL(IF((Expenses!E$3:E$999="INR")*(Expenses!A$3:A$999=DATE(2026,9,30)),ROW(Expenses!A$3:A$999)-2),5)),0)+IFERROR(INDEX(Income!C$3:C$502,SMALL(IF((Income!D$3:D$502="INR")*(Income!A$3:A$502=DATE(2026,9,30)),ROW(Income!A$3:A$502)-2),5)),0)=0,"",IFERROR(-INDEX(Expenses!D$3:D$999,SMALL(IF((Expenses!E$3:E$999="INR")*(Expenses!A$3:A$999=DATE(2026,9,30)),ROW(Expenses!A$3:A$999)-2),5)),0)+IFERROR(INDEX(Income!C$3:C$502,SMALL(IF((Income!D$3:D$502="INR")*(Income!A$3:A$502=DATE(2026,9,30)),ROW(Income!A$3:A$502)-2),5)),0))</f>
        <v/>
      </c>
      <c r="H203" s="126">
        <f t="array" ref="H203">IF(IFERROR(INDEX(Expenses!B$3:B$999,SMALL(IF((Expenses!E$3:E$999="INR")*(Expenses!A$3:A$999=DATE(2026,9,30)),ROW(Expenses!A$3:A$999)-2),5)),"")&lt;&gt;"",IFERROR(INDEX(Expenses!B$3:B$999,SMALL(IF((Expenses!E$3:E$999="INR")*(Expenses!A$3:A$999=DATE(2026,9,30)),ROW(Expenses!A$3:A$999)-2),5)),""),IF(IFERROR(INDEX(Income!B$3:B$502,SMALL(IF((Income!D$3:D$502="INR")*(Income!A$3:A$502=DATE(2026,9,30)),ROW(Income!A$3:A$502)-2),5)),"")&lt;&gt;"",IFERROR(INDEX(Income!B$3:B$502,SMALL(IF((Income!D$3:D$502="INR")*(Income!A$3:A$502=DATE(2026,9,30)),ROW(Income!A$3:A$502)-2),5)),""),""))</f>
        <v/>
      </c>
      <c r="I203" s="153">
        <f t="array" ref="I203">IF(IFERROR(-INDEX(Expenses!D$3:D$999,SMALL(IF((Expenses!E$3:E$999="INR")*(Expenses!A$3:A$999=DATE(2026,10,1)),ROW(Expenses!A$3:A$999)-2),5)),0)+IFERROR(INDEX(Income!C$3:C$502,SMALL(IF((Income!D$3:D$502="INR")*(Income!A$3:A$502=DATE(2026,10,1)),ROW(Income!A$3:A$502)-2),5)),0)=0,"",IFERROR(-INDEX(Expenses!D$3:D$999,SMALL(IF((Expenses!E$3:E$999="INR")*(Expenses!A$3:A$999=DATE(2026,10,1)),ROW(Expenses!A$3:A$999)-2),5)),0)+IFERROR(INDEX(Income!C$3:C$502,SMALL(IF((Income!D$3:D$502="INR")*(Income!A$3:A$502=DATE(2026,10,1)),ROW(Income!A$3:A$502)-2),5)),0))</f>
        <v/>
      </c>
      <c r="J203" s="126">
        <f t="array" ref="J203">IF(IFERROR(INDEX(Expenses!B$3:B$999,SMALL(IF((Expenses!E$3:E$999="INR")*(Expenses!A$3:A$999=DATE(2026,10,1)),ROW(Expenses!A$3:A$999)-2),5)),"")&lt;&gt;"",IFERROR(INDEX(Expenses!B$3:B$999,SMALL(IF((Expenses!E$3:E$999="INR")*(Expenses!A$3:A$999=DATE(2026,10,1)),ROW(Expenses!A$3:A$999)-2),5)),""),IF(IFERROR(INDEX(Income!B$3:B$502,SMALL(IF((Income!D$3:D$502="INR")*(Income!A$3:A$502=DATE(2026,10,1)),ROW(Income!A$3:A$502)-2),5)),"")&lt;&gt;"",IFERROR(INDEX(Income!B$3:B$502,SMALL(IF((Income!D$3:D$502="INR")*(Income!A$3:A$502=DATE(2026,10,1)),ROW(Income!A$3:A$502)-2),5)),""),""))</f>
        <v/>
      </c>
      <c r="K203" s="153">
        <f t="array" ref="K203">IF(IFERROR(-INDEX(Expenses!D$3:D$999,SMALL(IF((Expenses!E$3:E$999="INR")*(Expenses!A$3:A$999=DATE(2026,10,2)),ROW(Expenses!A$3:A$999)-2),5)),0)+IFERROR(INDEX(Income!C$3:C$502,SMALL(IF((Income!D$3:D$502="INR")*(Income!A$3:A$502=DATE(2026,10,2)),ROW(Income!A$3:A$502)-2),5)),0)=0,"",IFERROR(-INDEX(Expenses!D$3:D$999,SMALL(IF((Expenses!E$3:E$999="INR")*(Expenses!A$3:A$999=DATE(2026,10,2)),ROW(Expenses!A$3:A$999)-2),5)),0)+IFERROR(INDEX(Income!C$3:C$502,SMALL(IF((Income!D$3:D$502="INR")*(Income!A$3:A$502=DATE(2026,10,2)),ROW(Income!A$3:A$502)-2),5)),0))</f>
        <v/>
      </c>
      <c r="L203" s="126">
        <f t="array" ref="L203">IF(IFERROR(INDEX(Expenses!B$3:B$999,SMALL(IF((Expenses!E$3:E$999="INR")*(Expenses!A$3:A$999=DATE(2026,10,2)),ROW(Expenses!A$3:A$999)-2),5)),"")&lt;&gt;"",IFERROR(INDEX(Expenses!B$3:B$999,SMALL(IF((Expenses!E$3:E$999="INR")*(Expenses!A$3:A$999=DATE(2026,10,2)),ROW(Expenses!A$3:A$999)-2),5)),""),IF(IFERROR(INDEX(Income!B$3:B$502,SMALL(IF((Income!D$3:D$502="INR")*(Income!A$3:A$502=DATE(2026,10,2)),ROW(Income!A$3:A$502)-2),5)),"")&lt;&gt;"",IFERROR(INDEX(Income!B$3:B$502,SMALL(IF((Income!D$3:D$502="INR")*(Income!A$3:A$502=DATE(2026,10,2)),ROW(Income!A$3:A$502)-2),5)),""),""))</f>
        <v/>
      </c>
      <c r="M203" s="153">
        <f t="array" ref="M203">IF(IFERROR(-INDEX(Expenses!D$3:D$999,SMALL(IF((Expenses!E$3:E$999="INR")*(Expenses!A$3:A$999=DATE(2026,10,3)),ROW(Expenses!A$3:A$999)-2),5)),0)+IFERROR(INDEX(Income!C$3:C$502,SMALL(IF((Income!D$3:D$502="INR")*(Income!A$3:A$502=DATE(2026,10,3)),ROW(Income!A$3:A$502)-2),5)),0)=0,"",IFERROR(-INDEX(Expenses!D$3:D$999,SMALL(IF((Expenses!E$3:E$999="INR")*(Expenses!A$3:A$999=DATE(2026,10,3)),ROW(Expenses!A$3:A$999)-2),5)),0)+IFERROR(INDEX(Income!C$3:C$502,SMALL(IF((Income!D$3:D$502="INR")*(Income!A$3:A$502=DATE(2026,10,3)),ROW(Income!A$3:A$502)-2),5)),0))</f>
        <v/>
      </c>
      <c r="N203" s="126">
        <f t="array" ref="N203">IF(IFERROR(INDEX(Expenses!B$3:B$999,SMALL(IF((Expenses!E$3:E$999="INR")*(Expenses!A$3:A$999=DATE(2026,10,3)),ROW(Expenses!A$3:A$999)-2),5)),"")&lt;&gt;"",IFERROR(INDEX(Expenses!B$3:B$999,SMALL(IF((Expenses!E$3:E$999="INR")*(Expenses!A$3:A$999=DATE(2026,10,3)),ROW(Expenses!A$3:A$999)-2),5)),""),IF(IFERROR(INDEX(Income!B$3:B$502,SMALL(IF((Income!D$3:D$502="INR")*(Income!A$3:A$502=DATE(2026,10,3)),ROW(Income!A$3:A$502)-2),5)),"")&lt;&gt;"",IFERROR(INDEX(Income!B$3:B$502,SMALL(IF((Income!D$3:D$502="INR")*(Income!A$3:A$502=DATE(2026,10,3)),ROW(Income!A$3:A$502)-2),5)),""),""))</f>
        <v/>
      </c>
      <c r="O203" s="153">
        <f t="array" ref="O203">IF(IFERROR(-INDEX(Expenses!D$3:D$999,SMALL(IF((Expenses!E$3:E$999="INR")*(Expenses!A$3:A$999=DATE(2026,10,4)),ROW(Expenses!A$3:A$999)-2),5)),0)+IFERROR(INDEX(Income!C$3:C$502,SMALL(IF((Income!D$3:D$502="INR")*(Income!A$3:A$502=DATE(2026,10,4)),ROW(Income!A$3:A$502)-2),5)),0)=0,"",IFERROR(-INDEX(Expenses!D$3:D$999,SMALL(IF((Expenses!E$3:E$999="INR")*(Expenses!A$3:A$999=DATE(2026,10,4)),ROW(Expenses!A$3:A$999)-2),5)),0)+IFERROR(INDEX(Income!C$3:C$502,SMALL(IF((Income!D$3:D$502="INR")*(Income!A$3:A$502=DATE(2026,10,4)),ROW(Income!A$3:A$502)-2),5)),0))</f>
        <v/>
      </c>
      <c r="P203" s="126">
        <f t="array" ref="P203">IF(IFERROR(INDEX(Expenses!B$3:B$999,SMALL(IF((Expenses!E$3:E$999="INR")*(Expenses!A$3:A$999=DATE(2026,10,4)),ROW(Expenses!A$3:A$999)-2),5)),"")&lt;&gt;"",IFERROR(INDEX(Expenses!B$3:B$999,SMALL(IF((Expenses!E$3:E$999="INR")*(Expenses!A$3:A$999=DATE(2026,10,4)),ROW(Expenses!A$3:A$999)-2),5)),""),IF(IFERROR(INDEX(Income!B$3:B$502,SMALL(IF((Income!D$3:D$502="INR")*(Income!A$3:A$502=DATE(2026,10,4)),ROW(Income!A$3:A$502)-2),5)),"")&lt;&gt;"",IFERROR(INDEX(Income!B$3:B$502,SMALL(IF((Income!D$3:D$502="INR")*(Income!A$3:A$502=DATE(2026,10,4)),ROW(Income!A$3:A$502)-2),5)),""),""))</f>
        <v/>
      </c>
      <c r="Q203" s="9" t="n"/>
      <c r="R203" s="9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68">
      <c r="A204" s="151" t="n">
        <v>46300</v>
      </c>
      <c r="B204" s="103" t="n">
        <v>41</v>
      </c>
      <c r="C204" s="153">
        <f t="array" ref="C204">IF(IFERROR(-INDEX(Expenses!D$3:D$999,SMALL(IF((Expenses!E$3:E$999="INR")*(Expenses!A$3:A$999=DATE(2026,10,5)),ROW(Expenses!A$3:A$999)-2),1)),0)+IFERROR(INDEX(Income!C$3:C$502,SMALL(IF((Income!D$3:D$502="INR")*(Income!A$3:A$502=DATE(2026,10,5)),ROW(Income!A$3:A$502)-2),1)),0)=0,"",IFERROR(-INDEX(Expenses!D$3:D$999,SMALL(IF((Expenses!E$3:E$999="INR")*(Expenses!A$3:A$999=DATE(2026,10,5)),ROW(Expenses!A$3:A$999)-2),1)),0)+IFERROR(INDEX(Income!C$3:C$502,SMALL(IF((Income!D$3:D$502="INR")*(Income!A$3:A$502=DATE(2026,10,5)),ROW(Income!A$3:A$502)-2),1)),0))</f>
        <v/>
      </c>
      <c r="D204" s="126">
        <f t="array" ref="D204">IF(IFERROR(INDEX(Expenses!B$3:B$999,SMALL(IF((Expenses!E$3:E$999="INR")*(Expenses!A$3:A$999=DATE(2026,10,5)),ROW(Expenses!A$3:A$999)-2),1)),"")&lt;&gt;"",IFERROR(INDEX(Expenses!B$3:B$999,SMALL(IF((Expenses!E$3:E$999="INR")*(Expenses!A$3:A$999=DATE(2026,10,5)),ROW(Expenses!A$3:A$999)-2),1)),""),IF(IFERROR(INDEX(Income!B$3:B$502,SMALL(IF((Income!D$3:D$502="INR")*(Income!A$3:A$502=DATE(2026,10,5)),ROW(Income!A$3:A$502)-2),1)),"")&lt;&gt;"",IFERROR(INDEX(Income!B$3:B$502,SMALL(IF((Income!D$3:D$502="INR")*(Income!A$3:A$502=DATE(2026,10,5)),ROW(Income!A$3:A$502)-2),1)),""),""))</f>
        <v/>
      </c>
      <c r="E204" s="153">
        <f t="array" ref="E204">IF(IFERROR(-INDEX(Expenses!D$3:D$999,SMALL(IF((Expenses!E$3:E$999="INR")*(Expenses!A$3:A$999=DATE(2026,10,6)),ROW(Expenses!A$3:A$999)-2),1)),0)+IFERROR(INDEX(Income!C$3:C$502,SMALL(IF((Income!D$3:D$502="INR")*(Income!A$3:A$502=DATE(2026,10,6)),ROW(Income!A$3:A$502)-2),1)),0)=0,"",IFERROR(-INDEX(Expenses!D$3:D$999,SMALL(IF((Expenses!E$3:E$999="INR")*(Expenses!A$3:A$999=DATE(2026,10,6)),ROW(Expenses!A$3:A$999)-2),1)),0)+IFERROR(INDEX(Income!C$3:C$502,SMALL(IF((Income!D$3:D$502="INR")*(Income!A$3:A$502=DATE(2026,10,6)),ROW(Income!A$3:A$502)-2),1)),0))</f>
        <v/>
      </c>
      <c r="F204" s="126">
        <f t="array" ref="F204">IF(IFERROR(INDEX(Expenses!B$3:B$999,SMALL(IF((Expenses!E$3:E$999="INR")*(Expenses!A$3:A$999=DATE(2026,10,6)),ROW(Expenses!A$3:A$999)-2),1)),"")&lt;&gt;"",IFERROR(INDEX(Expenses!B$3:B$999,SMALL(IF((Expenses!E$3:E$999="INR")*(Expenses!A$3:A$999=DATE(2026,10,6)),ROW(Expenses!A$3:A$999)-2),1)),""),IF(IFERROR(INDEX(Income!B$3:B$502,SMALL(IF((Income!D$3:D$502="INR")*(Income!A$3:A$502=DATE(2026,10,6)),ROW(Income!A$3:A$502)-2),1)),"")&lt;&gt;"",IFERROR(INDEX(Income!B$3:B$502,SMALL(IF((Income!D$3:D$502="INR")*(Income!A$3:A$502=DATE(2026,10,6)),ROW(Income!A$3:A$502)-2),1)),""),""))</f>
        <v/>
      </c>
      <c r="G204" s="153">
        <f t="array" ref="G204">IF(IFERROR(-INDEX(Expenses!D$3:D$999,SMALL(IF((Expenses!E$3:E$999="INR")*(Expenses!A$3:A$999=DATE(2026,10,7)),ROW(Expenses!A$3:A$999)-2),1)),0)+IFERROR(INDEX(Income!C$3:C$502,SMALL(IF((Income!D$3:D$502="INR")*(Income!A$3:A$502=DATE(2026,10,7)),ROW(Income!A$3:A$502)-2),1)),0)=0,"",IFERROR(-INDEX(Expenses!D$3:D$999,SMALL(IF((Expenses!E$3:E$999="INR")*(Expenses!A$3:A$999=DATE(2026,10,7)),ROW(Expenses!A$3:A$999)-2),1)),0)+IFERROR(INDEX(Income!C$3:C$502,SMALL(IF((Income!D$3:D$502="INR")*(Income!A$3:A$502=DATE(2026,10,7)),ROW(Income!A$3:A$502)-2),1)),0))</f>
        <v/>
      </c>
      <c r="H204" s="126">
        <f t="array" ref="H204">IF(IFERROR(INDEX(Expenses!B$3:B$999,SMALL(IF((Expenses!E$3:E$999="INR")*(Expenses!A$3:A$999=DATE(2026,10,7)),ROW(Expenses!A$3:A$999)-2),1)),"")&lt;&gt;"",IFERROR(INDEX(Expenses!B$3:B$999,SMALL(IF((Expenses!E$3:E$999="INR")*(Expenses!A$3:A$999=DATE(2026,10,7)),ROW(Expenses!A$3:A$999)-2),1)),""),IF(IFERROR(INDEX(Income!B$3:B$502,SMALL(IF((Income!D$3:D$502="INR")*(Income!A$3:A$502=DATE(2026,10,7)),ROW(Income!A$3:A$502)-2),1)),"")&lt;&gt;"",IFERROR(INDEX(Income!B$3:B$502,SMALL(IF((Income!D$3:D$502="INR")*(Income!A$3:A$502=DATE(2026,10,7)),ROW(Income!A$3:A$502)-2),1)),""),""))</f>
        <v/>
      </c>
      <c r="I204" s="153">
        <f t="array" ref="I204">IF(IFERROR(-INDEX(Expenses!D$3:D$999,SMALL(IF((Expenses!E$3:E$999="INR")*(Expenses!A$3:A$999=DATE(2026,10,8)),ROW(Expenses!A$3:A$999)-2),1)),0)+IFERROR(INDEX(Income!C$3:C$502,SMALL(IF((Income!D$3:D$502="INR")*(Income!A$3:A$502=DATE(2026,10,8)),ROW(Income!A$3:A$502)-2),1)),0)=0,"",IFERROR(-INDEX(Expenses!D$3:D$999,SMALL(IF((Expenses!E$3:E$999="INR")*(Expenses!A$3:A$999=DATE(2026,10,8)),ROW(Expenses!A$3:A$999)-2),1)),0)+IFERROR(INDEX(Income!C$3:C$502,SMALL(IF((Income!D$3:D$502="INR")*(Income!A$3:A$502=DATE(2026,10,8)),ROW(Income!A$3:A$502)-2),1)),0))</f>
        <v/>
      </c>
      <c r="J204" s="126">
        <f t="array" ref="J204">IF(IFERROR(INDEX(Expenses!B$3:B$999,SMALL(IF((Expenses!E$3:E$999="INR")*(Expenses!A$3:A$999=DATE(2026,10,8)),ROW(Expenses!A$3:A$999)-2),1)),"")&lt;&gt;"",IFERROR(INDEX(Expenses!B$3:B$999,SMALL(IF((Expenses!E$3:E$999="INR")*(Expenses!A$3:A$999=DATE(2026,10,8)),ROW(Expenses!A$3:A$999)-2),1)),""),IF(IFERROR(INDEX(Income!B$3:B$502,SMALL(IF((Income!D$3:D$502="INR")*(Income!A$3:A$502=DATE(2026,10,8)),ROW(Income!A$3:A$502)-2),1)),"")&lt;&gt;"",IFERROR(INDEX(Income!B$3:B$502,SMALL(IF((Income!D$3:D$502="INR")*(Income!A$3:A$502=DATE(2026,10,8)),ROW(Income!A$3:A$502)-2),1)),""),""))</f>
        <v/>
      </c>
      <c r="K204" s="153">
        <f t="array" ref="K204">IF(IFERROR(-INDEX(Expenses!D$3:D$999,SMALL(IF((Expenses!E$3:E$999="INR")*(Expenses!A$3:A$999=DATE(2026,10,9)),ROW(Expenses!A$3:A$999)-2),1)),0)+IFERROR(INDEX(Income!C$3:C$502,SMALL(IF((Income!D$3:D$502="INR")*(Income!A$3:A$502=DATE(2026,10,9)),ROW(Income!A$3:A$502)-2),1)),0)=0,"",IFERROR(-INDEX(Expenses!D$3:D$999,SMALL(IF((Expenses!E$3:E$999="INR")*(Expenses!A$3:A$999=DATE(2026,10,9)),ROW(Expenses!A$3:A$999)-2),1)),0)+IFERROR(INDEX(Income!C$3:C$502,SMALL(IF((Income!D$3:D$502="INR")*(Income!A$3:A$502=DATE(2026,10,9)),ROW(Income!A$3:A$502)-2),1)),0))</f>
        <v/>
      </c>
      <c r="L204" s="126">
        <f t="array" ref="L204">IF(IFERROR(INDEX(Expenses!B$3:B$999,SMALL(IF((Expenses!E$3:E$999="INR")*(Expenses!A$3:A$999=DATE(2026,10,9)),ROW(Expenses!A$3:A$999)-2),1)),"")&lt;&gt;"",IFERROR(INDEX(Expenses!B$3:B$999,SMALL(IF((Expenses!E$3:E$999="INR")*(Expenses!A$3:A$999=DATE(2026,10,9)),ROW(Expenses!A$3:A$999)-2),1)),""),IF(IFERROR(INDEX(Income!B$3:B$502,SMALL(IF((Income!D$3:D$502="INR")*(Income!A$3:A$502=DATE(2026,10,9)),ROW(Income!A$3:A$502)-2),1)),"")&lt;&gt;"",IFERROR(INDEX(Income!B$3:B$502,SMALL(IF((Income!D$3:D$502="INR")*(Income!A$3:A$502=DATE(2026,10,9)),ROW(Income!A$3:A$502)-2),1)),""),""))</f>
        <v/>
      </c>
      <c r="M204" s="153">
        <f t="array" ref="M204">IF(IFERROR(-INDEX(Expenses!D$3:D$999,SMALL(IF((Expenses!E$3:E$999="INR")*(Expenses!A$3:A$999=DATE(2026,10,10)),ROW(Expenses!A$3:A$999)-2),1)),0)+IFERROR(INDEX(Income!C$3:C$502,SMALL(IF((Income!D$3:D$502="INR")*(Income!A$3:A$502=DATE(2026,10,10)),ROW(Income!A$3:A$502)-2),1)),0)=0,"",IFERROR(-INDEX(Expenses!D$3:D$999,SMALL(IF((Expenses!E$3:E$999="INR")*(Expenses!A$3:A$999=DATE(2026,10,10)),ROW(Expenses!A$3:A$999)-2),1)),0)+IFERROR(INDEX(Income!C$3:C$502,SMALL(IF((Income!D$3:D$502="INR")*(Income!A$3:A$502=DATE(2026,10,10)),ROW(Income!A$3:A$502)-2),1)),0))</f>
        <v/>
      </c>
      <c r="N204" s="126">
        <f t="array" ref="N204">IF(IFERROR(INDEX(Expenses!B$3:B$999,SMALL(IF((Expenses!E$3:E$999="INR")*(Expenses!A$3:A$999=DATE(2026,10,10)),ROW(Expenses!A$3:A$999)-2),1)),"")&lt;&gt;"",IFERROR(INDEX(Expenses!B$3:B$999,SMALL(IF((Expenses!E$3:E$999="INR")*(Expenses!A$3:A$999=DATE(2026,10,10)),ROW(Expenses!A$3:A$999)-2),1)),""),IF(IFERROR(INDEX(Income!B$3:B$502,SMALL(IF((Income!D$3:D$502="INR")*(Income!A$3:A$502=DATE(2026,10,10)),ROW(Income!A$3:A$502)-2),1)),"")&lt;&gt;"",IFERROR(INDEX(Income!B$3:B$502,SMALL(IF((Income!D$3:D$502="INR")*(Income!A$3:A$502=DATE(2026,10,10)),ROW(Income!A$3:A$502)-2),1)),""),""))</f>
        <v/>
      </c>
      <c r="O204" s="153">
        <f t="array" ref="O204">IF(IFERROR(-INDEX(Expenses!D$3:D$999,SMALL(IF((Expenses!E$3:E$999="INR")*(Expenses!A$3:A$999=DATE(2026,10,11)),ROW(Expenses!A$3:A$999)-2),1)),0)+IFERROR(INDEX(Income!C$3:C$502,SMALL(IF((Income!D$3:D$502="INR")*(Income!A$3:A$502=DATE(2026,10,11)),ROW(Income!A$3:A$502)-2),1)),0)=0,"",IFERROR(-INDEX(Expenses!D$3:D$999,SMALL(IF((Expenses!E$3:E$999="INR")*(Expenses!A$3:A$999=DATE(2026,10,11)),ROW(Expenses!A$3:A$999)-2),1)),0)+IFERROR(INDEX(Income!C$3:C$502,SMALL(IF((Income!D$3:D$502="INR")*(Income!A$3:A$502=DATE(2026,10,11)),ROW(Income!A$3:A$502)-2),1)),0))</f>
        <v/>
      </c>
      <c r="P204" s="126">
        <f t="array" ref="P204">IF(IFERROR(INDEX(Expenses!B$3:B$999,SMALL(IF((Expenses!E$3:E$999="INR")*(Expenses!A$3:A$999=DATE(2026,10,11)),ROW(Expenses!A$3:A$999)-2),1)),"")&lt;&gt;"",IFERROR(INDEX(Expenses!B$3:B$999,SMALL(IF((Expenses!E$3:E$999="INR")*(Expenses!A$3:A$999=DATE(2026,10,11)),ROW(Expenses!A$3:A$999)-2),1)),""),IF(IFERROR(INDEX(Income!B$3:B$502,SMALL(IF((Income!D$3:D$502="INR")*(Income!A$3:A$502=DATE(2026,10,11)),ROW(Income!A$3:A$502)-2),1)),"")&lt;&gt;"",IFERROR(INDEX(Income!B$3:B$502,SMALL(IF((Income!D$3:D$502="INR")*(Income!A$3:A$502=DATE(2026,10,11)),ROW(Income!A$3:A$502)-2),1)),""),""))</f>
        <v/>
      </c>
      <c r="Q204" s="103" t="n">
        <v>41</v>
      </c>
      <c r="R204" s="142">
        <f>SUM(C204:C208)+SUM(E204:E208)+SUM(G204:G208)+SUM(I204:I208)+SUM(K204:K208)+SUM(M204:M208)+SUM(O204:O208)</f>
        <v/>
      </c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68">
      <c r="A205" s="9" t="n"/>
      <c r="B205" s="9" t="n"/>
      <c r="C205" s="153">
        <f t="array" ref="C205">IF(IFERROR(-INDEX(Expenses!D$3:D$999,SMALL(IF((Expenses!E$3:E$999="INR")*(Expenses!A$3:A$999=DATE(2026,10,5)),ROW(Expenses!A$3:A$999)-2),2)),0)+IFERROR(INDEX(Income!C$3:C$502,SMALL(IF((Income!D$3:D$502="INR")*(Income!A$3:A$502=DATE(2026,10,5)),ROW(Income!A$3:A$502)-2),2)),0)=0,"",IFERROR(-INDEX(Expenses!D$3:D$999,SMALL(IF((Expenses!E$3:E$999="INR")*(Expenses!A$3:A$999=DATE(2026,10,5)),ROW(Expenses!A$3:A$999)-2),2)),0)+IFERROR(INDEX(Income!C$3:C$502,SMALL(IF((Income!D$3:D$502="INR")*(Income!A$3:A$502=DATE(2026,10,5)),ROW(Income!A$3:A$502)-2),2)),0))</f>
        <v/>
      </c>
      <c r="D205" s="126">
        <f t="array" ref="D205">IF(IFERROR(INDEX(Expenses!B$3:B$999,SMALL(IF((Expenses!E$3:E$999="INR")*(Expenses!A$3:A$999=DATE(2026,10,5)),ROW(Expenses!A$3:A$999)-2),2)),"")&lt;&gt;"",IFERROR(INDEX(Expenses!B$3:B$999,SMALL(IF((Expenses!E$3:E$999="INR")*(Expenses!A$3:A$999=DATE(2026,10,5)),ROW(Expenses!A$3:A$999)-2),2)),""),IF(IFERROR(INDEX(Income!B$3:B$502,SMALL(IF((Income!D$3:D$502="INR")*(Income!A$3:A$502=DATE(2026,10,5)),ROW(Income!A$3:A$502)-2),2)),"")&lt;&gt;"",IFERROR(INDEX(Income!B$3:B$502,SMALL(IF((Income!D$3:D$502="INR")*(Income!A$3:A$502=DATE(2026,10,5)),ROW(Income!A$3:A$502)-2),2)),""),""))</f>
        <v/>
      </c>
      <c r="E205" s="153">
        <f t="array" ref="E205">IF(IFERROR(-INDEX(Expenses!D$3:D$999,SMALL(IF((Expenses!E$3:E$999="INR")*(Expenses!A$3:A$999=DATE(2026,10,6)),ROW(Expenses!A$3:A$999)-2),2)),0)+IFERROR(INDEX(Income!C$3:C$502,SMALL(IF((Income!D$3:D$502="INR")*(Income!A$3:A$502=DATE(2026,10,6)),ROW(Income!A$3:A$502)-2),2)),0)=0,"",IFERROR(-INDEX(Expenses!D$3:D$999,SMALL(IF((Expenses!E$3:E$999="INR")*(Expenses!A$3:A$999=DATE(2026,10,6)),ROW(Expenses!A$3:A$999)-2),2)),0)+IFERROR(INDEX(Income!C$3:C$502,SMALL(IF((Income!D$3:D$502="INR")*(Income!A$3:A$502=DATE(2026,10,6)),ROW(Income!A$3:A$502)-2),2)),0))</f>
        <v/>
      </c>
      <c r="F205" s="126">
        <f t="array" ref="F205">IF(IFERROR(INDEX(Expenses!B$3:B$999,SMALL(IF((Expenses!E$3:E$999="INR")*(Expenses!A$3:A$999=DATE(2026,10,6)),ROW(Expenses!A$3:A$999)-2),2)),"")&lt;&gt;"",IFERROR(INDEX(Expenses!B$3:B$999,SMALL(IF((Expenses!E$3:E$999="INR")*(Expenses!A$3:A$999=DATE(2026,10,6)),ROW(Expenses!A$3:A$999)-2),2)),""),IF(IFERROR(INDEX(Income!B$3:B$502,SMALL(IF((Income!D$3:D$502="INR")*(Income!A$3:A$502=DATE(2026,10,6)),ROW(Income!A$3:A$502)-2),2)),"")&lt;&gt;"",IFERROR(INDEX(Income!B$3:B$502,SMALL(IF((Income!D$3:D$502="INR")*(Income!A$3:A$502=DATE(2026,10,6)),ROW(Income!A$3:A$502)-2),2)),""),""))</f>
        <v/>
      </c>
      <c r="G205" s="153">
        <f t="array" ref="G205">IF(IFERROR(-INDEX(Expenses!D$3:D$999,SMALL(IF((Expenses!E$3:E$999="INR")*(Expenses!A$3:A$999=DATE(2026,10,7)),ROW(Expenses!A$3:A$999)-2),2)),0)+IFERROR(INDEX(Income!C$3:C$502,SMALL(IF((Income!D$3:D$502="INR")*(Income!A$3:A$502=DATE(2026,10,7)),ROW(Income!A$3:A$502)-2),2)),0)=0,"",IFERROR(-INDEX(Expenses!D$3:D$999,SMALL(IF((Expenses!E$3:E$999="INR")*(Expenses!A$3:A$999=DATE(2026,10,7)),ROW(Expenses!A$3:A$999)-2),2)),0)+IFERROR(INDEX(Income!C$3:C$502,SMALL(IF((Income!D$3:D$502="INR")*(Income!A$3:A$502=DATE(2026,10,7)),ROW(Income!A$3:A$502)-2),2)),0))</f>
        <v/>
      </c>
      <c r="H205" s="126">
        <f t="array" ref="H205">IF(IFERROR(INDEX(Expenses!B$3:B$999,SMALL(IF((Expenses!E$3:E$999="INR")*(Expenses!A$3:A$999=DATE(2026,10,7)),ROW(Expenses!A$3:A$999)-2),2)),"")&lt;&gt;"",IFERROR(INDEX(Expenses!B$3:B$999,SMALL(IF((Expenses!E$3:E$999="INR")*(Expenses!A$3:A$999=DATE(2026,10,7)),ROW(Expenses!A$3:A$999)-2),2)),""),IF(IFERROR(INDEX(Income!B$3:B$502,SMALL(IF((Income!D$3:D$502="INR")*(Income!A$3:A$502=DATE(2026,10,7)),ROW(Income!A$3:A$502)-2),2)),"")&lt;&gt;"",IFERROR(INDEX(Income!B$3:B$502,SMALL(IF((Income!D$3:D$502="INR")*(Income!A$3:A$502=DATE(2026,10,7)),ROW(Income!A$3:A$502)-2),2)),""),""))</f>
        <v/>
      </c>
      <c r="I205" s="153">
        <f t="array" ref="I205">IF(IFERROR(-INDEX(Expenses!D$3:D$999,SMALL(IF((Expenses!E$3:E$999="INR")*(Expenses!A$3:A$999=DATE(2026,10,8)),ROW(Expenses!A$3:A$999)-2),2)),0)+IFERROR(INDEX(Income!C$3:C$502,SMALL(IF((Income!D$3:D$502="INR")*(Income!A$3:A$502=DATE(2026,10,8)),ROW(Income!A$3:A$502)-2),2)),0)=0,"",IFERROR(-INDEX(Expenses!D$3:D$999,SMALL(IF((Expenses!E$3:E$999="INR")*(Expenses!A$3:A$999=DATE(2026,10,8)),ROW(Expenses!A$3:A$999)-2),2)),0)+IFERROR(INDEX(Income!C$3:C$502,SMALL(IF((Income!D$3:D$502="INR")*(Income!A$3:A$502=DATE(2026,10,8)),ROW(Income!A$3:A$502)-2),2)),0))</f>
        <v/>
      </c>
      <c r="J205" s="126">
        <f t="array" ref="J205">IF(IFERROR(INDEX(Expenses!B$3:B$999,SMALL(IF((Expenses!E$3:E$999="INR")*(Expenses!A$3:A$999=DATE(2026,10,8)),ROW(Expenses!A$3:A$999)-2),2)),"")&lt;&gt;"",IFERROR(INDEX(Expenses!B$3:B$999,SMALL(IF((Expenses!E$3:E$999="INR")*(Expenses!A$3:A$999=DATE(2026,10,8)),ROW(Expenses!A$3:A$999)-2),2)),""),IF(IFERROR(INDEX(Income!B$3:B$502,SMALL(IF((Income!D$3:D$502="INR")*(Income!A$3:A$502=DATE(2026,10,8)),ROW(Income!A$3:A$502)-2),2)),"")&lt;&gt;"",IFERROR(INDEX(Income!B$3:B$502,SMALL(IF((Income!D$3:D$502="INR")*(Income!A$3:A$502=DATE(2026,10,8)),ROW(Income!A$3:A$502)-2),2)),""),""))</f>
        <v/>
      </c>
      <c r="K205" s="153">
        <f t="array" ref="K205">IF(IFERROR(-INDEX(Expenses!D$3:D$999,SMALL(IF((Expenses!E$3:E$999="INR")*(Expenses!A$3:A$999=DATE(2026,10,9)),ROW(Expenses!A$3:A$999)-2),2)),0)+IFERROR(INDEX(Income!C$3:C$502,SMALL(IF((Income!D$3:D$502="INR")*(Income!A$3:A$502=DATE(2026,10,9)),ROW(Income!A$3:A$502)-2),2)),0)=0,"",IFERROR(-INDEX(Expenses!D$3:D$999,SMALL(IF((Expenses!E$3:E$999="INR")*(Expenses!A$3:A$999=DATE(2026,10,9)),ROW(Expenses!A$3:A$999)-2),2)),0)+IFERROR(INDEX(Income!C$3:C$502,SMALL(IF((Income!D$3:D$502="INR")*(Income!A$3:A$502=DATE(2026,10,9)),ROW(Income!A$3:A$502)-2),2)),0))</f>
        <v/>
      </c>
      <c r="L205" s="126">
        <f t="array" ref="L205">IF(IFERROR(INDEX(Expenses!B$3:B$999,SMALL(IF((Expenses!E$3:E$999="INR")*(Expenses!A$3:A$999=DATE(2026,10,9)),ROW(Expenses!A$3:A$999)-2),2)),"")&lt;&gt;"",IFERROR(INDEX(Expenses!B$3:B$999,SMALL(IF((Expenses!E$3:E$999="INR")*(Expenses!A$3:A$999=DATE(2026,10,9)),ROW(Expenses!A$3:A$999)-2),2)),""),IF(IFERROR(INDEX(Income!B$3:B$502,SMALL(IF((Income!D$3:D$502="INR")*(Income!A$3:A$502=DATE(2026,10,9)),ROW(Income!A$3:A$502)-2),2)),"")&lt;&gt;"",IFERROR(INDEX(Income!B$3:B$502,SMALL(IF((Income!D$3:D$502="INR")*(Income!A$3:A$502=DATE(2026,10,9)),ROW(Income!A$3:A$502)-2),2)),""),""))</f>
        <v/>
      </c>
      <c r="M205" s="153">
        <f t="array" ref="M205">IF(IFERROR(-INDEX(Expenses!D$3:D$999,SMALL(IF((Expenses!E$3:E$999="INR")*(Expenses!A$3:A$999=DATE(2026,10,10)),ROW(Expenses!A$3:A$999)-2),2)),0)+IFERROR(INDEX(Income!C$3:C$502,SMALL(IF((Income!D$3:D$502="INR")*(Income!A$3:A$502=DATE(2026,10,10)),ROW(Income!A$3:A$502)-2),2)),0)=0,"",IFERROR(-INDEX(Expenses!D$3:D$999,SMALL(IF((Expenses!E$3:E$999="INR")*(Expenses!A$3:A$999=DATE(2026,10,10)),ROW(Expenses!A$3:A$999)-2),2)),0)+IFERROR(INDEX(Income!C$3:C$502,SMALL(IF((Income!D$3:D$502="INR")*(Income!A$3:A$502=DATE(2026,10,10)),ROW(Income!A$3:A$502)-2),2)),0))</f>
        <v/>
      </c>
      <c r="N205" s="126">
        <f t="array" ref="N205">IF(IFERROR(INDEX(Expenses!B$3:B$999,SMALL(IF((Expenses!E$3:E$999="INR")*(Expenses!A$3:A$999=DATE(2026,10,10)),ROW(Expenses!A$3:A$999)-2),2)),"")&lt;&gt;"",IFERROR(INDEX(Expenses!B$3:B$999,SMALL(IF((Expenses!E$3:E$999="INR")*(Expenses!A$3:A$999=DATE(2026,10,10)),ROW(Expenses!A$3:A$999)-2),2)),""),IF(IFERROR(INDEX(Income!B$3:B$502,SMALL(IF((Income!D$3:D$502="INR")*(Income!A$3:A$502=DATE(2026,10,10)),ROW(Income!A$3:A$502)-2),2)),"")&lt;&gt;"",IFERROR(INDEX(Income!B$3:B$502,SMALL(IF((Income!D$3:D$502="INR")*(Income!A$3:A$502=DATE(2026,10,10)),ROW(Income!A$3:A$502)-2),2)),""),""))</f>
        <v/>
      </c>
      <c r="O205" s="153">
        <f t="array" ref="O205">IF(IFERROR(-INDEX(Expenses!D$3:D$999,SMALL(IF((Expenses!E$3:E$999="INR")*(Expenses!A$3:A$999=DATE(2026,10,11)),ROW(Expenses!A$3:A$999)-2),2)),0)+IFERROR(INDEX(Income!C$3:C$502,SMALL(IF((Income!D$3:D$502="INR")*(Income!A$3:A$502=DATE(2026,10,11)),ROW(Income!A$3:A$502)-2),2)),0)=0,"",IFERROR(-INDEX(Expenses!D$3:D$999,SMALL(IF((Expenses!E$3:E$999="INR")*(Expenses!A$3:A$999=DATE(2026,10,11)),ROW(Expenses!A$3:A$999)-2),2)),0)+IFERROR(INDEX(Income!C$3:C$502,SMALL(IF((Income!D$3:D$502="INR")*(Income!A$3:A$502=DATE(2026,10,11)),ROW(Income!A$3:A$502)-2),2)),0))</f>
        <v/>
      </c>
      <c r="P205" s="126">
        <f t="array" ref="P205">IF(IFERROR(INDEX(Expenses!B$3:B$999,SMALL(IF((Expenses!E$3:E$999="INR")*(Expenses!A$3:A$999=DATE(2026,10,11)),ROW(Expenses!A$3:A$999)-2),2)),"")&lt;&gt;"",IFERROR(INDEX(Expenses!B$3:B$999,SMALL(IF((Expenses!E$3:E$999="INR")*(Expenses!A$3:A$999=DATE(2026,10,11)),ROW(Expenses!A$3:A$999)-2),2)),""),IF(IFERROR(INDEX(Income!B$3:B$502,SMALL(IF((Income!D$3:D$502="INR")*(Income!A$3:A$502=DATE(2026,10,11)),ROW(Income!A$3:A$502)-2),2)),"")&lt;&gt;"",IFERROR(INDEX(Income!B$3:B$502,SMALL(IF((Income!D$3:D$502="INR")*(Income!A$3:A$502=DATE(2026,10,11)),ROW(Income!A$3:A$502)-2),2)),""),""))</f>
        <v/>
      </c>
      <c r="Q205" s="9" t="n"/>
      <c r="R205" s="9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68">
      <c r="A206" s="9" t="n"/>
      <c r="B206" s="9" t="n"/>
      <c r="C206" s="153">
        <f t="array" ref="C206">IF(IFERROR(-INDEX(Expenses!D$3:D$999,SMALL(IF((Expenses!E$3:E$999="INR")*(Expenses!A$3:A$999=DATE(2026,10,5)),ROW(Expenses!A$3:A$999)-2),3)),0)+IFERROR(INDEX(Income!C$3:C$502,SMALL(IF((Income!D$3:D$502="INR")*(Income!A$3:A$502=DATE(2026,10,5)),ROW(Income!A$3:A$502)-2),3)),0)=0,"",IFERROR(-INDEX(Expenses!D$3:D$999,SMALL(IF((Expenses!E$3:E$999="INR")*(Expenses!A$3:A$999=DATE(2026,10,5)),ROW(Expenses!A$3:A$999)-2),3)),0)+IFERROR(INDEX(Income!C$3:C$502,SMALL(IF((Income!D$3:D$502="INR")*(Income!A$3:A$502=DATE(2026,10,5)),ROW(Income!A$3:A$502)-2),3)),0))</f>
        <v/>
      </c>
      <c r="D206" s="126">
        <f t="array" ref="D206">IF(IFERROR(INDEX(Expenses!B$3:B$999,SMALL(IF((Expenses!E$3:E$999="INR")*(Expenses!A$3:A$999=DATE(2026,10,5)),ROW(Expenses!A$3:A$999)-2),3)),"")&lt;&gt;"",IFERROR(INDEX(Expenses!B$3:B$999,SMALL(IF((Expenses!E$3:E$999="INR")*(Expenses!A$3:A$999=DATE(2026,10,5)),ROW(Expenses!A$3:A$999)-2),3)),""),IF(IFERROR(INDEX(Income!B$3:B$502,SMALL(IF((Income!D$3:D$502="INR")*(Income!A$3:A$502=DATE(2026,10,5)),ROW(Income!A$3:A$502)-2),3)),"")&lt;&gt;"",IFERROR(INDEX(Income!B$3:B$502,SMALL(IF((Income!D$3:D$502="INR")*(Income!A$3:A$502=DATE(2026,10,5)),ROW(Income!A$3:A$502)-2),3)),""),""))</f>
        <v/>
      </c>
      <c r="E206" s="153">
        <f t="array" ref="E206">IF(IFERROR(-INDEX(Expenses!D$3:D$999,SMALL(IF((Expenses!E$3:E$999="INR")*(Expenses!A$3:A$999=DATE(2026,10,6)),ROW(Expenses!A$3:A$999)-2),3)),0)+IFERROR(INDEX(Income!C$3:C$502,SMALL(IF((Income!D$3:D$502="INR")*(Income!A$3:A$502=DATE(2026,10,6)),ROW(Income!A$3:A$502)-2),3)),0)=0,"",IFERROR(-INDEX(Expenses!D$3:D$999,SMALL(IF((Expenses!E$3:E$999="INR")*(Expenses!A$3:A$999=DATE(2026,10,6)),ROW(Expenses!A$3:A$999)-2),3)),0)+IFERROR(INDEX(Income!C$3:C$502,SMALL(IF((Income!D$3:D$502="INR")*(Income!A$3:A$502=DATE(2026,10,6)),ROW(Income!A$3:A$502)-2),3)),0))</f>
        <v/>
      </c>
      <c r="F206" s="126">
        <f t="array" ref="F206">IF(IFERROR(INDEX(Expenses!B$3:B$999,SMALL(IF((Expenses!E$3:E$999="INR")*(Expenses!A$3:A$999=DATE(2026,10,6)),ROW(Expenses!A$3:A$999)-2),3)),"")&lt;&gt;"",IFERROR(INDEX(Expenses!B$3:B$999,SMALL(IF((Expenses!E$3:E$999="INR")*(Expenses!A$3:A$999=DATE(2026,10,6)),ROW(Expenses!A$3:A$999)-2),3)),""),IF(IFERROR(INDEX(Income!B$3:B$502,SMALL(IF((Income!D$3:D$502="INR")*(Income!A$3:A$502=DATE(2026,10,6)),ROW(Income!A$3:A$502)-2),3)),"")&lt;&gt;"",IFERROR(INDEX(Income!B$3:B$502,SMALL(IF((Income!D$3:D$502="INR")*(Income!A$3:A$502=DATE(2026,10,6)),ROW(Income!A$3:A$502)-2),3)),""),""))</f>
        <v/>
      </c>
      <c r="G206" s="153">
        <f t="array" ref="G206">IF(IFERROR(-INDEX(Expenses!D$3:D$999,SMALL(IF((Expenses!E$3:E$999="INR")*(Expenses!A$3:A$999=DATE(2026,10,7)),ROW(Expenses!A$3:A$999)-2),3)),0)+IFERROR(INDEX(Income!C$3:C$502,SMALL(IF((Income!D$3:D$502="INR")*(Income!A$3:A$502=DATE(2026,10,7)),ROW(Income!A$3:A$502)-2),3)),0)=0,"",IFERROR(-INDEX(Expenses!D$3:D$999,SMALL(IF((Expenses!E$3:E$999="INR")*(Expenses!A$3:A$999=DATE(2026,10,7)),ROW(Expenses!A$3:A$999)-2),3)),0)+IFERROR(INDEX(Income!C$3:C$502,SMALL(IF((Income!D$3:D$502="INR")*(Income!A$3:A$502=DATE(2026,10,7)),ROW(Income!A$3:A$502)-2),3)),0))</f>
        <v/>
      </c>
      <c r="H206" s="126">
        <f t="array" ref="H206">IF(IFERROR(INDEX(Expenses!B$3:B$999,SMALL(IF((Expenses!E$3:E$999="INR")*(Expenses!A$3:A$999=DATE(2026,10,7)),ROW(Expenses!A$3:A$999)-2),3)),"")&lt;&gt;"",IFERROR(INDEX(Expenses!B$3:B$999,SMALL(IF((Expenses!E$3:E$999="INR")*(Expenses!A$3:A$999=DATE(2026,10,7)),ROW(Expenses!A$3:A$999)-2),3)),""),IF(IFERROR(INDEX(Income!B$3:B$502,SMALL(IF((Income!D$3:D$502="INR")*(Income!A$3:A$502=DATE(2026,10,7)),ROW(Income!A$3:A$502)-2),3)),"")&lt;&gt;"",IFERROR(INDEX(Income!B$3:B$502,SMALL(IF((Income!D$3:D$502="INR")*(Income!A$3:A$502=DATE(2026,10,7)),ROW(Income!A$3:A$502)-2),3)),""),""))</f>
        <v/>
      </c>
      <c r="I206" s="153">
        <f t="array" ref="I206">IF(IFERROR(-INDEX(Expenses!D$3:D$999,SMALL(IF((Expenses!E$3:E$999="INR")*(Expenses!A$3:A$999=DATE(2026,10,8)),ROW(Expenses!A$3:A$999)-2),3)),0)+IFERROR(INDEX(Income!C$3:C$502,SMALL(IF((Income!D$3:D$502="INR")*(Income!A$3:A$502=DATE(2026,10,8)),ROW(Income!A$3:A$502)-2),3)),0)=0,"",IFERROR(-INDEX(Expenses!D$3:D$999,SMALL(IF((Expenses!E$3:E$999="INR")*(Expenses!A$3:A$999=DATE(2026,10,8)),ROW(Expenses!A$3:A$999)-2),3)),0)+IFERROR(INDEX(Income!C$3:C$502,SMALL(IF((Income!D$3:D$502="INR")*(Income!A$3:A$502=DATE(2026,10,8)),ROW(Income!A$3:A$502)-2),3)),0))</f>
        <v/>
      </c>
      <c r="J206" s="126">
        <f t="array" ref="J206">IF(IFERROR(INDEX(Expenses!B$3:B$999,SMALL(IF((Expenses!E$3:E$999="INR")*(Expenses!A$3:A$999=DATE(2026,10,8)),ROW(Expenses!A$3:A$999)-2),3)),"")&lt;&gt;"",IFERROR(INDEX(Expenses!B$3:B$999,SMALL(IF((Expenses!E$3:E$999="INR")*(Expenses!A$3:A$999=DATE(2026,10,8)),ROW(Expenses!A$3:A$999)-2),3)),""),IF(IFERROR(INDEX(Income!B$3:B$502,SMALL(IF((Income!D$3:D$502="INR")*(Income!A$3:A$502=DATE(2026,10,8)),ROW(Income!A$3:A$502)-2),3)),"")&lt;&gt;"",IFERROR(INDEX(Income!B$3:B$502,SMALL(IF((Income!D$3:D$502="INR")*(Income!A$3:A$502=DATE(2026,10,8)),ROW(Income!A$3:A$502)-2),3)),""),""))</f>
        <v/>
      </c>
      <c r="K206" s="153">
        <f t="array" ref="K206">IF(IFERROR(-INDEX(Expenses!D$3:D$999,SMALL(IF((Expenses!E$3:E$999="INR")*(Expenses!A$3:A$999=DATE(2026,10,9)),ROW(Expenses!A$3:A$999)-2),3)),0)+IFERROR(INDEX(Income!C$3:C$502,SMALL(IF((Income!D$3:D$502="INR")*(Income!A$3:A$502=DATE(2026,10,9)),ROW(Income!A$3:A$502)-2),3)),0)=0,"",IFERROR(-INDEX(Expenses!D$3:D$999,SMALL(IF((Expenses!E$3:E$999="INR")*(Expenses!A$3:A$999=DATE(2026,10,9)),ROW(Expenses!A$3:A$999)-2),3)),0)+IFERROR(INDEX(Income!C$3:C$502,SMALL(IF((Income!D$3:D$502="INR")*(Income!A$3:A$502=DATE(2026,10,9)),ROW(Income!A$3:A$502)-2),3)),0))</f>
        <v/>
      </c>
      <c r="L206" s="126">
        <f t="array" ref="L206">IF(IFERROR(INDEX(Expenses!B$3:B$999,SMALL(IF((Expenses!E$3:E$999="INR")*(Expenses!A$3:A$999=DATE(2026,10,9)),ROW(Expenses!A$3:A$999)-2),3)),"")&lt;&gt;"",IFERROR(INDEX(Expenses!B$3:B$999,SMALL(IF((Expenses!E$3:E$999="INR")*(Expenses!A$3:A$999=DATE(2026,10,9)),ROW(Expenses!A$3:A$999)-2),3)),""),IF(IFERROR(INDEX(Income!B$3:B$502,SMALL(IF((Income!D$3:D$502="INR")*(Income!A$3:A$502=DATE(2026,10,9)),ROW(Income!A$3:A$502)-2),3)),"")&lt;&gt;"",IFERROR(INDEX(Income!B$3:B$502,SMALL(IF((Income!D$3:D$502="INR")*(Income!A$3:A$502=DATE(2026,10,9)),ROW(Income!A$3:A$502)-2),3)),""),""))</f>
        <v/>
      </c>
      <c r="M206" s="153">
        <f t="array" ref="M206">IF(IFERROR(-INDEX(Expenses!D$3:D$999,SMALL(IF((Expenses!E$3:E$999="INR")*(Expenses!A$3:A$999=DATE(2026,10,10)),ROW(Expenses!A$3:A$999)-2),3)),0)+IFERROR(INDEX(Income!C$3:C$502,SMALL(IF((Income!D$3:D$502="INR")*(Income!A$3:A$502=DATE(2026,10,10)),ROW(Income!A$3:A$502)-2),3)),0)=0,"",IFERROR(-INDEX(Expenses!D$3:D$999,SMALL(IF((Expenses!E$3:E$999="INR")*(Expenses!A$3:A$999=DATE(2026,10,10)),ROW(Expenses!A$3:A$999)-2),3)),0)+IFERROR(INDEX(Income!C$3:C$502,SMALL(IF((Income!D$3:D$502="INR")*(Income!A$3:A$502=DATE(2026,10,10)),ROW(Income!A$3:A$502)-2),3)),0))</f>
        <v/>
      </c>
      <c r="N206" s="126">
        <f t="array" ref="N206">IF(IFERROR(INDEX(Expenses!B$3:B$999,SMALL(IF((Expenses!E$3:E$999="INR")*(Expenses!A$3:A$999=DATE(2026,10,10)),ROW(Expenses!A$3:A$999)-2),3)),"")&lt;&gt;"",IFERROR(INDEX(Expenses!B$3:B$999,SMALL(IF((Expenses!E$3:E$999="INR")*(Expenses!A$3:A$999=DATE(2026,10,10)),ROW(Expenses!A$3:A$999)-2),3)),""),IF(IFERROR(INDEX(Income!B$3:B$502,SMALL(IF((Income!D$3:D$502="INR")*(Income!A$3:A$502=DATE(2026,10,10)),ROW(Income!A$3:A$502)-2),3)),"")&lt;&gt;"",IFERROR(INDEX(Income!B$3:B$502,SMALL(IF((Income!D$3:D$502="INR")*(Income!A$3:A$502=DATE(2026,10,10)),ROW(Income!A$3:A$502)-2),3)),""),""))</f>
        <v/>
      </c>
      <c r="O206" s="153">
        <f t="array" ref="O206">IF(IFERROR(-INDEX(Expenses!D$3:D$999,SMALL(IF((Expenses!E$3:E$999="INR")*(Expenses!A$3:A$999=DATE(2026,10,11)),ROW(Expenses!A$3:A$999)-2),3)),0)+IFERROR(INDEX(Income!C$3:C$502,SMALL(IF((Income!D$3:D$502="INR")*(Income!A$3:A$502=DATE(2026,10,11)),ROW(Income!A$3:A$502)-2),3)),0)=0,"",IFERROR(-INDEX(Expenses!D$3:D$999,SMALL(IF((Expenses!E$3:E$999="INR")*(Expenses!A$3:A$999=DATE(2026,10,11)),ROW(Expenses!A$3:A$999)-2),3)),0)+IFERROR(INDEX(Income!C$3:C$502,SMALL(IF((Income!D$3:D$502="INR")*(Income!A$3:A$502=DATE(2026,10,11)),ROW(Income!A$3:A$502)-2),3)),0))</f>
        <v/>
      </c>
      <c r="P206" s="126">
        <f t="array" ref="P206">IF(IFERROR(INDEX(Expenses!B$3:B$999,SMALL(IF((Expenses!E$3:E$999="INR")*(Expenses!A$3:A$999=DATE(2026,10,11)),ROW(Expenses!A$3:A$999)-2),3)),"")&lt;&gt;"",IFERROR(INDEX(Expenses!B$3:B$999,SMALL(IF((Expenses!E$3:E$999="INR")*(Expenses!A$3:A$999=DATE(2026,10,11)),ROW(Expenses!A$3:A$999)-2),3)),""),IF(IFERROR(INDEX(Income!B$3:B$502,SMALL(IF((Income!D$3:D$502="INR")*(Income!A$3:A$502=DATE(2026,10,11)),ROW(Income!A$3:A$502)-2),3)),"")&lt;&gt;"",IFERROR(INDEX(Income!B$3:B$502,SMALL(IF((Income!D$3:D$502="INR")*(Income!A$3:A$502=DATE(2026,10,11)),ROW(Income!A$3:A$502)-2),3)),""),""))</f>
        <v/>
      </c>
      <c r="Q206" s="9" t="n"/>
      <c r="R206" s="9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68">
      <c r="A207" s="9" t="n"/>
      <c r="B207" s="9" t="n"/>
      <c r="C207" s="153">
        <f t="array" ref="C207">IF(IFERROR(-INDEX(Expenses!D$3:D$999,SMALL(IF((Expenses!E$3:E$999="INR")*(Expenses!A$3:A$999=DATE(2026,10,5)),ROW(Expenses!A$3:A$999)-2),4)),0)+IFERROR(INDEX(Income!C$3:C$502,SMALL(IF((Income!D$3:D$502="INR")*(Income!A$3:A$502=DATE(2026,10,5)),ROW(Income!A$3:A$502)-2),4)),0)=0,"",IFERROR(-INDEX(Expenses!D$3:D$999,SMALL(IF((Expenses!E$3:E$999="INR")*(Expenses!A$3:A$999=DATE(2026,10,5)),ROW(Expenses!A$3:A$999)-2),4)),0)+IFERROR(INDEX(Income!C$3:C$502,SMALL(IF((Income!D$3:D$502="INR")*(Income!A$3:A$502=DATE(2026,10,5)),ROW(Income!A$3:A$502)-2),4)),0))</f>
        <v/>
      </c>
      <c r="D207" s="126">
        <f t="array" ref="D207">IF(IFERROR(INDEX(Expenses!B$3:B$999,SMALL(IF((Expenses!E$3:E$999="INR")*(Expenses!A$3:A$999=DATE(2026,10,5)),ROW(Expenses!A$3:A$999)-2),4)),"")&lt;&gt;"",IFERROR(INDEX(Expenses!B$3:B$999,SMALL(IF((Expenses!E$3:E$999="INR")*(Expenses!A$3:A$999=DATE(2026,10,5)),ROW(Expenses!A$3:A$999)-2),4)),""),IF(IFERROR(INDEX(Income!B$3:B$502,SMALL(IF((Income!D$3:D$502="INR")*(Income!A$3:A$502=DATE(2026,10,5)),ROW(Income!A$3:A$502)-2),4)),"")&lt;&gt;"",IFERROR(INDEX(Income!B$3:B$502,SMALL(IF((Income!D$3:D$502="INR")*(Income!A$3:A$502=DATE(2026,10,5)),ROW(Income!A$3:A$502)-2),4)),""),""))</f>
        <v/>
      </c>
      <c r="E207" s="153">
        <f t="array" ref="E207">IF(IFERROR(-INDEX(Expenses!D$3:D$999,SMALL(IF((Expenses!E$3:E$999="INR")*(Expenses!A$3:A$999=DATE(2026,10,6)),ROW(Expenses!A$3:A$999)-2),4)),0)+IFERROR(INDEX(Income!C$3:C$502,SMALL(IF((Income!D$3:D$502="INR")*(Income!A$3:A$502=DATE(2026,10,6)),ROW(Income!A$3:A$502)-2),4)),0)=0,"",IFERROR(-INDEX(Expenses!D$3:D$999,SMALL(IF((Expenses!E$3:E$999="INR")*(Expenses!A$3:A$999=DATE(2026,10,6)),ROW(Expenses!A$3:A$999)-2),4)),0)+IFERROR(INDEX(Income!C$3:C$502,SMALL(IF((Income!D$3:D$502="INR")*(Income!A$3:A$502=DATE(2026,10,6)),ROW(Income!A$3:A$502)-2),4)),0))</f>
        <v/>
      </c>
      <c r="F207" s="126">
        <f t="array" ref="F207">IF(IFERROR(INDEX(Expenses!B$3:B$999,SMALL(IF((Expenses!E$3:E$999="INR")*(Expenses!A$3:A$999=DATE(2026,10,6)),ROW(Expenses!A$3:A$999)-2),4)),"")&lt;&gt;"",IFERROR(INDEX(Expenses!B$3:B$999,SMALL(IF((Expenses!E$3:E$999="INR")*(Expenses!A$3:A$999=DATE(2026,10,6)),ROW(Expenses!A$3:A$999)-2),4)),""),IF(IFERROR(INDEX(Income!B$3:B$502,SMALL(IF((Income!D$3:D$502="INR")*(Income!A$3:A$502=DATE(2026,10,6)),ROW(Income!A$3:A$502)-2),4)),"")&lt;&gt;"",IFERROR(INDEX(Income!B$3:B$502,SMALL(IF((Income!D$3:D$502="INR")*(Income!A$3:A$502=DATE(2026,10,6)),ROW(Income!A$3:A$502)-2),4)),""),""))</f>
        <v/>
      </c>
      <c r="G207" s="153">
        <f t="array" ref="G207">IF(IFERROR(-INDEX(Expenses!D$3:D$999,SMALL(IF((Expenses!E$3:E$999="INR")*(Expenses!A$3:A$999=DATE(2026,10,7)),ROW(Expenses!A$3:A$999)-2),4)),0)+IFERROR(INDEX(Income!C$3:C$502,SMALL(IF((Income!D$3:D$502="INR")*(Income!A$3:A$502=DATE(2026,10,7)),ROW(Income!A$3:A$502)-2),4)),0)=0,"",IFERROR(-INDEX(Expenses!D$3:D$999,SMALL(IF((Expenses!E$3:E$999="INR")*(Expenses!A$3:A$999=DATE(2026,10,7)),ROW(Expenses!A$3:A$999)-2),4)),0)+IFERROR(INDEX(Income!C$3:C$502,SMALL(IF((Income!D$3:D$502="INR")*(Income!A$3:A$502=DATE(2026,10,7)),ROW(Income!A$3:A$502)-2),4)),0))</f>
        <v/>
      </c>
      <c r="H207" s="126">
        <f t="array" ref="H207">IF(IFERROR(INDEX(Expenses!B$3:B$999,SMALL(IF((Expenses!E$3:E$999="INR")*(Expenses!A$3:A$999=DATE(2026,10,7)),ROW(Expenses!A$3:A$999)-2),4)),"")&lt;&gt;"",IFERROR(INDEX(Expenses!B$3:B$999,SMALL(IF((Expenses!E$3:E$999="INR")*(Expenses!A$3:A$999=DATE(2026,10,7)),ROW(Expenses!A$3:A$999)-2),4)),""),IF(IFERROR(INDEX(Income!B$3:B$502,SMALL(IF((Income!D$3:D$502="INR")*(Income!A$3:A$502=DATE(2026,10,7)),ROW(Income!A$3:A$502)-2),4)),"")&lt;&gt;"",IFERROR(INDEX(Income!B$3:B$502,SMALL(IF((Income!D$3:D$502="INR")*(Income!A$3:A$502=DATE(2026,10,7)),ROW(Income!A$3:A$502)-2),4)),""),""))</f>
        <v/>
      </c>
      <c r="I207" s="153">
        <f t="array" ref="I207">IF(IFERROR(-INDEX(Expenses!D$3:D$999,SMALL(IF((Expenses!E$3:E$999="INR")*(Expenses!A$3:A$999=DATE(2026,10,8)),ROW(Expenses!A$3:A$999)-2),4)),0)+IFERROR(INDEX(Income!C$3:C$502,SMALL(IF((Income!D$3:D$502="INR")*(Income!A$3:A$502=DATE(2026,10,8)),ROW(Income!A$3:A$502)-2),4)),0)=0,"",IFERROR(-INDEX(Expenses!D$3:D$999,SMALL(IF((Expenses!E$3:E$999="INR")*(Expenses!A$3:A$999=DATE(2026,10,8)),ROW(Expenses!A$3:A$999)-2),4)),0)+IFERROR(INDEX(Income!C$3:C$502,SMALL(IF((Income!D$3:D$502="INR")*(Income!A$3:A$502=DATE(2026,10,8)),ROW(Income!A$3:A$502)-2),4)),0))</f>
        <v/>
      </c>
      <c r="J207" s="126">
        <f t="array" ref="J207">IF(IFERROR(INDEX(Expenses!B$3:B$999,SMALL(IF((Expenses!E$3:E$999="INR")*(Expenses!A$3:A$999=DATE(2026,10,8)),ROW(Expenses!A$3:A$999)-2),4)),"")&lt;&gt;"",IFERROR(INDEX(Expenses!B$3:B$999,SMALL(IF((Expenses!E$3:E$999="INR")*(Expenses!A$3:A$999=DATE(2026,10,8)),ROW(Expenses!A$3:A$999)-2),4)),""),IF(IFERROR(INDEX(Income!B$3:B$502,SMALL(IF((Income!D$3:D$502="INR")*(Income!A$3:A$502=DATE(2026,10,8)),ROW(Income!A$3:A$502)-2),4)),"")&lt;&gt;"",IFERROR(INDEX(Income!B$3:B$502,SMALL(IF((Income!D$3:D$502="INR")*(Income!A$3:A$502=DATE(2026,10,8)),ROW(Income!A$3:A$502)-2),4)),""),""))</f>
        <v/>
      </c>
      <c r="K207" s="153">
        <f t="array" ref="K207">IF(IFERROR(-INDEX(Expenses!D$3:D$999,SMALL(IF((Expenses!E$3:E$999="INR")*(Expenses!A$3:A$999=DATE(2026,10,9)),ROW(Expenses!A$3:A$999)-2),4)),0)+IFERROR(INDEX(Income!C$3:C$502,SMALL(IF((Income!D$3:D$502="INR")*(Income!A$3:A$502=DATE(2026,10,9)),ROW(Income!A$3:A$502)-2),4)),0)=0,"",IFERROR(-INDEX(Expenses!D$3:D$999,SMALL(IF((Expenses!E$3:E$999="INR")*(Expenses!A$3:A$999=DATE(2026,10,9)),ROW(Expenses!A$3:A$999)-2),4)),0)+IFERROR(INDEX(Income!C$3:C$502,SMALL(IF((Income!D$3:D$502="INR")*(Income!A$3:A$502=DATE(2026,10,9)),ROW(Income!A$3:A$502)-2),4)),0))</f>
        <v/>
      </c>
      <c r="L207" s="126">
        <f t="array" ref="L207">IF(IFERROR(INDEX(Expenses!B$3:B$999,SMALL(IF((Expenses!E$3:E$999="INR")*(Expenses!A$3:A$999=DATE(2026,10,9)),ROW(Expenses!A$3:A$999)-2),4)),"")&lt;&gt;"",IFERROR(INDEX(Expenses!B$3:B$999,SMALL(IF((Expenses!E$3:E$999="INR")*(Expenses!A$3:A$999=DATE(2026,10,9)),ROW(Expenses!A$3:A$999)-2),4)),""),IF(IFERROR(INDEX(Income!B$3:B$502,SMALL(IF((Income!D$3:D$502="INR")*(Income!A$3:A$502=DATE(2026,10,9)),ROW(Income!A$3:A$502)-2),4)),"")&lt;&gt;"",IFERROR(INDEX(Income!B$3:B$502,SMALL(IF((Income!D$3:D$502="INR")*(Income!A$3:A$502=DATE(2026,10,9)),ROW(Income!A$3:A$502)-2),4)),""),""))</f>
        <v/>
      </c>
      <c r="M207" s="153">
        <f t="array" ref="M207">IF(IFERROR(-INDEX(Expenses!D$3:D$999,SMALL(IF((Expenses!E$3:E$999="INR")*(Expenses!A$3:A$999=DATE(2026,10,10)),ROW(Expenses!A$3:A$999)-2),4)),0)+IFERROR(INDEX(Income!C$3:C$502,SMALL(IF((Income!D$3:D$502="INR")*(Income!A$3:A$502=DATE(2026,10,10)),ROW(Income!A$3:A$502)-2),4)),0)=0,"",IFERROR(-INDEX(Expenses!D$3:D$999,SMALL(IF((Expenses!E$3:E$999="INR")*(Expenses!A$3:A$999=DATE(2026,10,10)),ROW(Expenses!A$3:A$999)-2),4)),0)+IFERROR(INDEX(Income!C$3:C$502,SMALL(IF((Income!D$3:D$502="INR")*(Income!A$3:A$502=DATE(2026,10,10)),ROW(Income!A$3:A$502)-2),4)),0))</f>
        <v/>
      </c>
      <c r="N207" s="126">
        <f t="array" ref="N207">IF(IFERROR(INDEX(Expenses!B$3:B$999,SMALL(IF((Expenses!E$3:E$999="INR")*(Expenses!A$3:A$999=DATE(2026,10,10)),ROW(Expenses!A$3:A$999)-2),4)),"")&lt;&gt;"",IFERROR(INDEX(Expenses!B$3:B$999,SMALL(IF((Expenses!E$3:E$999="INR")*(Expenses!A$3:A$999=DATE(2026,10,10)),ROW(Expenses!A$3:A$999)-2),4)),""),IF(IFERROR(INDEX(Income!B$3:B$502,SMALL(IF((Income!D$3:D$502="INR")*(Income!A$3:A$502=DATE(2026,10,10)),ROW(Income!A$3:A$502)-2),4)),"")&lt;&gt;"",IFERROR(INDEX(Income!B$3:B$502,SMALL(IF((Income!D$3:D$502="INR")*(Income!A$3:A$502=DATE(2026,10,10)),ROW(Income!A$3:A$502)-2),4)),""),""))</f>
        <v/>
      </c>
      <c r="O207" s="153">
        <f t="array" ref="O207">IF(IFERROR(-INDEX(Expenses!D$3:D$999,SMALL(IF((Expenses!E$3:E$999="INR")*(Expenses!A$3:A$999=DATE(2026,10,11)),ROW(Expenses!A$3:A$999)-2),4)),0)+IFERROR(INDEX(Income!C$3:C$502,SMALL(IF((Income!D$3:D$502="INR")*(Income!A$3:A$502=DATE(2026,10,11)),ROW(Income!A$3:A$502)-2),4)),0)=0,"",IFERROR(-INDEX(Expenses!D$3:D$999,SMALL(IF((Expenses!E$3:E$999="INR")*(Expenses!A$3:A$999=DATE(2026,10,11)),ROW(Expenses!A$3:A$999)-2),4)),0)+IFERROR(INDEX(Income!C$3:C$502,SMALL(IF((Income!D$3:D$502="INR")*(Income!A$3:A$502=DATE(2026,10,11)),ROW(Income!A$3:A$502)-2),4)),0))</f>
        <v/>
      </c>
      <c r="P207" s="126">
        <f t="array" ref="P207">IF(IFERROR(INDEX(Expenses!B$3:B$999,SMALL(IF((Expenses!E$3:E$999="INR")*(Expenses!A$3:A$999=DATE(2026,10,11)),ROW(Expenses!A$3:A$999)-2),4)),"")&lt;&gt;"",IFERROR(INDEX(Expenses!B$3:B$999,SMALL(IF((Expenses!E$3:E$999="INR")*(Expenses!A$3:A$999=DATE(2026,10,11)),ROW(Expenses!A$3:A$999)-2),4)),""),IF(IFERROR(INDEX(Income!B$3:B$502,SMALL(IF((Income!D$3:D$502="INR")*(Income!A$3:A$502=DATE(2026,10,11)),ROW(Income!A$3:A$502)-2),4)),"")&lt;&gt;"",IFERROR(INDEX(Income!B$3:B$502,SMALL(IF((Income!D$3:D$502="INR")*(Income!A$3:A$502=DATE(2026,10,11)),ROW(Income!A$3:A$502)-2),4)),""),""))</f>
        <v/>
      </c>
      <c r="Q207" s="9" t="n"/>
      <c r="R207" s="9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68">
      <c r="A208" s="9" t="n"/>
      <c r="B208" s="9" t="n"/>
      <c r="C208" s="153">
        <f t="array" ref="C208">IF(IFERROR(-INDEX(Expenses!D$3:D$999,SMALL(IF((Expenses!E$3:E$999="INR")*(Expenses!A$3:A$999=DATE(2026,10,5)),ROW(Expenses!A$3:A$999)-2),5)),0)+IFERROR(INDEX(Income!C$3:C$502,SMALL(IF((Income!D$3:D$502="INR")*(Income!A$3:A$502=DATE(2026,10,5)),ROW(Income!A$3:A$502)-2),5)),0)=0,"",IFERROR(-INDEX(Expenses!D$3:D$999,SMALL(IF((Expenses!E$3:E$999="INR")*(Expenses!A$3:A$999=DATE(2026,10,5)),ROW(Expenses!A$3:A$999)-2),5)),0)+IFERROR(INDEX(Income!C$3:C$502,SMALL(IF((Income!D$3:D$502="INR")*(Income!A$3:A$502=DATE(2026,10,5)),ROW(Income!A$3:A$502)-2),5)),0))</f>
        <v/>
      </c>
      <c r="D208" s="126">
        <f t="array" ref="D208">IF(IFERROR(INDEX(Expenses!B$3:B$999,SMALL(IF((Expenses!E$3:E$999="INR")*(Expenses!A$3:A$999=DATE(2026,10,5)),ROW(Expenses!A$3:A$999)-2),5)),"")&lt;&gt;"",IFERROR(INDEX(Expenses!B$3:B$999,SMALL(IF((Expenses!E$3:E$999="INR")*(Expenses!A$3:A$999=DATE(2026,10,5)),ROW(Expenses!A$3:A$999)-2),5)),""),IF(IFERROR(INDEX(Income!B$3:B$502,SMALL(IF((Income!D$3:D$502="INR")*(Income!A$3:A$502=DATE(2026,10,5)),ROW(Income!A$3:A$502)-2),5)),"")&lt;&gt;"",IFERROR(INDEX(Income!B$3:B$502,SMALL(IF((Income!D$3:D$502="INR")*(Income!A$3:A$502=DATE(2026,10,5)),ROW(Income!A$3:A$502)-2),5)),""),""))</f>
        <v/>
      </c>
      <c r="E208" s="153">
        <f t="array" ref="E208">IF(IFERROR(-INDEX(Expenses!D$3:D$999,SMALL(IF((Expenses!E$3:E$999="INR")*(Expenses!A$3:A$999=DATE(2026,10,6)),ROW(Expenses!A$3:A$999)-2),5)),0)+IFERROR(INDEX(Income!C$3:C$502,SMALL(IF((Income!D$3:D$502="INR")*(Income!A$3:A$502=DATE(2026,10,6)),ROW(Income!A$3:A$502)-2),5)),0)=0,"",IFERROR(-INDEX(Expenses!D$3:D$999,SMALL(IF((Expenses!E$3:E$999="INR")*(Expenses!A$3:A$999=DATE(2026,10,6)),ROW(Expenses!A$3:A$999)-2),5)),0)+IFERROR(INDEX(Income!C$3:C$502,SMALL(IF((Income!D$3:D$502="INR")*(Income!A$3:A$502=DATE(2026,10,6)),ROW(Income!A$3:A$502)-2),5)),0))</f>
        <v/>
      </c>
      <c r="F208" s="126">
        <f t="array" ref="F208">IF(IFERROR(INDEX(Expenses!B$3:B$999,SMALL(IF((Expenses!E$3:E$999="INR")*(Expenses!A$3:A$999=DATE(2026,10,6)),ROW(Expenses!A$3:A$999)-2),5)),"")&lt;&gt;"",IFERROR(INDEX(Expenses!B$3:B$999,SMALL(IF((Expenses!E$3:E$999="INR")*(Expenses!A$3:A$999=DATE(2026,10,6)),ROW(Expenses!A$3:A$999)-2),5)),""),IF(IFERROR(INDEX(Income!B$3:B$502,SMALL(IF((Income!D$3:D$502="INR")*(Income!A$3:A$502=DATE(2026,10,6)),ROW(Income!A$3:A$502)-2),5)),"")&lt;&gt;"",IFERROR(INDEX(Income!B$3:B$502,SMALL(IF((Income!D$3:D$502="INR")*(Income!A$3:A$502=DATE(2026,10,6)),ROW(Income!A$3:A$502)-2),5)),""),""))</f>
        <v/>
      </c>
      <c r="G208" s="153">
        <f t="array" ref="G208">IF(IFERROR(-INDEX(Expenses!D$3:D$999,SMALL(IF((Expenses!E$3:E$999="INR")*(Expenses!A$3:A$999=DATE(2026,10,7)),ROW(Expenses!A$3:A$999)-2),5)),0)+IFERROR(INDEX(Income!C$3:C$502,SMALL(IF((Income!D$3:D$502="INR")*(Income!A$3:A$502=DATE(2026,10,7)),ROW(Income!A$3:A$502)-2),5)),0)=0,"",IFERROR(-INDEX(Expenses!D$3:D$999,SMALL(IF((Expenses!E$3:E$999="INR")*(Expenses!A$3:A$999=DATE(2026,10,7)),ROW(Expenses!A$3:A$999)-2),5)),0)+IFERROR(INDEX(Income!C$3:C$502,SMALL(IF((Income!D$3:D$502="INR")*(Income!A$3:A$502=DATE(2026,10,7)),ROW(Income!A$3:A$502)-2),5)),0))</f>
        <v/>
      </c>
      <c r="H208" s="126">
        <f t="array" ref="H208">IF(IFERROR(INDEX(Expenses!B$3:B$999,SMALL(IF((Expenses!E$3:E$999="INR")*(Expenses!A$3:A$999=DATE(2026,10,7)),ROW(Expenses!A$3:A$999)-2),5)),"")&lt;&gt;"",IFERROR(INDEX(Expenses!B$3:B$999,SMALL(IF((Expenses!E$3:E$999="INR")*(Expenses!A$3:A$999=DATE(2026,10,7)),ROW(Expenses!A$3:A$999)-2),5)),""),IF(IFERROR(INDEX(Income!B$3:B$502,SMALL(IF((Income!D$3:D$502="INR")*(Income!A$3:A$502=DATE(2026,10,7)),ROW(Income!A$3:A$502)-2),5)),"")&lt;&gt;"",IFERROR(INDEX(Income!B$3:B$502,SMALL(IF((Income!D$3:D$502="INR")*(Income!A$3:A$502=DATE(2026,10,7)),ROW(Income!A$3:A$502)-2),5)),""),""))</f>
        <v/>
      </c>
      <c r="I208" s="153">
        <f t="array" ref="I208">IF(IFERROR(-INDEX(Expenses!D$3:D$999,SMALL(IF((Expenses!E$3:E$999="INR")*(Expenses!A$3:A$999=DATE(2026,10,8)),ROW(Expenses!A$3:A$999)-2),5)),0)+IFERROR(INDEX(Income!C$3:C$502,SMALL(IF((Income!D$3:D$502="INR")*(Income!A$3:A$502=DATE(2026,10,8)),ROW(Income!A$3:A$502)-2),5)),0)=0,"",IFERROR(-INDEX(Expenses!D$3:D$999,SMALL(IF((Expenses!E$3:E$999="INR")*(Expenses!A$3:A$999=DATE(2026,10,8)),ROW(Expenses!A$3:A$999)-2),5)),0)+IFERROR(INDEX(Income!C$3:C$502,SMALL(IF((Income!D$3:D$502="INR")*(Income!A$3:A$502=DATE(2026,10,8)),ROW(Income!A$3:A$502)-2),5)),0))</f>
        <v/>
      </c>
      <c r="J208" s="126">
        <f t="array" ref="J208">IF(IFERROR(INDEX(Expenses!B$3:B$999,SMALL(IF((Expenses!E$3:E$999="INR")*(Expenses!A$3:A$999=DATE(2026,10,8)),ROW(Expenses!A$3:A$999)-2),5)),"")&lt;&gt;"",IFERROR(INDEX(Expenses!B$3:B$999,SMALL(IF((Expenses!E$3:E$999="INR")*(Expenses!A$3:A$999=DATE(2026,10,8)),ROW(Expenses!A$3:A$999)-2),5)),""),IF(IFERROR(INDEX(Income!B$3:B$502,SMALL(IF((Income!D$3:D$502="INR")*(Income!A$3:A$502=DATE(2026,10,8)),ROW(Income!A$3:A$502)-2),5)),"")&lt;&gt;"",IFERROR(INDEX(Income!B$3:B$502,SMALL(IF((Income!D$3:D$502="INR")*(Income!A$3:A$502=DATE(2026,10,8)),ROW(Income!A$3:A$502)-2),5)),""),""))</f>
        <v/>
      </c>
      <c r="K208" s="153">
        <f t="array" ref="K208">IF(IFERROR(-INDEX(Expenses!D$3:D$999,SMALL(IF((Expenses!E$3:E$999="INR")*(Expenses!A$3:A$999=DATE(2026,10,9)),ROW(Expenses!A$3:A$999)-2),5)),0)+IFERROR(INDEX(Income!C$3:C$502,SMALL(IF((Income!D$3:D$502="INR")*(Income!A$3:A$502=DATE(2026,10,9)),ROW(Income!A$3:A$502)-2),5)),0)=0,"",IFERROR(-INDEX(Expenses!D$3:D$999,SMALL(IF((Expenses!E$3:E$999="INR")*(Expenses!A$3:A$999=DATE(2026,10,9)),ROW(Expenses!A$3:A$999)-2),5)),0)+IFERROR(INDEX(Income!C$3:C$502,SMALL(IF((Income!D$3:D$502="INR")*(Income!A$3:A$502=DATE(2026,10,9)),ROW(Income!A$3:A$502)-2),5)),0))</f>
        <v/>
      </c>
      <c r="L208" s="126">
        <f t="array" ref="L208">IF(IFERROR(INDEX(Expenses!B$3:B$999,SMALL(IF((Expenses!E$3:E$999="INR")*(Expenses!A$3:A$999=DATE(2026,10,9)),ROW(Expenses!A$3:A$999)-2),5)),"")&lt;&gt;"",IFERROR(INDEX(Expenses!B$3:B$999,SMALL(IF((Expenses!E$3:E$999="INR")*(Expenses!A$3:A$999=DATE(2026,10,9)),ROW(Expenses!A$3:A$999)-2),5)),""),IF(IFERROR(INDEX(Income!B$3:B$502,SMALL(IF((Income!D$3:D$502="INR")*(Income!A$3:A$502=DATE(2026,10,9)),ROW(Income!A$3:A$502)-2),5)),"")&lt;&gt;"",IFERROR(INDEX(Income!B$3:B$502,SMALL(IF((Income!D$3:D$502="INR")*(Income!A$3:A$502=DATE(2026,10,9)),ROW(Income!A$3:A$502)-2),5)),""),""))</f>
        <v/>
      </c>
      <c r="M208" s="153">
        <f t="array" ref="M208">IF(IFERROR(-INDEX(Expenses!D$3:D$999,SMALL(IF((Expenses!E$3:E$999="INR")*(Expenses!A$3:A$999=DATE(2026,10,10)),ROW(Expenses!A$3:A$999)-2),5)),0)+IFERROR(INDEX(Income!C$3:C$502,SMALL(IF((Income!D$3:D$502="INR")*(Income!A$3:A$502=DATE(2026,10,10)),ROW(Income!A$3:A$502)-2),5)),0)=0,"",IFERROR(-INDEX(Expenses!D$3:D$999,SMALL(IF((Expenses!E$3:E$999="INR")*(Expenses!A$3:A$999=DATE(2026,10,10)),ROW(Expenses!A$3:A$999)-2),5)),0)+IFERROR(INDEX(Income!C$3:C$502,SMALL(IF((Income!D$3:D$502="INR")*(Income!A$3:A$502=DATE(2026,10,10)),ROW(Income!A$3:A$502)-2),5)),0))</f>
        <v/>
      </c>
      <c r="N208" s="126">
        <f t="array" ref="N208">IF(IFERROR(INDEX(Expenses!B$3:B$999,SMALL(IF((Expenses!E$3:E$999="INR")*(Expenses!A$3:A$999=DATE(2026,10,10)),ROW(Expenses!A$3:A$999)-2),5)),"")&lt;&gt;"",IFERROR(INDEX(Expenses!B$3:B$999,SMALL(IF((Expenses!E$3:E$999="INR")*(Expenses!A$3:A$999=DATE(2026,10,10)),ROW(Expenses!A$3:A$999)-2),5)),""),IF(IFERROR(INDEX(Income!B$3:B$502,SMALL(IF((Income!D$3:D$502="INR")*(Income!A$3:A$502=DATE(2026,10,10)),ROW(Income!A$3:A$502)-2),5)),"")&lt;&gt;"",IFERROR(INDEX(Income!B$3:B$502,SMALL(IF((Income!D$3:D$502="INR")*(Income!A$3:A$502=DATE(2026,10,10)),ROW(Income!A$3:A$502)-2),5)),""),""))</f>
        <v/>
      </c>
      <c r="O208" s="153">
        <f t="array" ref="O208">IF(IFERROR(-INDEX(Expenses!D$3:D$999,SMALL(IF((Expenses!E$3:E$999="INR")*(Expenses!A$3:A$999=DATE(2026,10,11)),ROW(Expenses!A$3:A$999)-2),5)),0)+IFERROR(INDEX(Income!C$3:C$502,SMALL(IF((Income!D$3:D$502="INR")*(Income!A$3:A$502=DATE(2026,10,11)),ROW(Income!A$3:A$502)-2),5)),0)=0,"",IFERROR(-INDEX(Expenses!D$3:D$999,SMALL(IF((Expenses!E$3:E$999="INR")*(Expenses!A$3:A$999=DATE(2026,10,11)),ROW(Expenses!A$3:A$999)-2),5)),0)+IFERROR(INDEX(Income!C$3:C$502,SMALL(IF((Income!D$3:D$502="INR")*(Income!A$3:A$502=DATE(2026,10,11)),ROW(Income!A$3:A$502)-2),5)),0))</f>
        <v/>
      </c>
      <c r="P208" s="126">
        <f t="array" ref="P208">IF(IFERROR(INDEX(Expenses!B$3:B$999,SMALL(IF((Expenses!E$3:E$999="INR")*(Expenses!A$3:A$999=DATE(2026,10,11)),ROW(Expenses!A$3:A$999)-2),5)),"")&lt;&gt;"",IFERROR(INDEX(Expenses!B$3:B$999,SMALL(IF((Expenses!E$3:E$999="INR")*(Expenses!A$3:A$999=DATE(2026,10,11)),ROW(Expenses!A$3:A$999)-2),5)),""),IF(IFERROR(INDEX(Income!B$3:B$502,SMALL(IF((Income!D$3:D$502="INR")*(Income!A$3:A$502=DATE(2026,10,11)),ROW(Income!A$3:A$502)-2),5)),"")&lt;&gt;"",IFERROR(INDEX(Income!B$3:B$502,SMALL(IF((Income!D$3:D$502="INR")*(Income!A$3:A$502=DATE(2026,10,11)),ROW(Income!A$3:A$502)-2),5)),""),""))</f>
        <v/>
      </c>
      <c r="Q208" s="9" t="n"/>
      <c r="R208" s="9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68">
      <c r="A209" s="151" t="n">
        <v>46307</v>
      </c>
      <c r="B209" s="103" t="n">
        <v>42</v>
      </c>
      <c r="C209" s="153">
        <f t="array" ref="C209">IF(IFERROR(-INDEX(Expenses!D$3:D$999,SMALL(IF((Expenses!E$3:E$999="INR")*(Expenses!A$3:A$999=DATE(2026,10,12)),ROW(Expenses!A$3:A$999)-2),1)),0)+IFERROR(INDEX(Income!C$3:C$502,SMALL(IF((Income!D$3:D$502="INR")*(Income!A$3:A$502=DATE(2026,10,12)),ROW(Income!A$3:A$502)-2),1)),0)=0,"",IFERROR(-INDEX(Expenses!D$3:D$999,SMALL(IF((Expenses!E$3:E$999="INR")*(Expenses!A$3:A$999=DATE(2026,10,12)),ROW(Expenses!A$3:A$999)-2),1)),0)+IFERROR(INDEX(Income!C$3:C$502,SMALL(IF((Income!D$3:D$502="INR")*(Income!A$3:A$502=DATE(2026,10,12)),ROW(Income!A$3:A$502)-2),1)),0))</f>
        <v/>
      </c>
      <c r="D209" s="126">
        <f t="array" ref="D209">IF(IFERROR(INDEX(Expenses!B$3:B$999,SMALL(IF((Expenses!E$3:E$999="INR")*(Expenses!A$3:A$999=DATE(2026,10,12)),ROW(Expenses!A$3:A$999)-2),1)),"")&lt;&gt;"",IFERROR(INDEX(Expenses!B$3:B$999,SMALL(IF((Expenses!E$3:E$999="INR")*(Expenses!A$3:A$999=DATE(2026,10,12)),ROW(Expenses!A$3:A$999)-2),1)),""),IF(IFERROR(INDEX(Income!B$3:B$502,SMALL(IF((Income!D$3:D$502="INR")*(Income!A$3:A$502=DATE(2026,10,12)),ROW(Income!A$3:A$502)-2),1)),"")&lt;&gt;"",IFERROR(INDEX(Income!B$3:B$502,SMALL(IF((Income!D$3:D$502="INR")*(Income!A$3:A$502=DATE(2026,10,12)),ROW(Income!A$3:A$502)-2),1)),""),""))</f>
        <v/>
      </c>
      <c r="E209" s="153">
        <f t="array" ref="E209">IF(IFERROR(-INDEX(Expenses!D$3:D$999,SMALL(IF((Expenses!E$3:E$999="INR")*(Expenses!A$3:A$999=DATE(2026,10,13)),ROW(Expenses!A$3:A$999)-2),1)),0)+IFERROR(INDEX(Income!C$3:C$502,SMALL(IF((Income!D$3:D$502="INR")*(Income!A$3:A$502=DATE(2026,10,13)),ROW(Income!A$3:A$502)-2),1)),0)=0,"",IFERROR(-INDEX(Expenses!D$3:D$999,SMALL(IF((Expenses!E$3:E$999="INR")*(Expenses!A$3:A$999=DATE(2026,10,13)),ROW(Expenses!A$3:A$999)-2),1)),0)+IFERROR(INDEX(Income!C$3:C$502,SMALL(IF((Income!D$3:D$502="INR")*(Income!A$3:A$502=DATE(2026,10,13)),ROW(Income!A$3:A$502)-2),1)),0))</f>
        <v/>
      </c>
      <c r="F209" s="126">
        <f t="array" ref="F209">IF(IFERROR(INDEX(Expenses!B$3:B$999,SMALL(IF((Expenses!E$3:E$999="INR")*(Expenses!A$3:A$999=DATE(2026,10,13)),ROW(Expenses!A$3:A$999)-2),1)),"")&lt;&gt;"",IFERROR(INDEX(Expenses!B$3:B$999,SMALL(IF((Expenses!E$3:E$999="INR")*(Expenses!A$3:A$999=DATE(2026,10,13)),ROW(Expenses!A$3:A$999)-2),1)),""),IF(IFERROR(INDEX(Income!B$3:B$502,SMALL(IF((Income!D$3:D$502="INR")*(Income!A$3:A$502=DATE(2026,10,13)),ROW(Income!A$3:A$502)-2),1)),"")&lt;&gt;"",IFERROR(INDEX(Income!B$3:B$502,SMALL(IF((Income!D$3:D$502="INR")*(Income!A$3:A$502=DATE(2026,10,13)),ROW(Income!A$3:A$502)-2),1)),""),""))</f>
        <v/>
      </c>
      <c r="G209" s="153">
        <f t="array" ref="G209">IF(IFERROR(-INDEX(Expenses!D$3:D$999,SMALL(IF((Expenses!E$3:E$999="INR")*(Expenses!A$3:A$999=DATE(2026,10,14)),ROW(Expenses!A$3:A$999)-2),1)),0)+IFERROR(INDEX(Income!C$3:C$502,SMALL(IF((Income!D$3:D$502="INR")*(Income!A$3:A$502=DATE(2026,10,14)),ROW(Income!A$3:A$502)-2),1)),0)=0,"",IFERROR(-INDEX(Expenses!D$3:D$999,SMALL(IF((Expenses!E$3:E$999="INR")*(Expenses!A$3:A$999=DATE(2026,10,14)),ROW(Expenses!A$3:A$999)-2),1)),0)+IFERROR(INDEX(Income!C$3:C$502,SMALL(IF((Income!D$3:D$502="INR")*(Income!A$3:A$502=DATE(2026,10,14)),ROW(Income!A$3:A$502)-2),1)),0))</f>
        <v/>
      </c>
      <c r="H209" s="126">
        <f t="array" ref="H209">IF(IFERROR(INDEX(Expenses!B$3:B$999,SMALL(IF((Expenses!E$3:E$999="INR")*(Expenses!A$3:A$999=DATE(2026,10,14)),ROW(Expenses!A$3:A$999)-2),1)),"")&lt;&gt;"",IFERROR(INDEX(Expenses!B$3:B$999,SMALL(IF((Expenses!E$3:E$999="INR")*(Expenses!A$3:A$999=DATE(2026,10,14)),ROW(Expenses!A$3:A$999)-2),1)),""),IF(IFERROR(INDEX(Income!B$3:B$502,SMALL(IF((Income!D$3:D$502="INR")*(Income!A$3:A$502=DATE(2026,10,14)),ROW(Income!A$3:A$502)-2),1)),"")&lt;&gt;"",IFERROR(INDEX(Income!B$3:B$502,SMALL(IF((Income!D$3:D$502="INR")*(Income!A$3:A$502=DATE(2026,10,14)),ROW(Income!A$3:A$502)-2),1)),""),""))</f>
        <v/>
      </c>
      <c r="I209" s="153">
        <f t="array" ref="I209">IF(IFERROR(-INDEX(Expenses!D$3:D$999,SMALL(IF((Expenses!E$3:E$999="INR")*(Expenses!A$3:A$999=DATE(2026,10,15)),ROW(Expenses!A$3:A$999)-2),1)),0)+IFERROR(INDEX(Income!C$3:C$502,SMALL(IF((Income!D$3:D$502="INR")*(Income!A$3:A$502=DATE(2026,10,15)),ROW(Income!A$3:A$502)-2),1)),0)=0,"",IFERROR(-INDEX(Expenses!D$3:D$999,SMALL(IF((Expenses!E$3:E$999="INR")*(Expenses!A$3:A$999=DATE(2026,10,15)),ROW(Expenses!A$3:A$999)-2),1)),0)+IFERROR(INDEX(Income!C$3:C$502,SMALL(IF((Income!D$3:D$502="INR")*(Income!A$3:A$502=DATE(2026,10,15)),ROW(Income!A$3:A$502)-2),1)),0))</f>
        <v/>
      </c>
      <c r="J209" s="126">
        <f t="array" ref="J209">IF(IFERROR(INDEX(Expenses!B$3:B$999,SMALL(IF((Expenses!E$3:E$999="INR")*(Expenses!A$3:A$999=DATE(2026,10,15)),ROW(Expenses!A$3:A$999)-2),1)),"")&lt;&gt;"",IFERROR(INDEX(Expenses!B$3:B$999,SMALL(IF((Expenses!E$3:E$999="INR")*(Expenses!A$3:A$999=DATE(2026,10,15)),ROW(Expenses!A$3:A$999)-2),1)),""),IF(IFERROR(INDEX(Income!B$3:B$502,SMALL(IF((Income!D$3:D$502="INR")*(Income!A$3:A$502=DATE(2026,10,15)),ROW(Income!A$3:A$502)-2),1)),"")&lt;&gt;"",IFERROR(INDEX(Income!B$3:B$502,SMALL(IF((Income!D$3:D$502="INR")*(Income!A$3:A$502=DATE(2026,10,15)),ROW(Income!A$3:A$502)-2),1)),""),""))</f>
        <v/>
      </c>
      <c r="K209" s="153">
        <f t="array" ref="K209">IF(IFERROR(-INDEX(Expenses!D$3:D$999,SMALL(IF((Expenses!E$3:E$999="INR")*(Expenses!A$3:A$999=DATE(2026,10,16)),ROW(Expenses!A$3:A$999)-2),1)),0)+IFERROR(INDEX(Income!C$3:C$502,SMALL(IF((Income!D$3:D$502="INR")*(Income!A$3:A$502=DATE(2026,10,16)),ROW(Income!A$3:A$502)-2),1)),0)=0,"",IFERROR(-INDEX(Expenses!D$3:D$999,SMALL(IF((Expenses!E$3:E$999="INR")*(Expenses!A$3:A$999=DATE(2026,10,16)),ROW(Expenses!A$3:A$999)-2),1)),0)+IFERROR(INDEX(Income!C$3:C$502,SMALL(IF((Income!D$3:D$502="INR")*(Income!A$3:A$502=DATE(2026,10,16)),ROW(Income!A$3:A$502)-2),1)),0))</f>
        <v/>
      </c>
      <c r="L209" s="126">
        <f t="array" ref="L209">IF(IFERROR(INDEX(Expenses!B$3:B$999,SMALL(IF((Expenses!E$3:E$999="INR")*(Expenses!A$3:A$999=DATE(2026,10,16)),ROW(Expenses!A$3:A$999)-2),1)),"")&lt;&gt;"",IFERROR(INDEX(Expenses!B$3:B$999,SMALL(IF((Expenses!E$3:E$999="INR")*(Expenses!A$3:A$999=DATE(2026,10,16)),ROW(Expenses!A$3:A$999)-2),1)),""),IF(IFERROR(INDEX(Income!B$3:B$502,SMALL(IF((Income!D$3:D$502="INR")*(Income!A$3:A$502=DATE(2026,10,16)),ROW(Income!A$3:A$502)-2),1)),"")&lt;&gt;"",IFERROR(INDEX(Income!B$3:B$502,SMALL(IF((Income!D$3:D$502="INR")*(Income!A$3:A$502=DATE(2026,10,16)),ROW(Income!A$3:A$502)-2),1)),""),""))</f>
        <v/>
      </c>
      <c r="M209" s="153">
        <f t="array" ref="M209">IF(IFERROR(-INDEX(Expenses!D$3:D$999,SMALL(IF((Expenses!E$3:E$999="INR")*(Expenses!A$3:A$999=DATE(2026,10,17)),ROW(Expenses!A$3:A$999)-2),1)),0)+IFERROR(INDEX(Income!C$3:C$502,SMALL(IF((Income!D$3:D$502="INR")*(Income!A$3:A$502=DATE(2026,10,17)),ROW(Income!A$3:A$502)-2),1)),0)=0,"",IFERROR(-INDEX(Expenses!D$3:D$999,SMALL(IF((Expenses!E$3:E$999="INR")*(Expenses!A$3:A$999=DATE(2026,10,17)),ROW(Expenses!A$3:A$999)-2),1)),0)+IFERROR(INDEX(Income!C$3:C$502,SMALL(IF((Income!D$3:D$502="INR")*(Income!A$3:A$502=DATE(2026,10,17)),ROW(Income!A$3:A$502)-2),1)),0))</f>
        <v/>
      </c>
      <c r="N209" s="126">
        <f t="array" ref="N209">IF(IFERROR(INDEX(Expenses!B$3:B$999,SMALL(IF((Expenses!E$3:E$999="INR")*(Expenses!A$3:A$999=DATE(2026,10,17)),ROW(Expenses!A$3:A$999)-2),1)),"")&lt;&gt;"",IFERROR(INDEX(Expenses!B$3:B$999,SMALL(IF((Expenses!E$3:E$999="INR")*(Expenses!A$3:A$999=DATE(2026,10,17)),ROW(Expenses!A$3:A$999)-2),1)),""),IF(IFERROR(INDEX(Income!B$3:B$502,SMALL(IF((Income!D$3:D$502="INR")*(Income!A$3:A$502=DATE(2026,10,17)),ROW(Income!A$3:A$502)-2),1)),"")&lt;&gt;"",IFERROR(INDEX(Income!B$3:B$502,SMALL(IF((Income!D$3:D$502="INR")*(Income!A$3:A$502=DATE(2026,10,17)),ROW(Income!A$3:A$502)-2),1)),""),""))</f>
        <v/>
      </c>
      <c r="O209" s="153">
        <f t="array" ref="O209">IF(IFERROR(-INDEX(Expenses!D$3:D$999,SMALL(IF((Expenses!E$3:E$999="INR")*(Expenses!A$3:A$999=DATE(2026,10,18)),ROW(Expenses!A$3:A$999)-2),1)),0)+IFERROR(INDEX(Income!C$3:C$502,SMALL(IF((Income!D$3:D$502="INR")*(Income!A$3:A$502=DATE(2026,10,18)),ROW(Income!A$3:A$502)-2),1)),0)=0,"",IFERROR(-INDEX(Expenses!D$3:D$999,SMALL(IF((Expenses!E$3:E$999="INR")*(Expenses!A$3:A$999=DATE(2026,10,18)),ROW(Expenses!A$3:A$999)-2),1)),0)+IFERROR(INDEX(Income!C$3:C$502,SMALL(IF((Income!D$3:D$502="INR")*(Income!A$3:A$502=DATE(2026,10,18)),ROW(Income!A$3:A$502)-2),1)),0))</f>
        <v/>
      </c>
      <c r="P209" s="126">
        <f t="array" ref="P209">IF(IFERROR(INDEX(Expenses!B$3:B$999,SMALL(IF((Expenses!E$3:E$999="INR")*(Expenses!A$3:A$999=DATE(2026,10,18)),ROW(Expenses!A$3:A$999)-2),1)),"")&lt;&gt;"",IFERROR(INDEX(Expenses!B$3:B$999,SMALL(IF((Expenses!E$3:E$999="INR")*(Expenses!A$3:A$999=DATE(2026,10,18)),ROW(Expenses!A$3:A$999)-2),1)),""),IF(IFERROR(INDEX(Income!B$3:B$502,SMALL(IF((Income!D$3:D$502="INR")*(Income!A$3:A$502=DATE(2026,10,18)),ROW(Income!A$3:A$502)-2),1)),"")&lt;&gt;"",IFERROR(INDEX(Income!B$3:B$502,SMALL(IF((Income!D$3:D$502="INR")*(Income!A$3:A$502=DATE(2026,10,18)),ROW(Income!A$3:A$502)-2),1)),""),""))</f>
        <v/>
      </c>
      <c r="Q209" s="103" t="n">
        <v>42</v>
      </c>
      <c r="R209" s="142">
        <f>SUM(C209:C213)+SUM(E209:E213)+SUM(G209:G213)+SUM(I209:I213)+SUM(K209:K213)+SUM(M209:M213)+SUM(O209:O213)</f>
        <v/>
      </c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68">
      <c r="A210" s="9" t="n"/>
      <c r="B210" s="9" t="n"/>
      <c r="C210" s="153">
        <f t="array" ref="C210">IF(IFERROR(-INDEX(Expenses!D$3:D$999,SMALL(IF((Expenses!E$3:E$999="INR")*(Expenses!A$3:A$999=DATE(2026,10,12)),ROW(Expenses!A$3:A$999)-2),2)),0)+IFERROR(INDEX(Income!C$3:C$502,SMALL(IF((Income!D$3:D$502="INR")*(Income!A$3:A$502=DATE(2026,10,12)),ROW(Income!A$3:A$502)-2),2)),0)=0,"",IFERROR(-INDEX(Expenses!D$3:D$999,SMALL(IF((Expenses!E$3:E$999="INR")*(Expenses!A$3:A$999=DATE(2026,10,12)),ROW(Expenses!A$3:A$999)-2),2)),0)+IFERROR(INDEX(Income!C$3:C$502,SMALL(IF((Income!D$3:D$502="INR")*(Income!A$3:A$502=DATE(2026,10,12)),ROW(Income!A$3:A$502)-2),2)),0))</f>
        <v/>
      </c>
      <c r="D210" s="126">
        <f t="array" ref="D210">IF(IFERROR(INDEX(Expenses!B$3:B$999,SMALL(IF((Expenses!E$3:E$999="INR")*(Expenses!A$3:A$999=DATE(2026,10,12)),ROW(Expenses!A$3:A$999)-2),2)),"")&lt;&gt;"",IFERROR(INDEX(Expenses!B$3:B$999,SMALL(IF((Expenses!E$3:E$999="INR")*(Expenses!A$3:A$999=DATE(2026,10,12)),ROW(Expenses!A$3:A$999)-2),2)),""),IF(IFERROR(INDEX(Income!B$3:B$502,SMALL(IF((Income!D$3:D$502="INR")*(Income!A$3:A$502=DATE(2026,10,12)),ROW(Income!A$3:A$502)-2),2)),"")&lt;&gt;"",IFERROR(INDEX(Income!B$3:B$502,SMALL(IF((Income!D$3:D$502="INR")*(Income!A$3:A$502=DATE(2026,10,12)),ROW(Income!A$3:A$502)-2),2)),""),""))</f>
        <v/>
      </c>
      <c r="E210" s="153">
        <f t="array" ref="E210">IF(IFERROR(-INDEX(Expenses!D$3:D$999,SMALL(IF((Expenses!E$3:E$999="INR")*(Expenses!A$3:A$999=DATE(2026,10,13)),ROW(Expenses!A$3:A$999)-2),2)),0)+IFERROR(INDEX(Income!C$3:C$502,SMALL(IF((Income!D$3:D$502="INR")*(Income!A$3:A$502=DATE(2026,10,13)),ROW(Income!A$3:A$502)-2),2)),0)=0,"",IFERROR(-INDEX(Expenses!D$3:D$999,SMALL(IF((Expenses!E$3:E$999="INR")*(Expenses!A$3:A$999=DATE(2026,10,13)),ROW(Expenses!A$3:A$999)-2),2)),0)+IFERROR(INDEX(Income!C$3:C$502,SMALL(IF((Income!D$3:D$502="INR")*(Income!A$3:A$502=DATE(2026,10,13)),ROW(Income!A$3:A$502)-2),2)),0))</f>
        <v/>
      </c>
      <c r="F210" s="126">
        <f t="array" ref="F210">IF(IFERROR(INDEX(Expenses!B$3:B$999,SMALL(IF((Expenses!E$3:E$999="INR")*(Expenses!A$3:A$999=DATE(2026,10,13)),ROW(Expenses!A$3:A$999)-2),2)),"")&lt;&gt;"",IFERROR(INDEX(Expenses!B$3:B$999,SMALL(IF((Expenses!E$3:E$999="INR")*(Expenses!A$3:A$999=DATE(2026,10,13)),ROW(Expenses!A$3:A$999)-2),2)),""),IF(IFERROR(INDEX(Income!B$3:B$502,SMALL(IF((Income!D$3:D$502="INR")*(Income!A$3:A$502=DATE(2026,10,13)),ROW(Income!A$3:A$502)-2),2)),"")&lt;&gt;"",IFERROR(INDEX(Income!B$3:B$502,SMALL(IF((Income!D$3:D$502="INR")*(Income!A$3:A$502=DATE(2026,10,13)),ROW(Income!A$3:A$502)-2),2)),""),""))</f>
        <v/>
      </c>
      <c r="G210" s="153">
        <f t="array" ref="G210">IF(IFERROR(-INDEX(Expenses!D$3:D$999,SMALL(IF((Expenses!E$3:E$999="INR")*(Expenses!A$3:A$999=DATE(2026,10,14)),ROW(Expenses!A$3:A$999)-2),2)),0)+IFERROR(INDEX(Income!C$3:C$502,SMALL(IF((Income!D$3:D$502="INR")*(Income!A$3:A$502=DATE(2026,10,14)),ROW(Income!A$3:A$502)-2),2)),0)=0,"",IFERROR(-INDEX(Expenses!D$3:D$999,SMALL(IF((Expenses!E$3:E$999="INR")*(Expenses!A$3:A$999=DATE(2026,10,14)),ROW(Expenses!A$3:A$999)-2),2)),0)+IFERROR(INDEX(Income!C$3:C$502,SMALL(IF((Income!D$3:D$502="INR")*(Income!A$3:A$502=DATE(2026,10,14)),ROW(Income!A$3:A$502)-2),2)),0))</f>
        <v/>
      </c>
      <c r="H210" s="126">
        <f t="array" ref="H210">IF(IFERROR(INDEX(Expenses!B$3:B$999,SMALL(IF((Expenses!E$3:E$999="INR")*(Expenses!A$3:A$999=DATE(2026,10,14)),ROW(Expenses!A$3:A$999)-2),2)),"")&lt;&gt;"",IFERROR(INDEX(Expenses!B$3:B$999,SMALL(IF((Expenses!E$3:E$999="INR")*(Expenses!A$3:A$999=DATE(2026,10,14)),ROW(Expenses!A$3:A$999)-2),2)),""),IF(IFERROR(INDEX(Income!B$3:B$502,SMALL(IF((Income!D$3:D$502="INR")*(Income!A$3:A$502=DATE(2026,10,14)),ROW(Income!A$3:A$502)-2),2)),"")&lt;&gt;"",IFERROR(INDEX(Income!B$3:B$502,SMALL(IF((Income!D$3:D$502="INR")*(Income!A$3:A$502=DATE(2026,10,14)),ROW(Income!A$3:A$502)-2),2)),""),""))</f>
        <v/>
      </c>
      <c r="I210" s="153">
        <f t="array" ref="I210">IF(IFERROR(-INDEX(Expenses!D$3:D$999,SMALL(IF((Expenses!E$3:E$999="INR")*(Expenses!A$3:A$999=DATE(2026,10,15)),ROW(Expenses!A$3:A$999)-2),2)),0)+IFERROR(INDEX(Income!C$3:C$502,SMALL(IF((Income!D$3:D$502="INR")*(Income!A$3:A$502=DATE(2026,10,15)),ROW(Income!A$3:A$502)-2),2)),0)=0,"",IFERROR(-INDEX(Expenses!D$3:D$999,SMALL(IF((Expenses!E$3:E$999="INR")*(Expenses!A$3:A$999=DATE(2026,10,15)),ROW(Expenses!A$3:A$999)-2),2)),0)+IFERROR(INDEX(Income!C$3:C$502,SMALL(IF((Income!D$3:D$502="INR")*(Income!A$3:A$502=DATE(2026,10,15)),ROW(Income!A$3:A$502)-2),2)),0))</f>
        <v/>
      </c>
      <c r="J210" s="126">
        <f t="array" ref="J210">IF(IFERROR(INDEX(Expenses!B$3:B$999,SMALL(IF((Expenses!E$3:E$999="INR")*(Expenses!A$3:A$999=DATE(2026,10,15)),ROW(Expenses!A$3:A$999)-2),2)),"")&lt;&gt;"",IFERROR(INDEX(Expenses!B$3:B$999,SMALL(IF((Expenses!E$3:E$999="INR")*(Expenses!A$3:A$999=DATE(2026,10,15)),ROW(Expenses!A$3:A$999)-2),2)),""),IF(IFERROR(INDEX(Income!B$3:B$502,SMALL(IF((Income!D$3:D$502="INR")*(Income!A$3:A$502=DATE(2026,10,15)),ROW(Income!A$3:A$502)-2),2)),"")&lt;&gt;"",IFERROR(INDEX(Income!B$3:B$502,SMALL(IF((Income!D$3:D$502="INR")*(Income!A$3:A$502=DATE(2026,10,15)),ROW(Income!A$3:A$502)-2),2)),""),""))</f>
        <v/>
      </c>
      <c r="K210" s="153">
        <f t="array" ref="K210">IF(IFERROR(-INDEX(Expenses!D$3:D$999,SMALL(IF((Expenses!E$3:E$999="INR")*(Expenses!A$3:A$999=DATE(2026,10,16)),ROW(Expenses!A$3:A$999)-2),2)),0)+IFERROR(INDEX(Income!C$3:C$502,SMALL(IF((Income!D$3:D$502="INR")*(Income!A$3:A$502=DATE(2026,10,16)),ROW(Income!A$3:A$502)-2),2)),0)=0,"",IFERROR(-INDEX(Expenses!D$3:D$999,SMALL(IF((Expenses!E$3:E$999="INR")*(Expenses!A$3:A$999=DATE(2026,10,16)),ROW(Expenses!A$3:A$999)-2),2)),0)+IFERROR(INDEX(Income!C$3:C$502,SMALL(IF((Income!D$3:D$502="INR")*(Income!A$3:A$502=DATE(2026,10,16)),ROW(Income!A$3:A$502)-2),2)),0))</f>
        <v/>
      </c>
      <c r="L210" s="126">
        <f t="array" ref="L210">IF(IFERROR(INDEX(Expenses!B$3:B$999,SMALL(IF((Expenses!E$3:E$999="INR")*(Expenses!A$3:A$999=DATE(2026,10,16)),ROW(Expenses!A$3:A$999)-2),2)),"")&lt;&gt;"",IFERROR(INDEX(Expenses!B$3:B$999,SMALL(IF((Expenses!E$3:E$999="INR")*(Expenses!A$3:A$999=DATE(2026,10,16)),ROW(Expenses!A$3:A$999)-2),2)),""),IF(IFERROR(INDEX(Income!B$3:B$502,SMALL(IF((Income!D$3:D$502="INR")*(Income!A$3:A$502=DATE(2026,10,16)),ROW(Income!A$3:A$502)-2),2)),"")&lt;&gt;"",IFERROR(INDEX(Income!B$3:B$502,SMALL(IF((Income!D$3:D$502="INR")*(Income!A$3:A$502=DATE(2026,10,16)),ROW(Income!A$3:A$502)-2),2)),""),""))</f>
        <v/>
      </c>
      <c r="M210" s="153">
        <f t="array" ref="M210">IF(IFERROR(-INDEX(Expenses!D$3:D$999,SMALL(IF((Expenses!E$3:E$999="INR")*(Expenses!A$3:A$999=DATE(2026,10,17)),ROW(Expenses!A$3:A$999)-2),2)),0)+IFERROR(INDEX(Income!C$3:C$502,SMALL(IF((Income!D$3:D$502="INR")*(Income!A$3:A$502=DATE(2026,10,17)),ROW(Income!A$3:A$502)-2),2)),0)=0,"",IFERROR(-INDEX(Expenses!D$3:D$999,SMALL(IF((Expenses!E$3:E$999="INR")*(Expenses!A$3:A$999=DATE(2026,10,17)),ROW(Expenses!A$3:A$999)-2),2)),0)+IFERROR(INDEX(Income!C$3:C$502,SMALL(IF((Income!D$3:D$502="INR")*(Income!A$3:A$502=DATE(2026,10,17)),ROW(Income!A$3:A$502)-2),2)),0))</f>
        <v/>
      </c>
      <c r="N210" s="126">
        <f t="array" ref="N210">IF(IFERROR(INDEX(Expenses!B$3:B$999,SMALL(IF((Expenses!E$3:E$999="INR")*(Expenses!A$3:A$999=DATE(2026,10,17)),ROW(Expenses!A$3:A$999)-2),2)),"")&lt;&gt;"",IFERROR(INDEX(Expenses!B$3:B$999,SMALL(IF((Expenses!E$3:E$999="INR")*(Expenses!A$3:A$999=DATE(2026,10,17)),ROW(Expenses!A$3:A$999)-2),2)),""),IF(IFERROR(INDEX(Income!B$3:B$502,SMALL(IF((Income!D$3:D$502="INR")*(Income!A$3:A$502=DATE(2026,10,17)),ROW(Income!A$3:A$502)-2),2)),"")&lt;&gt;"",IFERROR(INDEX(Income!B$3:B$502,SMALL(IF((Income!D$3:D$502="INR")*(Income!A$3:A$502=DATE(2026,10,17)),ROW(Income!A$3:A$502)-2),2)),""),""))</f>
        <v/>
      </c>
      <c r="O210" s="153">
        <f t="array" ref="O210">IF(IFERROR(-INDEX(Expenses!D$3:D$999,SMALL(IF((Expenses!E$3:E$999="INR")*(Expenses!A$3:A$999=DATE(2026,10,18)),ROW(Expenses!A$3:A$999)-2),2)),0)+IFERROR(INDEX(Income!C$3:C$502,SMALL(IF((Income!D$3:D$502="INR")*(Income!A$3:A$502=DATE(2026,10,18)),ROW(Income!A$3:A$502)-2),2)),0)=0,"",IFERROR(-INDEX(Expenses!D$3:D$999,SMALL(IF((Expenses!E$3:E$999="INR")*(Expenses!A$3:A$999=DATE(2026,10,18)),ROW(Expenses!A$3:A$999)-2),2)),0)+IFERROR(INDEX(Income!C$3:C$502,SMALL(IF((Income!D$3:D$502="INR")*(Income!A$3:A$502=DATE(2026,10,18)),ROW(Income!A$3:A$502)-2),2)),0))</f>
        <v/>
      </c>
      <c r="P210" s="126">
        <f t="array" ref="P210">IF(IFERROR(INDEX(Expenses!B$3:B$999,SMALL(IF((Expenses!E$3:E$999="INR")*(Expenses!A$3:A$999=DATE(2026,10,18)),ROW(Expenses!A$3:A$999)-2),2)),"")&lt;&gt;"",IFERROR(INDEX(Expenses!B$3:B$999,SMALL(IF((Expenses!E$3:E$999="INR")*(Expenses!A$3:A$999=DATE(2026,10,18)),ROW(Expenses!A$3:A$999)-2),2)),""),IF(IFERROR(INDEX(Income!B$3:B$502,SMALL(IF((Income!D$3:D$502="INR")*(Income!A$3:A$502=DATE(2026,10,18)),ROW(Income!A$3:A$502)-2),2)),"")&lt;&gt;"",IFERROR(INDEX(Income!B$3:B$502,SMALL(IF((Income!D$3:D$502="INR")*(Income!A$3:A$502=DATE(2026,10,18)),ROW(Income!A$3:A$502)-2),2)),""),""))</f>
        <v/>
      </c>
      <c r="Q210" s="9" t="n"/>
      <c r="R210" s="9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68">
      <c r="A211" s="9" t="n"/>
      <c r="B211" s="9" t="n"/>
      <c r="C211" s="153">
        <f t="array" ref="C211">IF(IFERROR(-INDEX(Expenses!D$3:D$999,SMALL(IF((Expenses!E$3:E$999="INR")*(Expenses!A$3:A$999=DATE(2026,10,12)),ROW(Expenses!A$3:A$999)-2),3)),0)+IFERROR(INDEX(Income!C$3:C$502,SMALL(IF((Income!D$3:D$502="INR")*(Income!A$3:A$502=DATE(2026,10,12)),ROW(Income!A$3:A$502)-2),3)),0)=0,"",IFERROR(-INDEX(Expenses!D$3:D$999,SMALL(IF((Expenses!E$3:E$999="INR")*(Expenses!A$3:A$999=DATE(2026,10,12)),ROW(Expenses!A$3:A$999)-2),3)),0)+IFERROR(INDEX(Income!C$3:C$502,SMALL(IF((Income!D$3:D$502="INR")*(Income!A$3:A$502=DATE(2026,10,12)),ROW(Income!A$3:A$502)-2),3)),0))</f>
        <v/>
      </c>
      <c r="D211" s="126">
        <f t="array" ref="D211">IF(IFERROR(INDEX(Expenses!B$3:B$999,SMALL(IF((Expenses!E$3:E$999="INR")*(Expenses!A$3:A$999=DATE(2026,10,12)),ROW(Expenses!A$3:A$999)-2),3)),"")&lt;&gt;"",IFERROR(INDEX(Expenses!B$3:B$999,SMALL(IF((Expenses!E$3:E$999="INR")*(Expenses!A$3:A$999=DATE(2026,10,12)),ROW(Expenses!A$3:A$999)-2),3)),""),IF(IFERROR(INDEX(Income!B$3:B$502,SMALL(IF((Income!D$3:D$502="INR")*(Income!A$3:A$502=DATE(2026,10,12)),ROW(Income!A$3:A$502)-2),3)),"")&lt;&gt;"",IFERROR(INDEX(Income!B$3:B$502,SMALL(IF((Income!D$3:D$502="INR")*(Income!A$3:A$502=DATE(2026,10,12)),ROW(Income!A$3:A$502)-2),3)),""),""))</f>
        <v/>
      </c>
      <c r="E211" s="153">
        <f t="array" ref="E211">IF(IFERROR(-INDEX(Expenses!D$3:D$999,SMALL(IF((Expenses!E$3:E$999="INR")*(Expenses!A$3:A$999=DATE(2026,10,13)),ROW(Expenses!A$3:A$999)-2),3)),0)+IFERROR(INDEX(Income!C$3:C$502,SMALL(IF((Income!D$3:D$502="INR")*(Income!A$3:A$502=DATE(2026,10,13)),ROW(Income!A$3:A$502)-2),3)),0)=0,"",IFERROR(-INDEX(Expenses!D$3:D$999,SMALL(IF((Expenses!E$3:E$999="INR")*(Expenses!A$3:A$999=DATE(2026,10,13)),ROW(Expenses!A$3:A$999)-2),3)),0)+IFERROR(INDEX(Income!C$3:C$502,SMALL(IF((Income!D$3:D$502="INR")*(Income!A$3:A$502=DATE(2026,10,13)),ROW(Income!A$3:A$502)-2),3)),0))</f>
        <v/>
      </c>
      <c r="F211" s="126">
        <f t="array" ref="F211">IF(IFERROR(INDEX(Expenses!B$3:B$999,SMALL(IF((Expenses!E$3:E$999="INR")*(Expenses!A$3:A$999=DATE(2026,10,13)),ROW(Expenses!A$3:A$999)-2),3)),"")&lt;&gt;"",IFERROR(INDEX(Expenses!B$3:B$999,SMALL(IF((Expenses!E$3:E$999="INR")*(Expenses!A$3:A$999=DATE(2026,10,13)),ROW(Expenses!A$3:A$999)-2),3)),""),IF(IFERROR(INDEX(Income!B$3:B$502,SMALL(IF((Income!D$3:D$502="INR")*(Income!A$3:A$502=DATE(2026,10,13)),ROW(Income!A$3:A$502)-2),3)),"")&lt;&gt;"",IFERROR(INDEX(Income!B$3:B$502,SMALL(IF((Income!D$3:D$502="INR")*(Income!A$3:A$502=DATE(2026,10,13)),ROW(Income!A$3:A$502)-2),3)),""),""))</f>
        <v/>
      </c>
      <c r="G211" s="153">
        <f t="array" ref="G211">IF(IFERROR(-INDEX(Expenses!D$3:D$999,SMALL(IF((Expenses!E$3:E$999="INR")*(Expenses!A$3:A$999=DATE(2026,10,14)),ROW(Expenses!A$3:A$999)-2),3)),0)+IFERROR(INDEX(Income!C$3:C$502,SMALL(IF((Income!D$3:D$502="INR")*(Income!A$3:A$502=DATE(2026,10,14)),ROW(Income!A$3:A$502)-2),3)),0)=0,"",IFERROR(-INDEX(Expenses!D$3:D$999,SMALL(IF((Expenses!E$3:E$999="INR")*(Expenses!A$3:A$999=DATE(2026,10,14)),ROW(Expenses!A$3:A$999)-2),3)),0)+IFERROR(INDEX(Income!C$3:C$502,SMALL(IF((Income!D$3:D$502="INR")*(Income!A$3:A$502=DATE(2026,10,14)),ROW(Income!A$3:A$502)-2),3)),0))</f>
        <v/>
      </c>
      <c r="H211" s="126">
        <f t="array" ref="H211">IF(IFERROR(INDEX(Expenses!B$3:B$999,SMALL(IF((Expenses!E$3:E$999="INR")*(Expenses!A$3:A$999=DATE(2026,10,14)),ROW(Expenses!A$3:A$999)-2),3)),"")&lt;&gt;"",IFERROR(INDEX(Expenses!B$3:B$999,SMALL(IF((Expenses!E$3:E$999="INR")*(Expenses!A$3:A$999=DATE(2026,10,14)),ROW(Expenses!A$3:A$999)-2),3)),""),IF(IFERROR(INDEX(Income!B$3:B$502,SMALL(IF((Income!D$3:D$502="INR")*(Income!A$3:A$502=DATE(2026,10,14)),ROW(Income!A$3:A$502)-2),3)),"")&lt;&gt;"",IFERROR(INDEX(Income!B$3:B$502,SMALL(IF((Income!D$3:D$502="INR")*(Income!A$3:A$502=DATE(2026,10,14)),ROW(Income!A$3:A$502)-2),3)),""),""))</f>
        <v/>
      </c>
      <c r="I211" s="153">
        <f t="array" ref="I211">IF(IFERROR(-INDEX(Expenses!D$3:D$999,SMALL(IF((Expenses!E$3:E$999="INR")*(Expenses!A$3:A$999=DATE(2026,10,15)),ROW(Expenses!A$3:A$999)-2),3)),0)+IFERROR(INDEX(Income!C$3:C$502,SMALL(IF((Income!D$3:D$502="INR")*(Income!A$3:A$502=DATE(2026,10,15)),ROW(Income!A$3:A$502)-2),3)),0)=0,"",IFERROR(-INDEX(Expenses!D$3:D$999,SMALL(IF((Expenses!E$3:E$999="INR")*(Expenses!A$3:A$999=DATE(2026,10,15)),ROW(Expenses!A$3:A$999)-2),3)),0)+IFERROR(INDEX(Income!C$3:C$502,SMALL(IF((Income!D$3:D$502="INR")*(Income!A$3:A$502=DATE(2026,10,15)),ROW(Income!A$3:A$502)-2),3)),0))</f>
        <v/>
      </c>
      <c r="J211" s="126">
        <f t="array" ref="J211">IF(IFERROR(INDEX(Expenses!B$3:B$999,SMALL(IF((Expenses!E$3:E$999="INR")*(Expenses!A$3:A$999=DATE(2026,10,15)),ROW(Expenses!A$3:A$999)-2),3)),"")&lt;&gt;"",IFERROR(INDEX(Expenses!B$3:B$999,SMALL(IF((Expenses!E$3:E$999="INR")*(Expenses!A$3:A$999=DATE(2026,10,15)),ROW(Expenses!A$3:A$999)-2),3)),""),IF(IFERROR(INDEX(Income!B$3:B$502,SMALL(IF((Income!D$3:D$502="INR")*(Income!A$3:A$502=DATE(2026,10,15)),ROW(Income!A$3:A$502)-2),3)),"")&lt;&gt;"",IFERROR(INDEX(Income!B$3:B$502,SMALL(IF((Income!D$3:D$502="INR")*(Income!A$3:A$502=DATE(2026,10,15)),ROW(Income!A$3:A$502)-2),3)),""),""))</f>
        <v/>
      </c>
      <c r="K211" s="153">
        <f t="array" ref="K211">IF(IFERROR(-INDEX(Expenses!D$3:D$999,SMALL(IF((Expenses!E$3:E$999="INR")*(Expenses!A$3:A$999=DATE(2026,10,16)),ROW(Expenses!A$3:A$999)-2),3)),0)+IFERROR(INDEX(Income!C$3:C$502,SMALL(IF((Income!D$3:D$502="INR")*(Income!A$3:A$502=DATE(2026,10,16)),ROW(Income!A$3:A$502)-2),3)),0)=0,"",IFERROR(-INDEX(Expenses!D$3:D$999,SMALL(IF((Expenses!E$3:E$999="INR")*(Expenses!A$3:A$999=DATE(2026,10,16)),ROW(Expenses!A$3:A$999)-2),3)),0)+IFERROR(INDEX(Income!C$3:C$502,SMALL(IF((Income!D$3:D$502="INR")*(Income!A$3:A$502=DATE(2026,10,16)),ROW(Income!A$3:A$502)-2),3)),0))</f>
        <v/>
      </c>
      <c r="L211" s="126">
        <f t="array" ref="L211">IF(IFERROR(INDEX(Expenses!B$3:B$999,SMALL(IF((Expenses!E$3:E$999="INR")*(Expenses!A$3:A$999=DATE(2026,10,16)),ROW(Expenses!A$3:A$999)-2),3)),"")&lt;&gt;"",IFERROR(INDEX(Expenses!B$3:B$999,SMALL(IF((Expenses!E$3:E$999="INR")*(Expenses!A$3:A$999=DATE(2026,10,16)),ROW(Expenses!A$3:A$999)-2),3)),""),IF(IFERROR(INDEX(Income!B$3:B$502,SMALL(IF((Income!D$3:D$502="INR")*(Income!A$3:A$502=DATE(2026,10,16)),ROW(Income!A$3:A$502)-2),3)),"")&lt;&gt;"",IFERROR(INDEX(Income!B$3:B$502,SMALL(IF((Income!D$3:D$502="INR")*(Income!A$3:A$502=DATE(2026,10,16)),ROW(Income!A$3:A$502)-2),3)),""),""))</f>
        <v/>
      </c>
      <c r="M211" s="153">
        <f t="array" ref="M211">IF(IFERROR(-INDEX(Expenses!D$3:D$999,SMALL(IF((Expenses!E$3:E$999="INR")*(Expenses!A$3:A$999=DATE(2026,10,17)),ROW(Expenses!A$3:A$999)-2),3)),0)+IFERROR(INDEX(Income!C$3:C$502,SMALL(IF((Income!D$3:D$502="INR")*(Income!A$3:A$502=DATE(2026,10,17)),ROW(Income!A$3:A$502)-2),3)),0)=0,"",IFERROR(-INDEX(Expenses!D$3:D$999,SMALL(IF((Expenses!E$3:E$999="INR")*(Expenses!A$3:A$999=DATE(2026,10,17)),ROW(Expenses!A$3:A$999)-2),3)),0)+IFERROR(INDEX(Income!C$3:C$502,SMALL(IF((Income!D$3:D$502="INR")*(Income!A$3:A$502=DATE(2026,10,17)),ROW(Income!A$3:A$502)-2),3)),0))</f>
        <v/>
      </c>
      <c r="N211" s="126">
        <f t="array" ref="N211">IF(IFERROR(INDEX(Expenses!B$3:B$999,SMALL(IF((Expenses!E$3:E$999="INR")*(Expenses!A$3:A$999=DATE(2026,10,17)),ROW(Expenses!A$3:A$999)-2),3)),"")&lt;&gt;"",IFERROR(INDEX(Expenses!B$3:B$999,SMALL(IF((Expenses!E$3:E$999="INR")*(Expenses!A$3:A$999=DATE(2026,10,17)),ROW(Expenses!A$3:A$999)-2),3)),""),IF(IFERROR(INDEX(Income!B$3:B$502,SMALL(IF((Income!D$3:D$502="INR")*(Income!A$3:A$502=DATE(2026,10,17)),ROW(Income!A$3:A$502)-2),3)),"")&lt;&gt;"",IFERROR(INDEX(Income!B$3:B$502,SMALL(IF((Income!D$3:D$502="INR")*(Income!A$3:A$502=DATE(2026,10,17)),ROW(Income!A$3:A$502)-2),3)),""),""))</f>
        <v/>
      </c>
      <c r="O211" s="153">
        <f t="array" ref="O211">IF(IFERROR(-INDEX(Expenses!D$3:D$999,SMALL(IF((Expenses!E$3:E$999="INR")*(Expenses!A$3:A$999=DATE(2026,10,18)),ROW(Expenses!A$3:A$999)-2),3)),0)+IFERROR(INDEX(Income!C$3:C$502,SMALL(IF((Income!D$3:D$502="INR")*(Income!A$3:A$502=DATE(2026,10,18)),ROW(Income!A$3:A$502)-2),3)),0)=0,"",IFERROR(-INDEX(Expenses!D$3:D$999,SMALL(IF((Expenses!E$3:E$999="INR")*(Expenses!A$3:A$999=DATE(2026,10,18)),ROW(Expenses!A$3:A$999)-2),3)),0)+IFERROR(INDEX(Income!C$3:C$502,SMALL(IF((Income!D$3:D$502="INR")*(Income!A$3:A$502=DATE(2026,10,18)),ROW(Income!A$3:A$502)-2),3)),0))</f>
        <v/>
      </c>
      <c r="P211" s="126">
        <f t="array" ref="P211">IF(IFERROR(INDEX(Expenses!B$3:B$999,SMALL(IF((Expenses!E$3:E$999="INR")*(Expenses!A$3:A$999=DATE(2026,10,18)),ROW(Expenses!A$3:A$999)-2),3)),"")&lt;&gt;"",IFERROR(INDEX(Expenses!B$3:B$999,SMALL(IF((Expenses!E$3:E$999="INR")*(Expenses!A$3:A$999=DATE(2026,10,18)),ROW(Expenses!A$3:A$999)-2),3)),""),IF(IFERROR(INDEX(Income!B$3:B$502,SMALL(IF((Income!D$3:D$502="INR")*(Income!A$3:A$502=DATE(2026,10,18)),ROW(Income!A$3:A$502)-2),3)),"")&lt;&gt;"",IFERROR(INDEX(Income!B$3:B$502,SMALL(IF((Income!D$3:D$502="INR")*(Income!A$3:A$502=DATE(2026,10,18)),ROW(Income!A$3:A$502)-2),3)),""),""))</f>
        <v/>
      </c>
      <c r="Q211" s="9" t="n"/>
      <c r="R211" s="9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68">
      <c r="A212" s="9" t="n"/>
      <c r="B212" s="9" t="n"/>
      <c r="C212" s="153">
        <f t="array" ref="C212">IF(IFERROR(-INDEX(Expenses!D$3:D$999,SMALL(IF((Expenses!E$3:E$999="INR")*(Expenses!A$3:A$999=DATE(2026,10,12)),ROW(Expenses!A$3:A$999)-2),4)),0)+IFERROR(INDEX(Income!C$3:C$502,SMALL(IF((Income!D$3:D$502="INR")*(Income!A$3:A$502=DATE(2026,10,12)),ROW(Income!A$3:A$502)-2),4)),0)=0,"",IFERROR(-INDEX(Expenses!D$3:D$999,SMALL(IF((Expenses!E$3:E$999="INR")*(Expenses!A$3:A$999=DATE(2026,10,12)),ROW(Expenses!A$3:A$999)-2),4)),0)+IFERROR(INDEX(Income!C$3:C$502,SMALL(IF((Income!D$3:D$502="INR")*(Income!A$3:A$502=DATE(2026,10,12)),ROW(Income!A$3:A$502)-2),4)),0))</f>
        <v/>
      </c>
      <c r="D212" s="126">
        <f t="array" ref="D212">IF(IFERROR(INDEX(Expenses!B$3:B$999,SMALL(IF((Expenses!E$3:E$999="INR")*(Expenses!A$3:A$999=DATE(2026,10,12)),ROW(Expenses!A$3:A$999)-2),4)),"")&lt;&gt;"",IFERROR(INDEX(Expenses!B$3:B$999,SMALL(IF((Expenses!E$3:E$999="INR")*(Expenses!A$3:A$999=DATE(2026,10,12)),ROW(Expenses!A$3:A$999)-2),4)),""),IF(IFERROR(INDEX(Income!B$3:B$502,SMALL(IF((Income!D$3:D$502="INR")*(Income!A$3:A$502=DATE(2026,10,12)),ROW(Income!A$3:A$502)-2),4)),"")&lt;&gt;"",IFERROR(INDEX(Income!B$3:B$502,SMALL(IF((Income!D$3:D$502="INR")*(Income!A$3:A$502=DATE(2026,10,12)),ROW(Income!A$3:A$502)-2),4)),""),""))</f>
        <v/>
      </c>
      <c r="E212" s="153">
        <f t="array" ref="E212">IF(IFERROR(-INDEX(Expenses!D$3:D$999,SMALL(IF((Expenses!E$3:E$999="INR")*(Expenses!A$3:A$999=DATE(2026,10,13)),ROW(Expenses!A$3:A$999)-2),4)),0)+IFERROR(INDEX(Income!C$3:C$502,SMALL(IF((Income!D$3:D$502="INR")*(Income!A$3:A$502=DATE(2026,10,13)),ROW(Income!A$3:A$502)-2),4)),0)=0,"",IFERROR(-INDEX(Expenses!D$3:D$999,SMALL(IF((Expenses!E$3:E$999="INR")*(Expenses!A$3:A$999=DATE(2026,10,13)),ROW(Expenses!A$3:A$999)-2),4)),0)+IFERROR(INDEX(Income!C$3:C$502,SMALL(IF((Income!D$3:D$502="INR")*(Income!A$3:A$502=DATE(2026,10,13)),ROW(Income!A$3:A$502)-2),4)),0))</f>
        <v/>
      </c>
      <c r="F212" s="126">
        <f t="array" ref="F212">IF(IFERROR(INDEX(Expenses!B$3:B$999,SMALL(IF((Expenses!E$3:E$999="INR")*(Expenses!A$3:A$999=DATE(2026,10,13)),ROW(Expenses!A$3:A$999)-2),4)),"")&lt;&gt;"",IFERROR(INDEX(Expenses!B$3:B$999,SMALL(IF((Expenses!E$3:E$999="INR")*(Expenses!A$3:A$999=DATE(2026,10,13)),ROW(Expenses!A$3:A$999)-2),4)),""),IF(IFERROR(INDEX(Income!B$3:B$502,SMALL(IF((Income!D$3:D$502="INR")*(Income!A$3:A$502=DATE(2026,10,13)),ROW(Income!A$3:A$502)-2),4)),"")&lt;&gt;"",IFERROR(INDEX(Income!B$3:B$502,SMALL(IF((Income!D$3:D$502="INR")*(Income!A$3:A$502=DATE(2026,10,13)),ROW(Income!A$3:A$502)-2),4)),""),""))</f>
        <v/>
      </c>
      <c r="G212" s="153">
        <f t="array" ref="G212">IF(IFERROR(-INDEX(Expenses!D$3:D$999,SMALL(IF((Expenses!E$3:E$999="INR")*(Expenses!A$3:A$999=DATE(2026,10,14)),ROW(Expenses!A$3:A$999)-2),4)),0)+IFERROR(INDEX(Income!C$3:C$502,SMALL(IF((Income!D$3:D$502="INR")*(Income!A$3:A$502=DATE(2026,10,14)),ROW(Income!A$3:A$502)-2),4)),0)=0,"",IFERROR(-INDEX(Expenses!D$3:D$999,SMALL(IF((Expenses!E$3:E$999="INR")*(Expenses!A$3:A$999=DATE(2026,10,14)),ROW(Expenses!A$3:A$999)-2),4)),0)+IFERROR(INDEX(Income!C$3:C$502,SMALL(IF((Income!D$3:D$502="INR")*(Income!A$3:A$502=DATE(2026,10,14)),ROW(Income!A$3:A$502)-2),4)),0))</f>
        <v/>
      </c>
      <c r="H212" s="126">
        <f t="array" ref="H212">IF(IFERROR(INDEX(Expenses!B$3:B$999,SMALL(IF((Expenses!E$3:E$999="INR")*(Expenses!A$3:A$999=DATE(2026,10,14)),ROW(Expenses!A$3:A$999)-2),4)),"")&lt;&gt;"",IFERROR(INDEX(Expenses!B$3:B$999,SMALL(IF((Expenses!E$3:E$999="INR")*(Expenses!A$3:A$999=DATE(2026,10,14)),ROW(Expenses!A$3:A$999)-2),4)),""),IF(IFERROR(INDEX(Income!B$3:B$502,SMALL(IF((Income!D$3:D$502="INR")*(Income!A$3:A$502=DATE(2026,10,14)),ROW(Income!A$3:A$502)-2),4)),"")&lt;&gt;"",IFERROR(INDEX(Income!B$3:B$502,SMALL(IF((Income!D$3:D$502="INR")*(Income!A$3:A$502=DATE(2026,10,14)),ROW(Income!A$3:A$502)-2),4)),""),""))</f>
        <v/>
      </c>
      <c r="I212" s="153">
        <f t="array" ref="I212">IF(IFERROR(-INDEX(Expenses!D$3:D$999,SMALL(IF((Expenses!E$3:E$999="INR")*(Expenses!A$3:A$999=DATE(2026,10,15)),ROW(Expenses!A$3:A$999)-2),4)),0)+IFERROR(INDEX(Income!C$3:C$502,SMALL(IF((Income!D$3:D$502="INR")*(Income!A$3:A$502=DATE(2026,10,15)),ROW(Income!A$3:A$502)-2),4)),0)=0,"",IFERROR(-INDEX(Expenses!D$3:D$999,SMALL(IF((Expenses!E$3:E$999="INR")*(Expenses!A$3:A$999=DATE(2026,10,15)),ROW(Expenses!A$3:A$999)-2),4)),0)+IFERROR(INDEX(Income!C$3:C$502,SMALL(IF((Income!D$3:D$502="INR")*(Income!A$3:A$502=DATE(2026,10,15)),ROW(Income!A$3:A$502)-2),4)),0))</f>
        <v/>
      </c>
      <c r="J212" s="126">
        <f t="array" ref="J212">IF(IFERROR(INDEX(Expenses!B$3:B$999,SMALL(IF((Expenses!E$3:E$999="INR")*(Expenses!A$3:A$999=DATE(2026,10,15)),ROW(Expenses!A$3:A$999)-2),4)),"")&lt;&gt;"",IFERROR(INDEX(Expenses!B$3:B$999,SMALL(IF((Expenses!E$3:E$999="INR")*(Expenses!A$3:A$999=DATE(2026,10,15)),ROW(Expenses!A$3:A$999)-2),4)),""),IF(IFERROR(INDEX(Income!B$3:B$502,SMALL(IF((Income!D$3:D$502="INR")*(Income!A$3:A$502=DATE(2026,10,15)),ROW(Income!A$3:A$502)-2),4)),"")&lt;&gt;"",IFERROR(INDEX(Income!B$3:B$502,SMALL(IF((Income!D$3:D$502="INR")*(Income!A$3:A$502=DATE(2026,10,15)),ROW(Income!A$3:A$502)-2),4)),""),""))</f>
        <v/>
      </c>
      <c r="K212" s="153">
        <f t="array" ref="K212">IF(IFERROR(-INDEX(Expenses!D$3:D$999,SMALL(IF((Expenses!E$3:E$999="INR")*(Expenses!A$3:A$999=DATE(2026,10,16)),ROW(Expenses!A$3:A$999)-2),4)),0)+IFERROR(INDEX(Income!C$3:C$502,SMALL(IF((Income!D$3:D$502="INR")*(Income!A$3:A$502=DATE(2026,10,16)),ROW(Income!A$3:A$502)-2),4)),0)=0,"",IFERROR(-INDEX(Expenses!D$3:D$999,SMALL(IF((Expenses!E$3:E$999="INR")*(Expenses!A$3:A$999=DATE(2026,10,16)),ROW(Expenses!A$3:A$999)-2),4)),0)+IFERROR(INDEX(Income!C$3:C$502,SMALL(IF((Income!D$3:D$502="INR")*(Income!A$3:A$502=DATE(2026,10,16)),ROW(Income!A$3:A$502)-2),4)),0))</f>
        <v/>
      </c>
      <c r="L212" s="126">
        <f t="array" ref="L212">IF(IFERROR(INDEX(Expenses!B$3:B$999,SMALL(IF((Expenses!E$3:E$999="INR")*(Expenses!A$3:A$999=DATE(2026,10,16)),ROW(Expenses!A$3:A$999)-2),4)),"")&lt;&gt;"",IFERROR(INDEX(Expenses!B$3:B$999,SMALL(IF((Expenses!E$3:E$999="INR")*(Expenses!A$3:A$999=DATE(2026,10,16)),ROW(Expenses!A$3:A$999)-2),4)),""),IF(IFERROR(INDEX(Income!B$3:B$502,SMALL(IF((Income!D$3:D$502="INR")*(Income!A$3:A$502=DATE(2026,10,16)),ROW(Income!A$3:A$502)-2),4)),"")&lt;&gt;"",IFERROR(INDEX(Income!B$3:B$502,SMALL(IF((Income!D$3:D$502="INR")*(Income!A$3:A$502=DATE(2026,10,16)),ROW(Income!A$3:A$502)-2),4)),""),""))</f>
        <v/>
      </c>
      <c r="M212" s="153">
        <f t="array" ref="M212">IF(IFERROR(-INDEX(Expenses!D$3:D$999,SMALL(IF((Expenses!E$3:E$999="INR")*(Expenses!A$3:A$999=DATE(2026,10,17)),ROW(Expenses!A$3:A$999)-2),4)),0)+IFERROR(INDEX(Income!C$3:C$502,SMALL(IF((Income!D$3:D$502="INR")*(Income!A$3:A$502=DATE(2026,10,17)),ROW(Income!A$3:A$502)-2),4)),0)=0,"",IFERROR(-INDEX(Expenses!D$3:D$999,SMALL(IF((Expenses!E$3:E$999="INR")*(Expenses!A$3:A$999=DATE(2026,10,17)),ROW(Expenses!A$3:A$999)-2),4)),0)+IFERROR(INDEX(Income!C$3:C$502,SMALL(IF((Income!D$3:D$502="INR")*(Income!A$3:A$502=DATE(2026,10,17)),ROW(Income!A$3:A$502)-2),4)),0))</f>
        <v/>
      </c>
      <c r="N212" s="126">
        <f t="array" ref="N212">IF(IFERROR(INDEX(Expenses!B$3:B$999,SMALL(IF((Expenses!E$3:E$999="INR")*(Expenses!A$3:A$999=DATE(2026,10,17)),ROW(Expenses!A$3:A$999)-2),4)),"")&lt;&gt;"",IFERROR(INDEX(Expenses!B$3:B$999,SMALL(IF((Expenses!E$3:E$999="INR")*(Expenses!A$3:A$999=DATE(2026,10,17)),ROW(Expenses!A$3:A$999)-2),4)),""),IF(IFERROR(INDEX(Income!B$3:B$502,SMALL(IF((Income!D$3:D$502="INR")*(Income!A$3:A$502=DATE(2026,10,17)),ROW(Income!A$3:A$502)-2),4)),"")&lt;&gt;"",IFERROR(INDEX(Income!B$3:B$502,SMALL(IF((Income!D$3:D$502="INR")*(Income!A$3:A$502=DATE(2026,10,17)),ROW(Income!A$3:A$502)-2),4)),""),""))</f>
        <v/>
      </c>
      <c r="O212" s="153">
        <f t="array" ref="O212">IF(IFERROR(-INDEX(Expenses!D$3:D$999,SMALL(IF((Expenses!E$3:E$999="INR")*(Expenses!A$3:A$999=DATE(2026,10,18)),ROW(Expenses!A$3:A$999)-2),4)),0)+IFERROR(INDEX(Income!C$3:C$502,SMALL(IF((Income!D$3:D$502="INR")*(Income!A$3:A$502=DATE(2026,10,18)),ROW(Income!A$3:A$502)-2),4)),0)=0,"",IFERROR(-INDEX(Expenses!D$3:D$999,SMALL(IF((Expenses!E$3:E$999="INR")*(Expenses!A$3:A$999=DATE(2026,10,18)),ROW(Expenses!A$3:A$999)-2),4)),0)+IFERROR(INDEX(Income!C$3:C$502,SMALL(IF((Income!D$3:D$502="INR")*(Income!A$3:A$502=DATE(2026,10,18)),ROW(Income!A$3:A$502)-2),4)),0))</f>
        <v/>
      </c>
      <c r="P212" s="126">
        <f t="array" ref="P212">IF(IFERROR(INDEX(Expenses!B$3:B$999,SMALL(IF((Expenses!E$3:E$999="INR")*(Expenses!A$3:A$999=DATE(2026,10,18)),ROW(Expenses!A$3:A$999)-2),4)),"")&lt;&gt;"",IFERROR(INDEX(Expenses!B$3:B$999,SMALL(IF((Expenses!E$3:E$999="INR")*(Expenses!A$3:A$999=DATE(2026,10,18)),ROW(Expenses!A$3:A$999)-2),4)),""),IF(IFERROR(INDEX(Income!B$3:B$502,SMALL(IF((Income!D$3:D$502="INR")*(Income!A$3:A$502=DATE(2026,10,18)),ROW(Income!A$3:A$502)-2),4)),"")&lt;&gt;"",IFERROR(INDEX(Income!B$3:B$502,SMALL(IF((Income!D$3:D$502="INR")*(Income!A$3:A$502=DATE(2026,10,18)),ROW(Income!A$3:A$502)-2),4)),""),""))</f>
        <v/>
      </c>
      <c r="Q212" s="9" t="n"/>
      <c r="R212" s="9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68">
      <c r="A213" s="9" t="n"/>
      <c r="B213" s="9" t="n"/>
      <c r="C213" s="153">
        <f t="array" ref="C213">IF(IFERROR(-INDEX(Expenses!D$3:D$999,SMALL(IF((Expenses!E$3:E$999="INR")*(Expenses!A$3:A$999=DATE(2026,10,12)),ROW(Expenses!A$3:A$999)-2),5)),0)+IFERROR(INDEX(Income!C$3:C$502,SMALL(IF((Income!D$3:D$502="INR")*(Income!A$3:A$502=DATE(2026,10,12)),ROW(Income!A$3:A$502)-2),5)),0)=0,"",IFERROR(-INDEX(Expenses!D$3:D$999,SMALL(IF((Expenses!E$3:E$999="INR")*(Expenses!A$3:A$999=DATE(2026,10,12)),ROW(Expenses!A$3:A$999)-2),5)),0)+IFERROR(INDEX(Income!C$3:C$502,SMALL(IF((Income!D$3:D$502="INR")*(Income!A$3:A$502=DATE(2026,10,12)),ROW(Income!A$3:A$502)-2),5)),0))</f>
        <v/>
      </c>
      <c r="D213" s="126">
        <f t="array" ref="D213">IF(IFERROR(INDEX(Expenses!B$3:B$999,SMALL(IF((Expenses!E$3:E$999="INR")*(Expenses!A$3:A$999=DATE(2026,10,12)),ROW(Expenses!A$3:A$999)-2),5)),"")&lt;&gt;"",IFERROR(INDEX(Expenses!B$3:B$999,SMALL(IF((Expenses!E$3:E$999="INR")*(Expenses!A$3:A$999=DATE(2026,10,12)),ROW(Expenses!A$3:A$999)-2),5)),""),IF(IFERROR(INDEX(Income!B$3:B$502,SMALL(IF((Income!D$3:D$502="INR")*(Income!A$3:A$502=DATE(2026,10,12)),ROW(Income!A$3:A$502)-2),5)),"")&lt;&gt;"",IFERROR(INDEX(Income!B$3:B$502,SMALL(IF((Income!D$3:D$502="INR")*(Income!A$3:A$502=DATE(2026,10,12)),ROW(Income!A$3:A$502)-2),5)),""),""))</f>
        <v/>
      </c>
      <c r="E213" s="153">
        <f t="array" ref="E213">IF(IFERROR(-INDEX(Expenses!D$3:D$999,SMALL(IF((Expenses!E$3:E$999="INR")*(Expenses!A$3:A$999=DATE(2026,10,13)),ROW(Expenses!A$3:A$999)-2),5)),0)+IFERROR(INDEX(Income!C$3:C$502,SMALL(IF((Income!D$3:D$502="INR")*(Income!A$3:A$502=DATE(2026,10,13)),ROW(Income!A$3:A$502)-2),5)),0)=0,"",IFERROR(-INDEX(Expenses!D$3:D$999,SMALL(IF((Expenses!E$3:E$999="INR")*(Expenses!A$3:A$999=DATE(2026,10,13)),ROW(Expenses!A$3:A$999)-2),5)),0)+IFERROR(INDEX(Income!C$3:C$502,SMALL(IF((Income!D$3:D$502="INR")*(Income!A$3:A$502=DATE(2026,10,13)),ROW(Income!A$3:A$502)-2),5)),0))</f>
        <v/>
      </c>
      <c r="F213" s="126">
        <f t="array" ref="F213">IF(IFERROR(INDEX(Expenses!B$3:B$999,SMALL(IF((Expenses!E$3:E$999="INR")*(Expenses!A$3:A$999=DATE(2026,10,13)),ROW(Expenses!A$3:A$999)-2),5)),"")&lt;&gt;"",IFERROR(INDEX(Expenses!B$3:B$999,SMALL(IF((Expenses!E$3:E$999="INR")*(Expenses!A$3:A$999=DATE(2026,10,13)),ROW(Expenses!A$3:A$999)-2),5)),""),IF(IFERROR(INDEX(Income!B$3:B$502,SMALL(IF((Income!D$3:D$502="INR")*(Income!A$3:A$502=DATE(2026,10,13)),ROW(Income!A$3:A$502)-2),5)),"")&lt;&gt;"",IFERROR(INDEX(Income!B$3:B$502,SMALL(IF((Income!D$3:D$502="INR")*(Income!A$3:A$502=DATE(2026,10,13)),ROW(Income!A$3:A$502)-2),5)),""),""))</f>
        <v/>
      </c>
      <c r="G213" s="153">
        <f t="array" ref="G213">IF(IFERROR(-INDEX(Expenses!D$3:D$999,SMALL(IF((Expenses!E$3:E$999="INR")*(Expenses!A$3:A$999=DATE(2026,10,14)),ROW(Expenses!A$3:A$999)-2),5)),0)+IFERROR(INDEX(Income!C$3:C$502,SMALL(IF((Income!D$3:D$502="INR")*(Income!A$3:A$502=DATE(2026,10,14)),ROW(Income!A$3:A$502)-2),5)),0)=0,"",IFERROR(-INDEX(Expenses!D$3:D$999,SMALL(IF((Expenses!E$3:E$999="INR")*(Expenses!A$3:A$999=DATE(2026,10,14)),ROW(Expenses!A$3:A$999)-2),5)),0)+IFERROR(INDEX(Income!C$3:C$502,SMALL(IF((Income!D$3:D$502="INR")*(Income!A$3:A$502=DATE(2026,10,14)),ROW(Income!A$3:A$502)-2),5)),0))</f>
        <v/>
      </c>
      <c r="H213" s="126">
        <f t="array" ref="H213">IF(IFERROR(INDEX(Expenses!B$3:B$999,SMALL(IF((Expenses!E$3:E$999="INR")*(Expenses!A$3:A$999=DATE(2026,10,14)),ROW(Expenses!A$3:A$999)-2),5)),"")&lt;&gt;"",IFERROR(INDEX(Expenses!B$3:B$999,SMALL(IF((Expenses!E$3:E$999="INR")*(Expenses!A$3:A$999=DATE(2026,10,14)),ROW(Expenses!A$3:A$999)-2),5)),""),IF(IFERROR(INDEX(Income!B$3:B$502,SMALL(IF((Income!D$3:D$502="INR")*(Income!A$3:A$502=DATE(2026,10,14)),ROW(Income!A$3:A$502)-2),5)),"")&lt;&gt;"",IFERROR(INDEX(Income!B$3:B$502,SMALL(IF((Income!D$3:D$502="INR")*(Income!A$3:A$502=DATE(2026,10,14)),ROW(Income!A$3:A$502)-2),5)),""),""))</f>
        <v/>
      </c>
      <c r="I213" s="153">
        <f t="array" ref="I213">IF(IFERROR(-INDEX(Expenses!D$3:D$999,SMALL(IF((Expenses!E$3:E$999="INR")*(Expenses!A$3:A$999=DATE(2026,10,15)),ROW(Expenses!A$3:A$999)-2),5)),0)+IFERROR(INDEX(Income!C$3:C$502,SMALL(IF((Income!D$3:D$502="INR")*(Income!A$3:A$502=DATE(2026,10,15)),ROW(Income!A$3:A$502)-2),5)),0)=0,"",IFERROR(-INDEX(Expenses!D$3:D$999,SMALL(IF((Expenses!E$3:E$999="INR")*(Expenses!A$3:A$999=DATE(2026,10,15)),ROW(Expenses!A$3:A$999)-2),5)),0)+IFERROR(INDEX(Income!C$3:C$502,SMALL(IF((Income!D$3:D$502="INR")*(Income!A$3:A$502=DATE(2026,10,15)),ROW(Income!A$3:A$502)-2),5)),0))</f>
        <v/>
      </c>
      <c r="J213" s="126">
        <f t="array" ref="J213">IF(IFERROR(INDEX(Expenses!B$3:B$999,SMALL(IF((Expenses!E$3:E$999="INR")*(Expenses!A$3:A$999=DATE(2026,10,15)),ROW(Expenses!A$3:A$999)-2),5)),"")&lt;&gt;"",IFERROR(INDEX(Expenses!B$3:B$999,SMALL(IF((Expenses!E$3:E$999="INR")*(Expenses!A$3:A$999=DATE(2026,10,15)),ROW(Expenses!A$3:A$999)-2),5)),""),IF(IFERROR(INDEX(Income!B$3:B$502,SMALL(IF((Income!D$3:D$502="INR")*(Income!A$3:A$502=DATE(2026,10,15)),ROW(Income!A$3:A$502)-2),5)),"")&lt;&gt;"",IFERROR(INDEX(Income!B$3:B$502,SMALL(IF((Income!D$3:D$502="INR")*(Income!A$3:A$502=DATE(2026,10,15)),ROW(Income!A$3:A$502)-2),5)),""),""))</f>
        <v/>
      </c>
      <c r="K213" s="153">
        <f t="array" ref="K213">IF(IFERROR(-INDEX(Expenses!D$3:D$999,SMALL(IF((Expenses!E$3:E$999="INR")*(Expenses!A$3:A$999=DATE(2026,10,16)),ROW(Expenses!A$3:A$999)-2),5)),0)+IFERROR(INDEX(Income!C$3:C$502,SMALL(IF((Income!D$3:D$502="INR")*(Income!A$3:A$502=DATE(2026,10,16)),ROW(Income!A$3:A$502)-2),5)),0)=0,"",IFERROR(-INDEX(Expenses!D$3:D$999,SMALL(IF((Expenses!E$3:E$999="INR")*(Expenses!A$3:A$999=DATE(2026,10,16)),ROW(Expenses!A$3:A$999)-2),5)),0)+IFERROR(INDEX(Income!C$3:C$502,SMALL(IF((Income!D$3:D$502="INR")*(Income!A$3:A$502=DATE(2026,10,16)),ROW(Income!A$3:A$502)-2),5)),0))</f>
        <v/>
      </c>
      <c r="L213" s="126">
        <f t="array" ref="L213">IF(IFERROR(INDEX(Expenses!B$3:B$999,SMALL(IF((Expenses!E$3:E$999="INR")*(Expenses!A$3:A$999=DATE(2026,10,16)),ROW(Expenses!A$3:A$999)-2),5)),"")&lt;&gt;"",IFERROR(INDEX(Expenses!B$3:B$999,SMALL(IF((Expenses!E$3:E$999="INR")*(Expenses!A$3:A$999=DATE(2026,10,16)),ROW(Expenses!A$3:A$999)-2),5)),""),IF(IFERROR(INDEX(Income!B$3:B$502,SMALL(IF((Income!D$3:D$502="INR")*(Income!A$3:A$502=DATE(2026,10,16)),ROW(Income!A$3:A$502)-2),5)),"")&lt;&gt;"",IFERROR(INDEX(Income!B$3:B$502,SMALL(IF((Income!D$3:D$502="INR")*(Income!A$3:A$502=DATE(2026,10,16)),ROW(Income!A$3:A$502)-2),5)),""),""))</f>
        <v/>
      </c>
      <c r="M213" s="153">
        <f t="array" ref="M213">IF(IFERROR(-INDEX(Expenses!D$3:D$999,SMALL(IF((Expenses!E$3:E$999="INR")*(Expenses!A$3:A$999=DATE(2026,10,17)),ROW(Expenses!A$3:A$999)-2),5)),0)+IFERROR(INDEX(Income!C$3:C$502,SMALL(IF((Income!D$3:D$502="INR")*(Income!A$3:A$502=DATE(2026,10,17)),ROW(Income!A$3:A$502)-2),5)),0)=0,"",IFERROR(-INDEX(Expenses!D$3:D$999,SMALL(IF((Expenses!E$3:E$999="INR")*(Expenses!A$3:A$999=DATE(2026,10,17)),ROW(Expenses!A$3:A$999)-2),5)),0)+IFERROR(INDEX(Income!C$3:C$502,SMALL(IF((Income!D$3:D$502="INR")*(Income!A$3:A$502=DATE(2026,10,17)),ROW(Income!A$3:A$502)-2),5)),0))</f>
        <v/>
      </c>
      <c r="N213" s="126">
        <f t="array" ref="N213">IF(IFERROR(INDEX(Expenses!B$3:B$999,SMALL(IF((Expenses!E$3:E$999="INR")*(Expenses!A$3:A$999=DATE(2026,10,17)),ROW(Expenses!A$3:A$999)-2),5)),"")&lt;&gt;"",IFERROR(INDEX(Expenses!B$3:B$999,SMALL(IF((Expenses!E$3:E$999="INR")*(Expenses!A$3:A$999=DATE(2026,10,17)),ROW(Expenses!A$3:A$999)-2),5)),""),IF(IFERROR(INDEX(Income!B$3:B$502,SMALL(IF((Income!D$3:D$502="INR")*(Income!A$3:A$502=DATE(2026,10,17)),ROW(Income!A$3:A$502)-2),5)),"")&lt;&gt;"",IFERROR(INDEX(Income!B$3:B$502,SMALL(IF((Income!D$3:D$502="INR")*(Income!A$3:A$502=DATE(2026,10,17)),ROW(Income!A$3:A$502)-2),5)),""),""))</f>
        <v/>
      </c>
      <c r="O213" s="153">
        <f t="array" ref="O213">IF(IFERROR(-INDEX(Expenses!D$3:D$999,SMALL(IF((Expenses!E$3:E$999="INR")*(Expenses!A$3:A$999=DATE(2026,10,18)),ROW(Expenses!A$3:A$999)-2),5)),0)+IFERROR(INDEX(Income!C$3:C$502,SMALL(IF((Income!D$3:D$502="INR")*(Income!A$3:A$502=DATE(2026,10,18)),ROW(Income!A$3:A$502)-2),5)),0)=0,"",IFERROR(-INDEX(Expenses!D$3:D$999,SMALL(IF((Expenses!E$3:E$999="INR")*(Expenses!A$3:A$999=DATE(2026,10,18)),ROW(Expenses!A$3:A$999)-2),5)),0)+IFERROR(INDEX(Income!C$3:C$502,SMALL(IF((Income!D$3:D$502="INR")*(Income!A$3:A$502=DATE(2026,10,18)),ROW(Income!A$3:A$502)-2),5)),0))</f>
        <v/>
      </c>
      <c r="P213" s="126">
        <f t="array" ref="P213">IF(IFERROR(INDEX(Expenses!B$3:B$999,SMALL(IF((Expenses!E$3:E$999="INR")*(Expenses!A$3:A$999=DATE(2026,10,18)),ROW(Expenses!A$3:A$999)-2),5)),"")&lt;&gt;"",IFERROR(INDEX(Expenses!B$3:B$999,SMALL(IF((Expenses!E$3:E$999="INR")*(Expenses!A$3:A$999=DATE(2026,10,18)),ROW(Expenses!A$3:A$999)-2),5)),""),IF(IFERROR(INDEX(Income!B$3:B$502,SMALL(IF((Income!D$3:D$502="INR")*(Income!A$3:A$502=DATE(2026,10,18)),ROW(Income!A$3:A$502)-2),5)),"")&lt;&gt;"",IFERROR(INDEX(Income!B$3:B$502,SMALL(IF((Income!D$3:D$502="INR")*(Income!A$3:A$502=DATE(2026,10,18)),ROW(Income!A$3:A$502)-2),5)),""),""))</f>
        <v/>
      </c>
      <c r="Q213" s="9" t="n"/>
      <c r="R213" s="9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68">
      <c r="A214" s="151" t="n">
        <v>46314</v>
      </c>
      <c r="B214" s="103" t="n">
        <v>43</v>
      </c>
      <c r="C214" s="153">
        <f t="array" ref="C214">IF(IFERROR(-INDEX(Expenses!D$3:D$999,SMALL(IF((Expenses!E$3:E$999="INR")*(Expenses!A$3:A$999=DATE(2026,10,19)),ROW(Expenses!A$3:A$999)-2),1)),0)+IFERROR(INDEX(Income!C$3:C$502,SMALL(IF((Income!D$3:D$502="INR")*(Income!A$3:A$502=DATE(2026,10,19)),ROW(Income!A$3:A$502)-2),1)),0)=0,"",IFERROR(-INDEX(Expenses!D$3:D$999,SMALL(IF((Expenses!E$3:E$999="INR")*(Expenses!A$3:A$999=DATE(2026,10,19)),ROW(Expenses!A$3:A$999)-2),1)),0)+IFERROR(INDEX(Income!C$3:C$502,SMALL(IF((Income!D$3:D$502="INR")*(Income!A$3:A$502=DATE(2026,10,19)),ROW(Income!A$3:A$502)-2),1)),0))</f>
        <v/>
      </c>
      <c r="D214" s="126">
        <f t="array" ref="D214">IF(IFERROR(INDEX(Expenses!B$3:B$999,SMALL(IF((Expenses!E$3:E$999="INR")*(Expenses!A$3:A$999=DATE(2026,10,19)),ROW(Expenses!A$3:A$999)-2),1)),"")&lt;&gt;"",IFERROR(INDEX(Expenses!B$3:B$999,SMALL(IF((Expenses!E$3:E$999="INR")*(Expenses!A$3:A$999=DATE(2026,10,19)),ROW(Expenses!A$3:A$999)-2),1)),""),IF(IFERROR(INDEX(Income!B$3:B$502,SMALL(IF((Income!D$3:D$502="INR")*(Income!A$3:A$502=DATE(2026,10,19)),ROW(Income!A$3:A$502)-2),1)),"")&lt;&gt;"",IFERROR(INDEX(Income!B$3:B$502,SMALL(IF((Income!D$3:D$502="INR")*(Income!A$3:A$502=DATE(2026,10,19)),ROW(Income!A$3:A$502)-2),1)),""),""))</f>
        <v/>
      </c>
      <c r="E214" s="153">
        <f t="array" ref="E214">IF(IFERROR(-INDEX(Expenses!D$3:D$999,SMALL(IF((Expenses!E$3:E$999="INR")*(Expenses!A$3:A$999=DATE(2026,10,20)),ROW(Expenses!A$3:A$999)-2),1)),0)+IFERROR(INDEX(Income!C$3:C$502,SMALL(IF((Income!D$3:D$502="INR")*(Income!A$3:A$502=DATE(2026,10,20)),ROW(Income!A$3:A$502)-2),1)),0)=0,"",IFERROR(-INDEX(Expenses!D$3:D$999,SMALL(IF((Expenses!E$3:E$999="INR")*(Expenses!A$3:A$999=DATE(2026,10,20)),ROW(Expenses!A$3:A$999)-2),1)),0)+IFERROR(INDEX(Income!C$3:C$502,SMALL(IF((Income!D$3:D$502="INR")*(Income!A$3:A$502=DATE(2026,10,20)),ROW(Income!A$3:A$502)-2),1)),0))</f>
        <v/>
      </c>
      <c r="F214" s="126">
        <f t="array" ref="F214">IF(IFERROR(INDEX(Expenses!B$3:B$999,SMALL(IF((Expenses!E$3:E$999="INR")*(Expenses!A$3:A$999=DATE(2026,10,20)),ROW(Expenses!A$3:A$999)-2),1)),"")&lt;&gt;"",IFERROR(INDEX(Expenses!B$3:B$999,SMALL(IF((Expenses!E$3:E$999="INR")*(Expenses!A$3:A$999=DATE(2026,10,20)),ROW(Expenses!A$3:A$999)-2),1)),""),IF(IFERROR(INDEX(Income!B$3:B$502,SMALL(IF((Income!D$3:D$502="INR")*(Income!A$3:A$502=DATE(2026,10,20)),ROW(Income!A$3:A$502)-2),1)),"")&lt;&gt;"",IFERROR(INDEX(Income!B$3:B$502,SMALL(IF((Income!D$3:D$502="INR")*(Income!A$3:A$502=DATE(2026,10,20)),ROW(Income!A$3:A$502)-2),1)),""),""))</f>
        <v/>
      </c>
      <c r="G214" s="153">
        <f t="array" ref="G214">IF(IFERROR(-INDEX(Expenses!D$3:D$999,SMALL(IF((Expenses!E$3:E$999="INR")*(Expenses!A$3:A$999=DATE(2026,10,21)),ROW(Expenses!A$3:A$999)-2),1)),0)+IFERROR(INDEX(Income!C$3:C$502,SMALL(IF((Income!D$3:D$502="INR")*(Income!A$3:A$502=DATE(2026,10,21)),ROW(Income!A$3:A$502)-2),1)),0)=0,"",IFERROR(-INDEX(Expenses!D$3:D$999,SMALL(IF((Expenses!E$3:E$999="INR")*(Expenses!A$3:A$999=DATE(2026,10,21)),ROW(Expenses!A$3:A$999)-2),1)),0)+IFERROR(INDEX(Income!C$3:C$502,SMALL(IF((Income!D$3:D$502="INR")*(Income!A$3:A$502=DATE(2026,10,21)),ROW(Income!A$3:A$502)-2),1)),0))</f>
        <v/>
      </c>
      <c r="H214" s="126">
        <f t="array" ref="H214">IF(IFERROR(INDEX(Expenses!B$3:B$999,SMALL(IF((Expenses!E$3:E$999="INR")*(Expenses!A$3:A$999=DATE(2026,10,21)),ROW(Expenses!A$3:A$999)-2),1)),"")&lt;&gt;"",IFERROR(INDEX(Expenses!B$3:B$999,SMALL(IF((Expenses!E$3:E$999="INR")*(Expenses!A$3:A$999=DATE(2026,10,21)),ROW(Expenses!A$3:A$999)-2),1)),""),IF(IFERROR(INDEX(Income!B$3:B$502,SMALL(IF((Income!D$3:D$502="INR")*(Income!A$3:A$502=DATE(2026,10,21)),ROW(Income!A$3:A$502)-2),1)),"")&lt;&gt;"",IFERROR(INDEX(Income!B$3:B$502,SMALL(IF((Income!D$3:D$502="INR")*(Income!A$3:A$502=DATE(2026,10,21)),ROW(Income!A$3:A$502)-2),1)),""),""))</f>
        <v/>
      </c>
      <c r="I214" s="153">
        <f t="array" ref="I214">IF(IFERROR(-INDEX(Expenses!D$3:D$999,SMALL(IF((Expenses!E$3:E$999="INR")*(Expenses!A$3:A$999=DATE(2026,10,22)),ROW(Expenses!A$3:A$999)-2),1)),0)+IFERROR(INDEX(Income!C$3:C$502,SMALL(IF((Income!D$3:D$502="INR")*(Income!A$3:A$502=DATE(2026,10,22)),ROW(Income!A$3:A$502)-2),1)),0)=0,"",IFERROR(-INDEX(Expenses!D$3:D$999,SMALL(IF((Expenses!E$3:E$999="INR")*(Expenses!A$3:A$999=DATE(2026,10,22)),ROW(Expenses!A$3:A$999)-2),1)),0)+IFERROR(INDEX(Income!C$3:C$502,SMALL(IF((Income!D$3:D$502="INR")*(Income!A$3:A$502=DATE(2026,10,22)),ROW(Income!A$3:A$502)-2),1)),0))</f>
        <v/>
      </c>
      <c r="J214" s="126">
        <f t="array" ref="J214">IF(IFERROR(INDEX(Expenses!B$3:B$999,SMALL(IF((Expenses!E$3:E$999="INR")*(Expenses!A$3:A$999=DATE(2026,10,22)),ROW(Expenses!A$3:A$999)-2),1)),"")&lt;&gt;"",IFERROR(INDEX(Expenses!B$3:B$999,SMALL(IF((Expenses!E$3:E$999="INR")*(Expenses!A$3:A$999=DATE(2026,10,22)),ROW(Expenses!A$3:A$999)-2),1)),""),IF(IFERROR(INDEX(Income!B$3:B$502,SMALL(IF((Income!D$3:D$502="INR")*(Income!A$3:A$502=DATE(2026,10,22)),ROW(Income!A$3:A$502)-2),1)),"")&lt;&gt;"",IFERROR(INDEX(Income!B$3:B$502,SMALL(IF((Income!D$3:D$502="INR")*(Income!A$3:A$502=DATE(2026,10,22)),ROW(Income!A$3:A$502)-2),1)),""),""))</f>
        <v/>
      </c>
      <c r="K214" s="153">
        <f t="array" ref="K214">IF(IFERROR(-INDEX(Expenses!D$3:D$999,SMALL(IF((Expenses!E$3:E$999="INR")*(Expenses!A$3:A$999=DATE(2026,10,23)),ROW(Expenses!A$3:A$999)-2),1)),0)+IFERROR(INDEX(Income!C$3:C$502,SMALL(IF((Income!D$3:D$502="INR")*(Income!A$3:A$502=DATE(2026,10,23)),ROW(Income!A$3:A$502)-2),1)),0)=0,"",IFERROR(-INDEX(Expenses!D$3:D$999,SMALL(IF((Expenses!E$3:E$999="INR")*(Expenses!A$3:A$999=DATE(2026,10,23)),ROW(Expenses!A$3:A$999)-2),1)),0)+IFERROR(INDEX(Income!C$3:C$502,SMALL(IF((Income!D$3:D$502="INR")*(Income!A$3:A$502=DATE(2026,10,23)),ROW(Income!A$3:A$502)-2),1)),0))</f>
        <v/>
      </c>
      <c r="L214" s="126">
        <f t="array" ref="L214">IF(IFERROR(INDEX(Expenses!B$3:B$999,SMALL(IF((Expenses!E$3:E$999="INR")*(Expenses!A$3:A$999=DATE(2026,10,23)),ROW(Expenses!A$3:A$999)-2),1)),"")&lt;&gt;"",IFERROR(INDEX(Expenses!B$3:B$999,SMALL(IF((Expenses!E$3:E$999="INR")*(Expenses!A$3:A$999=DATE(2026,10,23)),ROW(Expenses!A$3:A$999)-2),1)),""),IF(IFERROR(INDEX(Income!B$3:B$502,SMALL(IF((Income!D$3:D$502="INR")*(Income!A$3:A$502=DATE(2026,10,23)),ROW(Income!A$3:A$502)-2),1)),"")&lt;&gt;"",IFERROR(INDEX(Income!B$3:B$502,SMALL(IF((Income!D$3:D$502="INR")*(Income!A$3:A$502=DATE(2026,10,23)),ROW(Income!A$3:A$502)-2),1)),""),""))</f>
        <v/>
      </c>
      <c r="M214" s="153">
        <f t="array" ref="M214">IF(IFERROR(-INDEX(Expenses!D$3:D$999,SMALL(IF((Expenses!E$3:E$999="INR")*(Expenses!A$3:A$999=DATE(2026,10,24)),ROW(Expenses!A$3:A$999)-2),1)),0)+IFERROR(INDEX(Income!C$3:C$502,SMALL(IF((Income!D$3:D$502="INR")*(Income!A$3:A$502=DATE(2026,10,24)),ROW(Income!A$3:A$502)-2),1)),0)=0,"",IFERROR(-INDEX(Expenses!D$3:D$999,SMALL(IF((Expenses!E$3:E$999="INR")*(Expenses!A$3:A$999=DATE(2026,10,24)),ROW(Expenses!A$3:A$999)-2),1)),0)+IFERROR(INDEX(Income!C$3:C$502,SMALL(IF((Income!D$3:D$502="INR")*(Income!A$3:A$502=DATE(2026,10,24)),ROW(Income!A$3:A$502)-2),1)),0))</f>
        <v/>
      </c>
      <c r="N214" s="126">
        <f t="array" ref="N214">IF(IFERROR(INDEX(Expenses!B$3:B$999,SMALL(IF((Expenses!E$3:E$999="INR")*(Expenses!A$3:A$999=DATE(2026,10,24)),ROW(Expenses!A$3:A$999)-2),1)),"")&lt;&gt;"",IFERROR(INDEX(Expenses!B$3:B$999,SMALL(IF((Expenses!E$3:E$999="INR")*(Expenses!A$3:A$999=DATE(2026,10,24)),ROW(Expenses!A$3:A$999)-2),1)),""),IF(IFERROR(INDEX(Income!B$3:B$502,SMALL(IF((Income!D$3:D$502="INR")*(Income!A$3:A$502=DATE(2026,10,24)),ROW(Income!A$3:A$502)-2),1)),"")&lt;&gt;"",IFERROR(INDEX(Income!B$3:B$502,SMALL(IF((Income!D$3:D$502="INR")*(Income!A$3:A$502=DATE(2026,10,24)),ROW(Income!A$3:A$502)-2),1)),""),""))</f>
        <v/>
      </c>
      <c r="O214" s="153">
        <f t="array" ref="O214">IF(IFERROR(-INDEX(Expenses!D$3:D$999,SMALL(IF((Expenses!E$3:E$999="INR")*(Expenses!A$3:A$999=DATE(2026,10,25)),ROW(Expenses!A$3:A$999)-2),1)),0)+IFERROR(INDEX(Income!C$3:C$502,SMALL(IF((Income!D$3:D$502="INR")*(Income!A$3:A$502=DATE(2026,10,25)),ROW(Income!A$3:A$502)-2),1)),0)=0,"",IFERROR(-INDEX(Expenses!D$3:D$999,SMALL(IF((Expenses!E$3:E$999="INR")*(Expenses!A$3:A$999=DATE(2026,10,25)),ROW(Expenses!A$3:A$999)-2),1)),0)+IFERROR(INDEX(Income!C$3:C$502,SMALL(IF((Income!D$3:D$502="INR")*(Income!A$3:A$502=DATE(2026,10,25)),ROW(Income!A$3:A$502)-2),1)),0))</f>
        <v/>
      </c>
      <c r="P214" s="126">
        <f t="array" ref="P214">IF(IFERROR(INDEX(Expenses!B$3:B$999,SMALL(IF((Expenses!E$3:E$999="INR")*(Expenses!A$3:A$999=DATE(2026,10,25)),ROW(Expenses!A$3:A$999)-2),1)),"")&lt;&gt;"",IFERROR(INDEX(Expenses!B$3:B$999,SMALL(IF((Expenses!E$3:E$999="INR")*(Expenses!A$3:A$999=DATE(2026,10,25)),ROW(Expenses!A$3:A$999)-2),1)),""),IF(IFERROR(INDEX(Income!B$3:B$502,SMALL(IF((Income!D$3:D$502="INR")*(Income!A$3:A$502=DATE(2026,10,25)),ROW(Income!A$3:A$502)-2),1)),"")&lt;&gt;"",IFERROR(INDEX(Income!B$3:B$502,SMALL(IF((Income!D$3:D$502="INR")*(Income!A$3:A$502=DATE(2026,10,25)),ROW(Income!A$3:A$502)-2),1)),""),""))</f>
        <v/>
      </c>
      <c r="Q214" s="103" t="n">
        <v>43</v>
      </c>
      <c r="R214" s="142">
        <f>SUM(C214:C218)+SUM(E214:E218)+SUM(G214:G218)+SUM(I214:I218)+SUM(K214:K218)+SUM(M214:M218)+SUM(O214:O218)</f>
        <v/>
      </c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68">
      <c r="A215" s="9" t="n"/>
      <c r="B215" s="9" t="n"/>
      <c r="C215" s="153">
        <f t="array" ref="C215">IF(IFERROR(-INDEX(Expenses!D$3:D$999,SMALL(IF((Expenses!E$3:E$999="INR")*(Expenses!A$3:A$999=DATE(2026,10,19)),ROW(Expenses!A$3:A$999)-2),2)),0)+IFERROR(INDEX(Income!C$3:C$502,SMALL(IF((Income!D$3:D$502="INR")*(Income!A$3:A$502=DATE(2026,10,19)),ROW(Income!A$3:A$502)-2),2)),0)=0,"",IFERROR(-INDEX(Expenses!D$3:D$999,SMALL(IF((Expenses!E$3:E$999="INR")*(Expenses!A$3:A$999=DATE(2026,10,19)),ROW(Expenses!A$3:A$999)-2),2)),0)+IFERROR(INDEX(Income!C$3:C$502,SMALL(IF((Income!D$3:D$502="INR")*(Income!A$3:A$502=DATE(2026,10,19)),ROW(Income!A$3:A$502)-2),2)),0))</f>
        <v/>
      </c>
      <c r="D215" s="126">
        <f t="array" ref="D215">IF(IFERROR(INDEX(Expenses!B$3:B$999,SMALL(IF((Expenses!E$3:E$999="INR")*(Expenses!A$3:A$999=DATE(2026,10,19)),ROW(Expenses!A$3:A$999)-2),2)),"")&lt;&gt;"",IFERROR(INDEX(Expenses!B$3:B$999,SMALL(IF((Expenses!E$3:E$999="INR")*(Expenses!A$3:A$999=DATE(2026,10,19)),ROW(Expenses!A$3:A$999)-2),2)),""),IF(IFERROR(INDEX(Income!B$3:B$502,SMALL(IF((Income!D$3:D$502="INR")*(Income!A$3:A$502=DATE(2026,10,19)),ROW(Income!A$3:A$502)-2),2)),"")&lt;&gt;"",IFERROR(INDEX(Income!B$3:B$502,SMALL(IF((Income!D$3:D$502="INR")*(Income!A$3:A$502=DATE(2026,10,19)),ROW(Income!A$3:A$502)-2),2)),""),""))</f>
        <v/>
      </c>
      <c r="E215" s="153">
        <f t="array" ref="E215">IF(IFERROR(-INDEX(Expenses!D$3:D$999,SMALL(IF((Expenses!E$3:E$999="INR")*(Expenses!A$3:A$999=DATE(2026,10,20)),ROW(Expenses!A$3:A$999)-2),2)),0)+IFERROR(INDEX(Income!C$3:C$502,SMALL(IF((Income!D$3:D$502="INR")*(Income!A$3:A$502=DATE(2026,10,20)),ROW(Income!A$3:A$502)-2),2)),0)=0,"",IFERROR(-INDEX(Expenses!D$3:D$999,SMALL(IF((Expenses!E$3:E$999="INR")*(Expenses!A$3:A$999=DATE(2026,10,20)),ROW(Expenses!A$3:A$999)-2),2)),0)+IFERROR(INDEX(Income!C$3:C$502,SMALL(IF((Income!D$3:D$502="INR")*(Income!A$3:A$502=DATE(2026,10,20)),ROW(Income!A$3:A$502)-2),2)),0))</f>
        <v/>
      </c>
      <c r="F215" s="126">
        <f t="array" ref="F215">IF(IFERROR(INDEX(Expenses!B$3:B$999,SMALL(IF((Expenses!E$3:E$999="INR")*(Expenses!A$3:A$999=DATE(2026,10,20)),ROW(Expenses!A$3:A$999)-2),2)),"")&lt;&gt;"",IFERROR(INDEX(Expenses!B$3:B$999,SMALL(IF((Expenses!E$3:E$999="INR")*(Expenses!A$3:A$999=DATE(2026,10,20)),ROW(Expenses!A$3:A$999)-2),2)),""),IF(IFERROR(INDEX(Income!B$3:B$502,SMALL(IF((Income!D$3:D$502="INR")*(Income!A$3:A$502=DATE(2026,10,20)),ROW(Income!A$3:A$502)-2),2)),"")&lt;&gt;"",IFERROR(INDEX(Income!B$3:B$502,SMALL(IF((Income!D$3:D$502="INR")*(Income!A$3:A$502=DATE(2026,10,20)),ROW(Income!A$3:A$502)-2),2)),""),""))</f>
        <v/>
      </c>
      <c r="G215" s="153">
        <f t="array" ref="G215">IF(IFERROR(-INDEX(Expenses!D$3:D$999,SMALL(IF((Expenses!E$3:E$999="INR")*(Expenses!A$3:A$999=DATE(2026,10,21)),ROW(Expenses!A$3:A$999)-2),2)),0)+IFERROR(INDEX(Income!C$3:C$502,SMALL(IF((Income!D$3:D$502="INR")*(Income!A$3:A$502=DATE(2026,10,21)),ROW(Income!A$3:A$502)-2),2)),0)=0,"",IFERROR(-INDEX(Expenses!D$3:D$999,SMALL(IF((Expenses!E$3:E$999="INR")*(Expenses!A$3:A$999=DATE(2026,10,21)),ROW(Expenses!A$3:A$999)-2),2)),0)+IFERROR(INDEX(Income!C$3:C$502,SMALL(IF((Income!D$3:D$502="INR")*(Income!A$3:A$502=DATE(2026,10,21)),ROW(Income!A$3:A$502)-2),2)),0))</f>
        <v/>
      </c>
      <c r="H215" s="126">
        <f t="array" ref="H215">IF(IFERROR(INDEX(Expenses!B$3:B$999,SMALL(IF((Expenses!E$3:E$999="INR")*(Expenses!A$3:A$999=DATE(2026,10,21)),ROW(Expenses!A$3:A$999)-2),2)),"")&lt;&gt;"",IFERROR(INDEX(Expenses!B$3:B$999,SMALL(IF((Expenses!E$3:E$999="INR")*(Expenses!A$3:A$999=DATE(2026,10,21)),ROW(Expenses!A$3:A$999)-2),2)),""),IF(IFERROR(INDEX(Income!B$3:B$502,SMALL(IF((Income!D$3:D$502="INR")*(Income!A$3:A$502=DATE(2026,10,21)),ROW(Income!A$3:A$502)-2),2)),"")&lt;&gt;"",IFERROR(INDEX(Income!B$3:B$502,SMALL(IF((Income!D$3:D$502="INR")*(Income!A$3:A$502=DATE(2026,10,21)),ROW(Income!A$3:A$502)-2),2)),""),""))</f>
        <v/>
      </c>
      <c r="I215" s="153">
        <f t="array" ref="I215">IF(IFERROR(-INDEX(Expenses!D$3:D$999,SMALL(IF((Expenses!E$3:E$999="INR")*(Expenses!A$3:A$999=DATE(2026,10,22)),ROW(Expenses!A$3:A$999)-2),2)),0)+IFERROR(INDEX(Income!C$3:C$502,SMALL(IF((Income!D$3:D$502="INR")*(Income!A$3:A$502=DATE(2026,10,22)),ROW(Income!A$3:A$502)-2),2)),0)=0,"",IFERROR(-INDEX(Expenses!D$3:D$999,SMALL(IF((Expenses!E$3:E$999="INR")*(Expenses!A$3:A$999=DATE(2026,10,22)),ROW(Expenses!A$3:A$999)-2),2)),0)+IFERROR(INDEX(Income!C$3:C$502,SMALL(IF((Income!D$3:D$502="INR")*(Income!A$3:A$502=DATE(2026,10,22)),ROW(Income!A$3:A$502)-2),2)),0))</f>
        <v/>
      </c>
      <c r="J215" s="126">
        <f t="array" ref="J215">IF(IFERROR(INDEX(Expenses!B$3:B$999,SMALL(IF((Expenses!E$3:E$999="INR")*(Expenses!A$3:A$999=DATE(2026,10,22)),ROW(Expenses!A$3:A$999)-2),2)),"")&lt;&gt;"",IFERROR(INDEX(Expenses!B$3:B$999,SMALL(IF((Expenses!E$3:E$999="INR")*(Expenses!A$3:A$999=DATE(2026,10,22)),ROW(Expenses!A$3:A$999)-2),2)),""),IF(IFERROR(INDEX(Income!B$3:B$502,SMALL(IF((Income!D$3:D$502="INR")*(Income!A$3:A$502=DATE(2026,10,22)),ROW(Income!A$3:A$502)-2),2)),"")&lt;&gt;"",IFERROR(INDEX(Income!B$3:B$502,SMALL(IF((Income!D$3:D$502="INR")*(Income!A$3:A$502=DATE(2026,10,22)),ROW(Income!A$3:A$502)-2),2)),""),""))</f>
        <v/>
      </c>
      <c r="K215" s="153">
        <f t="array" ref="K215">IF(IFERROR(-INDEX(Expenses!D$3:D$999,SMALL(IF((Expenses!E$3:E$999="INR")*(Expenses!A$3:A$999=DATE(2026,10,23)),ROW(Expenses!A$3:A$999)-2),2)),0)+IFERROR(INDEX(Income!C$3:C$502,SMALL(IF((Income!D$3:D$502="INR")*(Income!A$3:A$502=DATE(2026,10,23)),ROW(Income!A$3:A$502)-2),2)),0)=0,"",IFERROR(-INDEX(Expenses!D$3:D$999,SMALL(IF((Expenses!E$3:E$999="INR")*(Expenses!A$3:A$999=DATE(2026,10,23)),ROW(Expenses!A$3:A$999)-2),2)),0)+IFERROR(INDEX(Income!C$3:C$502,SMALL(IF((Income!D$3:D$502="INR")*(Income!A$3:A$502=DATE(2026,10,23)),ROW(Income!A$3:A$502)-2),2)),0))</f>
        <v/>
      </c>
      <c r="L215" s="126">
        <f t="array" ref="L215">IF(IFERROR(INDEX(Expenses!B$3:B$999,SMALL(IF((Expenses!E$3:E$999="INR")*(Expenses!A$3:A$999=DATE(2026,10,23)),ROW(Expenses!A$3:A$999)-2),2)),"")&lt;&gt;"",IFERROR(INDEX(Expenses!B$3:B$999,SMALL(IF((Expenses!E$3:E$999="INR")*(Expenses!A$3:A$999=DATE(2026,10,23)),ROW(Expenses!A$3:A$999)-2),2)),""),IF(IFERROR(INDEX(Income!B$3:B$502,SMALL(IF((Income!D$3:D$502="INR")*(Income!A$3:A$502=DATE(2026,10,23)),ROW(Income!A$3:A$502)-2),2)),"")&lt;&gt;"",IFERROR(INDEX(Income!B$3:B$502,SMALL(IF((Income!D$3:D$502="INR")*(Income!A$3:A$502=DATE(2026,10,23)),ROW(Income!A$3:A$502)-2),2)),""),""))</f>
        <v/>
      </c>
      <c r="M215" s="153">
        <f t="array" ref="M215">IF(IFERROR(-INDEX(Expenses!D$3:D$999,SMALL(IF((Expenses!E$3:E$999="INR")*(Expenses!A$3:A$999=DATE(2026,10,24)),ROW(Expenses!A$3:A$999)-2),2)),0)+IFERROR(INDEX(Income!C$3:C$502,SMALL(IF((Income!D$3:D$502="INR")*(Income!A$3:A$502=DATE(2026,10,24)),ROW(Income!A$3:A$502)-2),2)),0)=0,"",IFERROR(-INDEX(Expenses!D$3:D$999,SMALL(IF((Expenses!E$3:E$999="INR")*(Expenses!A$3:A$999=DATE(2026,10,24)),ROW(Expenses!A$3:A$999)-2),2)),0)+IFERROR(INDEX(Income!C$3:C$502,SMALL(IF((Income!D$3:D$502="INR")*(Income!A$3:A$502=DATE(2026,10,24)),ROW(Income!A$3:A$502)-2),2)),0))</f>
        <v/>
      </c>
      <c r="N215" s="126">
        <f t="array" ref="N215">IF(IFERROR(INDEX(Expenses!B$3:B$999,SMALL(IF((Expenses!E$3:E$999="INR")*(Expenses!A$3:A$999=DATE(2026,10,24)),ROW(Expenses!A$3:A$999)-2),2)),"")&lt;&gt;"",IFERROR(INDEX(Expenses!B$3:B$999,SMALL(IF((Expenses!E$3:E$999="INR")*(Expenses!A$3:A$999=DATE(2026,10,24)),ROW(Expenses!A$3:A$999)-2),2)),""),IF(IFERROR(INDEX(Income!B$3:B$502,SMALL(IF((Income!D$3:D$502="INR")*(Income!A$3:A$502=DATE(2026,10,24)),ROW(Income!A$3:A$502)-2),2)),"")&lt;&gt;"",IFERROR(INDEX(Income!B$3:B$502,SMALL(IF((Income!D$3:D$502="INR")*(Income!A$3:A$502=DATE(2026,10,24)),ROW(Income!A$3:A$502)-2),2)),""),""))</f>
        <v/>
      </c>
      <c r="O215" s="153">
        <f t="array" ref="O215">IF(IFERROR(-INDEX(Expenses!D$3:D$999,SMALL(IF((Expenses!E$3:E$999="INR")*(Expenses!A$3:A$999=DATE(2026,10,25)),ROW(Expenses!A$3:A$999)-2),2)),0)+IFERROR(INDEX(Income!C$3:C$502,SMALL(IF((Income!D$3:D$502="INR")*(Income!A$3:A$502=DATE(2026,10,25)),ROW(Income!A$3:A$502)-2),2)),0)=0,"",IFERROR(-INDEX(Expenses!D$3:D$999,SMALL(IF((Expenses!E$3:E$999="INR")*(Expenses!A$3:A$999=DATE(2026,10,25)),ROW(Expenses!A$3:A$999)-2),2)),0)+IFERROR(INDEX(Income!C$3:C$502,SMALL(IF((Income!D$3:D$502="INR")*(Income!A$3:A$502=DATE(2026,10,25)),ROW(Income!A$3:A$502)-2),2)),0))</f>
        <v/>
      </c>
      <c r="P215" s="126">
        <f t="array" ref="P215">IF(IFERROR(INDEX(Expenses!B$3:B$999,SMALL(IF((Expenses!E$3:E$999="INR")*(Expenses!A$3:A$999=DATE(2026,10,25)),ROW(Expenses!A$3:A$999)-2),2)),"")&lt;&gt;"",IFERROR(INDEX(Expenses!B$3:B$999,SMALL(IF((Expenses!E$3:E$999="INR")*(Expenses!A$3:A$999=DATE(2026,10,25)),ROW(Expenses!A$3:A$999)-2),2)),""),IF(IFERROR(INDEX(Income!B$3:B$502,SMALL(IF((Income!D$3:D$502="INR")*(Income!A$3:A$502=DATE(2026,10,25)),ROW(Income!A$3:A$502)-2),2)),"")&lt;&gt;"",IFERROR(INDEX(Income!B$3:B$502,SMALL(IF((Income!D$3:D$502="INR")*(Income!A$3:A$502=DATE(2026,10,25)),ROW(Income!A$3:A$502)-2),2)),""),""))</f>
        <v/>
      </c>
      <c r="Q215" s="9" t="n"/>
      <c r="R215" s="9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68">
      <c r="A216" s="9" t="n"/>
      <c r="B216" s="9" t="n"/>
      <c r="C216" s="153">
        <f t="array" ref="C216">IF(IFERROR(-INDEX(Expenses!D$3:D$999,SMALL(IF((Expenses!E$3:E$999="INR")*(Expenses!A$3:A$999=DATE(2026,10,19)),ROW(Expenses!A$3:A$999)-2),3)),0)+IFERROR(INDEX(Income!C$3:C$502,SMALL(IF((Income!D$3:D$502="INR")*(Income!A$3:A$502=DATE(2026,10,19)),ROW(Income!A$3:A$502)-2),3)),0)=0,"",IFERROR(-INDEX(Expenses!D$3:D$999,SMALL(IF((Expenses!E$3:E$999="INR")*(Expenses!A$3:A$999=DATE(2026,10,19)),ROW(Expenses!A$3:A$999)-2),3)),0)+IFERROR(INDEX(Income!C$3:C$502,SMALL(IF((Income!D$3:D$502="INR")*(Income!A$3:A$502=DATE(2026,10,19)),ROW(Income!A$3:A$502)-2),3)),0))</f>
        <v/>
      </c>
      <c r="D216" s="126">
        <f t="array" ref="D216">IF(IFERROR(INDEX(Expenses!B$3:B$999,SMALL(IF((Expenses!E$3:E$999="INR")*(Expenses!A$3:A$999=DATE(2026,10,19)),ROW(Expenses!A$3:A$999)-2),3)),"")&lt;&gt;"",IFERROR(INDEX(Expenses!B$3:B$999,SMALL(IF((Expenses!E$3:E$999="INR")*(Expenses!A$3:A$999=DATE(2026,10,19)),ROW(Expenses!A$3:A$999)-2),3)),""),IF(IFERROR(INDEX(Income!B$3:B$502,SMALL(IF((Income!D$3:D$502="INR")*(Income!A$3:A$502=DATE(2026,10,19)),ROW(Income!A$3:A$502)-2),3)),"")&lt;&gt;"",IFERROR(INDEX(Income!B$3:B$502,SMALL(IF((Income!D$3:D$502="INR")*(Income!A$3:A$502=DATE(2026,10,19)),ROW(Income!A$3:A$502)-2),3)),""),""))</f>
        <v/>
      </c>
      <c r="E216" s="153">
        <f t="array" ref="E216">IF(IFERROR(-INDEX(Expenses!D$3:D$999,SMALL(IF((Expenses!E$3:E$999="INR")*(Expenses!A$3:A$999=DATE(2026,10,20)),ROW(Expenses!A$3:A$999)-2),3)),0)+IFERROR(INDEX(Income!C$3:C$502,SMALL(IF((Income!D$3:D$502="INR")*(Income!A$3:A$502=DATE(2026,10,20)),ROW(Income!A$3:A$502)-2),3)),0)=0,"",IFERROR(-INDEX(Expenses!D$3:D$999,SMALL(IF((Expenses!E$3:E$999="INR")*(Expenses!A$3:A$999=DATE(2026,10,20)),ROW(Expenses!A$3:A$999)-2),3)),0)+IFERROR(INDEX(Income!C$3:C$502,SMALL(IF((Income!D$3:D$502="INR")*(Income!A$3:A$502=DATE(2026,10,20)),ROW(Income!A$3:A$502)-2),3)),0))</f>
        <v/>
      </c>
      <c r="F216" s="126">
        <f t="array" ref="F216">IF(IFERROR(INDEX(Expenses!B$3:B$999,SMALL(IF((Expenses!E$3:E$999="INR")*(Expenses!A$3:A$999=DATE(2026,10,20)),ROW(Expenses!A$3:A$999)-2),3)),"")&lt;&gt;"",IFERROR(INDEX(Expenses!B$3:B$999,SMALL(IF((Expenses!E$3:E$999="INR")*(Expenses!A$3:A$999=DATE(2026,10,20)),ROW(Expenses!A$3:A$999)-2),3)),""),IF(IFERROR(INDEX(Income!B$3:B$502,SMALL(IF((Income!D$3:D$502="INR")*(Income!A$3:A$502=DATE(2026,10,20)),ROW(Income!A$3:A$502)-2),3)),"")&lt;&gt;"",IFERROR(INDEX(Income!B$3:B$502,SMALL(IF((Income!D$3:D$502="INR")*(Income!A$3:A$502=DATE(2026,10,20)),ROW(Income!A$3:A$502)-2),3)),""),""))</f>
        <v/>
      </c>
      <c r="G216" s="153">
        <f t="array" ref="G216">IF(IFERROR(-INDEX(Expenses!D$3:D$999,SMALL(IF((Expenses!E$3:E$999="INR")*(Expenses!A$3:A$999=DATE(2026,10,21)),ROW(Expenses!A$3:A$999)-2),3)),0)+IFERROR(INDEX(Income!C$3:C$502,SMALL(IF((Income!D$3:D$502="INR")*(Income!A$3:A$502=DATE(2026,10,21)),ROW(Income!A$3:A$502)-2),3)),0)=0,"",IFERROR(-INDEX(Expenses!D$3:D$999,SMALL(IF((Expenses!E$3:E$999="INR")*(Expenses!A$3:A$999=DATE(2026,10,21)),ROW(Expenses!A$3:A$999)-2),3)),0)+IFERROR(INDEX(Income!C$3:C$502,SMALL(IF((Income!D$3:D$502="INR")*(Income!A$3:A$502=DATE(2026,10,21)),ROW(Income!A$3:A$502)-2),3)),0))</f>
        <v/>
      </c>
      <c r="H216" s="126">
        <f t="array" ref="H216">IF(IFERROR(INDEX(Expenses!B$3:B$999,SMALL(IF((Expenses!E$3:E$999="INR")*(Expenses!A$3:A$999=DATE(2026,10,21)),ROW(Expenses!A$3:A$999)-2),3)),"")&lt;&gt;"",IFERROR(INDEX(Expenses!B$3:B$999,SMALL(IF((Expenses!E$3:E$999="INR")*(Expenses!A$3:A$999=DATE(2026,10,21)),ROW(Expenses!A$3:A$999)-2),3)),""),IF(IFERROR(INDEX(Income!B$3:B$502,SMALL(IF((Income!D$3:D$502="INR")*(Income!A$3:A$502=DATE(2026,10,21)),ROW(Income!A$3:A$502)-2),3)),"")&lt;&gt;"",IFERROR(INDEX(Income!B$3:B$502,SMALL(IF((Income!D$3:D$502="INR")*(Income!A$3:A$502=DATE(2026,10,21)),ROW(Income!A$3:A$502)-2),3)),""),""))</f>
        <v/>
      </c>
      <c r="I216" s="153">
        <f t="array" ref="I216">IF(IFERROR(-INDEX(Expenses!D$3:D$999,SMALL(IF((Expenses!E$3:E$999="INR")*(Expenses!A$3:A$999=DATE(2026,10,22)),ROW(Expenses!A$3:A$999)-2),3)),0)+IFERROR(INDEX(Income!C$3:C$502,SMALL(IF((Income!D$3:D$502="INR")*(Income!A$3:A$502=DATE(2026,10,22)),ROW(Income!A$3:A$502)-2),3)),0)=0,"",IFERROR(-INDEX(Expenses!D$3:D$999,SMALL(IF((Expenses!E$3:E$999="INR")*(Expenses!A$3:A$999=DATE(2026,10,22)),ROW(Expenses!A$3:A$999)-2),3)),0)+IFERROR(INDEX(Income!C$3:C$502,SMALL(IF((Income!D$3:D$502="INR")*(Income!A$3:A$502=DATE(2026,10,22)),ROW(Income!A$3:A$502)-2),3)),0))</f>
        <v/>
      </c>
      <c r="J216" s="126">
        <f t="array" ref="J216">IF(IFERROR(INDEX(Expenses!B$3:B$999,SMALL(IF((Expenses!E$3:E$999="INR")*(Expenses!A$3:A$999=DATE(2026,10,22)),ROW(Expenses!A$3:A$999)-2),3)),"")&lt;&gt;"",IFERROR(INDEX(Expenses!B$3:B$999,SMALL(IF((Expenses!E$3:E$999="INR")*(Expenses!A$3:A$999=DATE(2026,10,22)),ROW(Expenses!A$3:A$999)-2),3)),""),IF(IFERROR(INDEX(Income!B$3:B$502,SMALL(IF((Income!D$3:D$502="INR")*(Income!A$3:A$502=DATE(2026,10,22)),ROW(Income!A$3:A$502)-2),3)),"")&lt;&gt;"",IFERROR(INDEX(Income!B$3:B$502,SMALL(IF((Income!D$3:D$502="INR")*(Income!A$3:A$502=DATE(2026,10,22)),ROW(Income!A$3:A$502)-2),3)),""),""))</f>
        <v/>
      </c>
      <c r="K216" s="153">
        <f t="array" ref="K216">IF(IFERROR(-INDEX(Expenses!D$3:D$999,SMALL(IF((Expenses!E$3:E$999="INR")*(Expenses!A$3:A$999=DATE(2026,10,23)),ROW(Expenses!A$3:A$999)-2),3)),0)+IFERROR(INDEX(Income!C$3:C$502,SMALL(IF((Income!D$3:D$502="INR")*(Income!A$3:A$502=DATE(2026,10,23)),ROW(Income!A$3:A$502)-2),3)),0)=0,"",IFERROR(-INDEX(Expenses!D$3:D$999,SMALL(IF((Expenses!E$3:E$999="INR")*(Expenses!A$3:A$999=DATE(2026,10,23)),ROW(Expenses!A$3:A$999)-2),3)),0)+IFERROR(INDEX(Income!C$3:C$502,SMALL(IF((Income!D$3:D$502="INR")*(Income!A$3:A$502=DATE(2026,10,23)),ROW(Income!A$3:A$502)-2),3)),0))</f>
        <v/>
      </c>
      <c r="L216" s="126">
        <f t="array" ref="L216">IF(IFERROR(INDEX(Expenses!B$3:B$999,SMALL(IF((Expenses!E$3:E$999="INR")*(Expenses!A$3:A$999=DATE(2026,10,23)),ROW(Expenses!A$3:A$999)-2),3)),"")&lt;&gt;"",IFERROR(INDEX(Expenses!B$3:B$999,SMALL(IF((Expenses!E$3:E$999="INR")*(Expenses!A$3:A$999=DATE(2026,10,23)),ROW(Expenses!A$3:A$999)-2),3)),""),IF(IFERROR(INDEX(Income!B$3:B$502,SMALL(IF((Income!D$3:D$502="INR")*(Income!A$3:A$502=DATE(2026,10,23)),ROW(Income!A$3:A$502)-2),3)),"")&lt;&gt;"",IFERROR(INDEX(Income!B$3:B$502,SMALL(IF((Income!D$3:D$502="INR")*(Income!A$3:A$502=DATE(2026,10,23)),ROW(Income!A$3:A$502)-2),3)),""),""))</f>
        <v/>
      </c>
      <c r="M216" s="153">
        <f t="array" ref="M216">IF(IFERROR(-INDEX(Expenses!D$3:D$999,SMALL(IF((Expenses!E$3:E$999="INR")*(Expenses!A$3:A$999=DATE(2026,10,24)),ROW(Expenses!A$3:A$999)-2),3)),0)+IFERROR(INDEX(Income!C$3:C$502,SMALL(IF((Income!D$3:D$502="INR")*(Income!A$3:A$502=DATE(2026,10,24)),ROW(Income!A$3:A$502)-2),3)),0)=0,"",IFERROR(-INDEX(Expenses!D$3:D$999,SMALL(IF((Expenses!E$3:E$999="INR")*(Expenses!A$3:A$999=DATE(2026,10,24)),ROW(Expenses!A$3:A$999)-2),3)),0)+IFERROR(INDEX(Income!C$3:C$502,SMALL(IF((Income!D$3:D$502="INR")*(Income!A$3:A$502=DATE(2026,10,24)),ROW(Income!A$3:A$502)-2),3)),0))</f>
        <v/>
      </c>
      <c r="N216" s="126">
        <f t="array" ref="N216">IF(IFERROR(INDEX(Expenses!B$3:B$999,SMALL(IF((Expenses!E$3:E$999="INR")*(Expenses!A$3:A$999=DATE(2026,10,24)),ROW(Expenses!A$3:A$999)-2),3)),"")&lt;&gt;"",IFERROR(INDEX(Expenses!B$3:B$999,SMALL(IF((Expenses!E$3:E$999="INR")*(Expenses!A$3:A$999=DATE(2026,10,24)),ROW(Expenses!A$3:A$999)-2),3)),""),IF(IFERROR(INDEX(Income!B$3:B$502,SMALL(IF((Income!D$3:D$502="INR")*(Income!A$3:A$502=DATE(2026,10,24)),ROW(Income!A$3:A$502)-2),3)),"")&lt;&gt;"",IFERROR(INDEX(Income!B$3:B$502,SMALL(IF((Income!D$3:D$502="INR")*(Income!A$3:A$502=DATE(2026,10,24)),ROW(Income!A$3:A$502)-2),3)),""),""))</f>
        <v/>
      </c>
      <c r="O216" s="153">
        <f t="array" ref="O216">IF(IFERROR(-INDEX(Expenses!D$3:D$999,SMALL(IF((Expenses!E$3:E$999="INR")*(Expenses!A$3:A$999=DATE(2026,10,25)),ROW(Expenses!A$3:A$999)-2),3)),0)+IFERROR(INDEX(Income!C$3:C$502,SMALL(IF((Income!D$3:D$502="INR")*(Income!A$3:A$502=DATE(2026,10,25)),ROW(Income!A$3:A$502)-2),3)),0)=0,"",IFERROR(-INDEX(Expenses!D$3:D$999,SMALL(IF((Expenses!E$3:E$999="INR")*(Expenses!A$3:A$999=DATE(2026,10,25)),ROW(Expenses!A$3:A$999)-2),3)),0)+IFERROR(INDEX(Income!C$3:C$502,SMALL(IF((Income!D$3:D$502="INR")*(Income!A$3:A$502=DATE(2026,10,25)),ROW(Income!A$3:A$502)-2),3)),0))</f>
        <v/>
      </c>
      <c r="P216" s="126">
        <f t="array" ref="P216">IF(IFERROR(INDEX(Expenses!B$3:B$999,SMALL(IF((Expenses!E$3:E$999="INR")*(Expenses!A$3:A$999=DATE(2026,10,25)),ROW(Expenses!A$3:A$999)-2),3)),"")&lt;&gt;"",IFERROR(INDEX(Expenses!B$3:B$999,SMALL(IF((Expenses!E$3:E$999="INR")*(Expenses!A$3:A$999=DATE(2026,10,25)),ROW(Expenses!A$3:A$999)-2),3)),""),IF(IFERROR(INDEX(Income!B$3:B$502,SMALL(IF((Income!D$3:D$502="INR")*(Income!A$3:A$502=DATE(2026,10,25)),ROW(Income!A$3:A$502)-2),3)),"")&lt;&gt;"",IFERROR(INDEX(Income!B$3:B$502,SMALL(IF((Income!D$3:D$502="INR")*(Income!A$3:A$502=DATE(2026,10,25)),ROW(Income!A$3:A$502)-2),3)),""),""))</f>
        <v/>
      </c>
      <c r="Q216" s="9" t="n"/>
      <c r="R216" s="9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68">
      <c r="A217" s="9" t="n"/>
      <c r="B217" s="9" t="n"/>
      <c r="C217" s="153">
        <f t="array" ref="C217">IF(IFERROR(-INDEX(Expenses!D$3:D$999,SMALL(IF((Expenses!E$3:E$999="INR")*(Expenses!A$3:A$999=DATE(2026,10,19)),ROW(Expenses!A$3:A$999)-2),4)),0)+IFERROR(INDEX(Income!C$3:C$502,SMALL(IF((Income!D$3:D$502="INR")*(Income!A$3:A$502=DATE(2026,10,19)),ROW(Income!A$3:A$502)-2),4)),0)=0,"",IFERROR(-INDEX(Expenses!D$3:D$999,SMALL(IF((Expenses!E$3:E$999="INR")*(Expenses!A$3:A$999=DATE(2026,10,19)),ROW(Expenses!A$3:A$999)-2),4)),0)+IFERROR(INDEX(Income!C$3:C$502,SMALL(IF((Income!D$3:D$502="INR")*(Income!A$3:A$502=DATE(2026,10,19)),ROW(Income!A$3:A$502)-2),4)),0))</f>
        <v/>
      </c>
      <c r="D217" s="126">
        <f t="array" ref="D217">IF(IFERROR(INDEX(Expenses!B$3:B$999,SMALL(IF((Expenses!E$3:E$999="INR")*(Expenses!A$3:A$999=DATE(2026,10,19)),ROW(Expenses!A$3:A$999)-2),4)),"")&lt;&gt;"",IFERROR(INDEX(Expenses!B$3:B$999,SMALL(IF((Expenses!E$3:E$999="INR")*(Expenses!A$3:A$999=DATE(2026,10,19)),ROW(Expenses!A$3:A$999)-2),4)),""),IF(IFERROR(INDEX(Income!B$3:B$502,SMALL(IF((Income!D$3:D$502="INR")*(Income!A$3:A$502=DATE(2026,10,19)),ROW(Income!A$3:A$502)-2),4)),"")&lt;&gt;"",IFERROR(INDEX(Income!B$3:B$502,SMALL(IF((Income!D$3:D$502="INR")*(Income!A$3:A$502=DATE(2026,10,19)),ROW(Income!A$3:A$502)-2),4)),""),""))</f>
        <v/>
      </c>
      <c r="E217" s="153">
        <f t="array" ref="E217">IF(IFERROR(-INDEX(Expenses!D$3:D$999,SMALL(IF((Expenses!E$3:E$999="INR")*(Expenses!A$3:A$999=DATE(2026,10,20)),ROW(Expenses!A$3:A$999)-2),4)),0)+IFERROR(INDEX(Income!C$3:C$502,SMALL(IF((Income!D$3:D$502="INR")*(Income!A$3:A$502=DATE(2026,10,20)),ROW(Income!A$3:A$502)-2),4)),0)=0,"",IFERROR(-INDEX(Expenses!D$3:D$999,SMALL(IF((Expenses!E$3:E$999="INR")*(Expenses!A$3:A$999=DATE(2026,10,20)),ROW(Expenses!A$3:A$999)-2),4)),0)+IFERROR(INDEX(Income!C$3:C$502,SMALL(IF((Income!D$3:D$502="INR")*(Income!A$3:A$502=DATE(2026,10,20)),ROW(Income!A$3:A$502)-2),4)),0))</f>
        <v/>
      </c>
      <c r="F217" s="126">
        <f t="array" ref="F217">IF(IFERROR(INDEX(Expenses!B$3:B$999,SMALL(IF((Expenses!E$3:E$999="INR")*(Expenses!A$3:A$999=DATE(2026,10,20)),ROW(Expenses!A$3:A$999)-2),4)),"")&lt;&gt;"",IFERROR(INDEX(Expenses!B$3:B$999,SMALL(IF((Expenses!E$3:E$999="INR")*(Expenses!A$3:A$999=DATE(2026,10,20)),ROW(Expenses!A$3:A$999)-2),4)),""),IF(IFERROR(INDEX(Income!B$3:B$502,SMALL(IF((Income!D$3:D$502="INR")*(Income!A$3:A$502=DATE(2026,10,20)),ROW(Income!A$3:A$502)-2),4)),"")&lt;&gt;"",IFERROR(INDEX(Income!B$3:B$502,SMALL(IF((Income!D$3:D$502="INR")*(Income!A$3:A$502=DATE(2026,10,20)),ROW(Income!A$3:A$502)-2),4)),""),""))</f>
        <v/>
      </c>
      <c r="G217" s="153">
        <f t="array" ref="G217">IF(IFERROR(-INDEX(Expenses!D$3:D$999,SMALL(IF((Expenses!E$3:E$999="INR")*(Expenses!A$3:A$999=DATE(2026,10,21)),ROW(Expenses!A$3:A$999)-2),4)),0)+IFERROR(INDEX(Income!C$3:C$502,SMALL(IF((Income!D$3:D$502="INR")*(Income!A$3:A$502=DATE(2026,10,21)),ROW(Income!A$3:A$502)-2),4)),0)=0,"",IFERROR(-INDEX(Expenses!D$3:D$999,SMALL(IF((Expenses!E$3:E$999="INR")*(Expenses!A$3:A$999=DATE(2026,10,21)),ROW(Expenses!A$3:A$999)-2),4)),0)+IFERROR(INDEX(Income!C$3:C$502,SMALL(IF((Income!D$3:D$502="INR")*(Income!A$3:A$502=DATE(2026,10,21)),ROW(Income!A$3:A$502)-2),4)),0))</f>
        <v/>
      </c>
      <c r="H217" s="126">
        <f t="array" ref="H217">IF(IFERROR(INDEX(Expenses!B$3:B$999,SMALL(IF((Expenses!E$3:E$999="INR")*(Expenses!A$3:A$999=DATE(2026,10,21)),ROW(Expenses!A$3:A$999)-2),4)),"")&lt;&gt;"",IFERROR(INDEX(Expenses!B$3:B$999,SMALL(IF((Expenses!E$3:E$999="INR")*(Expenses!A$3:A$999=DATE(2026,10,21)),ROW(Expenses!A$3:A$999)-2),4)),""),IF(IFERROR(INDEX(Income!B$3:B$502,SMALL(IF((Income!D$3:D$502="INR")*(Income!A$3:A$502=DATE(2026,10,21)),ROW(Income!A$3:A$502)-2),4)),"")&lt;&gt;"",IFERROR(INDEX(Income!B$3:B$502,SMALL(IF((Income!D$3:D$502="INR")*(Income!A$3:A$502=DATE(2026,10,21)),ROW(Income!A$3:A$502)-2),4)),""),""))</f>
        <v/>
      </c>
      <c r="I217" s="153">
        <f t="array" ref="I217">IF(IFERROR(-INDEX(Expenses!D$3:D$999,SMALL(IF((Expenses!E$3:E$999="INR")*(Expenses!A$3:A$999=DATE(2026,10,22)),ROW(Expenses!A$3:A$999)-2),4)),0)+IFERROR(INDEX(Income!C$3:C$502,SMALL(IF((Income!D$3:D$502="INR")*(Income!A$3:A$502=DATE(2026,10,22)),ROW(Income!A$3:A$502)-2),4)),0)=0,"",IFERROR(-INDEX(Expenses!D$3:D$999,SMALL(IF((Expenses!E$3:E$999="INR")*(Expenses!A$3:A$999=DATE(2026,10,22)),ROW(Expenses!A$3:A$999)-2),4)),0)+IFERROR(INDEX(Income!C$3:C$502,SMALL(IF((Income!D$3:D$502="INR")*(Income!A$3:A$502=DATE(2026,10,22)),ROW(Income!A$3:A$502)-2),4)),0))</f>
        <v/>
      </c>
      <c r="J217" s="126">
        <f t="array" ref="J217">IF(IFERROR(INDEX(Expenses!B$3:B$999,SMALL(IF((Expenses!E$3:E$999="INR")*(Expenses!A$3:A$999=DATE(2026,10,22)),ROW(Expenses!A$3:A$999)-2),4)),"")&lt;&gt;"",IFERROR(INDEX(Expenses!B$3:B$999,SMALL(IF((Expenses!E$3:E$999="INR")*(Expenses!A$3:A$999=DATE(2026,10,22)),ROW(Expenses!A$3:A$999)-2),4)),""),IF(IFERROR(INDEX(Income!B$3:B$502,SMALL(IF((Income!D$3:D$502="INR")*(Income!A$3:A$502=DATE(2026,10,22)),ROW(Income!A$3:A$502)-2),4)),"")&lt;&gt;"",IFERROR(INDEX(Income!B$3:B$502,SMALL(IF((Income!D$3:D$502="INR")*(Income!A$3:A$502=DATE(2026,10,22)),ROW(Income!A$3:A$502)-2),4)),""),""))</f>
        <v/>
      </c>
      <c r="K217" s="153">
        <f t="array" ref="K217">IF(IFERROR(-INDEX(Expenses!D$3:D$999,SMALL(IF((Expenses!E$3:E$999="INR")*(Expenses!A$3:A$999=DATE(2026,10,23)),ROW(Expenses!A$3:A$999)-2),4)),0)+IFERROR(INDEX(Income!C$3:C$502,SMALL(IF((Income!D$3:D$502="INR")*(Income!A$3:A$502=DATE(2026,10,23)),ROW(Income!A$3:A$502)-2),4)),0)=0,"",IFERROR(-INDEX(Expenses!D$3:D$999,SMALL(IF((Expenses!E$3:E$999="INR")*(Expenses!A$3:A$999=DATE(2026,10,23)),ROW(Expenses!A$3:A$999)-2),4)),0)+IFERROR(INDEX(Income!C$3:C$502,SMALL(IF((Income!D$3:D$502="INR")*(Income!A$3:A$502=DATE(2026,10,23)),ROW(Income!A$3:A$502)-2),4)),0))</f>
        <v/>
      </c>
      <c r="L217" s="126">
        <f t="array" ref="L217">IF(IFERROR(INDEX(Expenses!B$3:B$999,SMALL(IF((Expenses!E$3:E$999="INR")*(Expenses!A$3:A$999=DATE(2026,10,23)),ROW(Expenses!A$3:A$999)-2),4)),"")&lt;&gt;"",IFERROR(INDEX(Expenses!B$3:B$999,SMALL(IF((Expenses!E$3:E$999="INR")*(Expenses!A$3:A$999=DATE(2026,10,23)),ROW(Expenses!A$3:A$999)-2),4)),""),IF(IFERROR(INDEX(Income!B$3:B$502,SMALL(IF((Income!D$3:D$502="INR")*(Income!A$3:A$502=DATE(2026,10,23)),ROW(Income!A$3:A$502)-2),4)),"")&lt;&gt;"",IFERROR(INDEX(Income!B$3:B$502,SMALL(IF((Income!D$3:D$502="INR")*(Income!A$3:A$502=DATE(2026,10,23)),ROW(Income!A$3:A$502)-2),4)),""),""))</f>
        <v/>
      </c>
      <c r="M217" s="153">
        <f t="array" ref="M217">IF(IFERROR(-INDEX(Expenses!D$3:D$999,SMALL(IF((Expenses!E$3:E$999="INR")*(Expenses!A$3:A$999=DATE(2026,10,24)),ROW(Expenses!A$3:A$999)-2),4)),0)+IFERROR(INDEX(Income!C$3:C$502,SMALL(IF((Income!D$3:D$502="INR")*(Income!A$3:A$502=DATE(2026,10,24)),ROW(Income!A$3:A$502)-2),4)),0)=0,"",IFERROR(-INDEX(Expenses!D$3:D$999,SMALL(IF((Expenses!E$3:E$999="INR")*(Expenses!A$3:A$999=DATE(2026,10,24)),ROW(Expenses!A$3:A$999)-2),4)),0)+IFERROR(INDEX(Income!C$3:C$502,SMALL(IF((Income!D$3:D$502="INR")*(Income!A$3:A$502=DATE(2026,10,24)),ROW(Income!A$3:A$502)-2),4)),0))</f>
        <v/>
      </c>
      <c r="N217" s="126">
        <f t="array" ref="N217">IF(IFERROR(INDEX(Expenses!B$3:B$999,SMALL(IF((Expenses!E$3:E$999="INR")*(Expenses!A$3:A$999=DATE(2026,10,24)),ROW(Expenses!A$3:A$999)-2),4)),"")&lt;&gt;"",IFERROR(INDEX(Expenses!B$3:B$999,SMALL(IF((Expenses!E$3:E$999="INR")*(Expenses!A$3:A$999=DATE(2026,10,24)),ROW(Expenses!A$3:A$999)-2),4)),""),IF(IFERROR(INDEX(Income!B$3:B$502,SMALL(IF((Income!D$3:D$502="INR")*(Income!A$3:A$502=DATE(2026,10,24)),ROW(Income!A$3:A$502)-2),4)),"")&lt;&gt;"",IFERROR(INDEX(Income!B$3:B$502,SMALL(IF((Income!D$3:D$502="INR")*(Income!A$3:A$502=DATE(2026,10,24)),ROW(Income!A$3:A$502)-2),4)),""),""))</f>
        <v/>
      </c>
      <c r="O217" s="153">
        <f t="array" ref="O217">IF(IFERROR(-INDEX(Expenses!D$3:D$999,SMALL(IF((Expenses!E$3:E$999="INR")*(Expenses!A$3:A$999=DATE(2026,10,25)),ROW(Expenses!A$3:A$999)-2),4)),0)+IFERROR(INDEX(Income!C$3:C$502,SMALL(IF((Income!D$3:D$502="INR")*(Income!A$3:A$502=DATE(2026,10,25)),ROW(Income!A$3:A$502)-2),4)),0)=0,"",IFERROR(-INDEX(Expenses!D$3:D$999,SMALL(IF((Expenses!E$3:E$999="INR")*(Expenses!A$3:A$999=DATE(2026,10,25)),ROW(Expenses!A$3:A$999)-2),4)),0)+IFERROR(INDEX(Income!C$3:C$502,SMALL(IF((Income!D$3:D$502="INR")*(Income!A$3:A$502=DATE(2026,10,25)),ROW(Income!A$3:A$502)-2),4)),0))</f>
        <v/>
      </c>
      <c r="P217" s="126">
        <f t="array" ref="P217">IF(IFERROR(INDEX(Expenses!B$3:B$999,SMALL(IF((Expenses!E$3:E$999="INR")*(Expenses!A$3:A$999=DATE(2026,10,25)),ROW(Expenses!A$3:A$999)-2),4)),"")&lt;&gt;"",IFERROR(INDEX(Expenses!B$3:B$999,SMALL(IF((Expenses!E$3:E$999="INR")*(Expenses!A$3:A$999=DATE(2026,10,25)),ROW(Expenses!A$3:A$999)-2),4)),""),IF(IFERROR(INDEX(Income!B$3:B$502,SMALL(IF((Income!D$3:D$502="INR")*(Income!A$3:A$502=DATE(2026,10,25)),ROW(Income!A$3:A$502)-2),4)),"")&lt;&gt;"",IFERROR(INDEX(Income!B$3:B$502,SMALL(IF((Income!D$3:D$502="INR")*(Income!A$3:A$502=DATE(2026,10,25)),ROW(Income!A$3:A$502)-2),4)),""),""))</f>
        <v/>
      </c>
      <c r="Q217" s="9" t="n"/>
      <c r="R217" s="9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68">
      <c r="A218" s="9" t="n"/>
      <c r="B218" s="9" t="n"/>
      <c r="C218" s="153">
        <f t="array" ref="C218">IF(IFERROR(-INDEX(Expenses!D$3:D$999,SMALL(IF((Expenses!E$3:E$999="INR")*(Expenses!A$3:A$999=DATE(2026,10,19)),ROW(Expenses!A$3:A$999)-2),5)),0)+IFERROR(INDEX(Income!C$3:C$502,SMALL(IF((Income!D$3:D$502="INR")*(Income!A$3:A$502=DATE(2026,10,19)),ROW(Income!A$3:A$502)-2),5)),0)=0,"",IFERROR(-INDEX(Expenses!D$3:D$999,SMALL(IF((Expenses!E$3:E$999="INR")*(Expenses!A$3:A$999=DATE(2026,10,19)),ROW(Expenses!A$3:A$999)-2),5)),0)+IFERROR(INDEX(Income!C$3:C$502,SMALL(IF((Income!D$3:D$502="INR")*(Income!A$3:A$502=DATE(2026,10,19)),ROW(Income!A$3:A$502)-2),5)),0))</f>
        <v/>
      </c>
      <c r="D218" s="126">
        <f t="array" ref="D218">IF(IFERROR(INDEX(Expenses!B$3:B$999,SMALL(IF((Expenses!E$3:E$999="INR")*(Expenses!A$3:A$999=DATE(2026,10,19)),ROW(Expenses!A$3:A$999)-2),5)),"")&lt;&gt;"",IFERROR(INDEX(Expenses!B$3:B$999,SMALL(IF((Expenses!E$3:E$999="INR")*(Expenses!A$3:A$999=DATE(2026,10,19)),ROW(Expenses!A$3:A$999)-2),5)),""),IF(IFERROR(INDEX(Income!B$3:B$502,SMALL(IF((Income!D$3:D$502="INR")*(Income!A$3:A$502=DATE(2026,10,19)),ROW(Income!A$3:A$502)-2),5)),"")&lt;&gt;"",IFERROR(INDEX(Income!B$3:B$502,SMALL(IF((Income!D$3:D$502="INR")*(Income!A$3:A$502=DATE(2026,10,19)),ROW(Income!A$3:A$502)-2),5)),""),""))</f>
        <v/>
      </c>
      <c r="E218" s="153">
        <f t="array" ref="E218">IF(IFERROR(-INDEX(Expenses!D$3:D$999,SMALL(IF((Expenses!E$3:E$999="INR")*(Expenses!A$3:A$999=DATE(2026,10,20)),ROW(Expenses!A$3:A$999)-2),5)),0)+IFERROR(INDEX(Income!C$3:C$502,SMALL(IF((Income!D$3:D$502="INR")*(Income!A$3:A$502=DATE(2026,10,20)),ROW(Income!A$3:A$502)-2),5)),0)=0,"",IFERROR(-INDEX(Expenses!D$3:D$999,SMALL(IF((Expenses!E$3:E$999="INR")*(Expenses!A$3:A$999=DATE(2026,10,20)),ROW(Expenses!A$3:A$999)-2),5)),0)+IFERROR(INDEX(Income!C$3:C$502,SMALL(IF((Income!D$3:D$502="INR")*(Income!A$3:A$502=DATE(2026,10,20)),ROW(Income!A$3:A$502)-2),5)),0))</f>
        <v/>
      </c>
      <c r="F218" s="126">
        <f t="array" ref="F218">IF(IFERROR(INDEX(Expenses!B$3:B$999,SMALL(IF((Expenses!E$3:E$999="INR")*(Expenses!A$3:A$999=DATE(2026,10,20)),ROW(Expenses!A$3:A$999)-2),5)),"")&lt;&gt;"",IFERROR(INDEX(Expenses!B$3:B$999,SMALL(IF((Expenses!E$3:E$999="INR")*(Expenses!A$3:A$999=DATE(2026,10,20)),ROW(Expenses!A$3:A$999)-2),5)),""),IF(IFERROR(INDEX(Income!B$3:B$502,SMALL(IF((Income!D$3:D$502="INR")*(Income!A$3:A$502=DATE(2026,10,20)),ROW(Income!A$3:A$502)-2),5)),"")&lt;&gt;"",IFERROR(INDEX(Income!B$3:B$502,SMALL(IF((Income!D$3:D$502="INR")*(Income!A$3:A$502=DATE(2026,10,20)),ROW(Income!A$3:A$502)-2),5)),""),""))</f>
        <v/>
      </c>
      <c r="G218" s="153">
        <f t="array" ref="G218">IF(IFERROR(-INDEX(Expenses!D$3:D$999,SMALL(IF((Expenses!E$3:E$999="INR")*(Expenses!A$3:A$999=DATE(2026,10,21)),ROW(Expenses!A$3:A$999)-2),5)),0)+IFERROR(INDEX(Income!C$3:C$502,SMALL(IF((Income!D$3:D$502="INR")*(Income!A$3:A$502=DATE(2026,10,21)),ROW(Income!A$3:A$502)-2),5)),0)=0,"",IFERROR(-INDEX(Expenses!D$3:D$999,SMALL(IF((Expenses!E$3:E$999="INR")*(Expenses!A$3:A$999=DATE(2026,10,21)),ROW(Expenses!A$3:A$999)-2),5)),0)+IFERROR(INDEX(Income!C$3:C$502,SMALL(IF((Income!D$3:D$502="INR")*(Income!A$3:A$502=DATE(2026,10,21)),ROW(Income!A$3:A$502)-2),5)),0))</f>
        <v/>
      </c>
      <c r="H218" s="126">
        <f t="array" ref="H218">IF(IFERROR(INDEX(Expenses!B$3:B$999,SMALL(IF((Expenses!E$3:E$999="INR")*(Expenses!A$3:A$999=DATE(2026,10,21)),ROW(Expenses!A$3:A$999)-2),5)),"")&lt;&gt;"",IFERROR(INDEX(Expenses!B$3:B$999,SMALL(IF((Expenses!E$3:E$999="INR")*(Expenses!A$3:A$999=DATE(2026,10,21)),ROW(Expenses!A$3:A$999)-2),5)),""),IF(IFERROR(INDEX(Income!B$3:B$502,SMALL(IF((Income!D$3:D$502="INR")*(Income!A$3:A$502=DATE(2026,10,21)),ROW(Income!A$3:A$502)-2),5)),"")&lt;&gt;"",IFERROR(INDEX(Income!B$3:B$502,SMALL(IF((Income!D$3:D$502="INR")*(Income!A$3:A$502=DATE(2026,10,21)),ROW(Income!A$3:A$502)-2),5)),""),""))</f>
        <v/>
      </c>
      <c r="I218" s="153">
        <f t="array" ref="I218">IF(IFERROR(-INDEX(Expenses!D$3:D$999,SMALL(IF((Expenses!E$3:E$999="INR")*(Expenses!A$3:A$999=DATE(2026,10,22)),ROW(Expenses!A$3:A$999)-2),5)),0)+IFERROR(INDEX(Income!C$3:C$502,SMALL(IF((Income!D$3:D$502="INR")*(Income!A$3:A$502=DATE(2026,10,22)),ROW(Income!A$3:A$502)-2),5)),0)=0,"",IFERROR(-INDEX(Expenses!D$3:D$999,SMALL(IF((Expenses!E$3:E$999="INR")*(Expenses!A$3:A$999=DATE(2026,10,22)),ROW(Expenses!A$3:A$999)-2),5)),0)+IFERROR(INDEX(Income!C$3:C$502,SMALL(IF((Income!D$3:D$502="INR")*(Income!A$3:A$502=DATE(2026,10,22)),ROW(Income!A$3:A$502)-2),5)),0))</f>
        <v/>
      </c>
      <c r="J218" s="126">
        <f t="array" ref="J218">IF(IFERROR(INDEX(Expenses!B$3:B$999,SMALL(IF((Expenses!E$3:E$999="INR")*(Expenses!A$3:A$999=DATE(2026,10,22)),ROW(Expenses!A$3:A$999)-2),5)),"")&lt;&gt;"",IFERROR(INDEX(Expenses!B$3:B$999,SMALL(IF((Expenses!E$3:E$999="INR")*(Expenses!A$3:A$999=DATE(2026,10,22)),ROW(Expenses!A$3:A$999)-2),5)),""),IF(IFERROR(INDEX(Income!B$3:B$502,SMALL(IF((Income!D$3:D$502="INR")*(Income!A$3:A$502=DATE(2026,10,22)),ROW(Income!A$3:A$502)-2),5)),"")&lt;&gt;"",IFERROR(INDEX(Income!B$3:B$502,SMALL(IF((Income!D$3:D$502="INR")*(Income!A$3:A$502=DATE(2026,10,22)),ROW(Income!A$3:A$502)-2),5)),""),""))</f>
        <v/>
      </c>
      <c r="K218" s="153">
        <f t="array" ref="K218">IF(IFERROR(-INDEX(Expenses!D$3:D$999,SMALL(IF((Expenses!E$3:E$999="INR")*(Expenses!A$3:A$999=DATE(2026,10,23)),ROW(Expenses!A$3:A$999)-2),5)),0)+IFERROR(INDEX(Income!C$3:C$502,SMALL(IF((Income!D$3:D$502="INR")*(Income!A$3:A$502=DATE(2026,10,23)),ROW(Income!A$3:A$502)-2),5)),0)=0,"",IFERROR(-INDEX(Expenses!D$3:D$999,SMALL(IF((Expenses!E$3:E$999="INR")*(Expenses!A$3:A$999=DATE(2026,10,23)),ROW(Expenses!A$3:A$999)-2),5)),0)+IFERROR(INDEX(Income!C$3:C$502,SMALL(IF((Income!D$3:D$502="INR")*(Income!A$3:A$502=DATE(2026,10,23)),ROW(Income!A$3:A$502)-2),5)),0))</f>
        <v/>
      </c>
      <c r="L218" s="126">
        <f t="array" ref="L218">IF(IFERROR(INDEX(Expenses!B$3:B$999,SMALL(IF((Expenses!E$3:E$999="INR")*(Expenses!A$3:A$999=DATE(2026,10,23)),ROW(Expenses!A$3:A$999)-2),5)),"")&lt;&gt;"",IFERROR(INDEX(Expenses!B$3:B$999,SMALL(IF((Expenses!E$3:E$999="INR")*(Expenses!A$3:A$999=DATE(2026,10,23)),ROW(Expenses!A$3:A$999)-2),5)),""),IF(IFERROR(INDEX(Income!B$3:B$502,SMALL(IF((Income!D$3:D$502="INR")*(Income!A$3:A$502=DATE(2026,10,23)),ROW(Income!A$3:A$502)-2),5)),"")&lt;&gt;"",IFERROR(INDEX(Income!B$3:B$502,SMALL(IF((Income!D$3:D$502="INR")*(Income!A$3:A$502=DATE(2026,10,23)),ROW(Income!A$3:A$502)-2),5)),""),""))</f>
        <v/>
      </c>
      <c r="M218" s="153">
        <f t="array" ref="M218">IF(IFERROR(-INDEX(Expenses!D$3:D$999,SMALL(IF((Expenses!E$3:E$999="INR")*(Expenses!A$3:A$999=DATE(2026,10,24)),ROW(Expenses!A$3:A$999)-2),5)),0)+IFERROR(INDEX(Income!C$3:C$502,SMALL(IF((Income!D$3:D$502="INR")*(Income!A$3:A$502=DATE(2026,10,24)),ROW(Income!A$3:A$502)-2),5)),0)=0,"",IFERROR(-INDEX(Expenses!D$3:D$999,SMALL(IF((Expenses!E$3:E$999="INR")*(Expenses!A$3:A$999=DATE(2026,10,24)),ROW(Expenses!A$3:A$999)-2),5)),0)+IFERROR(INDEX(Income!C$3:C$502,SMALL(IF((Income!D$3:D$502="INR")*(Income!A$3:A$502=DATE(2026,10,24)),ROW(Income!A$3:A$502)-2),5)),0))</f>
        <v/>
      </c>
      <c r="N218" s="126">
        <f t="array" ref="N218">IF(IFERROR(INDEX(Expenses!B$3:B$999,SMALL(IF((Expenses!E$3:E$999="INR")*(Expenses!A$3:A$999=DATE(2026,10,24)),ROW(Expenses!A$3:A$999)-2),5)),"")&lt;&gt;"",IFERROR(INDEX(Expenses!B$3:B$999,SMALL(IF((Expenses!E$3:E$999="INR")*(Expenses!A$3:A$999=DATE(2026,10,24)),ROW(Expenses!A$3:A$999)-2),5)),""),IF(IFERROR(INDEX(Income!B$3:B$502,SMALL(IF((Income!D$3:D$502="INR")*(Income!A$3:A$502=DATE(2026,10,24)),ROW(Income!A$3:A$502)-2),5)),"")&lt;&gt;"",IFERROR(INDEX(Income!B$3:B$502,SMALL(IF((Income!D$3:D$502="INR")*(Income!A$3:A$502=DATE(2026,10,24)),ROW(Income!A$3:A$502)-2),5)),""),""))</f>
        <v/>
      </c>
      <c r="O218" s="153">
        <f t="array" ref="O218">IF(IFERROR(-INDEX(Expenses!D$3:D$999,SMALL(IF((Expenses!E$3:E$999="INR")*(Expenses!A$3:A$999=DATE(2026,10,25)),ROW(Expenses!A$3:A$999)-2),5)),0)+IFERROR(INDEX(Income!C$3:C$502,SMALL(IF((Income!D$3:D$502="INR")*(Income!A$3:A$502=DATE(2026,10,25)),ROW(Income!A$3:A$502)-2),5)),0)=0,"",IFERROR(-INDEX(Expenses!D$3:D$999,SMALL(IF((Expenses!E$3:E$999="INR")*(Expenses!A$3:A$999=DATE(2026,10,25)),ROW(Expenses!A$3:A$999)-2),5)),0)+IFERROR(INDEX(Income!C$3:C$502,SMALL(IF((Income!D$3:D$502="INR")*(Income!A$3:A$502=DATE(2026,10,25)),ROW(Income!A$3:A$502)-2),5)),0))</f>
        <v/>
      </c>
      <c r="P218" s="126">
        <f t="array" ref="P218">IF(IFERROR(INDEX(Expenses!B$3:B$999,SMALL(IF((Expenses!E$3:E$999="INR")*(Expenses!A$3:A$999=DATE(2026,10,25)),ROW(Expenses!A$3:A$999)-2),5)),"")&lt;&gt;"",IFERROR(INDEX(Expenses!B$3:B$999,SMALL(IF((Expenses!E$3:E$999="INR")*(Expenses!A$3:A$999=DATE(2026,10,25)),ROW(Expenses!A$3:A$999)-2),5)),""),IF(IFERROR(INDEX(Income!B$3:B$502,SMALL(IF((Income!D$3:D$502="INR")*(Income!A$3:A$502=DATE(2026,10,25)),ROW(Income!A$3:A$502)-2),5)),"")&lt;&gt;"",IFERROR(INDEX(Income!B$3:B$502,SMALL(IF((Income!D$3:D$502="INR")*(Income!A$3:A$502=DATE(2026,10,25)),ROW(Income!A$3:A$502)-2),5)),""),""))</f>
        <v/>
      </c>
      <c r="Q218" s="9" t="n"/>
      <c r="R218" s="9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68">
      <c r="A219" s="151" t="n">
        <v>46321</v>
      </c>
      <c r="B219" s="103" t="n">
        <v>44</v>
      </c>
      <c r="C219" s="153">
        <f t="array" ref="C219">IF(IFERROR(-INDEX(Expenses!D$3:D$999,SMALL(IF((Expenses!E$3:E$999="INR")*(Expenses!A$3:A$999=DATE(2026,10,26)),ROW(Expenses!A$3:A$999)-2),1)),0)+IFERROR(INDEX(Income!C$3:C$502,SMALL(IF((Income!D$3:D$502="INR")*(Income!A$3:A$502=DATE(2026,10,26)),ROW(Income!A$3:A$502)-2),1)),0)=0,"",IFERROR(-INDEX(Expenses!D$3:D$999,SMALL(IF((Expenses!E$3:E$999="INR")*(Expenses!A$3:A$999=DATE(2026,10,26)),ROW(Expenses!A$3:A$999)-2),1)),0)+IFERROR(INDEX(Income!C$3:C$502,SMALL(IF((Income!D$3:D$502="INR")*(Income!A$3:A$502=DATE(2026,10,26)),ROW(Income!A$3:A$502)-2),1)),0))</f>
        <v/>
      </c>
      <c r="D219" s="126">
        <f t="array" ref="D219">IF(IFERROR(INDEX(Expenses!B$3:B$999,SMALL(IF((Expenses!E$3:E$999="INR")*(Expenses!A$3:A$999=DATE(2026,10,26)),ROW(Expenses!A$3:A$999)-2),1)),"")&lt;&gt;"",IFERROR(INDEX(Expenses!B$3:B$999,SMALL(IF((Expenses!E$3:E$999="INR")*(Expenses!A$3:A$999=DATE(2026,10,26)),ROW(Expenses!A$3:A$999)-2),1)),""),IF(IFERROR(INDEX(Income!B$3:B$502,SMALL(IF((Income!D$3:D$502="INR")*(Income!A$3:A$502=DATE(2026,10,26)),ROW(Income!A$3:A$502)-2),1)),"")&lt;&gt;"",IFERROR(INDEX(Income!B$3:B$502,SMALL(IF((Income!D$3:D$502="INR")*(Income!A$3:A$502=DATE(2026,10,26)),ROW(Income!A$3:A$502)-2),1)),""),""))</f>
        <v/>
      </c>
      <c r="E219" s="153">
        <f t="array" ref="E219">IF(IFERROR(-INDEX(Expenses!D$3:D$999,SMALL(IF((Expenses!E$3:E$999="INR")*(Expenses!A$3:A$999=DATE(2026,10,27)),ROW(Expenses!A$3:A$999)-2),1)),0)+IFERROR(INDEX(Income!C$3:C$502,SMALL(IF((Income!D$3:D$502="INR")*(Income!A$3:A$502=DATE(2026,10,27)),ROW(Income!A$3:A$502)-2),1)),0)=0,"",IFERROR(-INDEX(Expenses!D$3:D$999,SMALL(IF((Expenses!E$3:E$999="INR")*(Expenses!A$3:A$999=DATE(2026,10,27)),ROW(Expenses!A$3:A$999)-2),1)),0)+IFERROR(INDEX(Income!C$3:C$502,SMALL(IF((Income!D$3:D$502="INR")*(Income!A$3:A$502=DATE(2026,10,27)),ROW(Income!A$3:A$502)-2),1)),0))</f>
        <v/>
      </c>
      <c r="F219" s="126">
        <f t="array" ref="F219">IF(IFERROR(INDEX(Expenses!B$3:B$999,SMALL(IF((Expenses!E$3:E$999="INR")*(Expenses!A$3:A$999=DATE(2026,10,27)),ROW(Expenses!A$3:A$999)-2),1)),"")&lt;&gt;"",IFERROR(INDEX(Expenses!B$3:B$999,SMALL(IF((Expenses!E$3:E$999="INR")*(Expenses!A$3:A$999=DATE(2026,10,27)),ROW(Expenses!A$3:A$999)-2),1)),""),IF(IFERROR(INDEX(Income!B$3:B$502,SMALL(IF((Income!D$3:D$502="INR")*(Income!A$3:A$502=DATE(2026,10,27)),ROW(Income!A$3:A$502)-2),1)),"")&lt;&gt;"",IFERROR(INDEX(Income!B$3:B$502,SMALL(IF((Income!D$3:D$502="INR")*(Income!A$3:A$502=DATE(2026,10,27)),ROW(Income!A$3:A$502)-2),1)),""),""))</f>
        <v/>
      </c>
      <c r="G219" s="153">
        <f t="array" ref="G219">IF(IFERROR(-INDEX(Expenses!D$3:D$999,SMALL(IF((Expenses!E$3:E$999="INR")*(Expenses!A$3:A$999=DATE(2026,10,28)),ROW(Expenses!A$3:A$999)-2),1)),0)+IFERROR(INDEX(Income!C$3:C$502,SMALL(IF((Income!D$3:D$502="INR")*(Income!A$3:A$502=DATE(2026,10,28)),ROW(Income!A$3:A$502)-2),1)),0)=0,"",IFERROR(-INDEX(Expenses!D$3:D$999,SMALL(IF((Expenses!E$3:E$999="INR")*(Expenses!A$3:A$999=DATE(2026,10,28)),ROW(Expenses!A$3:A$999)-2),1)),0)+IFERROR(INDEX(Income!C$3:C$502,SMALL(IF((Income!D$3:D$502="INR")*(Income!A$3:A$502=DATE(2026,10,28)),ROW(Income!A$3:A$502)-2),1)),0))</f>
        <v/>
      </c>
      <c r="H219" s="126">
        <f t="array" ref="H219">IF(IFERROR(INDEX(Expenses!B$3:B$999,SMALL(IF((Expenses!E$3:E$999="INR")*(Expenses!A$3:A$999=DATE(2026,10,28)),ROW(Expenses!A$3:A$999)-2),1)),"")&lt;&gt;"",IFERROR(INDEX(Expenses!B$3:B$999,SMALL(IF((Expenses!E$3:E$999="INR")*(Expenses!A$3:A$999=DATE(2026,10,28)),ROW(Expenses!A$3:A$999)-2),1)),""),IF(IFERROR(INDEX(Income!B$3:B$502,SMALL(IF((Income!D$3:D$502="INR")*(Income!A$3:A$502=DATE(2026,10,28)),ROW(Income!A$3:A$502)-2),1)),"")&lt;&gt;"",IFERROR(INDEX(Income!B$3:B$502,SMALL(IF((Income!D$3:D$502="INR")*(Income!A$3:A$502=DATE(2026,10,28)),ROW(Income!A$3:A$502)-2),1)),""),""))</f>
        <v/>
      </c>
      <c r="I219" s="153">
        <f t="array" ref="I219">IF(IFERROR(-INDEX(Expenses!D$3:D$999,SMALL(IF((Expenses!E$3:E$999="INR")*(Expenses!A$3:A$999=DATE(2026,10,29)),ROW(Expenses!A$3:A$999)-2),1)),0)+IFERROR(INDEX(Income!C$3:C$502,SMALL(IF((Income!D$3:D$502="INR")*(Income!A$3:A$502=DATE(2026,10,29)),ROW(Income!A$3:A$502)-2),1)),0)=0,"",IFERROR(-INDEX(Expenses!D$3:D$999,SMALL(IF((Expenses!E$3:E$999="INR")*(Expenses!A$3:A$999=DATE(2026,10,29)),ROW(Expenses!A$3:A$999)-2),1)),0)+IFERROR(INDEX(Income!C$3:C$502,SMALL(IF((Income!D$3:D$502="INR")*(Income!A$3:A$502=DATE(2026,10,29)),ROW(Income!A$3:A$502)-2),1)),0))</f>
        <v/>
      </c>
      <c r="J219" s="126">
        <f t="array" ref="J219">IF(IFERROR(INDEX(Expenses!B$3:B$999,SMALL(IF((Expenses!E$3:E$999="INR")*(Expenses!A$3:A$999=DATE(2026,10,29)),ROW(Expenses!A$3:A$999)-2),1)),"")&lt;&gt;"",IFERROR(INDEX(Expenses!B$3:B$999,SMALL(IF((Expenses!E$3:E$999="INR")*(Expenses!A$3:A$999=DATE(2026,10,29)),ROW(Expenses!A$3:A$999)-2),1)),""),IF(IFERROR(INDEX(Income!B$3:B$502,SMALL(IF((Income!D$3:D$502="INR")*(Income!A$3:A$502=DATE(2026,10,29)),ROW(Income!A$3:A$502)-2),1)),"")&lt;&gt;"",IFERROR(INDEX(Income!B$3:B$502,SMALL(IF((Income!D$3:D$502="INR")*(Income!A$3:A$502=DATE(2026,10,29)),ROW(Income!A$3:A$502)-2),1)),""),""))</f>
        <v/>
      </c>
      <c r="K219" s="153">
        <f t="array" ref="K219">IF(IFERROR(-INDEX(Expenses!D$3:D$999,SMALL(IF((Expenses!E$3:E$999="INR")*(Expenses!A$3:A$999=DATE(2026,10,30)),ROW(Expenses!A$3:A$999)-2),1)),0)+IFERROR(INDEX(Income!C$3:C$502,SMALL(IF((Income!D$3:D$502="INR")*(Income!A$3:A$502=DATE(2026,10,30)),ROW(Income!A$3:A$502)-2),1)),0)=0,"",IFERROR(-INDEX(Expenses!D$3:D$999,SMALL(IF((Expenses!E$3:E$999="INR")*(Expenses!A$3:A$999=DATE(2026,10,30)),ROW(Expenses!A$3:A$999)-2),1)),0)+IFERROR(INDEX(Income!C$3:C$502,SMALL(IF((Income!D$3:D$502="INR")*(Income!A$3:A$502=DATE(2026,10,30)),ROW(Income!A$3:A$502)-2),1)),0))</f>
        <v/>
      </c>
      <c r="L219" s="126">
        <f t="array" ref="L219">IF(IFERROR(INDEX(Expenses!B$3:B$999,SMALL(IF((Expenses!E$3:E$999="INR")*(Expenses!A$3:A$999=DATE(2026,10,30)),ROW(Expenses!A$3:A$999)-2),1)),"")&lt;&gt;"",IFERROR(INDEX(Expenses!B$3:B$999,SMALL(IF((Expenses!E$3:E$999="INR")*(Expenses!A$3:A$999=DATE(2026,10,30)),ROW(Expenses!A$3:A$999)-2),1)),""),IF(IFERROR(INDEX(Income!B$3:B$502,SMALL(IF((Income!D$3:D$502="INR")*(Income!A$3:A$502=DATE(2026,10,30)),ROW(Income!A$3:A$502)-2),1)),"")&lt;&gt;"",IFERROR(INDEX(Income!B$3:B$502,SMALL(IF((Income!D$3:D$502="INR")*(Income!A$3:A$502=DATE(2026,10,30)),ROW(Income!A$3:A$502)-2),1)),""),""))</f>
        <v/>
      </c>
      <c r="M219" s="153">
        <f t="array" ref="M219">IF(IFERROR(-INDEX(Expenses!D$3:D$999,SMALL(IF((Expenses!E$3:E$999="INR")*(Expenses!A$3:A$999=DATE(2026,10,31)),ROW(Expenses!A$3:A$999)-2),1)),0)+IFERROR(INDEX(Income!C$3:C$502,SMALL(IF((Income!D$3:D$502="INR")*(Income!A$3:A$502=DATE(2026,10,31)),ROW(Income!A$3:A$502)-2),1)),0)=0,"",IFERROR(-INDEX(Expenses!D$3:D$999,SMALL(IF((Expenses!E$3:E$999="INR")*(Expenses!A$3:A$999=DATE(2026,10,31)),ROW(Expenses!A$3:A$999)-2),1)),0)+IFERROR(INDEX(Income!C$3:C$502,SMALL(IF((Income!D$3:D$502="INR")*(Income!A$3:A$502=DATE(2026,10,31)),ROW(Income!A$3:A$502)-2),1)),0))</f>
        <v/>
      </c>
      <c r="N219" s="126">
        <f t="array" ref="N219">IF(IFERROR(INDEX(Expenses!B$3:B$999,SMALL(IF((Expenses!E$3:E$999="INR")*(Expenses!A$3:A$999=DATE(2026,10,31)),ROW(Expenses!A$3:A$999)-2),1)),"")&lt;&gt;"",IFERROR(INDEX(Expenses!B$3:B$999,SMALL(IF((Expenses!E$3:E$999="INR")*(Expenses!A$3:A$999=DATE(2026,10,31)),ROW(Expenses!A$3:A$999)-2),1)),""),IF(IFERROR(INDEX(Income!B$3:B$502,SMALL(IF((Income!D$3:D$502="INR")*(Income!A$3:A$502=DATE(2026,10,31)),ROW(Income!A$3:A$502)-2),1)),"")&lt;&gt;"",IFERROR(INDEX(Income!B$3:B$502,SMALL(IF((Income!D$3:D$502="INR")*(Income!A$3:A$502=DATE(2026,10,31)),ROW(Income!A$3:A$502)-2),1)),""),""))</f>
        <v/>
      </c>
      <c r="O219" s="153">
        <f t="array" ref="O219">IF(IFERROR(-INDEX(Expenses!D$3:D$999,SMALL(IF((Expenses!E$3:E$999="INR")*(Expenses!A$3:A$999=DATE(2026,11,1)),ROW(Expenses!A$3:A$999)-2),1)),0)+IFERROR(INDEX(Income!C$3:C$502,SMALL(IF((Income!D$3:D$502="INR")*(Income!A$3:A$502=DATE(2026,11,1)),ROW(Income!A$3:A$502)-2),1)),0)=0,"",IFERROR(-INDEX(Expenses!D$3:D$999,SMALL(IF((Expenses!E$3:E$999="INR")*(Expenses!A$3:A$999=DATE(2026,11,1)),ROW(Expenses!A$3:A$999)-2),1)),0)+IFERROR(INDEX(Income!C$3:C$502,SMALL(IF((Income!D$3:D$502="INR")*(Income!A$3:A$502=DATE(2026,11,1)),ROW(Income!A$3:A$502)-2),1)),0))</f>
        <v/>
      </c>
      <c r="P219" s="126">
        <f t="array" ref="P219">IF(IFERROR(INDEX(Expenses!B$3:B$999,SMALL(IF((Expenses!E$3:E$999="INR")*(Expenses!A$3:A$999=DATE(2026,11,1)),ROW(Expenses!A$3:A$999)-2),1)),"")&lt;&gt;"",IFERROR(INDEX(Expenses!B$3:B$999,SMALL(IF((Expenses!E$3:E$999="INR")*(Expenses!A$3:A$999=DATE(2026,11,1)),ROW(Expenses!A$3:A$999)-2),1)),""),IF(IFERROR(INDEX(Income!B$3:B$502,SMALL(IF((Income!D$3:D$502="INR")*(Income!A$3:A$502=DATE(2026,11,1)),ROW(Income!A$3:A$502)-2),1)),"")&lt;&gt;"",IFERROR(INDEX(Income!B$3:B$502,SMALL(IF((Income!D$3:D$502="INR")*(Income!A$3:A$502=DATE(2026,11,1)),ROW(Income!A$3:A$502)-2),1)),""),""))</f>
        <v/>
      </c>
      <c r="Q219" s="103" t="n">
        <v>44</v>
      </c>
      <c r="R219" s="142">
        <f>SUM(C219:C223)+SUM(E219:E223)+SUM(G219:G223)+SUM(I219:I223)+SUM(K219:K223)+SUM(M219:M223)+SUM(O219:O223)</f>
        <v/>
      </c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68">
      <c r="A220" s="9" t="n"/>
      <c r="B220" s="9" t="n"/>
      <c r="C220" s="153">
        <f t="array" ref="C220">IF(IFERROR(-INDEX(Expenses!D$3:D$999,SMALL(IF((Expenses!E$3:E$999="INR")*(Expenses!A$3:A$999=DATE(2026,10,26)),ROW(Expenses!A$3:A$999)-2),2)),0)+IFERROR(INDEX(Income!C$3:C$502,SMALL(IF((Income!D$3:D$502="INR")*(Income!A$3:A$502=DATE(2026,10,26)),ROW(Income!A$3:A$502)-2),2)),0)=0,"",IFERROR(-INDEX(Expenses!D$3:D$999,SMALL(IF((Expenses!E$3:E$999="INR")*(Expenses!A$3:A$999=DATE(2026,10,26)),ROW(Expenses!A$3:A$999)-2),2)),0)+IFERROR(INDEX(Income!C$3:C$502,SMALL(IF((Income!D$3:D$502="INR")*(Income!A$3:A$502=DATE(2026,10,26)),ROW(Income!A$3:A$502)-2),2)),0))</f>
        <v/>
      </c>
      <c r="D220" s="126">
        <f t="array" ref="D220">IF(IFERROR(INDEX(Expenses!B$3:B$999,SMALL(IF((Expenses!E$3:E$999="INR")*(Expenses!A$3:A$999=DATE(2026,10,26)),ROW(Expenses!A$3:A$999)-2),2)),"")&lt;&gt;"",IFERROR(INDEX(Expenses!B$3:B$999,SMALL(IF((Expenses!E$3:E$999="INR")*(Expenses!A$3:A$999=DATE(2026,10,26)),ROW(Expenses!A$3:A$999)-2),2)),""),IF(IFERROR(INDEX(Income!B$3:B$502,SMALL(IF((Income!D$3:D$502="INR")*(Income!A$3:A$502=DATE(2026,10,26)),ROW(Income!A$3:A$502)-2),2)),"")&lt;&gt;"",IFERROR(INDEX(Income!B$3:B$502,SMALL(IF((Income!D$3:D$502="INR")*(Income!A$3:A$502=DATE(2026,10,26)),ROW(Income!A$3:A$502)-2),2)),""),""))</f>
        <v/>
      </c>
      <c r="E220" s="153">
        <f t="array" ref="E220">IF(IFERROR(-INDEX(Expenses!D$3:D$999,SMALL(IF((Expenses!E$3:E$999="INR")*(Expenses!A$3:A$999=DATE(2026,10,27)),ROW(Expenses!A$3:A$999)-2),2)),0)+IFERROR(INDEX(Income!C$3:C$502,SMALL(IF((Income!D$3:D$502="INR")*(Income!A$3:A$502=DATE(2026,10,27)),ROW(Income!A$3:A$502)-2),2)),0)=0,"",IFERROR(-INDEX(Expenses!D$3:D$999,SMALL(IF((Expenses!E$3:E$999="INR")*(Expenses!A$3:A$999=DATE(2026,10,27)),ROW(Expenses!A$3:A$999)-2),2)),0)+IFERROR(INDEX(Income!C$3:C$502,SMALL(IF((Income!D$3:D$502="INR")*(Income!A$3:A$502=DATE(2026,10,27)),ROW(Income!A$3:A$502)-2),2)),0))</f>
        <v/>
      </c>
      <c r="F220" s="126">
        <f t="array" ref="F220">IF(IFERROR(INDEX(Expenses!B$3:B$999,SMALL(IF((Expenses!E$3:E$999="INR")*(Expenses!A$3:A$999=DATE(2026,10,27)),ROW(Expenses!A$3:A$999)-2),2)),"")&lt;&gt;"",IFERROR(INDEX(Expenses!B$3:B$999,SMALL(IF((Expenses!E$3:E$999="INR")*(Expenses!A$3:A$999=DATE(2026,10,27)),ROW(Expenses!A$3:A$999)-2),2)),""),IF(IFERROR(INDEX(Income!B$3:B$502,SMALL(IF((Income!D$3:D$502="INR")*(Income!A$3:A$502=DATE(2026,10,27)),ROW(Income!A$3:A$502)-2),2)),"")&lt;&gt;"",IFERROR(INDEX(Income!B$3:B$502,SMALL(IF((Income!D$3:D$502="INR")*(Income!A$3:A$502=DATE(2026,10,27)),ROW(Income!A$3:A$502)-2),2)),""),""))</f>
        <v/>
      </c>
      <c r="G220" s="153">
        <f t="array" ref="G220">IF(IFERROR(-INDEX(Expenses!D$3:D$999,SMALL(IF((Expenses!E$3:E$999="INR")*(Expenses!A$3:A$999=DATE(2026,10,28)),ROW(Expenses!A$3:A$999)-2),2)),0)+IFERROR(INDEX(Income!C$3:C$502,SMALL(IF((Income!D$3:D$502="INR")*(Income!A$3:A$502=DATE(2026,10,28)),ROW(Income!A$3:A$502)-2),2)),0)=0,"",IFERROR(-INDEX(Expenses!D$3:D$999,SMALL(IF((Expenses!E$3:E$999="INR")*(Expenses!A$3:A$999=DATE(2026,10,28)),ROW(Expenses!A$3:A$999)-2),2)),0)+IFERROR(INDEX(Income!C$3:C$502,SMALL(IF((Income!D$3:D$502="INR")*(Income!A$3:A$502=DATE(2026,10,28)),ROW(Income!A$3:A$502)-2),2)),0))</f>
        <v/>
      </c>
      <c r="H220" s="126">
        <f t="array" ref="H220">IF(IFERROR(INDEX(Expenses!B$3:B$999,SMALL(IF((Expenses!E$3:E$999="INR")*(Expenses!A$3:A$999=DATE(2026,10,28)),ROW(Expenses!A$3:A$999)-2),2)),"")&lt;&gt;"",IFERROR(INDEX(Expenses!B$3:B$999,SMALL(IF((Expenses!E$3:E$999="INR")*(Expenses!A$3:A$999=DATE(2026,10,28)),ROW(Expenses!A$3:A$999)-2),2)),""),IF(IFERROR(INDEX(Income!B$3:B$502,SMALL(IF((Income!D$3:D$502="INR")*(Income!A$3:A$502=DATE(2026,10,28)),ROW(Income!A$3:A$502)-2),2)),"")&lt;&gt;"",IFERROR(INDEX(Income!B$3:B$502,SMALL(IF((Income!D$3:D$502="INR")*(Income!A$3:A$502=DATE(2026,10,28)),ROW(Income!A$3:A$502)-2),2)),""),""))</f>
        <v/>
      </c>
      <c r="I220" s="153">
        <f t="array" ref="I220">IF(IFERROR(-INDEX(Expenses!D$3:D$999,SMALL(IF((Expenses!E$3:E$999="INR")*(Expenses!A$3:A$999=DATE(2026,10,29)),ROW(Expenses!A$3:A$999)-2),2)),0)+IFERROR(INDEX(Income!C$3:C$502,SMALL(IF((Income!D$3:D$502="INR")*(Income!A$3:A$502=DATE(2026,10,29)),ROW(Income!A$3:A$502)-2),2)),0)=0,"",IFERROR(-INDEX(Expenses!D$3:D$999,SMALL(IF((Expenses!E$3:E$999="INR")*(Expenses!A$3:A$999=DATE(2026,10,29)),ROW(Expenses!A$3:A$999)-2),2)),0)+IFERROR(INDEX(Income!C$3:C$502,SMALL(IF((Income!D$3:D$502="INR")*(Income!A$3:A$502=DATE(2026,10,29)),ROW(Income!A$3:A$502)-2),2)),0))</f>
        <v/>
      </c>
      <c r="J220" s="126">
        <f t="array" ref="J220">IF(IFERROR(INDEX(Expenses!B$3:B$999,SMALL(IF((Expenses!E$3:E$999="INR")*(Expenses!A$3:A$999=DATE(2026,10,29)),ROW(Expenses!A$3:A$999)-2),2)),"")&lt;&gt;"",IFERROR(INDEX(Expenses!B$3:B$999,SMALL(IF((Expenses!E$3:E$999="INR")*(Expenses!A$3:A$999=DATE(2026,10,29)),ROW(Expenses!A$3:A$999)-2),2)),""),IF(IFERROR(INDEX(Income!B$3:B$502,SMALL(IF((Income!D$3:D$502="INR")*(Income!A$3:A$502=DATE(2026,10,29)),ROW(Income!A$3:A$502)-2),2)),"")&lt;&gt;"",IFERROR(INDEX(Income!B$3:B$502,SMALL(IF((Income!D$3:D$502="INR")*(Income!A$3:A$502=DATE(2026,10,29)),ROW(Income!A$3:A$502)-2),2)),""),""))</f>
        <v/>
      </c>
      <c r="K220" s="153">
        <f t="array" ref="K220">IF(IFERROR(-INDEX(Expenses!D$3:D$999,SMALL(IF((Expenses!E$3:E$999="INR")*(Expenses!A$3:A$999=DATE(2026,10,30)),ROW(Expenses!A$3:A$999)-2),2)),0)+IFERROR(INDEX(Income!C$3:C$502,SMALL(IF((Income!D$3:D$502="INR")*(Income!A$3:A$502=DATE(2026,10,30)),ROW(Income!A$3:A$502)-2),2)),0)=0,"",IFERROR(-INDEX(Expenses!D$3:D$999,SMALL(IF((Expenses!E$3:E$999="INR")*(Expenses!A$3:A$999=DATE(2026,10,30)),ROW(Expenses!A$3:A$999)-2),2)),0)+IFERROR(INDEX(Income!C$3:C$502,SMALL(IF((Income!D$3:D$502="INR")*(Income!A$3:A$502=DATE(2026,10,30)),ROW(Income!A$3:A$502)-2),2)),0))</f>
        <v/>
      </c>
      <c r="L220" s="126">
        <f t="array" ref="L220">IF(IFERROR(INDEX(Expenses!B$3:B$999,SMALL(IF((Expenses!E$3:E$999="INR")*(Expenses!A$3:A$999=DATE(2026,10,30)),ROW(Expenses!A$3:A$999)-2),2)),"")&lt;&gt;"",IFERROR(INDEX(Expenses!B$3:B$999,SMALL(IF((Expenses!E$3:E$999="INR")*(Expenses!A$3:A$999=DATE(2026,10,30)),ROW(Expenses!A$3:A$999)-2),2)),""),IF(IFERROR(INDEX(Income!B$3:B$502,SMALL(IF((Income!D$3:D$502="INR")*(Income!A$3:A$502=DATE(2026,10,30)),ROW(Income!A$3:A$502)-2),2)),"")&lt;&gt;"",IFERROR(INDEX(Income!B$3:B$502,SMALL(IF((Income!D$3:D$502="INR")*(Income!A$3:A$502=DATE(2026,10,30)),ROW(Income!A$3:A$502)-2),2)),""),""))</f>
        <v/>
      </c>
      <c r="M220" s="153">
        <f t="array" ref="M220">IF(IFERROR(-INDEX(Expenses!D$3:D$999,SMALL(IF((Expenses!E$3:E$999="INR")*(Expenses!A$3:A$999=DATE(2026,10,31)),ROW(Expenses!A$3:A$999)-2),2)),0)+IFERROR(INDEX(Income!C$3:C$502,SMALL(IF((Income!D$3:D$502="INR")*(Income!A$3:A$502=DATE(2026,10,31)),ROW(Income!A$3:A$502)-2),2)),0)=0,"",IFERROR(-INDEX(Expenses!D$3:D$999,SMALL(IF((Expenses!E$3:E$999="INR")*(Expenses!A$3:A$999=DATE(2026,10,31)),ROW(Expenses!A$3:A$999)-2),2)),0)+IFERROR(INDEX(Income!C$3:C$502,SMALL(IF((Income!D$3:D$502="INR")*(Income!A$3:A$502=DATE(2026,10,31)),ROW(Income!A$3:A$502)-2),2)),0))</f>
        <v/>
      </c>
      <c r="N220" s="126">
        <f t="array" ref="N220">IF(IFERROR(INDEX(Expenses!B$3:B$999,SMALL(IF((Expenses!E$3:E$999="INR")*(Expenses!A$3:A$999=DATE(2026,10,31)),ROW(Expenses!A$3:A$999)-2),2)),"")&lt;&gt;"",IFERROR(INDEX(Expenses!B$3:B$999,SMALL(IF((Expenses!E$3:E$999="INR")*(Expenses!A$3:A$999=DATE(2026,10,31)),ROW(Expenses!A$3:A$999)-2),2)),""),IF(IFERROR(INDEX(Income!B$3:B$502,SMALL(IF((Income!D$3:D$502="INR")*(Income!A$3:A$502=DATE(2026,10,31)),ROW(Income!A$3:A$502)-2),2)),"")&lt;&gt;"",IFERROR(INDEX(Income!B$3:B$502,SMALL(IF((Income!D$3:D$502="INR")*(Income!A$3:A$502=DATE(2026,10,31)),ROW(Income!A$3:A$502)-2),2)),""),""))</f>
        <v/>
      </c>
      <c r="O220" s="153">
        <f t="array" ref="O220">IF(IFERROR(-INDEX(Expenses!D$3:D$999,SMALL(IF((Expenses!E$3:E$999="INR")*(Expenses!A$3:A$999=DATE(2026,11,1)),ROW(Expenses!A$3:A$999)-2),2)),0)+IFERROR(INDEX(Income!C$3:C$502,SMALL(IF((Income!D$3:D$502="INR")*(Income!A$3:A$502=DATE(2026,11,1)),ROW(Income!A$3:A$502)-2),2)),0)=0,"",IFERROR(-INDEX(Expenses!D$3:D$999,SMALL(IF((Expenses!E$3:E$999="INR")*(Expenses!A$3:A$999=DATE(2026,11,1)),ROW(Expenses!A$3:A$999)-2),2)),0)+IFERROR(INDEX(Income!C$3:C$502,SMALL(IF((Income!D$3:D$502="INR")*(Income!A$3:A$502=DATE(2026,11,1)),ROW(Income!A$3:A$502)-2),2)),0))</f>
        <v/>
      </c>
      <c r="P220" s="126">
        <f t="array" ref="P220">IF(IFERROR(INDEX(Expenses!B$3:B$999,SMALL(IF((Expenses!E$3:E$999="INR")*(Expenses!A$3:A$999=DATE(2026,11,1)),ROW(Expenses!A$3:A$999)-2),2)),"")&lt;&gt;"",IFERROR(INDEX(Expenses!B$3:B$999,SMALL(IF((Expenses!E$3:E$999="INR")*(Expenses!A$3:A$999=DATE(2026,11,1)),ROW(Expenses!A$3:A$999)-2),2)),""),IF(IFERROR(INDEX(Income!B$3:B$502,SMALL(IF((Income!D$3:D$502="INR")*(Income!A$3:A$502=DATE(2026,11,1)),ROW(Income!A$3:A$502)-2),2)),"")&lt;&gt;"",IFERROR(INDEX(Income!B$3:B$502,SMALL(IF((Income!D$3:D$502="INR")*(Income!A$3:A$502=DATE(2026,11,1)),ROW(Income!A$3:A$502)-2),2)),""),""))</f>
        <v/>
      </c>
      <c r="Q220" s="9" t="n"/>
      <c r="R220" s="9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68">
      <c r="A221" s="9" t="n"/>
      <c r="B221" s="9" t="n"/>
      <c r="C221" s="153">
        <f t="array" ref="C221">IF(IFERROR(-INDEX(Expenses!D$3:D$999,SMALL(IF((Expenses!E$3:E$999="INR")*(Expenses!A$3:A$999=DATE(2026,10,26)),ROW(Expenses!A$3:A$999)-2),3)),0)+IFERROR(INDEX(Income!C$3:C$502,SMALL(IF((Income!D$3:D$502="INR")*(Income!A$3:A$502=DATE(2026,10,26)),ROW(Income!A$3:A$502)-2),3)),0)=0,"",IFERROR(-INDEX(Expenses!D$3:D$999,SMALL(IF((Expenses!E$3:E$999="INR")*(Expenses!A$3:A$999=DATE(2026,10,26)),ROW(Expenses!A$3:A$999)-2),3)),0)+IFERROR(INDEX(Income!C$3:C$502,SMALL(IF((Income!D$3:D$502="INR")*(Income!A$3:A$502=DATE(2026,10,26)),ROW(Income!A$3:A$502)-2),3)),0))</f>
        <v/>
      </c>
      <c r="D221" s="126">
        <f t="array" ref="D221">IF(IFERROR(INDEX(Expenses!B$3:B$999,SMALL(IF((Expenses!E$3:E$999="INR")*(Expenses!A$3:A$999=DATE(2026,10,26)),ROW(Expenses!A$3:A$999)-2),3)),"")&lt;&gt;"",IFERROR(INDEX(Expenses!B$3:B$999,SMALL(IF((Expenses!E$3:E$999="INR")*(Expenses!A$3:A$999=DATE(2026,10,26)),ROW(Expenses!A$3:A$999)-2),3)),""),IF(IFERROR(INDEX(Income!B$3:B$502,SMALL(IF((Income!D$3:D$502="INR")*(Income!A$3:A$502=DATE(2026,10,26)),ROW(Income!A$3:A$502)-2),3)),"")&lt;&gt;"",IFERROR(INDEX(Income!B$3:B$502,SMALL(IF((Income!D$3:D$502="INR")*(Income!A$3:A$502=DATE(2026,10,26)),ROW(Income!A$3:A$502)-2),3)),""),""))</f>
        <v/>
      </c>
      <c r="E221" s="153">
        <f t="array" ref="E221">IF(IFERROR(-INDEX(Expenses!D$3:D$999,SMALL(IF((Expenses!E$3:E$999="INR")*(Expenses!A$3:A$999=DATE(2026,10,27)),ROW(Expenses!A$3:A$999)-2),3)),0)+IFERROR(INDEX(Income!C$3:C$502,SMALL(IF((Income!D$3:D$502="INR")*(Income!A$3:A$502=DATE(2026,10,27)),ROW(Income!A$3:A$502)-2),3)),0)=0,"",IFERROR(-INDEX(Expenses!D$3:D$999,SMALL(IF((Expenses!E$3:E$999="INR")*(Expenses!A$3:A$999=DATE(2026,10,27)),ROW(Expenses!A$3:A$999)-2),3)),0)+IFERROR(INDEX(Income!C$3:C$502,SMALL(IF((Income!D$3:D$502="INR")*(Income!A$3:A$502=DATE(2026,10,27)),ROW(Income!A$3:A$502)-2),3)),0))</f>
        <v/>
      </c>
      <c r="F221" s="126">
        <f t="array" ref="F221">IF(IFERROR(INDEX(Expenses!B$3:B$999,SMALL(IF((Expenses!E$3:E$999="INR")*(Expenses!A$3:A$999=DATE(2026,10,27)),ROW(Expenses!A$3:A$999)-2),3)),"")&lt;&gt;"",IFERROR(INDEX(Expenses!B$3:B$999,SMALL(IF((Expenses!E$3:E$999="INR")*(Expenses!A$3:A$999=DATE(2026,10,27)),ROW(Expenses!A$3:A$999)-2),3)),""),IF(IFERROR(INDEX(Income!B$3:B$502,SMALL(IF((Income!D$3:D$502="INR")*(Income!A$3:A$502=DATE(2026,10,27)),ROW(Income!A$3:A$502)-2),3)),"")&lt;&gt;"",IFERROR(INDEX(Income!B$3:B$502,SMALL(IF((Income!D$3:D$502="INR")*(Income!A$3:A$502=DATE(2026,10,27)),ROW(Income!A$3:A$502)-2),3)),""),""))</f>
        <v/>
      </c>
      <c r="G221" s="153">
        <f t="array" ref="G221">IF(IFERROR(-INDEX(Expenses!D$3:D$999,SMALL(IF((Expenses!E$3:E$999="INR")*(Expenses!A$3:A$999=DATE(2026,10,28)),ROW(Expenses!A$3:A$999)-2),3)),0)+IFERROR(INDEX(Income!C$3:C$502,SMALL(IF((Income!D$3:D$502="INR")*(Income!A$3:A$502=DATE(2026,10,28)),ROW(Income!A$3:A$502)-2),3)),0)=0,"",IFERROR(-INDEX(Expenses!D$3:D$999,SMALL(IF((Expenses!E$3:E$999="INR")*(Expenses!A$3:A$999=DATE(2026,10,28)),ROW(Expenses!A$3:A$999)-2),3)),0)+IFERROR(INDEX(Income!C$3:C$502,SMALL(IF((Income!D$3:D$502="INR")*(Income!A$3:A$502=DATE(2026,10,28)),ROW(Income!A$3:A$502)-2),3)),0))</f>
        <v/>
      </c>
      <c r="H221" s="126">
        <f t="array" ref="H221">IF(IFERROR(INDEX(Expenses!B$3:B$999,SMALL(IF((Expenses!E$3:E$999="INR")*(Expenses!A$3:A$999=DATE(2026,10,28)),ROW(Expenses!A$3:A$999)-2),3)),"")&lt;&gt;"",IFERROR(INDEX(Expenses!B$3:B$999,SMALL(IF((Expenses!E$3:E$999="INR")*(Expenses!A$3:A$999=DATE(2026,10,28)),ROW(Expenses!A$3:A$999)-2),3)),""),IF(IFERROR(INDEX(Income!B$3:B$502,SMALL(IF((Income!D$3:D$502="INR")*(Income!A$3:A$502=DATE(2026,10,28)),ROW(Income!A$3:A$502)-2),3)),"")&lt;&gt;"",IFERROR(INDEX(Income!B$3:B$502,SMALL(IF((Income!D$3:D$502="INR")*(Income!A$3:A$502=DATE(2026,10,28)),ROW(Income!A$3:A$502)-2),3)),""),""))</f>
        <v/>
      </c>
      <c r="I221" s="153">
        <f t="array" ref="I221">IF(IFERROR(-INDEX(Expenses!D$3:D$999,SMALL(IF((Expenses!E$3:E$999="INR")*(Expenses!A$3:A$999=DATE(2026,10,29)),ROW(Expenses!A$3:A$999)-2),3)),0)+IFERROR(INDEX(Income!C$3:C$502,SMALL(IF((Income!D$3:D$502="INR")*(Income!A$3:A$502=DATE(2026,10,29)),ROW(Income!A$3:A$502)-2),3)),0)=0,"",IFERROR(-INDEX(Expenses!D$3:D$999,SMALL(IF((Expenses!E$3:E$999="INR")*(Expenses!A$3:A$999=DATE(2026,10,29)),ROW(Expenses!A$3:A$999)-2),3)),0)+IFERROR(INDEX(Income!C$3:C$502,SMALL(IF((Income!D$3:D$502="INR")*(Income!A$3:A$502=DATE(2026,10,29)),ROW(Income!A$3:A$502)-2),3)),0))</f>
        <v/>
      </c>
      <c r="J221" s="126">
        <f t="array" ref="J221">IF(IFERROR(INDEX(Expenses!B$3:B$999,SMALL(IF((Expenses!E$3:E$999="INR")*(Expenses!A$3:A$999=DATE(2026,10,29)),ROW(Expenses!A$3:A$999)-2),3)),"")&lt;&gt;"",IFERROR(INDEX(Expenses!B$3:B$999,SMALL(IF((Expenses!E$3:E$999="INR")*(Expenses!A$3:A$999=DATE(2026,10,29)),ROW(Expenses!A$3:A$999)-2),3)),""),IF(IFERROR(INDEX(Income!B$3:B$502,SMALL(IF((Income!D$3:D$502="INR")*(Income!A$3:A$502=DATE(2026,10,29)),ROW(Income!A$3:A$502)-2),3)),"")&lt;&gt;"",IFERROR(INDEX(Income!B$3:B$502,SMALL(IF((Income!D$3:D$502="INR")*(Income!A$3:A$502=DATE(2026,10,29)),ROW(Income!A$3:A$502)-2),3)),""),""))</f>
        <v/>
      </c>
      <c r="K221" s="153">
        <f t="array" ref="K221">IF(IFERROR(-INDEX(Expenses!D$3:D$999,SMALL(IF((Expenses!E$3:E$999="INR")*(Expenses!A$3:A$999=DATE(2026,10,30)),ROW(Expenses!A$3:A$999)-2),3)),0)+IFERROR(INDEX(Income!C$3:C$502,SMALL(IF((Income!D$3:D$502="INR")*(Income!A$3:A$502=DATE(2026,10,30)),ROW(Income!A$3:A$502)-2),3)),0)=0,"",IFERROR(-INDEX(Expenses!D$3:D$999,SMALL(IF((Expenses!E$3:E$999="INR")*(Expenses!A$3:A$999=DATE(2026,10,30)),ROW(Expenses!A$3:A$999)-2),3)),0)+IFERROR(INDEX(Income!C$3:C$502,SMALL(IF((Income!D$3:D$502="INR")*(Income!A$3:A$502=DATE(2026,10,30)),ROW(Income!A$3:A$502)-2),3)),0))</f>
        <v/>
      </c>
      <c r="L221" s="126">
        <f t="array" ref="L221">IF(IFERROR(INDEX(Expenses!B$3:B$999,SMALL(IF((Expenses!E$3:E$999="INR")*(Expenses!A$3:A$999=DATE(2026,10,30)),ROW(Expenses!A$3:A$999)-2),3)),"")&lt;&gt;"",IFERROR(INDEX(Expenses!B$3:B$999,SMALL(IF((Expenses!E$3:E$999="INR")*(Expenses!A$3:A$999=DATE(2026,10,30)),ROW(Expenses!A$3:A$999)-2),3)),""),IF(IFERROR(INDEX(Income!B$3:B$502,SMALL(IF((Income!D$3:D$502="INR")*(Income!A$3:A$502=DATE(2026,10,30)),ROW(Income!A$3:A$502)-2),3)),"")&lt;&gt;"",IFERROR(INDEX(Income!B$3:B$502,SMALL(IF((Income!D$3:D$502="INR")*(Income!A$3:A$502=DATE(2026,10,30)),ROW(Income!A$3:A$502)-2),3)),""),""))</f>
        <v/>
      </c>
      <c r="M221" s="153">
        <f t="array" ref="M221">IF(IFERROR(-INDEX(Expenses!D$3:D$999,SMALL(IF((Expenses!E$3:E$999="INR")*(Expenses!A$3:A$999=DATE(2026,10,31)),ROW(Expenses!A$3:A$999)-2),3)),0)+IFERROR(INDEX(Income!C$3:C$502,SMALL(IF((Income!D$3:D$502="INR")*(Income!A$3:A$502=DATE(2026,10,31)),ROW(Income!A$3:A$502)-2),3)),0)=0,"",IFERROR(-INDEX(Expenses!D$3:D$999,SMALL(IF((Expenses!E$3:E$999="INR")*(Expenses!A$3:A$999=DATE(2026,10,31)),ROW(Expenses!A$3:A$999)-2),3)),0)+IFERROR(INDEX(Income!C$3:C$502,SMALL(IF((Income!D$3:D$502="INR")*(Income!A$3:A$502=DATE(2026,10,31)),ROW(Income!A$3:A$502)-2),3)),0))</f>
        <v/>
      </c>
      <c r="N221" s="126">
        <f t="array" ref="N221">IF(IFERROR(INDEX(Expenses!B$3:B$999,SMALL(IF((Expenses!E$3:E$999="INR")*(Expenses!A$3:A$999=DATE(2026,10,31)),ROW(Expenses!A$3:A$999)-2),3)),"")&lt;&gt;"",IFERROR(INDEX(Expenses!B$3:B$999,SMALL(IF((Expenses!E$3:E$999="INR")*(Expenses!A$3:A$999=DATE(2026,10,31)),ROW(Expenses!A$3:A$999)-2),3)),""),IF(IFERROR(INDEX(Income!B$3:B$502,SMALL(IF((Income!D$3:D$502="INR")*(Income!A$3:A$502=DATE(2026,10,31)),ROW(Income!A$3:A$502)-2),3)),"")&lt;&gt;"",IFERROR(INDEX(Income!B$3:B$502,SMALL(IF((Income!D$3:D$502="INR")*(Income!A$3:A$502=DATE(2026,10,31)),ROW(Income!A$3:A$502)-2),3)),""),""))</f>
        <v/>
      </c>
      <c r="O221" s="153">
        <f t="array" ref="O221">IF(IFERROR(-INDEX(Expenses!D$3:D$999,SMALL(IF((Expenses!E$3:E$999="INR")*(Expenses!A$3:A$999=DATE(2026,11,1)),ROW(Expenses!A$3:A$999)-2),3)),0)+IFERROR(INDEX(Income!C$3:C$502,SMALL(IF((Income!D$3:D$502="INR")*(Income!A$3:A$502=DATE(2026,11,1)),ROW(Income!A$3:A$502)-2),3)),0)=0,"",IFERROR(-INDEX(Expenses!D$3:D$999,SMALL(IF((Expenses!E$3:E$999="INR")*(Expenses!A$3:A$999=DATE(2026,11,1)),ROW(Expenses!A$3:A$999)-2),3)),0)+IFERROR(INDEX(Income!C$3:C$502,SMALL(IF((Income!D$3:D$502="INR")*(Income!A$3:A$502=DATE(2026,11,1)),ROW(Income!A$3:A$502)-2),3)),0))</f>
        <v/>
      </c>
      <c r="P221" s="126">
        <f t="array" ref="P221">IF(IFERROR(INDEX(Expenses!B$3:B$999,SMALL(IF((Expenses!E$3:E$999="INR")*(Expenses!A$3:A$999=DATE(2026,11,1)),ROW(Expenses!A$3:A$999)-2),3)),"")&lt;&gt;"",IFERROR(INDEX(Expenses!B$3:B$999,SMALL(IF((Expenses!E$3:E$999="INR")*(Expenses!A$3:A$999=DATE(2026,11,1)),ROW(Expenses!A$3:A$999)-2),3)),""),IF(IFERROR(INDEX(Income!B$3:B$502,SMALL(IF((Income!D$3:D$502="INR")*(Income!A$3:A$502=DATE(2026,11,1)),ROW(Income!A$3:A$502)-2),3)),"")&lt;&gt;"",IFERROR(INDEX(Income!B$3:B$502,SMALL(IF((Income!D$3:D$502="INR")*(Income!A$3:A$502=DATE(2026,11,1)),ROW(Income!A$3:A$502)-2),3)),""),""))</f>
        <v/>
      </c>
      <c r="Q221" s="9" t="n"/>
      <c r="R221" s="9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68">
      <c r="A222" s="9" t="n"/>
      <c r="B222" s="9" t="n"/>
      <c r="C222" s="153">
        <f t="array" ref="C222">IF(IFERROR(-INDEX(Expenses!D$3:D$999,SMALL(IF((Expenses!E$3:E$999="INR")*(Expenses!A$3:A$999=DATE(2026,10,26)),ROW(Expenses!A$3:A$999)-2),4)),0)+IFERROR(INDEX(Income!C$3:C$502,SMALL(IF((Income!D$3:D$502="INR")*(Income!A$3:A$502=DATE(2026,10,26)),ROW(Income!A$3:A$502)-2),4)),0)=0,"",IFERROR(-INDEX(Expenses!D$3:D$999,SMALL(IF((Expenses!E$3:E$999="INR")*(Expenses!A$3:A$999=DATE(2026,10,26)),ROW(Expenses!A$3:A$999)-2),4)),0)+IFERROR(INDEX(Income!C$3:C$502,SMALL(IF((Income!D$3:D$502="INR")*(Income!A$3:A$502=DATE(2026,10,26)),ROW(Income!A$3:A$502)-2),4)),0))</f>
        <v/>
      </c>
      <c r="D222" s="126">
        <f t="array" ref="D222">IF(IFERROR(INDEX(Expenses!B$3:B$999,SMALL(IF((Expenses!E$3:E$999="INR")*(Expenses!A$3:A$999=DATE(2026,10,26)),ROW(Expenses!A$3:A$999)-2),4)),"")&lt;&gt;"",IFERROR(INDEX(Expenses!B$3:B$999,SMALL(IF((Expenses!E$3:E$999="INR")*(Expenses!A$3:A$999=DATE(2026,10,26)),ROW(Expenses!A$3:A$999)-2),4)),""),IF(IFERROR(INDEX(Income!B$3:B$502,SMALL(IF((Income!D$3:D$502="INR")*(Income!A$3:A$502=DATE(2026,10,26)),ROW(Income!A$3:A$502)-2),4)),"")&lt;&gt;"",IFERROR(INDEX(Income!B$3:B$502,SMALL(IF((Income!D$3:D$502="INR")*(Income!A$3:A$502=DATE(2026,10,26)),ROW(Income!A$3:A$502)-2),4)),""),""))</f>
        <v/>
      </c>
      <c r="E222" s="153">
        <f t="array" ref="E222">IF(IFERROR(-INDEX(Expenses!D$3:D$999,SMALL(IF((Expenses!E$3:E$999="INR")*(Expenses!A$3:A$999=DATE(2026,10,27)),ROW(Expenses!A$3:A$999)-2),4)),0)+IFERROR(INDEX(Income!C$3:C$502,SMALL(IF((Income!D$3:D$502="INR")*(Income!A$3:A$502=DATE(2026,10,27)),ROW(Income!A$3:A$502)-2),4)),0)=0,"",IFERROR(-INDEX(Expenses!D$3:D$999,SMALL(IF((Expenses!E$3:E$999="INR")*(Expenses!A$3:A$999=DATE(2026,10,27)),ROW(Expenses!A$3:A$999)-2),4)),0)+IFERROR(INDEX(Income!C$3:C$502,SMALL(IF((Income!D$3:D$502="INR")*(Income!A$3:A$502=DATE(2026,10,27)),ROW(Income!A$3:A$502)-2),4)),0))</f>
        <v/>
      </c>
      <c r="F222" s="126">
        <f t="array" ref="F222">IF(IFERROR(INDEX(Expenses!B$3:B$999,SMALL(IF((Expenses!E$3:E$999="INR")*(Expenses!A$3:A$999=DATE(2026,10,27)),ROW(Expenses!A$3:A$999)-2),4)),"")&lt;&gt;"",IFERROR(INDEX(Expenses!B$3:B$999,SMALL(IF((Expenses!E$3:E$999="INR")*(Expenses!A$3:A$999=DATE(2026,10,27)),ROW(Expenses!A$3:A$999)-2),4)),""),IF(IFERROR(INDEX(Income!B$3:B$502,SMALL(IF((Income!D$3:D$502="INR")*(Income!A$3:A$502=DATE(2026,10,27)),ROW(Income!A$3:A$502)-2),4)),"")&lt;&gt;"",IFERROR(INDEX(Income!B$3:B$502,SMALL(IF((Income!D$3:D$502="INR")*(Income!A$3:A$502=DATE(2026,10,27)),ROW(Income!A$3:A$502)-2),4)),""),""))</f>
        <v/>
      </c>
      <c r="G222" s="153">
        <f t="array" ref="G222">IF(IFERROR(-INDEX(Expenses!D$3:D$999,SMALL(IF((Expenses!E$3:E$999="INR")*(Expenses!A$3:A$999=DATE(2026,10,28)),ROW(Expenses!A$3:A$999)-2),4)),0)+IFERROR(INDEX(Income!C$3:C$502,SMALL(IF((Income!D$3:D$502="INR")*(Income!A$3:A$502=DATE(2026,10,28)),ROW(Income!A$3:A$502)-2),4)),0)=0,"",IFERROR(-INDEX(Expenses!D$3:D$999,SMALL(IF((Expenses!E$3:E$999="INR")*(Expenses!A$3:A$999=DATE(2026,10,28)),ROW(Expenses!A$3:A$999)-2),4)),0)+IFERROR(INDEX(Income!C$3:C$502,SMALL(IF((Income!D$3:D$502="INR")*(Income!A$3:A$502=DATE(2026,10,28)),ROW(Income!A$3:A$502)-2),4)),0))</f>
        <v/>
      </c>
      <c r="H222" s="126">
        <f t="array" ref="H222">IF(IFERROR(INDEX(Expenses!B$3:B$999,SMALL(IF((Expenses!E$3:E$999="INR")*(Expenses!A$3:A$999=DATE(2026,10,28)),ROW(Expenses!A$3:A$999)-2),4)),"")&lt;&gt;"",IFERROR(INDEX(Expenses!B$3:B$999,SMALL(IF((Expenses!E$3:E$999="INR")*(Expenses!A$3:A$999=DATE(2026,10,28)),ROW(Expenses!A$3:A$999)-2),4)),""),IF(IFERROR(INDEX(Income!B$3:B$502,SMALL(IF((Income!D$3:D$502="INR")*(Income!A$3:A$502=DATE(2026,10,28)),ROW(Income!A$3:A$502)-2),4)),"")&lt;&gt;"",IFERROR(INDEX(Income!B$3:B$502,SMALL(IF((Income!D$3:D$502="INR")*(Income!A$3:A$502=DATE(2026,10,28)),ROW(Income!A$3:A$502)-2),4)),""),""))</f>
        <v/>
      </c>
      <c r="I222" s="153">
        <f t="array" ref="I222">IF(IFERROR(-INDEX(Expenses!D$3:D$999,SMALL(IF((Expenses!E$3:E$999="INR")*(Expenses!A$3:A$999=DATE(2026,10,29)),ROW(Expenses!A$3:A$999)-2),4)),0)+IFERROR(INDEX(Income!C$3:C$502,SMALL(IF((Income!D$3:D$502="INR")*(Income!A$3:A$502=DATE(2026,10,29)),ROW(Income!A$3:A$502)-2),4)),0)=0,"",IFERROR(-INDEX(Expenses!D$3:D$999,SMALL(IF((Expenses!E$3:E$999="INR")*(Expenses!A$3:A$999=DATE(2026,10,29)),ROW(Expenses!A$3:A$999)-2),4)),0)+IFERROR(INDEX(Income!C$3:C$502,SMALL(IF((Income!D$3:D$502="INR")*(Income!A$3:A$502=DATE(2026,10,29)),ROW(Income!A$3:A$502)-2),4)),0))</f>
        <v/>
      </c>
      <c r="J222" s="126">
        <f t="array" ref="J222">IF(IFERROR(INDEX(Expenses!B$3:B$999,SMALL(IF((Expenses!E$3:E$999="INR")*(Expenses!A$3:A$999=DATE(2026,10,29)),ROW(Expenses!A$3:A$999)-2),4)),"")&lt;&gt;"",IFERROR(INDEX(Expenses!B$3:B$999,SMALL(IF((Expenses!E$3:E$999="INR")*(Expenses!A$3:A$999=DATE(2026,10,29)),ROW(Expenses!A$3:A$999)-2),4)),""),IF(IFERROR(INDEX(Income!B$3:B$502,SMALL(IF((Income!D$3:D$502="INR")*(Income!A$3:A$502=DATE(2026,10,29)),ROW(Income!A$3:A$502)-2),4)),"")&lt;&gt;"",IFERROR(INDEX(Income!B$3:B$502,SMALL(IF((Income!D$3:D$502="INR")*(Income!A$3:A$502=DATE(2026,10,29)),ROW(Income!A$3:A$502)-2),4)),""),""))</f>
        <v/>
      </c>
      <c r="K222" s="153">
        <f t="array" ref="K222">IF(IFERROR(-INDEX(Expenses!D$3:D$999,SMALL(IF((Expenses!E$3:E$999="INR")*(Expenses!A$3:A$999=DATE(2026,10,30)),ROW(Expenses!A$3:A$999)-2),4)),0)+IFERROR(INDEX(Income!C$3:C$502,SMALL(IF((Income!D$3:D$502="INR")*(Income!A$3:A$502=DATE(2026,10,30)),ROW(Income!A$3:A$502)-2),4)),0)=0,"",IFERROR(-INDEX(Expenses!D$3:D$999,SMALL(IF((Expenses!E$3:E$999="INR")*(Expenses!A$3:A$999=DATE(2026,10,30)),ROW(Expenses!A$3:A$999)-2),4)),0)+IFERROR(INDEX(Income!C$3:C$502,SMALL(IF((Income!D$3:D$502="INR")*(Income!A$3:A$502=DATE(2026,10,30)),ROW(Income!A$3:A$502)-2),4)),0))</f>
        <v/>
      </c>
      <c r="L222" s="126">
        <f t="array" ref="L222">IF(IFERROR(INDEX(Expenses!B$3:B$999,SMALL(IF((Expenses!E$3:E$999="INR")*(Expenses!A$3:A$999=DATE(2026,10,30)),ROW(Expenses!A$3:A$999)-2),4)),"")&lt;&gt;"",IFERROR(INDEX(Expenses!B$3:B$999,SMALL(IF((Expenses!E$3:E$999="INR")*(Expenses!A$3:A$999=DATE(2026,10,30)),ROW(Expenses!A$3:A$999)-2),4)),""),IF(IFERROR(INDEX(Income!B$3:B$502,SMALL(IF((Income!D$3:D$502="INR")*(Income!A$3:A$502=DATE(2026,10,30)),ROW(Income!A$3:A$502)-2),4)),"")&lt;&gt;"",IFERROR(INDEX(Income!B$3:B$502,SMALL(IF((Income!D$3:D$502="INR")*(Income!A$3:A$502=DATE(2026,10,30)),ROW(Income!A$3:A$502)-2),4)),""),""))</f>
        <v/>
      </c>
      <c r="M222" s="153">
        <f t="array" ref="M222">IF(IFERROR(-INDEX(Expenses!D$3:D$999,SMALL(IF((Expenses!E$3:E$999="INR")*(Expenses!A$3:A$999=DATE(2026,10,31)),ROW(Expenses!A$3:A$999)-2),4)),0)+IFERROR(INDEX(Income!C$3:C$502,SMALL(IF((Income!D$3:D$502="INR")*(Income!A$3:A$502=DATE(2026,10,31)),ROW(Income!A$3:A$502)-2),4)),0)=0,"",IFERROR(-INDEX(Expenses!D$3:D$999,SMALL(IF((Expenses!E$3:E$999="INR")*(Expenses!A$3:A$999=DATE(2026,10,31)),ROW(Expenses!A$3:A$999)-2),4)),0)+IFERROR(INDEX(Income!C$3:C$502,SMALL(IF((Income!D$3:D$502="INR")*(Income!A$3:A$502=DATE(2026,10,31)),ROW(Income!A$3:A$502)-2),4)),0))</f>
        <v/>
      </c>
      <c r="N222" s="126">
        <f t="array" ref="N222">IF(IFERROR(INDEX(Expenses!B$3:B$999,SMALL(IF((Expenses!E$3:E$999="INR")*(Expenses!A$3:A$999=DATE(2026,10,31)),ROW(Expenses!A$3:A$999)-2),4)),"")&lt;&gt;"",IFERROR(INDEX(Expenses!B$3:B$999,SMALL(IF((Expenses!E$3:E$999="INR")*(Expenses!A$3:A$999=DATE(2026,10,31)),ROW(Expenses!A$3:A$999)-2),4)),""),IF(IFERROR(INDEX(Income!B$3:B$502,SMALL(IF((Income!D$3:D$502="INR")*(Income!A$3:A$502=DATE(2026,10,31)),ROW(Income!A$3:A$502)-2),4)),"")&lt;&gt;"",IFERROR(INDEX(Income!B$3:B$502,SMALL(IF((Income!D$3:D$502="INR")*(Income!A$3:A$502=DATE(2026,10,31)),ROW(Income!A$3:A$502)-2),4)),""),""))</f>
        <v/>
      </c>
      <c r="O222" s="153">
        <f t="array" ref="O222">IF(IFERROR(-INDEX(Expenses!D$3:D$999,SMALL(IF((Expenses!E$3:E$999="INR")*(Expenses!A$3:A$999=DATE(2026,11,1)),ROW(Expenses!A$3:A$999)-2),4)),0)+IFERROR(INDEX(Income!C$3:C$502,SMALL(IF((Income!D$3:D$502="INR")*(Income!A$3:A$502=DATE(2026,11,1)),ROW(Income!A$3:A$502)-2),4)),0)=0,"",IFERROR(-INDEX(Expenses!D$3:D$999,SMALL(IF((Expenses!E$3:E$999="INR")*(Expenses!A$3:A$999=DATE(2026,11,1)),ROW(Expenses!A$3:A$999)-2),4)),0)+IFERROR(INDEX(Income!C$3:C$502,SMALL(IF((Income!D$3:D$502="INR")*(Income!A$3:A$502=DATE(2026,11,1)),ROW(Income!A$3:A$502)-2),4)),0))</f>
        <v/>
      </c>
      <c r="P222" s="126">
        <f t="array" ref="P222">IF(IFERROR(INDEX(Expenses!B$3:B$999,SMALL(IF((Expenses!E$3:E$999="INR")*(Expenses!A$3:A$999=DATE(2026,11,1)),ROW(Expenses!A$3:A$999)-2),4)),"")&lt;&gt;"",IFERROR(INDEX(Expenses!B$3:B$999,SMALL(IF((Expenses!E$3:E$999="INR")*(Expenses!A$3:A$999=DATE(2026,11,1)),ROW(Expenses!A$3:A$999)-2),4)),""),IF(IFERROR(INDEX(Income!B$3:B$502,SMALL(IF((Income!D$3:D$502="INR")*(Income!A$3:A$502=DATE(2026,11,1)),ROW(Income!A$3:A$502)-2),4)),"")&lt;&gt;"",IFERROR(INDEX(Income!B$3:B$502,SMALL(IF((Income!D$3:D$502="INR")*(Income!A$3:A$502=DATE(2026,11,1)),ROW(Income!A$3:A$502)-2),4)),""),""))</f>
        <v/>
      </c>
      <c r="Q222" s="9" t="n"/>
      <c r="R222" s="9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68">
      <c r="A223" s="9" t="n"/>
      <c r="B223" s="9" t="n"/>
      <c r="C223" s="153">
        <f t="array" ref="C223">IF(IFERROR(-INDEX(Expenses!D$3:D$999,SMALL(IF((Expenses!E$3:E$999="INR")*(Expenses!A$3:A$999=DATE(2026,10,26)),ROW(Expenses!A$3:A$999)-2),5)),0)+IFERROR(INDEX(Income!C$3:C$502,SMALL(IF((Income!D$3:D$502="INR")*(Income!A$3:A$502=DATE(2026,10,26)),ROW(Income!A$3:A$502)-2),5)),0)=0,"",IFERROR(-INDEX(Expenses!D$3:D$999,SMALL(IF((Expenses!E$3:E$999="INR")*(Expenses!A$3:A$999=DATE(2026,10,26)),ROW(Expenses!A$3:A$999)-2),5)),0)+IFERROR(INDEX(Income!C$3:C$502,SMALL(IF((Income!D$3:D$502="INR")*(Income!A$3:A$502=DATE(2026,10,26)),ROW(Income!A$3:A$502)-2),5)),0))</f>
        <v/>
      </c>
      <c r="D223" s="126">
        <f t="array" ref="D223">IF(IFERROR(INDEX(Expenses!B$3:B$999,SMALL(IF((Expenses!E$3:E$999="INR")*(Expenses!A$3:A$999=DATE(2026,10,26)),ROW(Expenses!A$3:A$999)-2),5)),"")&lt;&gt;"",IFERROR(INDEX(Expenses!B$3:B$999,SMALL(IF((Expenses!E$3:E$999="INR")*(Expenses!A$3:A$999=DATE(2026,10,26)),ROW(Expenses!A$3:A$999)-2),5)),""),IF(IFERROR(INDEX(Income!B$3:B$502,SMALL(IF((Income!D$3:D$502="INR")*(Income!A$3:A$502=DATE(2026,10,26)),ROW(Income!A$3:A$502)-2),5)),"")&lt;&gt;"",IFERROR(INDEX(Income!B$3:B$502,SMALL(IF((Income!D$3:D$502="INR")*(Income!A$3:A$502=DATE(2026,10,26)),ROW(Income!A$3:A$502)-2),5)),""),""))</f>
        <v/>
      </c>
      <c r="E223" s="153">
        <f t="array" ref="E223">IF(IFERROR(-INDEX(Expenses!D$3:D$999,SMALL(IF((Expenses!E$3:E$999="INR")*(Expenses!A$3:A$999=DATE(2026,10,27)),ROW(Expenses!A$3:A$999)-2),5)),0)+IFERROR(INDEX(Income!C$3:C$502,SMALL(IF((Income!D$3:D$502="INR")*(Income!A$3:A$502=DATE(2026,10,27)),ROW(Income!A$3:A$502)-2),5)),0)=0,"",IFERROR(-INDEX(Expenses!D$3:D$999,SMALL(IF((Expenses!E$3:E$999="INR")*(Expenses!A$3:A$999=DATE(2026,10,27)),ROW(Expenses!A$3:A$999)-2),5)),0)+IFERROR(INDEX(Income!C$3:C$502,SMALL(IF((Income!D$3:D$502="INR")*(Income!A$3:A$502=DATE(2026,10,27)),ROW(Income!A$3:A$502)-2),5)),0))</f>
        <v/>
      </c>
      <c r="F223" s="126">
        <f t="array" ref="F223">IF(IFERROR(INDEX(Expenses!B$3:B$999,SMALL(IF((Expenses!E$3:E$999="INR")*(Expenses!A$3:A$999=DATE(2026,10,27)),ROW(Expenses!A$3:A$999)-2),5)),"")&lt;&gt;"",IFERROR(INDEX(Expenses!B$3:B$999,SMALL(IF((Expenses!E$3:E$999="INR")*(Expenses!A$3:A$999=DATE(2026,10,27)),ROW(Expenses!A$3:A$999)-2),5)),""),IF(IFERROR(INDEX(Income!B$3:B$502,SMALL(IF((Income!D$3:D$502="INR")*(Income!A$3:A$502=DATE(2026,10,27)),ROW(Income!A$3:A$502)-2),5)),"")&lt;&gt;"",IFERROR(INDEX(Income!B$3:B$502,SMALL(IF((Income!D$3:D$502="INR")*(Income!A$3:A$502=DATE(2026,10,27)),ROW(Income!A$3:A$502)-2),5)),""),""))</f>
        <v/>
      </c>
      <c r="G223" s="153">
        <f t="array" ref="G223">IF(IFERROR(-INDEX(Expenses!D$3:D$999,SMALL(IF((Expenses!E$3:E$999="INR")*(Expenses!A$3:A$999=DATE(2026,10,28)),ROW(Expenses!A$3:A$999)-2),5)),0)+IFERROR(INDEX(Income!C$3:C$502,SMALL(IF((Income!D$3:D$502="INR")*(Income!A$3:A$502=DATE(2026,10,28)),ROW(Income!A$3:A$502)-2),5)),0)=0,"",IFERROR(-INDEX(Expenses!D$3:D$999,SMALL(IF((Expenses!E$3:E$999="INR")*(Expenses!A$3:A$999=DATE(2026,10,28)),ROW(Expenses!A$3:A$999)-2),5)),0)+IFERROR(INDEX(Income!C$3:C$502,SMALL(IF((Income!D$3:D$502="INR")*(Income!A$3:A$502=DATE(2026,10,28)),ROW(Income!A$3:A$502)-2),5)),0))</f>
        <v/>
      </c>
      <c r="H223" s="126">
        <f t="array" ref="H223">IF(IFERROR(INDEX(Expenses!B$3:B$999,SMALL(IF((Expenses!E$3:E$999="INR")*(Expenses!A$3:A$999=DATE(2026,10,28)),ROW(Expenses!A$3:A$999)-2),5)),"")&lt;&gt;"",IFERROR(INDEX(Expenses!B$3:B$999,SMALL(IF((Expenses!E$3:E$999="INR")*(Expenses!A$3:A$999=DATE(2026,10,28)),ROW(Expenses!A$3:A$999)-2),5)),""),IF(IFERROR(INDEX(Income!B$3:B$502,SMALL(IF((Income!D$3:D$502="INR")*(Income!A$3:A$502=DATE(2026,10,28)),ROW(Income!A$3:A$502)-2),5)),"")&lt;&gt;"",IFERROR(INDEX(Income!B$3:B$502,SMALL(IF((Income!D$3:D$502="INR")*(Income!A$3:A$502=DATE(2026,10,28)),ROW(Income!A$3:A$502)-2),5)),""),""))</f>
        <v/>
      </c>
      <c r="I223" s="153">
        <f t="array" ref="I223">IF(IFERROR(-INDEX(Expenses!D$3:D$999,SMALL(IF((Expenses!E$3:E$999="INR")*(Expenses!A$3:A$999=DATE(2026,10,29)),ROW(Expenses!A$3:A$999)-2),5)),0)+IFERROR(INDEX(Income!C$3:C$502,SMALL(IF((Income!D$3:D$502="INR")*(Income!A$3:A$502=DATE(2026,10,29)),ROW(Income!A$3:A$502)-2),5)),0)=0,"",IFERROR(-INDEX(Expenses!D$3:D$999,SMALL(IF((Expenses!E$3:E$999="INR")*(Expenses!A$3:A$999=DATE(2026,10,29)),ROW(Expenses!A$3:A$999)-2),5)),0)+IFERROR(INDEX(Income!C$3:C$502,SMALL(IF((Income!D$3:D$502="INR")*(Income!A$3:A$502=DATE(2026,10,29)),ROW(Income!A$3:A$502)-2),5)),0))</f>
        <v/>
      </c>
      <c r="J223" s="126">
        <f t="array" ref="J223">IF(IFERROR(INDEX(Expenses!B$3:B$999,SMALL(IF((Expenses!E$3:E$999="INR")*(Expenses!A$3:A$999=DATE(2026,10,29)),ROW(Expenses!A$3:A$999)-2),5)),"")&lt;&gt;"",IFERROR(INDEX(Expenses!B$3:B$999,SMALL(IF((Expenses!E$3:E$999="INR")*(Expenses!A$3:A$999=DATE(2026,10,29)),ROW(Expenses!A$3:A$999)-2),5)),""),IF(IFERROR(INDEX(Income!B$3:B$502,SMALL(IF((Income!D$3:D$502="INR")*(Income!A$3:A$502=DATE(2026,10,29)),ROW(Income!A$3:A$502)-2),5)),"")&lt;&gt;"",IFERROR(INDEX(Income!B$3:B$502,SMALL(IF((Income!D$3:D$502="INR")*(Income!A$3:A$502=DATE(2026,10,29)),ROW(Income!A$3:A$502)-2),5)),""),""))</f>
        <v/>
      </c>
      <c r="K223" s="153">
        <f t="array" ref="K223">IF(IFERROR(-INDEX(Expenses!D$3:D$999,SMALL(IF((Expenses!E$3:E$999="INR")*(Expenses!A$3:A$999=DATE(2026,10,30)),ROW(Expenses!A$3:A$999)-2),5)),0)+IFERROR(INDEX(Income!C$3:C$502,SMALL(IF((Income!D$3:D$502="INR")*(Income!A$3:A$502=DATE(2026,10,30)),ROW(Income!A$3:A$502)-2),5)),0)=0,"",IFERROR(-INDEX(Expenses!D$3:D$999,SMALL(IF((Expenses!E$3:E$999="INR")*(Expenses!A$3:A$999=DATE(2026,10,30)),ROW(Expenses!A$3:A$999)-2),5)),0)+IFERROR(INDEX(Income!C$3:C$502,SMALL(IF((Income!D$3:D$502="INR")*(Income!A$3:A$502=DATE(2026,10,30)),ROW(Income!A$3:A$502)-2),5)),0))</f>
        <v/>
      </c>
      <c r="L223" s="126">
        <f t="array" ref="L223">IF(IFERROR(INDEX(Expenses!B$3:B$999,SMALL(IF((Expenses!E$3:E$999="INR")*(Expenses!A$3:A$999=DATE(2026,10,30)),ROW(Expenses!A$3:A$999)-2),5)),"")&lt;&gt;"",IFERROR(INDEX(Expenses!B$3:B$999,SMALL(IF((Expenses!E$3:E$999="INR")*(Expenses!A$3:A$999=DATE(2026,10,30)),ROW(Expenses!A$3:A$999)-2),5)),""),IF(IFERROR(INDEX(Income!B$3:B$502,SMALL(IF((Income!D$3:D$502="INR")*(Income!A$3:A$502=DATE(2026,10,30)),ROW(Income!A$3:A$502)-2),5)),"")&lt;&gt;"",IFERROR(INDEX(Income!B$3:B$502,SMALL(IF((Income!D$3:D$502="INR")*(Income!A$3:A$502=DATE(2026,10,30)),ROW(Income!A$3:A$502)-2),5)),""),""))</f>
        <v/>
      </c>
      <c r="M223" s="153">
        <f t="array" ref="M223">IF(IFERROR(-INDEX(Expenses!D$3:D$999,SMALL(IF((Expenses!E$3:E$999="INR")*(Expenses!A$3:A$999=DATE(2026,10,31)),ROW(Expenses!A$3:A$999)-2),5)),0)+IFERROR(INDEX(Income!C$3:C$502,SMALL(IF((Income!D$3:D$502="INR")*(Income!A$3:A$502=DATE(2026,10,31)),ROW(Income!A$3:A$502)-2),5)),0)=0,"",IFERROR(-INDEX(Expenses!D$3:D$999,SMALL(IF((Expenses!E$3:E$999="INR")*(Expenses!A$3:A$999=DATE(2026,10,31)),ROW(Expenses!A$3:A$999)-2),5)),0)+IFERROR(INDEX(Income!C$3:C$502,SMALL(IF((Income!D$3:D$502="INR")*(Income!A$3:A$502=DATE(2026,10,31)),ROW(Income!A$3:A$502)-2),5)),0))</f>
        <v/>
      </c>
      <c r="N223" s="126">
        <f t="array" ref="N223">IF(IFERROR(INDEX(Expenses!B$3:B$999,SMALL(IF((Expenses!E$3:E$999="INR")*(Expenses!A$3:A$999=DATE(2026,10,31)),ROW(Expenses!A$3:A$999)-2),5)),"")&lt;&gt;"",IFERROR(INDEX(Expenses!B$3:B$999,SMALL(IF((Expenses!E$3:E$999="INR")*(Expenses!A$3:A$999=DATE(2026,10,31)),ROW(Expenses!A$3:A$999)-2),5)),""),IF(IFERROR(INDEX(Income!B$3:B$502,SMALL(IF((Income!D$3:D$502="INR")*(Income!A$3:A$502=DATE(2026,10,31)),ROW(Income!A$3:A$502)-2),5)),"")&lt;&gt;"",IFERROR(INDEX(Income!B$3:B$502,SMALL(IF((Income!D$3:D$502="INR")*(Income!A$3:A$502=DATE(2026,10,31)),ROW(Income!A$3:A$502)-2),5)),""),""))</f>
        <v/>
      </c>
      <c r="O223" s="153">
        <f t="array" ref="O223">IF(IFERROR(-INDEX(Expenses!D$3:D$999,SMALL(IF((Expenses!E$3:E$999="INR")*(Expenses!A$3:A$999=DATE(2026,11,1)),ROW(Expenses!A$3:A$999)-2),5)),0)+IFERROR(INDEX(Income!C$3:C$502,SMALL(IF((Income!D$3:D$502="INR")*(Income!A$3:A$502=DATE(2026,11,1)),ROW(Income!A$3:A$502)-2),5)),0)=0,"",IFERROR(-INDEX(Expenses!D$3:D$999,SMALL(IF((Expenses!E$3:E$999="INR")*(Expenses!A$3:A$999=DATE(2026,11,1)),ROW(Expenses!A$3:A$999)-2),5)),0)+IFERROR(INDEX(Income!C$3:C$502,SMALL(IF((Income!D$3:D$502="INR")*(Income!A$3:A$502=DATE(2026,11,1)),ROW(Income!A$3:A$502)-2),5)),0))</f>
        <v/>
      </c>
      <c r="P223" s="126">
        <f t="array" ref="P223">IF(IFERROR(INDEX(Expenses!B$3:B$999,SMALL(IF((Expenses!E$3:E$999="INR")*(Expenses!A$3:A$999=DATE(2026,11,1)),ROW(Expenses!A$3:A$999)-2),5)),"")&lt;&gt;"",IFERROR(INDEX(Expenses!B$3:B$999,SMALL(IF((Expenses!E$3:E$999="INR")*(Expenses!A$3:A$999=DATE(2026,11,1)),ROW(Expenses!A$3:A$999)-2),5)),""),IF(IFERROR(INDEX(Income!B$3:B$502,SMALL(IF((Income!D$3:D$502="INR")*(Income!A$3:A$502=DATE(2026,11,1)),ROW(Income!A$3:A$502)-2),5)),"")&lt;&gt;"",IFERROR(INDEX(Income!B$3:B$502,SMALL(IF((Income!D$3:D$502="INR")*(Income!A$3:A$502=DATE(2026,11,1)),ROW(Income!A$3:A$502)-2),5)),""),""))</f>
        <v/>
      </c>
      <c r="Q223" s="9" t="n"/>
      <c r="R223" s="9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68">
      <c r="A224" s="151" t="n">
        <v>46328</v>
      </c>
      <c r="B224" s="103" t="n">
        <v>45</v>
      </c>
      <c r="C224" s="153">
        <f t="array" ref="C224">IF(IFERROR(-INDEX(Expenses!D$3:D$999,SMALL(IF((Expenses!E$3:E$999="INR")*(Expenses!A$3:A$999=DATE(2026,11,2)),ROW(Expenses!A$3:A$999)-2),1)),0)+IFERROR(INDEX(Income!C$3:C$502,SMALL(IF((Income!D$3:D$502="INR")*(Income!A$3:A$502=DATE(2026,11,2)),ROW(Income!A$3:A$502)-2),1)),0)=0,"",IFERROR(-INDEX(Expenses!D$3:D$999,SMALL(IF((Expenses!E$3:E$999="INR")*(Expenses!A$3:A$999=DATE(2026,11,2)),ROW(Expenses!A$3:A$999)-2),1)),0)+IFERROR(INDEX(Income!C$3:C$502,SMALL(IF((Income!D$3:D$502="INR")*(Income!A$3:A$502=DATE(2026,11,2)),ROW(Income!A$3:A$502)-2),1)),0))</f>
        <v/>
      </c>
      <c r="D224" s="126">
        <f t="array" ref="D224">IF(IFERROR(INDEX(Expenses!B$3:B$999,SMALL(IF((Expenses!E$3:E$999="INR")*(Expenses!A$3:A$999=DATE(2026,11,2)),ROW(Expenses!A$3:A$999)-2),1)),"")&lt;&gt;"",IFERROR(INDEX(Expenses!B$3:B$999,SMALL(IF((Expenses!E$3:E$999="INR")*(Expenses!A$3:A$999=DATE(2026,11,2)),ROW(Expenses!A$3:A$999)-2),1)),""),IF(IFERROR(INDEX(Income!B$3:B$502,SMALL(IF((Income!D$3:D$502="INR")*(Income!A$3:A$502=DATE(2026,11,2)),ROW(Income!A$3:A$502)-2),1)),"")&lt;&gt;"",IFERROR(INDEX(Income!B$3:B$502,SMALL(IF((Income!D$3:D$502="INR")*(Income!A$3:A$502=DATE(2026,11,2)),ROW(Income!A$3:A$502)-2),1)),""),""))</f>
        <v/>
      </c>
      <c r="E224" s="153">
        <f t="array" ref="E224">IF(IFERROR(-INDEX(Expenses!D$3:D$999,SMALL(IF((Expenses!E$3:E$999="INR")*(Expenses!A$3:A$999=DATE(2026,11,3)),ROW(Expenses!A$3:A$999)-2),1)),0)+IFERROR(INDEX(Income!C$3:C$502,SMALL(IF((Income!D$3:D$502="INR")*(Income!A$3:A$502=DATE(2026,11,3)),ROW(Income!A$3:A$502)-2),1)),0)=0,"",IFERROR(-INDEX(Expenses!D$3:D$999,SMALL(IF((Expenses!E$3:E$999="INR")*(Expenses!A$3:A$999=DATE(2026,11,3)),ROW(Expenses!A$3:A$999)-2),1)),0)+IFERROR(INDEX(Income!C$3:C$502,SMALL(IF((Income!D$3:D$502="INR")*(Income!A$3:A$502=DATE(2026,11,3)),ROW(Income!A$3:A$502)-2),1)),0))</f>
        <v/>
      </c>
      <c r="F224" s="126">
        <f t="array" ref="F224">IF(IFERROR(INDEX(Expenses!B$3:B$999,SMALL(IF((Expenses!E$3:E$999="INR")*(Expenses!A$3:A$999=DATE(2026,11,3)),ROW(Expenses!A$3:A$999)-2),1)),"")&lt;&gt;"",IFERROR(INDEX(Expenses!B$3:B$999,SMALL(IF((Expenses!E$3:E$999="INR")*(Expenses!A$3:A$999=DATE(2026,11,3)),ROW(Expenses!A$3:A$999)-2),1)),""),IF(IFERROR(INDEX(Income!B$3:B$502,SMALL(IF((Income!D$3:D$502="INR")*(Income!A$3:A$502=DATE(2026,11,3)),ROW(Income!A$3:A$502)-2),1)),"")&lt;&gt;"",IFERROR(INDEX(Income!B$3:B$502,SMALL(IF((Income!D$3:D$502="INR")*(Income!A$3:A$502=DATE(2026,11,3)),ROW(Income!A$3:A$502)-2),1)),""),""))</f>
        <v/>
      </c>
      <c r="G224" s="153">
        <f t="array" ref="G224">IF(IFERROR(-INDEX(Expenses!D$3:D$999,SMALL(IF((Expenses!E$3:E$999="INR")*(Expenses!A$3:A$999=DATE(2026,11,4)),ROW(Expenses!A$3:A$999)-2),1)),0)+IFERROR(INDEX(Income!C$3:C$502,SMALL(IF((Income!D$3:D$502="INR")*(Income!A$3:A$502=DATE(2026,11,4)),ROW(Income!A$3:A$502)-2),1)),0)=0,"",IFERROR(-INDEX(Expenses!D$3:D$999,SMALL(IF((Expenses!E$3:E$999="INR")*(Expenses!A$3:A$999=DATE(2026,11,4)),ROW(Expenses!A$3:A$999)-2),1)),0)+IFERROR(INDEX(Income!C$3:C$502,SMALL(IF((Income!D$3:D$502="INR")*(Income!A$3:A$502=DATE(2026,11,4)),ROW(Income!A$3:A$502)-2),1)),0))</f>
        <v/>
      </c>
      <c r="H224" s="126">
        <f t="array" ref="H224">IF(IFERROR(INDEX(Expenses!B$3:B$999,SMALL(IF((Expenses!E$3:E$999="INR")*(Expenses!A$3:A$999=DATE(2026,11,4)),ROW(Expenses!A$3:A$999)-2),1)),"")&lt;&gt;"",IFERROR(INDEX(Expenses!B$3:B$999,SMALL(IF((Expenses!E$3:E$999="INR")*(Expenses!A$3:A$999=DATE(2026,11,4)),ROW(Expenses!A$3:A$999)-2),1)),""),IF(IFERROR(INDEX(Income!B$3:B$502,SMALL(IF((Income!D$3:D$502="INR")*(Income!A$3:A$502=DATE(2026,11,4)),ROW(Income!A$3:A$502)-2),1)),"")&lt;&gt;"",IFERROR(INDEX(Income!B$3:B$502,SMALL(IF((Income!D$3:D$502="INR")*(Income!A$3:A$502=DATE(2026,11,4)),ROW(Income!A$3:A$502)-2),1)),""),""))</f>
        <v/>
      </c>
      <c r="I224" s="153">
        <f t="array" ref="I224">IF(IFERROR(-INDEX(Expenses!D$3:D$999,SMALL(IF((Expenses!E$3:E$999="INR")*(Expenses!A$3:A$999=DATE(2026,11,5)),ROW(Expenses!A$3:A$999)-2),1)),0)+IFERROR(INDEX(Income!C$3:C$502,SMALL(IF((Income!D$3:D$502="INR")*(Income!A$3:A$502=DATE(2026,11,5)),ROW(Income!A$3:A$502)-2),1)),0)=0,"",IFERROR(-INDEX(Expenses!D$3:D$999,SMALL(IF((Expenses!E$3:E$999="INR")*(Expenses!A$3:A$999=DATE(2026,11,5)),ROW(Expenses!A$3:A$999)-2),1)),0)+IFERROR(INDEX(Income!C$3:C$502,SMALL(IF((Income!D$3:D$502="INR")*(Income!A$3:A$502=DATE(2026,11,5)),ROW(Income!A$3:A$502)-2),1)),0))</f>
        <v/>
      </c>
      <c r="J224" s="126">
        <f t="array" ref="J224">IF(IFERROR(INDEX(Expenses!B$3:B$999,SMALL(IF((Expenses!E$3:E$999="INR")*(Expenses!A$3:A$999=DATE(2026,11,5)),ROW(Expenses!A$3:A$999)-2),1)),"")&lt;&gt;"",IFERROR(INDEX(Expenses!B$3:B$999,SMALL(IF((Expenses!E$3:E$999="INR")*(Expenses!A$3:A$999=DATE(2026,11,5)),ROW(Expenses!A$3:A$999)-2),1)),""),IF(IFERROR(INDEX(Income!B$3:B$502,SMALL(IF((Income!D$3:D$502="INR")*(Income!A$3:A$502=DATE(2026,11,5)),ROW(Income!A$3:A$502)-2),1)),"")&lt;&gt;"",IFERROR(INDEX(Income!B$3:B$502,SMALL(IF((Income!D$3:D$502="INR")*(Income!A$3:A$502=DATE(2026,11,5)),ROW(Income!A$3:A$502)-2),1)),""),""))</f>
        <v/>
      </c>
      <c r="K224" s="153">
        <f t="array" ref="K224">IF(IFERROR(-INDEX(Expenses!D$3:D$999,SMALL(IF((Expenses!E$3:E$999="INR")*(Expenses!A$3:A$999=DATE(2026,11,6)),ROW(Expenses!A$3:A$999)-2),1)),0)+IFERROR(INDEX(Income!C$3:C$502,SMALL(IF((Income!D$3:D$502="INR")*(Income!A$3:A$502=DATE(2026,11,6)),ROW(Income!A$3:A$502)-2),1)),0)=0,"",IFERROR(-INDEX(Expenses!D$3:D$999,SMALL(IF((Expenses!E$3:E$999="INR")*(Expenses!A$3:A$999=DATE(2026,11,6)),ROW(Expenses!A$3:A$999)-2),1)),0)+IFERROR(INDEX(Income!C$3:C$502,SMALL(IF((Income!D$3:D$502="INR")*(Income!A$3:A$502=DATE(2026,11,6)),ROW(Income!A$3:A$502)-2),1)),0))</f>
        <v/>
      </c>
      <c r="L224" s="126">
        <f t="array" ref="L224">IF(IFERROR(INDEX(Expenses!B$3:B$999,SMALL(IF((Expenses!E$3:E$999="INR")*(Expenses!A$3:A$999=DATE(2026,11,6)),ROW(Expenses!A$3:A$999)-2),1)),"")&lt;&gt;"",IFERROR(INDEX(Expenses!B$3:B$999,SMALL(IF((Expenses!E$3:E$999="INR")*(Expenses!A$3:A$999=DATE(2026,11,6)),ROW(Expenses!A$3:A$999)-2),1)),""),IF(IFERROR(INDEX(Income!B$3:B$502,SMALL(IF((Income!D$3:D$502="INR")*(Income!A$3:A$502=DATE(2026,11,6)),ROW(Income!A$3:A$502)-2),1)),"")&lt;&gt;"",IFERROR(INDEX(Income!B$3:B$502,SMALL(IF((Income!D$3:D$502="INR")*(Income!A$3:A$502=DATE(2026,11,6)),ROW(Income!A$3:A$502)-2),1)),""),""))</f>
        <v/>
      </c>
      <c r="M224" s="153">
        <f t="array" ref="M224">IF(IFERROR(-INDEX(Expenses!D$3:D$999,SMALL(IF((Expenses!E$3:E$999="INR")*(Expenses!A$3:A$999=DATE(2026,11,7)),ROW(Expenses!A$3:A$999)-2),1)),0)+IFERROR(INDEX(Income!C$3:C$502,SMALL(IF((Income!D$3:D$502="INR")*(Income!A$3:A$502=DATE(2026,11,7)),ROW(Income!A$3:A$502)-2),1)),0)=0,"",IFERROR(-INDEX(Expenses!D$3:D$999,SMALL(IF((Expenses!E$3:E$999="INR")*(Expenses!A$3:A$999=DATE(2026,11,7)),ROW(Expenses!A$3:A$999)-2),1)),0)+IFERROR(INDEX(Income!C$3:C$502,SMALL(IF((Income!D$3:D$502="INR")*(Income!A$3:A$502=DATE(2026,11,7)),ROW(Income!A$3:A$502)-2),1)),0))</f>
        <v/>
      </c>
      <c r="N224" s="126">
        <f t="array" ref="N224">IF(IFERROR(INDEX(Expenses!B$3:B$999,SMALL(IF((Expenses!E$3:E$999="INR")*(Expenses!A$3:A$999=DATE(2026,11,7)),ROW(Expenses!A$3:A$999)-2),1)),"")&lt;&gt;"",IFERROR(INDEX(Expenses!B$3:B$999,SMALL(IF((Expenses!E$3:E$999="INR")*(Expenses!A$3:A$999=DATE(2026,11,7)),ROW(Expenses!A$3:A$999)-2),1)),""),IF(IFERROR(INDEX(Income!B$3:B$502,SMALL(IF((Income!D$3:D$502="INR")*(Income!A$3:A$502=DATE(2026,11,7)),ROW(Income!A$3:A$502)-2),1)),"")&lt;&gt;"",IFERROR(INDEX(Income!B$3:B$502,SMALL(IF((Income!D$3:D$502="INR")*(Income!A$3:A$502=DATE(2026,11,7)),ROW(Income!A$3:A$502)-2),1)),""),""))</f>
        <v/>
      </c>
      <c r="O224" s="153">
        <f t="array" ref="O224">IF(IFERROR(-INDEX(Expenses!D$3:D$999,SMALL(IF((Expenses!E$3:E$999="INR")*(Expenses!A$3:A$999=DATE(2026,11,8)),ROW(Expenses!A$3:A$999)-2),1)),0)+IFERROR(INDEX(Income!C$3:C$502,SMALL(IF((Income!D$3:D$502="INR")*(Income!A$3:A$502=DATE(2026,11,8)),ROW(Income!A$3:A$502)-2),1)),0)=0,"",IFERROR(-INDEX(Expenses!D$3:D$999,SMALL(IF((Expenses!E$3:E$999="INR")*(Expenses!A$3:A$999=DATE(2026,11,8)),ROW(Expenses!A$3:A$999)-2),1)),0)+IFERROR(INDEX(Income!C$3:C$502,SMALL(IF((Income!D$3:D$502="INR")*(Income!A$3:A$502=DATE(2026,11,8)),ROW(Income!A$3:A$502)-2),1)),0))</f>
        <v/>
      </c>
      <c r="P224" s="126">
        <f t="array" ref="P224">IF(IFERROR(INDEX(Expenses!B$3:B$999,SMALL(IF((Expenses!E$3:E$999="INR")*(Expenses!A$3:A$999=DATE(2026,11,8)),ROW(Expenses!A$3:A$999)-2),1)),"")&lt;&gt;"",IFERROR(INDEX(Expenses!B$3:B$999,SMALL(IF((Expenses!E$3:E$999="INR")*(Expenses!A$3:A$999=DATE(2026,11,8)),ROW(Expenses!A$3:A$999)-2),1)),""),IF(IFERROR(INDEX(Income!B$3:B$502,SMALL(IF((Income!D$3:D$502="INR")*(Income!A$3:A$502=DATE(2026,11,8)),ROW(Income!A$3:A$502)-2),1)),"")&lt;&gt;"",IFERROR(INDEX(Income!B$3:B$502,SMALL(IF((Income!D$3:D$502="INR")*(Income!A$3:A$502=DATE(2026,11,8)),ROW(Income!A$3:A$502)-2),1)),""),""))</f>
        <v/>
      </c>
      <c r="Q224" s="103" t="n">
        <v>45</v>
      </c>
      <c r="R224" s="142">
        <f>SUM(C224:C228)+SUM(E224:E228)+SUM(G224:G228)+SUM(I224:I228)+SUM(K224:K228)+SUM(M224:M228)+SUM(O224:O228)</f>
        <v/>
      </c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68">
      <c r="A225" s="9" t="n"/>
      <c r="B225" s="9" t="n"/>
      <c r="C225" s="153">
        <f t="array" ref="C225">IF(IFERROR(-INDEX(Expenses!D$3:D$999,SMALL(IF((Expenses!E$3:E$999="INR")*(Expenses!A$3:A$999=DATE(2026,11,2)),ROW(Expenses!A$3:A$999)-2),2)),0)+IFERROR(INDEX(Income!C$3:C$502,SMALL(IF((Income!D$3:D$502="INR")*(Income!A$3:A$502=DATE(2026,11,2)),ROW(Income!A$3:A$502)-2),2)),0)=0,"",IFERROR(-INDEX(Expenses!D$3:D$999,SMALL(IF((Expenses!E$3:E$999="INR")*(Expenses!A$3:A$999=DATE(2026,11,2)),ROW(Expenses!A$3:A$999)-2),2)),0)+IFERROR(INDEX(Income!C$3:C$502,SMALL(IF((Income!D$3:D$502="INR")*(Income!A$3:A$502=DATE(2026,11,2)),ROW(Income!A$3:A$502)-2),2)),0))</f>
        <v/>
      </c>
      <c r="D225" s="126">
        <f t="array" ref="D225">IF(IFERROR(INDEX(Expenses!B$3:B$999,SMALL(IF((Expenses!E$3:E$999="INR")*(Expenses!A$3:A$999=DATE(2026,11,2)),ROW(Expenses!A$3:A$999)-2),2)),"")&lt;&gt;"",IFERROR(INDEX(Expenses!B$3:B$999,SMALL(IF((Expenses!E$3:E$999="INR")*(Expenses!A$3:A$999=DATE(2026,11,2)),ROW(Expenses!A$3:A$999)-2),2)),""),IF(IFERROR(INDEX(Income!B$3:B$502,SMALL(IF((Income!D$3:D$502="INR")*(Income!A$3:A$502=DATE(2026,11,2)),ROW(Income!A$3:A$502)-2),2)),"")&lt;&gt;"",IFERROR(INDEX(Income!B$3:B$502,SMALL(IF((Income!D$3:D$502="INR")*(Income!A$3:A$502=DATE(2026,11,2)),ROW(Income!A$3:A$502)-2),2)),""),""))</f>
        <v/>
      </c>
      <c r="E225" s="153">
        <f t="array" ref="E225">IF(IFERROR(-INDEX(Expenses!D$3:D$999,SMALL(IF((Expenses!E$3:E$999="INR")*(Expenses!A$3:A$999=DATE(2026,11,3)),ROW(Expenses!A$3:A$999)-2),2)),0)+IFERROR(INDEX(Income!C$3:C$502,SMALL(IF((Income!D$3:D$502="INR")*(Income!A$3:A$502=DATE(2026,11,3)),ROW(Income!A$3:A$502)-2),2)),0)=0,"",IFERROR(-INDEX(Expenses!D$3:D$999,SMALL(IF((Expenses!E$3:E$999="INR")*(Expenses!A$3:A$999=DATE(2026,11,3)),ROW(Expenses!A$3:A$999)-2),2)),0)+IFERROR(INDEX(Income!C$3:C$502,SMALL(IF((Income!D$3:D$502="INR")*(Income!A$3:A$502=DATE(2026,11,3)),ROW(Income!A$3:A$502)-2),2)),0))</f>
        <v/>
      </c>
      <c r="F225" s="126">
        <f t="array" ref="F225">IF(IFERROR(INDEX(Expenses!B$3:B$999,SMALL(IF((Expenses!E$3:E$999="INR")*(Expenses!A$3:A$999=DATE(2026,11,3)),ROW(Expenses!A$3:A$999)-2),2)),"")&lt;&gt;"",IFERROR(INDEX(Expenses!B$3:B$999,SMALL(IF((Expenses!E$3:E$999="INR")*(Expenses!A$3:A$999=DATE(2026,11,3)),ROW(Expenses!A$3:A$999)-2),2)),""),IF(IFERROR(INDEX(Income!B$3:B$502,SMALL(IF((Income!D$3:D$502="INR")*(Income!A$3:A$502=DATE(2026,11,3)),ROW(Income!A$3:A$502)-2),2)),"")&lt;&gt;"",IFERROR(INDEX(Income!B$3:B$502,SMALL(IF((Income!D$3:D$502="INR")*(Income!A$3:A$502=DATE(2026,11,3)),ROW(Income!A$3:A$502)-2),2)),""),""))</f>
        <v/>
      </c>
      <c r="G225" s="153">
        <f t="array" ref="G225">IF(IFERROR(-INDEX(Expenses!D$3:D$999,SMALL(IF((Expenses!E$3:E$999="INR")*(Expenses!A$3:A$999=DATE(2026,11,4)),ROW(Expenses!A$3:A$999)-2),2)),0)+IFERROR(INDEX(Income!C$3:C$502,SMALL(IF((Income!D$3:D$502="INR")*(Income!A$3:A$502=DATE(2026,11,4)),ROW(Income!A$3:A$502)-2),2)),0)=0,"",IFERROR(-INDEX(Expenses!D$3:D$999,SMALL(IF((Expenses!E$3:E$999="INR")*(Expenses!A$3:A$999=DATE(2026,11,4)),ROW(Expenses!A$3:A$999)-2),2)),0)+IFERROR(INDEX(Income!C$3:C$502,SMALL(IF((Income!D$3:D$502="INR")*(Income!A$3:A$502=DATE(2026,11,4)),ROW(Income!A$3:A$502)-2),2)),0))</f>
        <v/>
      </c>
      <c r="H225" s="126">
        <f t="array" ref="H225">IF(IFERROR(INDEX(Expenses!B$3:B$999,SMALL(IF((Expenses!E$3:E$999="INR")*(Expenses!A$3:A$999=DATE(2026,11,4)),ROW(Expenses!A$3:A$999)-2),2)),"")&lt;&gt;"",IFERROR(INDEX(Expenses!B$3:B$999,SMALL(IF((Expenses!E$3:E$999="INR")*(Expenses!A$3:A$999=DATE(2026,11,4)),ROW(Expenses!A$3:A$999)-2),2)),""),IF(IFERROR(INDEX(Income!B$3:B$502,SMALL(IF((Income!D$3:D$502="INR")*(Income!A$3:A$502=DATE(2026,11,4)),ROW(Income!A$3:A$502)-2),2)),"")&lt;&gt;"",IFERROR(INDEX(Income!B$3:B$502,SMALL(IF((Income!D$3:D$502="INR")*(Income!A$3:A$502=DATE(2026,11,4)),ROW(Income!A$3:A$502)-2),2)),""),""))</f>
        <v/>
      </c>
      <c r="I225" s="153">
        <f t="array" ref="I225">IF(IFERROR(-INDEX(Expenses!D$3:D$999,SMALL(IF((Expenses!E$3:E$999="INR")*(Expenses!A$3:A$999=DATE(2026,11,5)),ROW(Expenses!A$3:A$999)-2),2)),0)+IFERROR(INDEX(Income!C$3:C$502,SMALL(IF((Income!D$3:D$502="INR")*(Income!A$3:A$502=DATE(2026,11,5)),ROW(Income!A$3:A$502)-2),2)),0)=0,"",IFERROR(-INDEX(Expenses!D$3:D$999,SMALL(IF((Expenses!E$3:E$999="INR")*(Expenses!A$3:A$999=DATE(2026,11,5)),ROW(Expenses!A$3:A$999)-2),2)),0)+IFERROR(INDEX(Income!C$3:C$502,SMALL(IF((Income!D$3:D$502="INR")*(Income!A$3:A$502=DATE(2026,11,5)),ROW(Income!A$3:A$502)-2),2)),0))</f>
        <v/>
      </c>
      <c r="J225" s="126">
        <f t="array" ref="J225">IF(IFERROR(INDEX(Expenses!B$3:B$999,SMALL(IF((Expenses!E$3:E$999="INR")*(Expenses!A$3:A$999=DATE(2026,11,5)),ROW(Expenses!A$3:A$999)-2),2)),"")&lt;&gt;"",IFERROR(INDEX(Expenses!B$3:B$999,SMALL(IF((Expenses!E$3:E$999="INR")*(Expenses!A$3:A$999=DATE(2026,11,5)),ROW(Expenses!A$3:A$999)-2),2)),""),IF(IFERROR(INDEX(Income!B$3:B$502,SMALL(IF((Income!D$3:D$502="INR")*(Income!A$3:A$502=DATE(2026,11,5)),ROW(Income!A$3:A$502)-2),2)),"")&lt;&gt;"",IFERROR(INDEX(Income!B$3:B$502,SMALL(IF((Income!D$3:D$502="INR")*(Income!A$3:A$502=DATE(2026,11,5)),ROW(Income!A$3:A$502)-2),2)),""),""))</f>
        <v/>
      </c>
      <c r="K225" s="153">
        <f t="array" ref="K225">IF(IFERROR(-INDEX(Expenses!D$3:D$999,SMALL(IF((Expenses!E$3:E$999="INR")*(Expenses!A$3:A$999=DATE(2026,11,6)),ROW(Expenses!A$3:A$999)-2),2)),0)+IFERROR(INDEX(Income!C$3:C$502,SMALL(IF((Income!D$3:D$502="INR")*(Income!A$3:A$502=DATE(2026,11,6)),ROW(Income!A$3:A$502)-2),2)),0)=0,"",IFERROR(-INDEX(Expenses!D$3:D$999,SMALL(IF((Expenses!E$3:E$999="INR")*(Expenses!A$3:A$999=DATE(2026,11,6)),ROW(Expenses!A$3:A$999)-2),2)),0)+IFERROR(INDEX(Income!C$3:C$502,SMALL(IF((Income!D$3:D$502="INR")*(Income!A$3:A$502=DATE(2026,11,6)),ROW(Income!A$3:A$502)-2),2)),0))</f>
        <v/>
      </c>
      <c r="L225" s="126">
        <f t="array" ref="L225">IF(IFERROR(INDEX(Expenses!B$3:B$999,SMALL(IF((Expenses!E$3:E$999="INR")*(Expenses!A$3:A$999=DATE(2026,11,6)),ROW(Expenses!A$3:A$999)-2),2)),"")&lt;&gt;"",IFERROR(INDEX(Expenses!B$3:B$999,SMALL(IF((Expenses!E$3:E$999="INR")*(Expenses!A$3:A$999=DATE(2026,11,6)),ROW(Expenses!A$3:A$999)-2),2)),""),IF(IFERROR(INDEX(Income!B$3:B$502,SMALL(IF((Income!D$3:D$502="INR")*(Income!A$3:A$502=DATE(2026,11,6)),ROW(Income!A$3:A$502)-2),2)),"")&lt;&gt;"",IFERROR(INDEX(Income!B$3:B$502,SMALL(IF((Income!D$3:D$502="INR")*(Income!A$3:A$502=DATE(2026,11,6)),ROW(Income!A$3:A$502)-2),2)),""),""))</f>
        <v/>
      </c>
      <c r="M225" s="153">
        <f t="array" ref="M225">IF(IFERROR(-INDEX(Expenses!D$3:D$999,SMALL(IF((Expenses!E$3:E$999="INR")*(Expenses!A$3:A$999=DATE(2026,11,7)),ROW(Expenses!A$3:A$999)-2),2)),0)+IFERROR(INDEX(Income!C$3:C$502,SMALL(IF((Income!D$3:D$502="INR")*(Income!A$3:A$502=DATE(2026,11,7)),ROW(Income!A$3:A$502)-2),2)),0)=0,"",IFERROR(-INDEX(Expenses!D$3:D$999,SMALL(IF((Expenses!E$3:E$999="INR")*(Expenses!A$3:A$999=DATE(2026,11,7)),ROW(Expenses!A$3:A$999)-2),2)),0)+IFERROR(INDEX(Income!C$3:C$502,SMALL(IF((Income!D$3:D$502="INR")*(Income!A$3:A$502=DATE(2026,11,7)),ROW(Income!A$3:A$502)-2),2)),0))</f>
        <v/>
      </c>
      <c r="N225" s="126">
        <f t="array" ref="N225">IF(IFERROR(INDEX(Expenses!B$3:B$999,SMALL(IF((Expenses!E$3:E$999="INR")*(Expenses!A$3:A$999=DATE(2026,11,7)),ROW(Expenses!A$3:A$999)-2),2)),"")&lt;&gt;"",IFERROR(INDEX(Expenses!B$3:B$999,SMALL(IF((Expenses!E$3:E$999="INR")*(Expenses!A$3:A$999=DATE(2026,11,7)),ROW(Expenses!A$3:A$999)-2),2)),""),IF(IFERROR(INDEX(Income!B$3:B$502,SMALL(IF((Income!D$3:D$502="INR")*(Income!A$3:A$502=DATE(2026,11,7)),ROW(Income!A$3:A$502)-2),2)),"")&lt;&gt;"",IFERROR(INDEX(Income!B$3:B$502,SMALL(IF((Income!D$3:D$502="INR")*(Income!A$3:A$502=DATE(2026,11,7)),ROW(Income!A$3:A$502)-2),2)),""),""))</f>
        <v/>
      </c>
      <c r="O225" s="153">
        <f t="array" ref="O225">IF(IFERROR(-INDEX(Expenses!D$3:D$999,SMALL(IF((Expenses!E$3:E$999="INR")*(Expenses!A$3:A$999=DATE(2026,11,8)),ROW(Expenses!A$3:A$999)-2),2)),0)+IFERROR(INDEX(Income!C$3:C$502,SMALL(IF((Income!D$3:D$502="INR")*(Income!A$3:A$502=DATE(2026,11,8)),ROW(Income!A$3:A$502)-2),2)),0)=0,"",IFERROR(-INDEX(Expenses!D$3:D$999,SMALL(IF((Expenses!E$3:E$999="INR")*(Expenses!A$3:A$999=DATE(2026,11,8)),ROW(Expenses!A$3:A$999)-2),2)),0)+IFERROR(INDEX(Income!C$3:C$502,SMALL(IF((Income!D$3:D$502="INR")*(Income!A$3:A$502=DATE(2026,11,8)),ROW(Income!A$3:A$502)-2),2)),0))</f>
        <v/>
      </c>
      <c r="P225" s="126">
        <f t="array" ref="P225">IF(IFERROR(INDEX(Expenses!B$3:B$999,SMALL(IF((Expenses!E$3:E$999="INR")*(Expenses!A$3:A$999=DATE(2026,11,8)),ROW(Expenses!A$3:A$999)-2),2)),"")&lt;&gt;"",IFERROR(INDEX(Expenses!B$3:B$999,SMALL(IF((Expenses!E$3:E$999="INR")*(Expenses!A$3:A$999=DATE(2026,11,8)),ROW(Expenses!A$3:A$999)-2),2)),""),IF(IFERROR(INDEX(Income!B$3:B$502,SMALL(IF((Income!D$3:D$502="INR")*(Income!A$3:A$502=DATE(2026,11,8)),ROW(Income!A$3:A$502)-2),2)),"")&lt;&gt;"",IFERROR(INDEX(Income!B$3:B$502,SMALL(IF((Income!D$3:D$502="INR")*(Income!A$3:A$502=DATE(2026,11,8)),ROW(Income!A$3:A$502)-2),2)),""),""))</f>
        <v/>
      </c>
      <c r="Q225" s="9" t="n"/>
      <c r="R225" s="9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68">
      <c r="A226" s="9" t="n"/>
      <c r="B226" s="9" t="n"/>
      <c r="C226" s="153">
        <f t="array" ref="C226">IF(IFERROR(-INDEX(Expenses!D$3:D$999,SMALL(IF((Expenses!E$3:E$999="INR")*(Expenses!A$3:A$999=DATE(2026,11,2)),ROW(Expenses!A$3:A$999)-2),3)),0)+IFERROR(INDEX(Income!C$3:C$502,SMALL(IF((Income!D$3:D$502="INR")*(Income!A$3:A$502=DATE(2026,11,2)),ROW(Income!A$3:A$502)-2),3)),0)=0,"",IFERROR(-INDEX(Expenses!D$3:D$999,SMALL(IF((Expenses!E$3:E$999="INR")*(Expenses!A$3:A$999=DATE(2026,11,2)),ROW(Expenses!A$3:A$999)-2),3)),0)+IFERROR(INDEX(Income!C$3:C$502,SMALL(IF((Income!D$3:D$502="INR")*(Income!A$3:A$502=DATE(2026,11,2)),ROW(Income!A$3:A$502)-2),3)),0))</f>
        <v/>
      </c>
      <c r="D226" s="126">
        <f t="array" ref="D226">IF(IFERROR(INDEX(Expenses!B$3:B$999,SMALL(IF((Expenses!E$3:E$999="INR")*(Expenses!A$3:A$999=DATE(2026,11,2)),ROW(Expenses!A$3:A$999)-2),3)),"")&lt;&gt;"",IFERROR(INDEX(Expenses!B$3:B$999,SMALL(IF((Expenses!E$3:E$999="INR")*(Expenses!A$3:A$999=DATE(2026,11,2)),ROW(Expenses!A$3:A$999)-2),3)),""),IF(IFERROR(INDEX(Income!B$3:B$502,SMALL(IF((Income!D$3:D$502="INR")*(Income!A$3:A$502=DATE(2026,11,2)),ROW(Income!A$3:A$502)-2),3)),"")&lt;&gt;"",IFERROR(INDEX(Income!B$3:B$502,SMALL(IF((Income!D$3:D$502="INR")*(Income!A$3:A$502=DATE(2026,11,2)),ROW(Income!A$3:A$502)-2),3)),""),""))</f>
        <v/>
      </c>
      <c r="E226" s="153">
        <f t="array" ref="E226">IF(IFERROR(-INDEX(Expenses!D$3:D$999,SMALL(IF((Expenses!E$3:E$999="INR")*(Expenses!A$3:A$999=DATE(2026,11,3)),ROW(Expenses!A$3:A$999)-2),3)),0)+IFERROR(INDEX(Income!C$3:C$502,SMALL(IF((Income!D$3:D$502="INR")*(Income!A$3:A$502=DATE(2026,11,3)),ROW(Income!A$3:A$502)-2),3)),0)=0,"",IFERROR(-INDEX(Expenses!D$3:D$999,SMALL(IF((Expenses!E$3:E$999="INR")*(Expenses!A$3:A$999=DATE(2026,11,3)),ROW(Expenses!A$3:A$999)-2),3)),0)+IFERROR(INDEX(Income!C$3:C$502,SMALL(IF((Income!D$3:D$502="INR")*(Income!A$3:A$502=DATE(2026,11,3)),ROW(Income!A$3:A$502)-2),3)),0))</f>
        <v/>
      </c>
      <c r="F226" s="126">
        <f t="array" ref="F226">IF(IFERROR(INDEX(Expenses!B$3:B$999,SMALL(IF((Expenses!E$3:E$999="INR")*(Expenses!A$3:A$999=DATE(2026,11,3)),ROW(Expenses!A$3:A$999)-2),3)),"")&lt;&gt;"",IFERROR(INDEX(Expenses!B$3:B$999,SMALL(IF((Expenses!E$3:E$999="INR")*(Expenses!A$3:A$999=DATE(2026,11,3)),ROW(Expenses!A$3:A$999)-2),3)),""),IF(IFERROR(INDEX(Income!B$3:B$502,SMALL(IF((Income!D$3:D$502="INR")*(Income!A$3:A$502=DATE(2026,11,3)),ROW(Income!A$3:A$502)-2),3)),"")&lt;&gt;"",IFERROR(INDEX(Income!B$3:B$502,SMALL(IF((Income!D$3:D$502="INR")*(Income!A$3:A$502=DATE(2026,11,3)),ROW(Income!A$3:A$502)-2),3)),""),""))</f>
        <v/>
      </c>
      <c r="G226" s="153">
        <f t="array" ref="G226">IF(IFERROR(-INDEX(Expenses!D$3:D$999,SMALL(IF((Expenses!E$3:E$999="INR")*(Expenses!A$3:A$999=DATE(2026,11,4)),ROW(Expenses!A$3:A$999)-2),3)),0)+IFERROR(INDEX(Income!C$3:C$502,SMALL(IF((Income!D$3:D$502="INR")*(Income!A$3:A$502=DATE(2026,11,4)),ROW(Income!A$3:A$502)-2),3)),0)=0,"",IFERROR(-INDEX(Expenses!D$3:D$999,SMALL(IF((Expenses!E$3:E$999="INR")*(Expenses!A$3:A$999=DATE(2026,11,4)),ROW(Expenses!A$3:A$999)-2),3)),0)+IFERROR(INDEX(Income!C$3:C$502,SMALL(IF((Income!D$3:D$502="INR")*(Income!A$3:A$502=DATE(2026,11,4)),ROW(Income!A$3:A$502)-2),3)),0))</f>
        <v/>
      </c>
      <c r="H226" s="126">
        <f t="array" ref="H226">IF(IFERROR(INDEX(Expenses!B$3:B$999,SMALL(IF((Expenses!E$3:E$999="INR")*(Expenses!A$3:A$999=DATE(2026,11,4)),ROW(Expenses!A$3:A$999)-2),3)),"")&lt;&gt;"",IFERROR(INDEX(Expenses!B$3:B$999,SMALL(IF((Expenses!E$3:E$999="INR")*(Expenses!A$3:A$999=DATE(2026,11,4)),ROW(Expenses!A$3:A$999)-2),3)),""),IF(IFERROR(INDEX(Income!B$3:B$502,SMALL(IF((Income!D$3:D$502="INR")*(Income!A$3:A$502=DATE(2026,11,4)),ROW(Income!A$3:A$502)-2),3)),"")&lt;&gt;"",IFERROR(INDEX(Income!B$3:B$502,SMALL(IF((Income!D$3:D$502="INR")*(Income!A$3:A$502=DATE(2026,11,4)),ROW(Income!A$3:A$502)-2),3)),""),""))</f>
        <v/>
      </c>
      <c r="I226" s="153">
        <f t="array" ref="I226">IF(IFERROR(-INDEX(Expenses!D$3:D$999,SMALL(IF((Expenses!E$3:E$999="INR")*(Expenses!A$3:A$999=DATE(2026,11,5)),ROW(Expenses!A$3:A$999)-2),3)),0)+IFERROR(INDEX(Income!C$3:C$502,SMALL(IF((Income!D$3:D$502="INR")*(Income!A$3:A$502=DATE(2026,11,5)),ROW(Income!A$3:A$502)-2),3)),0)=0,"",IFERROR(-INDEX(Expenses!D$3:D$999,SMALL(IF((Expenses!E$3:E$999="INR")*(Expenses!A$3:A$999=DATE(2026,11,5)),ROW(Expenses!A$3:A$999)-2),3)),0)+IFERROR(INDEX(Income!C$3:C$502,SMALL(IF((Income!D$3:D$502="INR")*(Income!A$3:A$502=DATE(2026,11,5)),ROW(Income!A$3:A$502)-2),3)),0))</f>
        <v/>
      </c>
      <c r="J226" s="126">
        <f t="array" ref="J226">IF(IFERROR(INDEX(Expenses!B$3:B$999,SMALL(IF((Expenses!E$3:E$999="INR")*(Expenses!A$3:A$999=DATE(2026,11,5)),ROW(Expenses!A$3:A$999)-2),3)),"")&lt;&gt;"",IFERROR(INDEX(Expenses!B$3:B$999,SMALL(IF((Expenses!E$3:E$999="INR")*(Expenses!A$3:A$999=DATE(2026,11,5)),ROW(Expenses!A$3:A$999)-2),3)),""),IF(IFERROR(INDEX(Income!B$3:B$502,SMALL(IF((Income!D$3:D$502="INR")*(Income!A$3:A$502=DATE(2026,11,5)),ROW(Income!A$3:A$502)-2),3)),"")&lt;&gt;"",IFERROR(INDEX(Income!B$3:B$502,SMALL(IF((Income!D$3:D$502="INR")*(Income!A$3:A$502=DATE(2026,11,5)),ROW(Income!A$3:A$502)-2),3)),""),""))</f>
        <v/>
      </c>
      <c r="K226" s="153">
        <f t="array" ref="K226">IF(IFERROR(-INDEX(Expenses!D$3:D$999,SMALL(IF((Expenses!E$3:E$999="INR")*(Expenses!A$3:A$999=DATE(2026,11,6)),ROW(Expenses!A$3:A$999)-2),3)),0)+IFERROR(INDEX(Income!C$3:C$502,SMALL(IF((Income!D$3:D$502="INR")*(Income!A$3:A$502=DATE(2026,11,6)),ROW(Income!A$3:A$502)-2),3)),0)=0,"",IFERROR(-INDEX(Expenses!D$3:D$999,SMALL(IF((Expenses!E$3:E$999="INR")*(Expenses!A$3:A$999=DATE(2026,11,6)),ROW(Expenses!A$3:A$999)-2),3)),0)+IFERROR(INDEX(Income!C$3:C$502,SMALL(IF((Income!D$3:D$502="INR")*(Income!A$3:A$502=DATE(2026,11,6)),ROW(Income!A$3:A$502)-2),3)),0))</f>
        <v/>
      </c>
      <c r="L226" s="126">
        <f t="array" ref="L226">IF(IFERROR(INDEX(Expenses!B$3:B$999,SMALL(IF((Expenses!E$3:E$999="INR")*(Expenses!A$3:A$999=DATE(2026,11,6)),ROW(Expenses!A$3:A$999)-2),3)),"")&lt;&gt;"",IFERROR(INDEX(Expenses!B$3:B$999,SMALL(IF((Expenses!E$3:E$999="INR")*(Expenses!A$3:A$999=DATE(2026,11,6)),ROW(Expenses!A$3:A$999)-2),3)),""),IF(IFERROR(INDEX(Income!B$3:B$502,SMALL(IF((Income!D$3:D$502="INR")*(Income!A$3:A$502=DATE(2026,11,6)),ROW(Income!A$3:A$502)-2),3)),"")&lt;&gt;"",IFERROR(INDEX(Income!B$3:B$502,SMALL(IF((Income!D$3:D$502="INR")*(Income!A$3:A$502=DATE(2026,11,6)),ROW(Income!A$3:A$502)-2),3)),""),""))</f>
        <v/>
      </c>
      <c r="M226" s="153">
        <f t="array" ref="M226">IF(IFERROR(-INDEX(Expenses!D$3:D$999,SMALL(IF((Expenses!E$3:E$999="INR")*(Expenses!A$3:A$999=DATE(2026,11,7)),ROW(Expenses!A$3:A$999)-2),3)),0)+IFERROR(INDEX(Income!C$3:C$502,SMALL(IF((Income!D$3:D$502="INR")*(Income!A$3:A$502=DATE(2026,11,7)),ROW(Income!A$3:A$502)-2),3)),0)=0,"",IFERROR(-INDEX(Expenses!D$3:D$999,SMALL(IF((Expenses!E$3:E$999="INR")*(Expenses!A$3:A$999=DATE(2026,11,7)),ROW(Expenses!A$3:A$999)-2),3)),0)+IFERROR(INDEX(Income!C$3:C$502,SMALL(IF((Income!D$3:D$502="INR")*(Income!A$3:A$502=DATE(2026,11,7)),ROW(Income!A$3:A$502)-2),3)),0))</f>
        <v/>
      </c>
      <c r="N226" s="126">
        <f t="array" ref="N226">IF(IFERROR(INDEX(Expenses!B$3:B$999,SMALL(IF((Expenses!E$3:E$999="INR")*(Expenses!A$3:A$999=DATE(2026,11,7)),ROW(Expenses!A$3:A$999)-2),3)),"")&lt;&gt;"",IFERROR(INDEX(Expenses!B$3:B$999,SMALL(IF((Expenses!E$3:E$999="INR")*(Expenses!A$3:A$999=DATE(2026,11,7)),ROW(Expenses!A$3:A$999)-2),3)),""),IF(IFERROR(INDEX(Income!B$3:B$502,SMALL(IF((Income!D$3:D$502="INR")*(Income!A$3:A$502=DATE(2026,11,7)),ROW(Income!A$3:A$502)-2),3)),"")&lt;&gt;"",IFERROR(INDEX(Income!B$3:B$502,SMALL(IF((Income!D$3:D$502="INR")*(Income!A$3:A$502=DATE(2026,11,7)),ROW(Income!A$3:A$502)-2),3)),""),""))</f>
        <v/>
      </c>
      <c r="O226" s="153">
        <f t="array" ref="O226">IF(IFERROR(-INDEX(Expenses!D$3:D$999,SMALL(IF((Expenses!E$3:E$999="INR")*(Expenses!A$3:A$999=DATE(2026,11,8)),ROW(Expenses!A$3:A$999)-2),3)),0)+IFERROR(INDEX(Income!C$3:C$502,SMALL(IF((Income!D$3:D$502="INR")*(Income!A$3:A$502=DATE(2026,11,8)),ROW(Income!A$3:A$502)-2),3)),0)=0,"",IFERROR(-INDEX(Expenses!D$3:D$999,SMALL(IF((Expenses!E$3:E$999="INR")*(Expenses!A$3:A$999=DATE(2026,11,8)),ROW(Expenses!A$3:A$999)-2),3)),0)+IFERROR(INDEX(Income!C$3:C$502,SMALL(IF((Income!D$3:D$502="INR")*(Income!A$3:A$502=DATE(2026,11,8)),ROW(Income!A$3:A$502)-2),3)),0))</f>
        <v/>
      </c>
      <c r="P226" s="126">
        <f t="array" ref="P226">IF(IFERROR(INDEX(Expenses!B$3:B$999,SMALL(IF((Expenses!E$3:E$999="INR")*(Expenses!A$3:A$999=DATE(2026,11,8)),ROW(Expenses!A$3:A$999)-2),3)),"")&lt;&gt;"",IFERROR(INDEX(Expenses!B$3:B$999,SMALL(IF((Expenses!E$3:E$999="INR")*(Expenses!A$3:A$999=DATE(2026,11,8)),ROW(Expenses!A$3:A$999)-2),3)),""),IF(IFERROR(INDEX(Income!B$3:B$502,SMALL(IF((Income!D$3:D$502="INR")*(Income!A$3:A$502=DATE(2026,11,8)),ROW(Income!A$3:A$502)-2),3)),"")&lt;&gt;"",IFERROR(INDEX(Income!B$3:B$502,SMALL(IF((Income!D$3:D$502="INR")*(Income!A$3:A$502=DATE(2026,11,8)),ROW(Income!A$3:A$502)-2),3)),""),""))</f>
        <v/>
      </c>
      <c r="Q226" s="9" t="n"/>
      <c r="R226" s="9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68">
      <c r="A227" s="9" t="n"/>
      <c r="B227" s="9" t="n"/>
      <c r="C227" s="153">
        <f t="array" ref="C227">IF(IFERROR(-INDEX(Expenses!D$3:D$999,SMALL(IF((Expenses!E$3:E$999="INR")*(Expenses!A$3:A$999=DATE(2026,11,2)),ROW(Expenses!A$3:A$999)-2),4)),0)+IFERROR(INDEX(Income!C$3:C$502,SMALL(IF((Income!D$3:D$502="INR")*(Income!A$3:A$502=DATE(2026,11,2)),ROW(Income!A$3:A$502)-2),4)),0)=0,"",IFERROR(-INDEX(Expenses!D$3:D$999,SMALL(IF((Expenses!E$3:E$999="INR")*(Expenses!A$3:A$999=DATE(2026,11,2)),ROW(Expenses!A$3:A$999)-2),4)),0)+IFERROR(INDEX(Income!C$3:C$502,SMALL(IF((Income!D$3:D$502="INR")*(Income!A$3:A$502=DATE(2026,11,2)),ROW(Income!A$3:A$502)-2),4)),0))</f>
        <v/>
      </c>
      <c r="D227" s="126">
        <f t="array" ref="D227">IF(IFERROR(INDEX(Expenses!B$3:B$999,SMALL(IF((Expenses!E$3:E$999="INR")*(Expenses!A$3:A$999=DATE(2026,11,2)),ROW(Expenses!A$3:A$999)-2),4)),"")&lt;&gt;"",IFERROR(INDEX(Expenses!B$3:B$999,SMALL(IF((Expenses!E$3:E$999="INR")*(Expenses!A$3:A$999=DATE(2026,11,2)),ROW(Expenses!A$3:A$999)-2),4)),""),IF(IFERROR(INDEX(Income!B$3:B$502,SMALL(IF((Income!D$3:D$502="INR")*(Income!A$3:A$502=DATE(2026,11,2)),ROW(Income!A$3:A$502)-2),4)),"")&lt;&gt;"",IFERROR(INDEX(Income!B$3:B$502,SMALL(IF((Income!D$3:D$502="INR")*(Income!A$3:A$502=DATE(2026,11,2)),ROW(Income!A$3:A$502)-2),4)),""),""))</f>
        <v/>
      </c>
      <c r="E227" s="153">
        <f t="array" ref="E227">IF(IFERROR(-INDEX(Expenses!D$3:D$999,SMALL(IF((Expenses!E$3:E$999="INR")*(Expenses!A$3:A$999=DATE(2026,11,3)),ROW(Expenses!A$3:A$999)-2),4)),0)+IFERROR(INDEX(Income!C$3:C$502,SMALL(IF((Income!D$3:D$502="INR")*(Income!A$3:A$502=DATE(2026,11,3)),ROW(Income!A$3:A$502)-2),4)),0)=0,"",IFERROR(-INDEX(Expenses!D$3:D$999,SMALL(IF((Expenses!E$3:E$999="INR")*(Expenses!A$3:A$999=DATE(2026,11,3)),ROW(Expenses!A$3:A$999)-2),4)),0)+IFERROR(INDEX(Income!C$3:C$502,SMALL(IF((Income!D$3:D$502="INR")*(Income!A$3:A$502=DATE(2026,11,3)),ROW(Income!A$3:A$502)-2),4)),0))</f>
        <v/>
      </c>
      <c r="F227" s="126">
        <f t="array" ref="F227">IF(IFERROR(INDEX(Expenses!B$3:B$999,SMALL(IF((Expenses!E$3:E$999="INR")*(Expenses!A$3:A$999=DATE(2026,11,3)),ROW(Expenses!A$3:A$999)-2),4)),"")&lt;&gt;"",IFERROR(INDEX(Expenses!B$3:B$999,SMALL(IF((Expenses!E$3:E$999="INR")*(Expenses!A$3:A$999=DATE(2026,11,3)),ROW(Expenses!A$3:A$999)-2),4)),""),IF(IFERROR(INDEX(Income!B$3:B$502,SMALL(IF((Income!D$3:D$502="INR")*(Income!A$3:A$502=DATE(2026,11,3)),ROW(Income!A$3:A$502)-2),4)),"")&lt;&gt;"",IFERROR(INDEX(Income!B$3:B$502,SMALL(IF((Income!D$3:D$502="INR")*(Income!A$3:A$502=DATE(2026,11,3)),ROW(Income!A$3:A$502)-2),4)),""),""))</f>
        <v/>
      </c>
      <c r="G227" s="153">
        <f t="array" ref="G227">IF(IFERROR(-INDEX(Expenses!D$3:D$999,SMALL(IF((Expenses!E$3:E$999="INR")*(Expenses!A$3:A$999=DATE(2026,11,4)),ROW(Expenses!A$3:A$999)-2),4)),0)+IFERROR(INDEX(Income!C$3:C$502,SMALL(IF((Income!D$3:D$502="INR")*(Income!A$3:A$502=DATE(2026,11,4)),ROW(Income!A$3:A$502)-2),4)),0)=0,"",IFERROR(-INDEX(Expenses!D$3:D$999,SMALL(IF((Expenses!E$3:E$999="INR")*(Expenses!A$3:A$999=DATE(2026,11,4)),ROW(Expenses!A$3:A$999)-2),4)),0)+IFERROR(INDEX(Income!C$3:C$502,SMALL(IF((Income!D$3:D$502="INR")*(Income!A$3:A$502=DATE(2026,11,4)),ROW(Income!A$3:A$502)-2),4)),0))</f>
        <v/>
      </c>
      <c r="H227" s="126">
        <f t="array" ref="H227">IF(IFERROR(INDEX(Expenses!B$3:B$999,SMALL(IF((Expenses!E$3:E$999="INR")*(Expenses!A$3:A$999=DATE(2026,11,4)),ROW(Expenses!A$3:A$999)-2),4)),"")&lt;&gt;"",IFERROR(INDEX(Expenses!B$3:B$999,SMALL(IF((Expenses!E$3:E$999="INR")*(Expenses!A$3:A$999=DATE(2026,11,4)),ROW(Expenses!A$3:A$999)-2),4)),""),IF(IFERROR(INDEX(Income!B$3:B$502,SMALL(IF((Income!D$3:D$502="INR")*(Income!A$3:A$502=DATE(2026,11,4)),ROW(Income!A$3:A$502)-2),4)),"")&lt;&gt;"",IFERROR(INDEX(Income!B$3:B$502,SMALL(IF((Income!D$3:D$502="INR")*(Income!A$3:A$502=DATE(2026,11,4)),ROW(Income!A$3:A$502)-2),4)),""),""))</f>
        <v/>
      </c>
      <c r="I227" s="153">
        <f t="array" ref="I227">IF(IFERROR(-INDEX(Expenses!D$3:D$999,SMALL(IF((Expenses!E$3:E$999="INR")*(Expenses!A$3:A$999=DATE(2026,11,5)),ROW(Expenses!A$3:A$999)-2),4)),0)+IFERROR(INDEX(Income!C$3:C$502,SMALL(IF((Income!D$3:D$502="INR")*(Income!A$3:A$502=DATE(2026,11,5)),ROW(Income!A$3:A$502)-2),4)),0)=0,"",IFERROR(-INDEX(Expenses!D$3:D$999,SMALL(IF((Expenses!E$3:E$999="INR")*(Expenses!A$3:A$999=DATE(2026,11,5)),ROW(Expenses!A$3:A$999)-2),4)),0)+IFERROR(INDEX(Income!C$3:C$502,SMALL(IF((Income!D$3:D$502="INR")*(Income!A$3:A$502=DATE(2026,11,5)),ROW(Income!A$3:A$502)-2),4)),0))</f>
        <v/>
      </c>
      <c r="J227" s="126">
        <f t="array" ref="J227">IF(IFERROR(INDEX(Expenses!B$3:B$999,SMALL(IF((Expenses!E$3:E$999="INR")*(Expenses!A$3:A$999=DATE(2026,11,5)),ROW(Expenses!A$3:A$999)-2),4)),"")&lt;&gt;"",IFERROR(INDEX(Expenses!B$3:B$999,SMALL(IF((Expenses!E$3:E$999="INR")*(Expenses!A$3:A$999=DATE(2026,11,5)),ROW(Expenses!A$3:A$999)-2),4)),""),IF(IFERROR(INDEX(Income!B$3:B$502,SMALL(IF((Income!D$3:D$502="INR")*(Income!A$3:A$502=DATE(2026,11,5)),ROW(Income!A$3:A$502)-2),4)),"")&lt;&gt;"",IFERROR(INDEX(Income!B$3:B$502,SMALL(IF((Income!D$3:D$502="INR")*(Income!A$3:A$502=DATE(2026,11,5)),ROW(Income!A$3:A$502)-2),4)),""),""))</f>
        <v/>
      </c>
      <c r="K227" s="153">
        <f t="array" ref="K227">IF(IFERROR(-INDEX(Expenses!D$3:D$999,SMALL(IF((Expenses!E$3:E$999="INR")*(Expenses!A$3:A$999=DATE(2026,11,6)),ROW(Expenses!A$3:A$999)-2),4)),0)+IFERROR(INDEX(Income!C$3:C$502,SMALL(IF((Income!D$3:D$502="INR")*(Income!A$3:A$502=DATE(2026,11,6)),ROW(Income!A$3:A$502)-2),4)),0)=0,"",IFERROR(-INDEX(Expenses!D$3:D$999,SMALL(IF((Expenses!E$3:E$999="INR")*(Expenses!A$3:A$999=DATE(2026,11,6)),ROW(Expenses!A$3:A$999)-2),4)),0)+IFERROR(INDEX(Income!C$3:C$502,SMALL(IF((Income!D$3:D$502="INR")*(Income!A$3:A$502=DATE(2026,11,6)),ROW(Income!A$3:A$502)-2),4)),0))</f>
        <v/>
      </c>
      <c r="L227" s="126">
        <f t="array" ref="L227">IF(IFERROR(INDEX(Expenses!B$3:B$999,SMALL(IF((Expenses!E$3:E$999="INR")*(Expenses!A$3:A$999=DATE(2026,11,6)),ROW(Expenses!A$3:A$999)-2),4)),"")&lt;&gt;"",IFERROR(INDEX(Expenses!B$3:B$999,SMALL(IF((Expenses!E$3:E$999="INR")*(Expenses!A$3:A$999=DATE(2026,11,6)),ROW(Expenses!A$3:A$999)-2),4)),""),IF(IFERROR(INDEX(Income!B$3:B$502,SMALL(IF((Income!D$3:D$502="INR")*(Income!A$3:A$502=DATE(2026,11,6)),ROW(Income!A$3:A$502)-2),4)),"")&lt;&gt;"",IFERROR(INDEX(Income!B$3:B$502,SMALL(IF((Income!D$3:D$502="INR")*(Income!A$3:A$502=DATE(2026,11,6)),ROW(Income!A$3:A$502)-2),4)),""),""))</f>
        <v/>
      </c>
      <c r="M227" s="153">
        <f t="array" ref="M227">IF(IFERROR(-INDEX(Expenses!D$3:D$999,SMALL(IF((Expenses!E$3:E$999="INR")*(Expenses!A$3:A$999=DATE(2026,11,7)),ROW(Expenses!A$3:A$999)-2),4)),0)+IFERROR(INDEX(Income!C$3:C$502,SMALL(IF((Income!D$3:D$502="INR")*(Income!A$3:A$502=DATE(2026,11,7)),ROW(Income!A$3:A$502)-2),4)),0)=0,"",IFERROR(-INDEX(Expenses!D$3:D$999,SMALL(IF((Expenses!E$3:E$999="INR")*(Expenses!A$3:A$999=DATE(2026,11,7)),ROW(Expenses!A$3:A$999)-2),4)),0)+IFERROR(INDEX(Income!C$3:C$502,SMALL(IF((Income!D$3:D$502="INR")*(Income!A$3:A$502=DATE(2026,11,7)),ROW(Income!A$3:A$502)-2),4)),0))</f>
        <v/>
      </c>
      <c r="N227" s="126">
        <f t="array" ref="N227">IF(IFERROR(INDEX(Expenses!B$3:B$999,SMALL(IF((Expenses!E$3:E$999="INR")*(Expenses!A$3:A$999=DATE(2026,11,7)),ROW(Expenses!A$3:A$999)-2),4)),"")&lt;&gt;"",IFERROR(INDEX(Expenses!B$3:B$999,SMALL(IF((Expenses!E$3:E$999="INR")*(Expenses!A$3:A$999=DATE(2026,11,7)),ROW(Expenses!A$3:A$999)-2),4)),""),IF(IFERROR(INDEX(Income!B$3:B$502,SMALL(IF((Income!D$3:D$502="INR")*(Income!A$3:A$502=DATE(2026,11,7)),ROW(Income!A$3:A$502)-2),4)),"")&lt;&gt;"",IFERROR(INDEX(Income!B$3:B$502,SMALL(IF((Income!D$3:D$502="INR")*(Income!A$3:A$502=DATE(2026,11,7)),ROW(Income!A$3:A$502)-2),4)),""),""))</f>
        <v/>
      </c>
      <c r="O227" s="153">
        <f t="array" ref="O227">IF(IFERROR(-INDEX(Expenses!D$3:D$999,SMALL(IF((Expenses!E$3:E$999="INR")*(Expenses!A$3:A$999=DATE(2026,11,8)),ROW(Expenses!A$3:A$999)-2),4)),0)+IFERROR(INDEX(Income!C$3:C$502,SMALL(IF((Income!D$3:D$502="INR")*(Income!A$3:A$502=DATE(2026,11,8)),ROW(Income!A$3:A$502)-2),4)),0)=0,"",IFERROR(-INDEX(Expenses!D$3:D$999,SMALL(IF((Expenses!E$3:E$999="INR")*(Expenses!A$3:A$999=DATE(2026,11,8)),ROW(Expenses!A$3:A$999)-2),4)),0)+IFERROR(INDEX(Income!C$3:C$502,SMALL(IF((Income!D$3:D$502="INR")*(Income!A$3:A$502=DATE(2026,11,8)),ROW(Income!A$3:A$502)-2),4)),0))</f>
        <v/>
      </c>
      <c r="P227" s="126">
        <f t="array" ref="P227">IF(IFERROR(INDEX(Expenses!B$3:B$999,SMALL(IF((Expenses!E$3:E$999="INR")*(Expenses!A$3:A$999=DATE(2026,11,8)),ROW(Expenses!A$3:A$999)-2),4)),"")&lt;&gt;"",IFERROR(INDEX(Expenses!B$3:B$999,SMALL(IF((Expenses!E$3:E$999="INR")*(Expenses!A$3:A$999=DATE(2026,11,8)),ROW(Expenses!A$3:A$999)-2),4)),""),IF(IFERROR(INDEX(Income!B$3:B$502,SMALL(IF((Income!D$3:D$502="INR")*(Income!A$3:A$502=DATE(2026,11,8)),ROW(Income!A$3:A$502)-2),4)),"")&lt;&gt;"",IFERROR(INDEX(Income!B$3:B$502,SMALL(IF((Income!D$3:D$502="INR")*(Income!A$3:A$502=DATE(2026,11,8)),ROW(Income!A$3:A$502)-2),4)),""),""))</f>
        <v/>
      </c>
      <c r="Q227" s="9" t="n"/>
      <c r="R227" s="9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68">
      <c r="A228" s="9" t="n"/>
      <c r="B228" s="9" t="n"/>
      <c r="C228" s="153">
        <f t="array" ref="C228">IF(IFERROR(-INDEX(Expenses!D$3:D$999,SMALL(IF((Expenses!E$3:E$999="INR")*(Expenses!A$3:A$999=DATE(2026,11,2)),ROW(Expenses!A$3:A$999)-2),5)),0)+IFERROR(INDEX(Income!C$3:C$502,SMALL(IF((Income!D$3:D$502="INR")*(Income!A$3:A$502=DATE(2026,11,2)),ROW(Income!A$3:A$502)-2),5)),0)=0,"",IFERROR(-INDEX(Expenses!D$3:D$999,SMALL(IF((Expenses!E$3:E$999="INR")*(Expenses!A$3:A$999=DATE(2026,11,2)),ROW(Expenses!A$3:A$999)-2),5)),0)+IFERROR(INDEX(Income!C$3:C$502,SMALL(IF((Income!D$3:D$502="INR")*(Income!A$3:A$502=DATE(2026,11,2)),ROW(Income!A$3:A$502)-2),5)),0))</f>
        <v/>
      </c>
      <c r="D228" s="126">
        <f t="array" ref="D228">IF(IFERROR(INDEX(Expenses!B$3:B$999,SMALL(IF((Expenses!E$3:E$999="INR")*(Expenses!A$3:A$999=DATE(2026,11,2)),ROW(Expenses!A$3:A$999)-2),5)),"")&lt;&gt;"",IFERROR(INDEX(Expenses!B$3:B$999,SMALL(IF((Expenses!E$3:E$999="INR")*(Expenses!A$3:A$999=DATE(2026,11,2)),ROW(Expenses!A$3:A$999)-2),5)),""),IF(IFERROR(INDEX(Income!B$3:B$502,SMALL(IF((Income!D$3:D$502="INR")*(Income!A$3:A$502=DATE(2026,11,2)),ROW(Income!A$3:A$502)-2),5)),"")&lt;&gt;"",IFERROR(INDEX(Income!B$3:B$502,SMALL(IF((Income!D$3:D$502="INR")*(Income!A$3:A$502=DATE(2026,11,2)),ROW(Income!A$3:A$502)-2),5)),""),""))</f>
        <v/>
      </c>
      <c r="E228" s="153">
        <f t="array" ref="E228">IF(IFERROR(-INDEX(Expenses!D$3:D$999,SMALL(IF((Expenses!E$3:E$999="INR")*(Expenses!A$3:A$999=DATE(2026,11,3)),ROW(Expenses!A$3:A$999)-2),5)),0)+IFERROR(INDEX(Income!C$3:C$502,SMALL(IF((Income!D$3:D$502="INR")*(Income!A$3:A$502=DATE(2026,11,3)),ROW(Income!A$3:A$502)-2),5)),0)=0,"",IFERROR(-INDEX(Expenses!D$3:D$999,SMALL(IF((Expenses!E$3:E$999="INR")*(Expenses!A$3:A$999=DATE(2026,11,3)),ROW(Expenses!A$3:A$999)-2),5)),0)+IFERROR(INDEX(Income!C$3:C$502,SMALL(IF((Income!D$3:D$502="INR")*(Income!A$3:A$502=DATE(2026,11,3)),ROW(Income!A$3:A$502)-2),5)),0))</f>
        <v/>
      </c>
      <c r="F228" s="126">
        <f t="array" ref="F228">IF(IFERROR(INDEX(Expenses!B$3:B$999,SMALL(IF((Expenses!E$3:E$999="INR")*(Expenses!A$3:A$999=DATE(2026,11,3)),ROW(Expenses!A$3:A$999)-2),5)),"")&lt;&gt;"",IFERROR(INDEX(Expenses!B$3:B$999,SMALL(IF((Expenses!E$3:E$999="INR")*(Expenses!A$3:A$999=DATE(2026,11,3)),ROW(Expenses!A$3:A$999)-2),5)),""),IF(IFERROR(INDEX(Income!B$3:B$502,SMALL(IF((Income!D$3:D$502="INR")*(Income!A$3:A$502=DATE(2026,11,3)),ROW(Income!A$3:A$502)-2),5)),"")&lt;&gt;"",IFERROR(INDEX(Income!B$3:B$502,SMALL(IF((Income!D$3:D$502="INR")*(Income!A$3:A$502=DATE(2026,11,3)),ROW(Income!A$3:A$502)-2),5)),""),""))</f>
        <v/>
      </c>
      <c r="G228" s="153">
        <f t="array" ref="G228">IF(IFERROR(-INDEX(Expenses!D$3:D$999,SMALL(IF((Expenses!E$3:E$999="INR")*(Expenses!A$3:A$999=DATE(2026,11,4)),ROW(Expenses!A$3:A$999)-2),5)),0)+IFERROR(INDEX(Income!C$3:C$502,SMALL(IF((Income!D$3:D$502="INR")*(Income!A$3:A$502=DATE(2026,11,4)),ROW(Income!A$3:A$502)-2),5)),0)=0,"",IFERROR(-INDEX(Expenses!D$3:D$999,SMALL(IF((Expenses!E$3:E$999="INR")*(Expenses!A$3:A$999=DATE(2026,11,4)),ROW(Expenses!A$3:A$999)-2),5)),0)+IFERROR(INDEX(Income!C$3:C$502,SMALL(IF((Income!D$3:D$502="INR")*(Income!A$3:A$502=DATE(2026,11,4)),ROW(Income!A$3:A$502)-2),5)),0))</f>
        <v/>
      </c>
      <c r="H228" s="126">
        <f t="array" ref="H228">IF(IFERROR(INDEX(Expenses!B$3:B$999,SMALL(IF((Expenses!E$3:E$999="INR")*(Expenses!A$3:A$999=DATE(2026,11,4)),ROW(Expenses!A$3:A$999)-2),5)),"")&lt;&gt;"",IFERROR(INDEX(Expenses!B$3:B$999,SMALL(IF((Expenses!E$3:E$999="INR")*(Expenses!A$3:A$999=DATE(2026,11,4)),ROW(Expenses!A$3:A$999)-2),5)),""),IF(IFERROR(INDEX(Income!B$3:B$502,SMALL(IF((Income!D$3:D$502="INR")*(Income!A$3:A$502=DATE(2026,11,4)),ROW(Income!A$3:A$502)-2),5)),"")&lt;&gt;"",IFERROR(INDEX(Income!B$3:B$502,SMALL(IF((Income!D$3:D$502="INR")*(Income!A$3:A$502=DATE(2026,11,4)),ROW(Income!A$3:A$502)-2),5)),""),""))</f>
        <v/>
      </c>
      <c r="I228" s="153">
        <f t="array" ref="I228">IF(IFERROR(-INDEX(Expenses!D$3:D$999,SMALL(IF((Expenses!E$3:E$999="INR")*(Expenses!A$3:A$999=DATE(2026,11,5)),ROW(Expenses!A$3:A$999)-2),5)),0)+IFERROR(INDEX(Income!C$3:C$502,SMALL(IF((Income!D$3:D$502="INR")*(Income!A$3:A$502=DATE(2026,11,5)),ROW(Income!A$3:A$502)-2),5)),0)=0,"",IFERROR(-INDEX(Expenses!D$3:D$999,SMALL(IF((Expenses!E$3:E$999="INR")*(Expenses!A$3:A$999=DATE(2026,11,5)),ROW(Expenses!A$3:A$999)-2),5)),0)+IFERROR(INDEX(Income!C$3:C$502,SMALL(IF((Income!D$3:D$502="INR")*(Income!A$3:A$502=DATE(2026,11,5)),ROW(Income!A$3:A$502)-2),5)),0))</f>
        <v/>
      </c>
      <c r="J228" s="126">
        <f t="array" ref="J228">IF(IFERROR(INDEX(Expenses!B$3:B$999,SMALL(IF((Expenses!E$3:E$999="INR")*(Expenses!A$3:A$999=DATE(2026,11,5)),ROW(Expenses!A$3:A$999)-2),5)),"")&lt;&gt;"",IFERROR(INDEX(Expenses!B$3:B$999,SMALL(IF((Expenses!E$3:E$999="INR")*(Expenses!A$3:A$999=DATE(2026,11,5)),ROW(Expenses!A$3:A$999)-2),5)),""),IF(IFERROR(INDEX(Income!B$3:B$502,SMALL(IF((Income!D$3:D$502="INR")*(Income!A$3:A$502=DATE(2026,11,5)),ROW(Income!A$3:A$502)-2),5)),"")&lt;&gt;"",IFERROR(INDEX(Income!B$3:B$502,SMALL(IF((Income!D$3:D$502="INR")*(Income!A$3:A$502=DATE(2026,11,5)),ROW(Income!A$3:A$502)-2),5)),""),""))</f>
        <v/>
      </c>
      <c r="K228" s="153">
        <f t="array" ref="K228">IF(IFERROR(-INDEX(Expenses!D$3:D$999,SMALL(IF((Expenses!E$3:E$999="INR")*(Expenses!A$3:A$999=DATE(2026,11,6)),ROW(Expenses!A$3:A$999)-2),5)),0)+IFERROR(INDEX(Income!C$3:C$502,SMALL(IF((Income!D$3:D$502="INR")*(Income!A$3:A$502=DATE(2026,11,6)),ROW(Income!A$3:A$502)-2),5)),0)=0,"",IFERROR(-INDEX(Expenses!D$3:D$999,SMALL(IF((Expenses!E$3:E$999="INR")*(Expenses!A$3:A$999=DATE(2026,11,6)),ROW(Expenses!A$3:A$999)-2),5)),0)+IFERROR(INDEX(Income!C$3:C$502,SMALL(IF((Income!D$3:D$502="INR")*(Income!A$3:A$502=DATE(2026,11,6)),ROW(Income!A$3:A$502)-2),5)),0))</f>
        <v/>
      </c>
      <c r="L228" s="126">
        <f t="array" ref="L228">IF(IFERROR(INDEX(Expenses!B$3:B$999,SMALL(IF((Expenses!E$3:E$999="INR")*(Expenses!A$3:A$999=DATE(2026,11,6)),ROW(Expenses!A$3:A$999)-2),5)),"")&lt;&gt;"",IFERROR(INDEX(Expenses!B$3:B$999,SMALL(IF((Expenses!E$3:E$999="INR")*(Expenses!A$3:A$999=DATE(2026,11,6)),ROW(Expenses!A$3:A$999)-2),5)),""),IF(IFERROR(INDEX(Income!B$3:B$502,SMALL(IF((Income!D$3:D$502="INR")*(Income!A$3:A$502=DATE(2026,11,6)),ROW(Income!A$3:A$502)-2),5)),"")&lt;&gt;"",IFERROR(INDEX(Income!B$3:B$502,SMALL(IF((Income!D$3:D$502="INR")*(Income!A$3:A$502=DATE(2026,11,6)),ROW(Income!A$3:A$502)-2),5)),""),""))</f>
        <v/>
      </c>
      <c r="M228" s="153">
        <f t="array" ref="M228">IF(IFERROR(-INDEX(Expenses!D$3:D$999,SMALL(IF((Expenses!E$3:E$999="INR")*(Expenses!A$3:A$999=DATE(2026,11,7)),ROW(Expenses!A$3:A$999)-2),5)),0)+IFERROR(INDEX(Income!C$3:C$502,SMALL(IF((Income!D$3:D$502="INR")*(Income!A$3:A$502=DATE(2026,11,7)),ROW(Income!A$3:A$502)-2),5)),0)=0,"",IFERROR(-INDEX(Expenses!D$3:D$999,SMALL(IF((Expenses!E$3:E$999="INR")*(Expenses!A$3:A$999=DATE(2026,11,7)),ROW(Expenses!A$3:A$999)-2),5)),0)+IFERROR(INDEX(Income!C$3:C$502,SMALL(IF((Income!D$3:D$502="INR")*(Income!A$3:A$502=DATE(2026,11,7)),ROW(Income!A$3:A$502)-2),5)),0))</f>
        <v/>
      </c>
      <c r="N228" s="126">
        <f t="array" ref="N228">IF(IFERROR(INDEX(Expenses!B$3:B$999,SMALL(IF((Expenses!E$3:E$999="INR")*(Expenses!A$3:A$999=DATE(2026,11,7)),ROW(Expenses!A$3:A$999)-2),5)),"")&lt;&gt;"",IFERROR(INDEX(Expenses!B$3:B$999,SMALL(IF((Expenses!E$3:E$999="INR")*(Expenses!A$3:A$999=DATE(2026,11,7)),ROW(Expenses!A$3:A$999)-2),5)),""),IF(IFERROR(INDEX(Income!B$3:B$502,SMALL(IF((Income!D$3:D$502="INR")*(Income!A$3:A$502=DATE(2026,11,7)),ROW(Income!A$3:A$502)-2),5)),"")&lt;&gt;"",IFERROR(INDEX(Income!B$3:B$502,SMALL(IF((Income!D$3:D$502="INR")*(Income!A$3:A$502=DATE(2026,11,7)),ROW(Income!A$3:A$502)-2),5)),""),""))</f>
        <v/>
      </c>
      <c r="O228" s="153">
        <f t="array" ref="O228">IF(IFERROR(-INDEX(Expenses!D$3:D$999,SMALL(IF((Expenses!E$3:E$999="INR")*(Expenses!A$3:A$999=DATE(2026,11,8)),ROW(Expenses!A$3:A$999)-2),5)),0)+IFERROR(INDEX(Income!C$3:C$502,SMALL(IF((Income!D$3:D$502="INR")*(Income!A$3:A$502=DATE(2026,11,8)),ROW(Income!A$3:A$502)-2),5)),0)=0,"",IFERROR(-INDEX(Expenses!D$3:D$999,SMALL(IF((Expenses!E$3:E$999="INR")*(Expenses!A$3:A$999=DATE(2026,11,8)),ROW(Expenses!A$3:A$999)-2),5)),0)+IFERROR(INDEX(Income!C$3:C$502,SMALL(IF((Income!D$3:D$502="INR")*(Income!A$3:A$502=DATE(2026,11,8)),ROW(Income!A$3:A$502)-2),5)),0))</f>
        <v/>
      </c>
      <c r="P228" s="126">
        <f t="array" ref="P228">IF(IFERROR(INDEX(Expenses!B$3:B$999,SMALL(IF((Expenses!E$3:E$999="INR")*(Expenses!A$3:A$999=DATE(2026,11,8)),ROW(Expenses!A$3:A$999)-2),5)),"")&lt;&gt;"",IFERROR(INDEX(Expenses!B$3:B$999,SMALL(IF((Expenses!E$3:E$999="INR")*(Expenses!A$3:A$999=DATE(2026,11,8)),ROW(Expenses!A$3:A$999)-2),5)),""),IF(IFERROR(INDEX(Income!B$3:B$502,SMALL(IF((Income!D$3:D$502="INR")*(Income!A$3:A$502=DATE(2026,11,8)),ROW(Income!A$3:A$502)-2),5)),"")&lt;&gt;"",IFERROR(INDEX(Income!B$3:B$502,SMALL(IF((Income!D$3:D$502="INR")*(Income!A$3:A$502=DATE(2026,11,8)),ROW(Income!A$3:A$502)-2),5)),""),""))</f>
        <v/>
      </c>
      <c r="Q228" s="9" t="n"/>
      <c r="R228" s="9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68">
      <c r="A229" s="151" t="n">
        <v>46335</v>
      </c>
      <c r="B229" s="103" t="n">
        <v>46</v>
      </c>
      <c r="C229" s="153">
        <f t="array" ref="C229">IF(IFERROR(-INDEX(Expenses!D$3:D$999,SMALL(IF((Expenses!E$3:E$999="INR")*(Expenses!A$3:A$999=DATE(2026,11,9)),ROW(Expenses!A$3:A$999)-2),1)),0)+IFERROR(INDEX(Income!C$3:C$502,SMALL(IF((Income!D$3:D$502="INR")*(Income!A$3:A$502=DATE(2026,11,9)),ROW(Income!A$3:A$502)-2),1)),0)=0,"",IFERROR(-INDEX(Expenses!D$3:D$999,SMALL(IF((Expenses!E$3:E$999="INR")*(Expenses!A$3:A$999=DATE(2026,11,9)),ROW(Expenses!A$3:A$999)-2),1)),0)+IFERROR(INDEX(Income!C$3:C$502,SMALL(IF((Income!D$3:D$502="INR")*(Income!A$3:A$502=DATE(2026,11,9)),ROW(Income!A$3:A$502)-2),1)),0))</f>
        <v/>
      </c>
      <c r="D229" s="126">
        <f t="array" ref="D229">IF(IFERROR(INDEX(Expenses!B$3:B$999,SMALL(IF((Expenses!E$3:E$999="INR")*(Expenses!A$3:A$999=DATE(2026,11,9)),ROW(Expenses!A$3:A$999)-2),1)),"")&lt;&gt;"",IFERROR(INDEX(Expenses!B$3:B$999,SMALL(IF((Expenses!E$3:E$999="INR")*(Expenses!A$3:A$999=DATE(2026,11,9)),ROW(Expenses!A$3:A$999)-2),1)),""),IF(IFERROR(INDEX(Income!B$3:B$502,SMALL(IF((Income!D$3:D$502="INR")*(Income!A$3:A$502=DATE(2026,11,9)),ROW(Income!A$3:A$502)-2),1)),"")&lt;&gt;"",IFERROR(INDEX(Income!B$3:B$502,SMALL(IF((Income!D$3:D$502="INR")*(Income!A$3:A$502=DATE(2026,11,9)),ROW(Income!A$3:A$502)-2),1)),""),""))</f>
        <v/>
      </c>
      <c r="E229" s="153">
        <f t="array" ref="E229">IF(IFERROR(-INDEX(Expenses!D$3:D$999,SMALL(IF((Expenses!E$3:E$999="INR")*(Expenses!A$3:A$999=DATE(2026,11,10)),ROW(Expenses!A$3:A$999)-2),1)),0)+IFERROR(INDEX(Income!C$3:C$502,SMALL(IF((Income!D$3:D$502="INR")*(Income!A$3:A$502=DATE(2026,11,10)),ROW(Income!A$3:A$502)-2),1)),0)=0,"",IFERROR(-INDEX(Expenses!D$3:D$999,SMALL(IF((Expenses!E$3:E$999="INR")*(Expenses!A$3:A$999=DATE(2026,11,10)),ROW(Expenses!A$3:A$999)-2),1)),0)+IFERROR(INDEX(Income!C$3:C$502,SMALL(IF((Income!D$3:D$502="INR")*(Income!A$3:A$502=DATE(2026,11,10)),ROW(Income!A$3:A$502)-2),1)),0))</f>
        <v/>
      </c>
      <c r="F229" s="126">
        <f t="array" ref="F229">IF(IFERROR(INDEX(Expenses!B$3:B$999,SMALL(IF((Expenses!E$3:E$999="INR")*(Expenses!A$3:A$999=DATE(2026,11,10)),ROW(Expenses!A$3:A$999)-2),1)),"")&lt;&gt;"",IFERROR(INDEX(Expenses!B$3:B$999,SMALL(IF((Expenses!E$3:E$999="INR")*(Expenses!A$3:A$999=DATE(2026,11,10)),ROW(Expenses!A$3:A$999)-2),1)),""),IF(IFERROR(INDEX(Income!B$3:B$502,SMALL(IF((Income!D$3:D$502="INR")*(Income!A$3:A$502=DATE(2026,11,10)),ROW(Income!A$3:A$502)-2),1)),"")&lt;&gt;"",IFERROR(INDEX(Income!B$3:B$502,SMALL(IF((Income!D$3:D$502="INR")*(Income!A$3:A$502=DATE(2026,11,10)),ROW(Income!A$3:A$502)-2),1)),""),""))</f>
        <v/>
      </c>
      <c r="G229" s="153">
        <f t="array" ref="G229">IF(IFERROR(-INDEX(Expenses!D$3:D$999,SMALL(IF((Expenses!E$3:E$999="INR")*(Expenses!A$3:A$999=DATE(2026,11,11)),ROW(Expenses!A$3:A$999)-2),1)),0)+IFERROR(INDEX(Income!C$3:C$502,SMALL(IF((Income!D$3:D$502="INR")*(Income!A$3:A$502=DATE(2026,11,11)),ROW(Income!A$3:A$502)-2),1)),0)=0,"",IFERROR(-INDEX(Expenses!D$3:D$999,SMALL(IF((Expenses!E$3:E$999="INR")*(Expenses!A$3:A$999=DATE(2026,11,11)),ROW(Expenses!A$3:A$999)-2),1)),0)+IFERROR(INDEX(Income!C$3:C$502,SMALL(IF((Income!D$3:D$502="INR")*(Income!A$3:A$502=DATE(2026,11,11)),ROW(Income!A$3:A$502)-2),1)),0))</f>
        <v/>
      </c>
      <c r="H229" s="126">
        <f t="array" ref="H229">IF(IFERROR(INDEX(Expenses!B$3:B$999,SMALL(IF((Expenses!E$3:E$999="INR")*(Expenses!A$3:A$999=DATE(2026,11,11)),ROW(Expenses!A$3:A$999)-2),1)),"")&lt;&gt;"",IFERROR(INDEX(Expenses!B$3:B$999,SMALL(IF((Expenses!E$3:E$999="INR")*(Expenses!A$3:A$999=DATE(2026,11,11)),ROW(Expenses!A$3:A$999)-2),1)),""),IF(IFERROR(INDEX(Income!B$3:B$502,SMALL(IF((Income!D$3:D$502="INR")*(Income!A$3:A$502=DATE(2026,11,11)),ROW(Income!A$3:A$502)-2),1)),"")&lt;&gt;"",IFERROR(INDEX(Income!B$3:B$502,SMALL(IF((Income!D$3:D$502="INR")*(Income!A$3:A$502=DATE(2026,11,11)),ROW(Income!A$3:A$502)-2),1)),""),""))</f>
        <v/>
      </c>
      <c r="I229" s="153">
        <f t="array" ref="I229">IF(IFERROR(-INDEX(Expenses!D$3:D$999,SMALL(IF((Expenses!E$3:E$999="INR")*(Expenses!A$3:A$999=DATE(2026,11,12)),ROW(Expenses!A$3:A$999)-2),1)),0)+IFERROR(INDEX(Income!C$3:C$502,SMALL(IF((Income!D$3:D$502="INR")*(Income!A$3:A$502=DATE(2026,11,12)),ROW(Income!A$3:A$502)-2),1)),0)=0,"",IFERROR(-INDEX(Expenses!D$3:D$999,SMALL(IF((Expenses!E$3:E$999="INR")*(Expenses!A$3:A$999=DATE(2026,11,12)),ROW(Expenses!A$3:A$999)-2),1)),0)+IFERROR(INDEX(Income!C$3:C$502,SMALL(IF((Income!D$3:D$502="INR")*(Income!A$3:A$502=DATE(2026,11,12)),ROW(Income!A$3:A$502)-2),1)),0))</f>
        <v/>
      </c>
      <c r="J229" s="126">
        <f t="array" ref="J229">IF(IFERROR(INDEX(Expenses!B$3:B$999,SMALL(IF((Expenses!E$3:E$999="INR")*(Expenses!A$3:A$999=DATE(2026,11,12)),ROW(Expenses!A$3:A$999)-2),1)),"")&lt;&gt;"",IFERROR(INDEX(Expenses!B$3:B$999,SMALL(IF((Expenses!E$3:E$999="INR")*(Expenses!A$3:A$999=DATE(2026,11,12)),ROW(Expenses!A$3:A$999)-2),1)),""),IF(IFERROR(INDEX(Income!B$3:B$502,SMALL(IF((Income!D$3:D$502="INR")*(Income!A$3:A$502=DATE(2026,11,12)),ROW(Income!A$3:A$502)-2),1)),"")&lt;&gt;"",IFERROR(INDEX(Income!B$3:B$502,SMALL(IF((Income!D$3:D$502="INR")*(Income!A$3:A$502=DATE(2026,11,12)),ROW(Income!A$3:A$502)-2),1)),""),""))</f>
        <v/>
      </c>
      <c r="K229" s="153">
        <f t="array" ref="K229">IF(IFERROR(-INDEX(Expenses!D$3:D$999,SMALL(IF((Expenses!E$3:E$999="INR")*(Expenses!A$3:A$999=DATE(2026,11,13)),ROW(Expenses!A$3:A$999)-2),1)),0)+IFERROR(INDEX(Income!C$3:C$502,SMALL(IF((Income!D$3:D$502="INR")*(Income!A$3:A$502=DATE(2026,11,13)),ROW(Income!A$3:A$502)-2),1)),0)=0,"",IFERROR(-INDEX(Expenses!D$3:D$999,SMALL(IF((Expenses!E$3:E$999="INR")*(Expenses!A$3:A$999=DATE(2026,11,13)),ROW(Expenses!A$3:A$999)-2),1)),0)+IFERROR(INDEX(Income!C$3:C$502,SMALL(IF((Income!D$3:D$502="INR")*(Income!A$3:A$502=DATE(2026,11,13)),ROW(Income!A$3:A$502)-2),1)),0))</f>
        <v/>
      </c>
      <c r="L229" s="126">
        <f t="array" ref="L229">IF(IFERROR(INDEX(Expenses!B$3:B$999,SMALL(IF((Expenses!E$3:E$999="INR")*(Expenses!A$3:A$999=DATE(2026,11,13)),ROW(Expenses!A$3:A$999)-2),1)),"")&lt;&gt;"",IFERROR(INDEX(Expenses!B$3:B$999,SMALL(IF((Expenses!E$3:E$999="INR")*(Expenses!A$3:A$999=DATE(2026,11,13)),ROW(Expenses!A$3:A$999)-2),1)),""),IF(IFERROR(INDEX(Income!B$3:B$502,SMALL(IF((Income!D$3:D$502="INR")*(Income!A$3:A$502=DATE(2026,11,13)),ROW(Income!A$3:A$502)-2),1)),"")&lt;&gt;"",IFERROR(INDEX(Income!B$3:B$502,SMALL(IF((Income!D$3:D$502="INR")*(Income!A$3:A$502=DATE(2026,11,13)),ROW(Income!A$3:A$502)-2),1)),""),""))</f>
        <v/>
      </c>
      <c r="M229" s="153">
        <f t="array" ref="M229">IF(IFERROR(-INDEX(Expenses!D$3:D$999,SMALL(IF((Expenses!E$3:E$999="INR")*(Expenses!A$3:A$999=DATE(2026,11,14)),ROW(Expenses!A$3:A$999)-2),1)),0)+IFERROR(INDEX(Income!C$3:C$502,SMALL(IF((Income!D$3:D$502="INR")*(Income!A$3:A$502=DATE(2026,11,14)),ROW(Income!A$3:A$502)-2),1)),0)=0,"",IFERROR(-INDEX(Expenses!D$3:D$999,SMALL(IF((Expenses!E$3:E$999="INR")*(Expenses!A$3:A$999=DATE(2026,11,14)),ROW(Expenses!A$3:A$999)-2),1)),0)+IFERROR(INDEX(Income!C$3:C$502,SMALL(IF((Income!D$3:D$502="INR")*(Income!A$3:A$502=DATE(2026,11,14)),ROW(Income!A$3:A$502)-2),1)),0))</f>
        <v/>
      </c>
      <c r="N229" s="126">
        <f t="array" ref="N229">IF(IFERROR(INDEX(Expenses!B$3:B$999,SMALL(IF((Expenses!E$3:E$999="INR")*(Expenses!A$3:A$999=DATE(2026,11,14)),ROW(Expenses!A$3:A$999)-2),1)),"")&lt;&gt;"",IFERROR(INDEX(Expenses!B$3:B$999,SMALL(IF((Expenses!E$3:E$999="INR")*(Expenses!A$3:A$999=DATE(2026,11,14)),ROW(Expenses!A$3:A$999)-2),1)),""),IF(IFERROR(INDEX(Income!B$3:B$502,SMALL(IF((Income!D$3:D$502="INR")*(Income!A$3:A$502=DATE(2026,11,14)),ROW(Income!A$3:A$502)-2),1)),"")&lt;&gt;"",IFERROR(INDEX(Income!B$3:B$502,SMALL(IF((Income!D$3:D$502="INR")*(Income!A$3:A$502=DATE(2026,11,14)),ROW(Income!A$3:A$502)-2),1)),""),""))</f>
        <v/>
      </c>
      <c r="O229" s="153">
        <f t="array" ref="O229">IF(IFERROR(-INDEX(Expenses!D$3:D$999,SMALL(IF((Expenses!E$3:E$999="INR")*(Expenses!A$3:A$999=DATE(2026,11,15)),ROW(Expenses!A$3:A$999)-2),1)),0)+IFERROR(INDEX(Income!C$3:C$502,SMALL(IF((Income!D$3:D$502="INR")*(Income!A$3:A$502=DATE(2026,11,15)),ROW(Income!A$3:A$502)-2),1)),0)=0,"",IFERROR(-INDEX(Expenses!D$3:D$999,SMALL(IF((Expenses!E$3:E$999="INR")*(Expenses!A$3:A$999=DATE(2026,11,15)),ROW(Expenses!A$3:A$999)-2),1)),0)+IFERROR(INDEX(Income!C$3:C$502,SMALL(IF((Income!D$3:D$502="INR")*(Income!A$3:A$502=DATE(2026,11,15)),ROW(Income!A$3:A$502)-2),1)),0))</f>
        <v/>
      </c>
      <c r="P229" s="126">
        <f t="array" ref="P229">IF(IFERROR(INDEX(Expenses!B$3:B$999,SMALL(IF((Expenses!E$3:E$999="INR")*(Expenses!A$3:A$999=DATE(2026,11,15)),ROW(Expenses!A$3:A$999)-2),1)),"")&lt;&gt;"",IFERROR(INDEX(Expenses!B$3:B$999,SMALL(IF((Expenses!E$3:E$999="INR")*(Expenses!A$3:A$999=DATE(2026,11,15)),ROW(Expenses!A$3:A$999)-2),1)),""),IF(IFERROR(INDEX(Income!B$3:B$502,SMALL(IF((Income!D$3:D$502="INR")*(Income!A$3:A$502=DATE(2026,11,15)),ROW(Income!A$3:A$502)-2),1)),"")&lt;&gt;"",IFERROR(INDEX(Income!B$3:B$502,SMALL(IF((Income!D$3:D$502="INR")*(Income!A$3:A$502=DATE(2026,11,15)),ROW(Income!A$3:A$502)-2),1)),""),""))</f>
        <v/>
      </c>
      <c r="Q229" s="103" t="n">
        <v>46</v>
      </c>
      <c r="R229" s="142">
        <f>SUM(C229:C233)+SUM(E229:E233)+SUM(G229:G233)+SUM(I229:I233)+SUM(K229:K233)+SUM(M229:M233)+SUM(O229:O233)</f>
        <v/>
      </c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68">
      <c r="A230" s="9" t="n"/>
      <c r="B230" s="9" t="n"/>
      <c r="C230" s="153">
        <f t="array" ref="C230">IF(IFERROR(-INDEX(Expenses!D$3:D$999,SMALL(IF((Expenses!E$3:E$999="INR")*(Expenses!A$3:A$999=DATE(2026,11,9)),ROW(Expenses!A$3:A$999)-2),2)),0)+IFERROR(INDEX(Income!C$3:C$502,SMALL(IF((Income!D$3:D$502="INR")*(Income!A$3:A$502=DATE(2026,11,9)),ROW(Income!A$3:A$502)-2),2)),0)=0,"",IFERROR(-INDEX(Expenses!D$3:D$999,SMALL(IF((Expenses!E$3:E$999="INR")*(Expenses!A$3:A$999=DATE(2026,11,9)),ROW(Expenses!A$3:A$999)-2),2)),0)+IFERROR(INDEX(Income!C$3:C$502,SMALL(IF((Income!D$3:D$502="INR")*(Income!A$3:A$502=DATE(2026,11,9)),ROW(Income!A$3:A$502)-2),2)),0))</f>
        <v/>
      </c>
      <c r="D230" s="126">
        <f t="array" ref="D230">IF(IFERROR(INDEX(Expenses!B$3:B$999,SMALL(IF((Expenses!E$3:E$999="INR")*(Expenses!A$3:A$999=DATE(2026,11,9)),ROW(Expenses!A$3:A$999)-2),2)),"")&lt;&gt;"",IFERROR(INDEX(Expenses!B$3:B$999,SMALL(IF((Expenses!E$3:E$999="INR")*(Expenses!A$3:A$999=DATE(2026,11,9)),ROW(Expenses!A$3:A$999)-2),2)),""),IF(IFERROR(INDEX(Income!B$3:B$502,SMALL(IF((Income!D$3:D$502="INR")*(Income!A$3:A$502=DATE(2026,11,9)),ROW(Income!A$3:A$502)-2),2)),"")&lt;&gt;"",IFERROR(INDEX(Income!B$3:B$502,SMALL(IF((Income!D$3:D$502="INR")*(Income!A$3:A$502=DATE(2026,11,9)),ROW(Income!A$3:A$502)-2),2)),""),""))</f>
        <v/>
      </c>
      <c r="E230" s="153">
        <f t="array" ref="E230">IF(IFERROR(-INDEX(Expenses!D$3:D$999,SMALL(IF((Expenses!E$3:E$999="INR")*(Expenses!A$3:A$999=DATE(2026,11,10)),ROW(Expenses!A$3:A$999)-2),2)),0)+IFERROR(INDEX(Income!C$3:C$502,SMALL(IF((Income!D$3:D$502="INR")*(Income!A$3:A$502=DATE(2026,11,10)),ROW(Income!A$3:A$502)-2),2)),0)=0,"",IFERROR(-INDEX(Expenses!D$3:D$999,SMALL(IF((Expenses!E$3:E$999="INR")*(Expenses!A$3:A$999=DATE(2026,11,10)),ROW(Expenses!A$3:A$999)-2),2)),0)+IFERROR(INDEX(Income!C$3:C$502,SMALL(IF((Income!D$3:D$502="INR")*(Income!A$3:A$502=DATE(2026,11,10)),ROW(Income!A$3:A$502)-2),2)),0))</f>
        <v/>
      </c>
      <c r="F230" s="126">
        <f t="array" ref="F230">IF(IFERROR(INDEX(Expenses!B$3:B$999,SMALL(IF((Expenses!E$3:E$999="INR")*(Expenses!A$3:A$999=DATE(2026,11,10)),ROW(Expenses!A$3:A$999)-2),2)),"")&lt;&gt;"",IFERROR(INDEX(Expenses!B$3:B$999,SMALL(IF((Expenses!E$3:E$999="INR")*(Expenses!A$3:A$999=DATE(2026,11,10)),ROW(Expenses!A$3:A$999)-2),2)),""),IF(IFERROR(INDEX(Income!B$3:B$502,SMALL(IF((Income!D$3:D$502="INR")*(Income!A$3:A$502=DATE(2026,11,10)),ROW(Income!A$3:A$502)-2),2)),"")&lt;&gt;"",IFERROR(INDEX(Income!B$3:B$502,SMALL(IF((Income!D$3:D$502="INR")*(Income!A$3:A$502=DATE(2026,11,10)),ROW(Income!A$3:A$502)-2),2)),""),""))</f>
        <v/>
      </c>
      <c r="G230" s="153">
        <f t="array" ref="G230">IF(IFERROR(-INDEX(Expenses!D$3:D$999,SMALL(IF((Expenses!E$3:E$999="INR")*(Expenses!A$3:A$999=DATE(2026,11,11)),ROW(Expenses!A$3:A$999)-2),2)),0)+IFERROR(INDEX(Income!C$3:C$502,SMALL(IF((Income!D$3:D$502="INR")*(Income!A$3:A$502=DATE(2026,11,11)),ROW(Income!A$3:A$502)-2),2)),0)=0,"",IFERROR(-INDEX(Expenses!D$3:D$999,SMALL(IF((Expenses!E$3:E$999="INR")*(Expenses!A$3:A$999=DATE(2026,11,11)),ROW(Expenses!A$3:A$999)-2),2)),0)+IFERROR(INDEX(Income!C$3:C$502,SMALL(IF((Income!D$3:D$502="INR")*(Income!A$3:A$502=DATE(2026,11,11)),ROW(Income!A$3:A$502)-2),2)),0))</f>
        <v/>
      </c>
      <c r="H230" s="126">
        <f t="array" ref="H230">IF(IFERROR(INDEX(Expenses!B$3:B$999,SMALL(IF((Expenses!E$3:E$999="INR")*(Expenses!A$3:A$999=DATE(2026,11,11)),ROW(Expenses!A$3:A$999)-2),2)),"")&lt;&gt;"",IFERROR(INDEX(Expenses!B$3:B$999,SMALL(IF((Expenses!E$3:E$999="INR")*(Expenses!A$3:A$999=DATE(2026,11,11)),ROW(Expenses!A$3:A$999)-2),2)),""),IF(IFERROR(INDEX(Income!B$3:B$502,SMALL(IF((Income!D$3:D$502="INR")*(Income!A$3:A$502=DATE(2026,11,11)),ROW(Income!A$3:A$502)-2),2)),"")&lt;&gt;"",IFERROR(INDEX(Income!B$3:B$502,SMALL(IF((Income!D$3:D$502="INR")*(Income!A$3:A$502=DATE(2026,11,11)),ROW(Income!A$3:A$502)-2),2)),""),""))</f>
        <v/>
      </c>
      <c r="I230" s="153">
        <f t="array" ref="I230">IF(IFERROR(-INDEX(Expenses!D$3:D$999,SMALL(IF((Expenses!E$3:E$999="INR")*(Expenses!A$3:A$999=DATE(2026,11,12)),ROW(Expenses!A$3:A$999)-2),2)),0)+IFERROR(INDEX(Income!C$3:C$502,SMALL(IF((Income!D$3:D$502="INR")*(Income!A$3:A$502=DATE(2026,11,12)),ROW(Income!A$3:A$502)-2),2)),0)=0,"",IFERROR(-INDEX(Expenses!D$3:D$999,SMALL(IF((Expenses!E$3:E$999="INR")*(Expenses!A$3:A$999=DATE(2026,11,12)),ROW(Expenses!A$3:A$999)-2),2)),0)+IFERROR(INDEX(Income!C$3:C$502,SMALL(IF((Income!D$3:D$502="INR")*(Income!A$3:A$502=DATE(2026,11,12)),ROW(Income!A$3:A$502)-2),2)),0))</f>
        <v/>
      </c>
      <c r="J230" s="126">
        <f t="array" ref="J230">IF(IFERROR(INDEX(Expenses!B$3:B$999,SMALL(IF((Expenses!E$3:E$999="INR")*(Expenses!A$3:A$999=DATE(2026,11,12)),ROW(Expenses!A$3:A$999)-2),2)),"")&lt;&gt;"",IFERROR(INDEX(Expenses!B$3:B$999,SMALL(IF((Expenses!E$3:E$999="INR")*(Expenses!A$3:A$999=DATE(2026,11,12)),ROW(Expenses!A$3:A$999)-2),2)),""),IF(IFERROR(INDEX(Income!B$3:B$502,SMALL(IF((Income!D$3:D$502="INR")*(Income!A$3:A$502=DATE(2026,11,12)),ROW(Income!A$3:A$502)-2),2)),"")&lt;&gt;"",IFERROR(INDEX(Income!B$3:B$502,SMALL(IF((Income!D$3:D$502="INR")*(Income!A$3:A$502=DATE(2026,11,12)),ROW(Income!A$3:A$502)-2),2)),""),""))</f>
        <v/>
      </c>
      <c r="K230" s="153">
        <f t="array" ref="K230">IF(IFERROR(-INDEX(Expenses!D$3:D$999,SMALL(IF((Expenses!E$3:E$999="INR")*(Expenses!A$3:A$999=DATE(2026,11,13)),ROW(Expenses!A$3:A$999)-2),2)),0)+IFERROR(INDEX(Income!C$3:C$502,SMALL(IF((Income!D$3:D$502="INR")*(Income!A$3:A$502=DATE(2026,11,13)),ROW(Income!A$3:A$502)-2),2)),0)=0,"",IFERROR(-INDEX(Expenses!D$3:D$999,SMALL(IF((Expenses!E$3:E$999="INR")*(Expenses!A$3:A$999=DATE(2026,11,13)),ROW(Expenses!A$3:A$999)-2),2)),0)+IFERROR(INDEX(Income!C$3:C$502,SMALL(IF((Income!D$3:D$502="INR")*(Income!A$3:A$502=DATE(2026,11,13)),ROW(Income!A$3:A$502)-2),2)),0))</f>
        <v/>
      </c>
      <c r="L230" s="126">
        <f t="array" ref="L230">IF(IFERROR(INDEX(Expenses!B$3:B$999,SMALL(IF((Expenses!E$3:E$999="INR")*(Expenses!A$3:A$999=DATE(2026,11,13)),ROW(Expenses!A$3:A$999)-2),2)),"")&lt;&gt;"",IFERROR(INDEX(Expenses!B$3:B$999,SMALL(IF((Expenses!E$3:E$999="INR")*(Expenses!A$3:A$999=DATE(2026,11,13)),ROW(Expenses!A$3:A$999)-2),2)),""),IF(IFERROR(INDEX(Income!B$3:B$502,SMALL(IF((Income!D$3:D$502="INR")*(Income!A$3:A$502=DATE(2026,11,13)),ROW(Income!A$3:A$502)-2),2)),"")&lt;&gt;"",IFERROR(INDEX(Income!B$3:B$502,SMALL(IF((Income!D$3:D$502="INR")*(Income!A$3:A$502=DATE(2026,11,13)),ROW(Income!A$3:A$502)-2),2)),""),""))</f>
        <v/>
      </c>
      <c r="M230" s="153">
        <f t="array" ref="M230">IF(IFERROR(-INDEX(Expenses!D$3:D$999,SMALL(IF((Expenses!E$3:E$999="INR")*(Expenses!A$3:A$999=DATE(2026,11,14)),ROW(Expenses!A$3:A$999)-2),2)),0)+IFERROR(INDEX(Income!C$3:C$502,SMALL(IF((Income!D$3:D$502="INR")*(Income!A$3:A$502=DATE(2026,11,14)),ROW(Income!A$3:A$502)-2),2)),0)=0,"",IFERROR(-INDEX(Expenses!D$3:D$999,SMALL(IF((Expenses!E$3:E$999="INR")*(Expenses!A$3:A$999=DATE(2026,11,14)),ROW(Expenses!A$3:A$999)-2),2)),0)+IFERROR(INDEX(Income!C$3:C$502,SMALL(IF((Income!D$3:D$502="INR")*(Income!A$3:A$502=DATE(2026,11,14)),ROW(Income!A$3:A$502)-2),2)),0))</f>
        <v/>
      </c>
      <c r="N230" s="126">
        <f t="array" ref="N230">IF(IFERROR(INDEX(Expenses!B$3:B$999,SMALL(IF((Expenses!E$3:E$999="INR")*(Expenses!A$3:A$999=DATE(2026,11,14)),ROW(Expenses!A$3:A$999)-2),2)),"")&lt;&gt;"",IFERROR(INDEX(Expenses!B$3:B$999,SMALL(IF((Expenses!E$3:E$999="INR")*(Expenses!A$3:A$999=DATE(2026,11,14)),ROW(Expenses!A$3:A$999)-2),2)),""),IF(IFERROR(INDEX(Income!B$3:B$502,SMALL(IF((Income!D$3:D$502="INR")*(Income!A$3:A$502=DATE(2026,11,14)),ROW(Income!A$3:A$502)-2),2)),"")&lt;&gt;"",IFERROR(INDEX(Income!B$3:B$502,SMALL(IF((Income!D$3:D$502="INR")*(Income!A$3:A$502=DATE(2026,11,14)),ROW(Income!A$3:A$502)-2),2)),""),""))</f>
        <v/>
      </c>
      <c r="O230" s="153">
        <f t="array" ref="O230">IF(IFERROR(-INDEX(Expenses!D$3:D$999,SMALL(IF((Expenses!E$3:E$999="INR")*(Expenses!A$3:A$999=DATE(2026,11,15)),ROW(Expenses!A$3:A$999)-2),2)),0)+IFERROR(INDEX(Income!C$3:C$502,SMALL(IF((Income!D$3:D$502="INR")*(Income!A$3:A$502=DATE(2026,11,15)),ROW(Income!A$3:A$502)-2),2)),0)=0,"",IFERROR(-INDEX(Expenses!D$3:D$999,SMALL(IF((Expenses!E$3:E$999="INR")*(Expenses!A$3:A$999=DATE(2026,11,15)),ROW(Expenses!A$3:A$999)-2),2)),0)+IFERROR(INDEX(Income!C$3:C$502,SMALL(IF((Income!D$3:D$502="INR")*(Income!A$3:A$502=DATE(2026,11,15)),ROW(Income!A$3:A$502)-2),2)),0))</f>
        <v/>
      </c>
      <c r="P230" s="126">
        <f t="array" ref="P230">IF(IFERROR(INDEX(Expenses!B$3:B$999,SMALL(IF((Expenses!E$3:E$999="INR")*(Expenses!A$3:A$999=DATE(2026,11,15)),ROW(Expenses!A$3:A$999)-2),2)),"")&lt;&gt;"",IFERROR(INDEX(Expenses!B$3:B$999,SMALL(IF((Expenses!E$3:E$999="INR")*(Expenses!A$3:A$999=DATE(2026,11,15)),ROW(Expenses!A$3:A$999)-2),2)),""),IF(IFERROR(INDEX(Income!B$3:B$502,SMALL(IF((Income!D$3:D$502="INR")*(Income!A$3:A$502=DATE(2026,11,15)),ROW(Income!A$3:A$502)-2),2)),"")&lt;&gt;"",IFERROR(INDEX(Income!B$3:B$502,SMALL(IF((Income!D$3:D$502="INR")*(Income!A$3:A$502=DATE(2026,11,15)),ROW(Income!A$3:A$502)-2),2)),""),""))</f>
        <v/>
      </c>
      <c r="Q230" s="9" t="n"/>
      <c r="R230" s="9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68">
      <c r="A231" s="9" t="n"/>
      <c r="B231" s="9" t="n"/>
      <c r="C231" s="153">
        <f t="array" ref="C231">IF(IFERROR(-INDEX(Expenses!D$3:D$999,SMALL(IF((Expenses!E$3:E$999="INR")*(Expenses!A$3:A$999=DATE(2026,11,9)),ROW(Expenses!A$3:A$999)-2),3)),0)+IFERROR(INDEX(Income!C$3:C$502,SMALL(IF((Income!D$3:D$502="INR")*(Income!A$3:A$502=DATE(2026,11,9)),ROW(Income!A$3:A$502)-2),3)),0)=0,"",IFERROR(-INDEX(Expenses!D$3:D$999,SMALL(IF((Expenses!E$3:E$999="INR")*(Expenses!A$3:A$999=DATE(2026,11,9)),ROW(Expenses!A$3:A$999)-2),3)),0)+IFERROR(INDEX(Income!C$3:C$502,SMALL(IF((Income!D$3:D$502="INR")*(Income!A$3:A$502=DATE(2026,11,9)),ROW(Income!A$3:A$502)-2),3)),0))</f>
        <v/>
      </c>
      <c r="D231" s="126">
        <f t="array" ref="D231">IF(IFERROR(INDEX(Expenses!B$3:B$999,SMALL(IF((Expenses!E$3:E$999="INR")*(Expenses!A$3:A$999=DATE(2026,11,9)),ROW(Expenses!A$3:A$999)-2),3)),"")&lt;&gt;"",IFERROR(INDEX(Expenses!B$3:B$999,SMALL(IF((Expenses!E$3:E$999="INR")*(Expenses!A$3:A$999=DATE(2026,11,9)),ROW(Expenses!A$3:A$999)-2),3)),""),IF(IFERROR(INDEX(Income!B$3:B$502,SMALL(IF((Income!D$3:D$502="INR")*(Income!A$3:A$502=DATE(2026,11,9)),ROW(Income!A$3:A$502)-2),3)),"")&lt;&gt;"",IFERROR(INDEX(Income!B$3:B$502,SMALL(IF((Income!D$3:D$502="INR")*(Income!A$3:A$502=DATE(2026,11,9)),ROW(Income!A$3:A$502)-2),3)),""),""))</f>
        <v/>
      </c>
      <c r="E231" s="153">
        <f t="array" ref="E231">IF(IFERROR(-INDEX(Expenses!D$3:D$999,SMALL(IF((Expenses!E$3:E$999="INR")*(Expenses!A$3:A$999=DATE(2026,11,10)),ROW(Expenses!A$3:A$999)-2),3)),0)+IFERROR(INDEX(Income!C$3:C$502,SMALL(IF((Income!D$3:D$502="INR")*(Income!A$3:A$502=DATE(2026,11,10)),ROW(Income!A$3:A$502)-2),3)),0)=0,"",IFERROR(-INDEX(Expenses!D$3:D$999,SMALL(IF((Expenses!E$3:E$999="INR")*(Expenses!A$3:A$999=DATE(2026,11,10)),ROW(Expenses!A$3:A$999)-2),3)),0)+IFERROR(INDEX(Income!C$3:C$502,SMALL(IF((Income!D$3:D$502="INR")*(Income!A$3:A$502=DATE(2026,11,10)),ROW(Income!A$3:A$502)-2),3)),0))</f>
        <v/>
      </c>
      <c r="F231" s="126">
        <f t="array" ref="F231">IF(IFERROR(INDEX(Expenses!B$3:B$999,SMALL(IF((Expenses!E$3:E$999="INR")*(Expenses!A$3:A$999=DATE(2026,11,10)),ROW(Expenses!A$3:A$999)-2),3)),"")&lt;&gt;"",IFERROR(INDEX(Expenses!B$3:B$999,SMALL(IF((Expenses!E$3:E$999="INR")*(Expenses!A$3:A$999=DATE(2026,11,10)),ROW(Expenses!A$3:A$999)-2),3)),""),IF(IFERROR(INDEX(Income!B$3:B$502,SMALL(IF((Income!D$3:D$502="INR")*(Income!A$3:A$502=DATE(2026,11,10)),ROW(Income!A$3:A$502)-2),3)),"")&lt;&gt;"",IFERROR(INDEX(Income!B$3:B$502,SMALL(IF((Income!D$3:D$502="INR")*(Income!A$3:A$502=DATE(2026,11,10)),ROW(Income!A$3:A$502)-2),3)),""),""))</f>
        <v/>
      </c>
      <c r="G231" s="153">
        <f t="array" ref="G231">IF(IFERROR(-INDEX(Expenses!D$3:D$999,SMALL(IF((Expenses!E$3:E$999="INR")*(Expenses!A$3:A$999=DATE(2026,11,11)),ROW(Expenses!A$3:A$999)-2),3)),0)+IFERROR(INDEX(Income!C$3:C$502,SMALL(IF((Income!D$3:D$502="INR")*(Income!A$3:A$502=DATE(2026,11,11)),ROW(Income!A$3:A$502)-2),3)),0)=0,"",IFERROR(-INDEX(Expenses!D$3:D$999,SMALL(IF((Expenses!E$3:E$999="INR")*(Expenses!A$3:A$999=DATE(2026,11,11)),ROW(Expenses!A$3:A$999)-2),3)),0)+IFERROR(INDEX(Income!C$3:C$502,SMALL(IF((Income!D$3:D$502="INR")*(Income!A$3:A$502=DATE(2026,11,11)),ROW(Income!A$3:A$502)-2),3)),0))</f>
        <v/>
      </c>
      <c r="H231" s="126">
        <f t="array" ref="H231">IF(IFERROR(INDEX(Expenses!B$3:B$999,SMALL(IF((Expenses!E$3:E$999="INR")*(Expenses!A$3:A$999=DATE(2026,11,11)),ROW(Expenses!A$3:A$999)-2),3)),"")&lt;&gt;"",IFERROR(INDEX(Expenses!B$3:B$999,SMALL(IF((Expenses!E$3:E$999="INR")*(Expenses!A$3:A$999=DATE(2026,11,11)),ROW(Expenses!A$3:A$999)-2),3)),""),IF(IFERROR(INDEX(Income!B$3:B$502,SMALL(IF((Income!D$3:D$502="INR")*(Income!A$3:A$502=DATE(2026,11,11)),ROW(Income!A$3:A$502)-2),3)),"")&lt;&gt;"",IFERROR(INDEX(Income!B$3:B$502,SMALL(IF((Income!D$3:D$502="INR")*(Income!A$3:A$502=DATE(2026,11,11)),ROW(Income!A$3:A$502)-2),3)),""),""))</f>
        <v/>
      </c>
      <c r="I231" s="153">
        <f t="array" ref="I231">IF(IFERROR(-INDEX(Expenses!D$3:D$999,SMALL(IF((Expenses!E$3:E$999="INR")*(Expenses!A$3:A$999=DATE(2026,11,12)),ROW(Expenses!A$3:A$999)-2),3)),0)+IFERROR(INDEX(Income!C$3:C$502,SMALL(IF((Income!D$3:D$502="INR")*(Income!A$3:A$502=DATE(2026,11,12)),ROW(Income!A$3:A$502)-2),3)),0)=0,"",IFERROR(-INDEX(Expenses!D$3:D$999,SMALL(IF((Expenses!E$3:E$999="INR")*(Expenses!A$3:A$999=DATE(2026,11,12)),ROW(Expenses!A$3:A$999)-2),3)),0)+IFERROR(INDEX(Income!C$3:C$502,SMALL(IF((Income!D$3:D$502="INR")*(Income!A$3:A$502=DATE(2026,11,12)),ROW(Income!A$3:A$502)-2),3)),0))</f>
        <v/>
      </c>
      <c r="J231" s="126">
        <f t="array" ref="J231">IF(IFERROR(INDEX(Expenses!B$3:B$999,SMALL(IF((Expenses!E$3:E$999="INR")*(Expenses!A$3:A$999=DATE(2026,11,12)),ROW(Expenses!A$3:A$999)-2),3)),"")&lt;&gt;"",IFERROR(INDEX(Expenses!B$3:B$999,SMALL(IF((Expenses!E$3:E$999="INR")*(Expenses!A$3:A$999=DATE(2026,11,12)),ROW(Expenses!A$3:A$999)-2),3)),""),IF(IFERROR(INDEX(Income!B$3:B$502,SMALL(IF((Income!D$3:D$502="INR")*(Income!A$3:A$502=DATE(2026,11,12)),ROW(Income!A$3:A$502)-2),3)),"")&lt;&gt;"",IFERROR(INDEX(Income!B$3:B$502,SMALL(IF((Income!D$3:D$502="INR")*(Income!A$3:A$502=DATE(2026,11,12)),ROW(Income!A$3:A$502)-2),3)),""),""))</f>
        <v/>
      </c>
      <c r="K231" s="153">
        <f t="array" ref="K231">IF(IFERROR(-INDEX(Expenses!D$3:D$999,SMALL(IF((Expenses!E$3:E$999="INR")*(Expenses!A$3:A$999=DATE(2026,11,13)),ROW(Expenses!A$3:A$999)-2),3)),0)+IFERROR(INDEX(Income!C$3:C$502,SMALL(IF((Income!D$3:D$502="INR")*(Income!A$3:A$502=DATE(2026,11,13)),ROW(Income!A$3:A$502)-2),3)),0)=0,"",IFERROR(-INDEX(Expenses!D$3:D$999,SMALL(IF((Expenses!E$3:E$999="INR")*(Expenses!A$3:A$999=DATE(2026,11,13)),ROW(Expenses!A$3:A$999)-2),3)),0)+IFERROR(INDEX(Income!C$3:C$502,SMALL(IF((Income!D$3:D$502="INR")*(Income!A$3:A$502=DATE(2026,11,13)),ROW(Income!A$3:A$502)-2),3)),0))</f>
        <v/>
      </c>
      <c r="L231" s="126">
        <f t="array" ref="L231">IF(IFERROR(INDEX(Expenses!B$3:B$999,SMALL(IF((Expenses!E$3:E$999="INR")*(Expenses!A$3:A$999=DATE(2026,11,13)),ROW(Expenses!A$3:A$999)-2),3)),"")&lt;&gt;"",IFERROR(INDEX(Expenses!B$3:B$999,SMALL(IF((Expenses!E$3:E$999="INR")*(Expenses!A$3:A$999=DATE(2026,11,13)),ROW(Expenses!A$3:A$999)-2),3)),""),IF(IFERROR(INDEX(Income!B$3:B$502,SMALL(IF((Income!D$3:D$502="INR")*(Income!A$3:A$502=DATE(2026,11,13)),ROW(Income!A$3:A$502)-2),3)),"")&lt;&gt;"",IFERROR(INDEX(Income!B$3:B$502,SMALL(IF((Income!D$3:D$502="INR")*(Income!A$3:A$502=DATE(2026,11,13)),ROW(Income!A$3:A$502)-2),3)),""),""))</f>
        <v/>
      </c>
      <c r="M231" s="153">
        <f t="array" ref="M231">IF(IFERROR(-INDEX(Expenses!D$3:D$999,SMALL(IF((Expenses!E$3:E$999="INR")*(Expenses!A$3:A$999=DATE(2026,11,14)),ROW(Expenses!A$3:A$999)-2),3)),0)+IFERROR(INDEX(Income!C$3:C$502,SMALL(IF((Income!D$3:D$502="INR")*(Income!A$3:A$502=DATE(2026,11,14)),ROW(Income!A$3:A$502)-2),3)),0)=0,"",IFERROR(-INDEX(Expenses!D$3:D$999,SMALL(IF((Expenses!E$3:E$999="INR")*(Expenses!A$3:A$999=DATE(2026,11,14)),ROW(Expenses!A$3:A$999)-2),3)),0)+IFERROR(INDEX(Income!C$3:C$502,SMALL(IF((Income!D$3:D$502="INR")*(Income!A$3:A$502=DATE(2026,11,14)),ROW(Income!A$3:A$502)-2),3)),0))</f>
        <v/>
      </c>
      <c r="N231" s="126">
        <f t="array" ref="N231">IF(IFERROR(INDEX(Expenses!B$3:B$999,SMALL(IF((Expenses!E$3:E$999="INR")*(Expenses!A$3:A$999=DATE(2026,11,14)),ROW(Expenses!A$3:A$999)-2),3)),"")&lt;&gt;"",IFERROR(INDEX(Expenses!B$3:B$999,SMALL(IF((Expenses!E$3:E$999="INR")*(Expenses!A$3:A$999=DATE(2026,11,14)),ROW(Expenses!A$3:A$999)-2),3)),""),IF(IFERROR(INDEX(Income!B$3:B$502,SMALL(IF((Income!D$3:D$502="INR")*(Income!A$3:A$502=DATE(2026,11,14)),ROW(Income!A$3:A$502)-2),3)),"")&lt;&gt;"",IFERROR(INDEX(Income!B$3:B$502,SMALL(IF((Income!D$3:D$502="INR")*(Income!A$3:A$502=DATE(2026,11,14)),ROW(Income!A$3:A$502)-2),3)),""),""))</f>
        <v/>
      </c>
      <c r="O231" s="153">
        <f t="array" ref="O231">IF(IFERROR(-INDEX(Expenses!D$3:D$999,SMALL(IF((Expenses!E$3:E$999="INR")*(Expenses!A$3:A$999=DATE(2026,11,15)),ROW(Expenses!A$3:A$999)-2),3)),0)+IFERROR(INDEX(Income!C$3:C$502,SMALL(IF((Income!D$3:D$502="INR")*(Income!A$3:A$502=DATE(2026,11,15)),ROW(Income!A$3:A$502)-2),3)),0)=0,"",IFERROR(-INDEX(Expenses!D$3:D$999,SMALL(IF((Expenses!E$3:E$999="INR")*(Expenses!A$3:A$999=DATE(2026,11,15)),ROW(Expenses!A$3:A$999)-2),3)),0)+IFERROR(INDEX(Income!C$3:C$502,SMALL(IF((Income!D$3:D$502="INR")*(Income!A$3:A$502=DATE(2026,11,15)),ROW(Income!A$3:A$502)-2),3)),0))</f>
        <v/>
      </c>
      <c r="P231" s="126">
        <f t="array" ref="P231">IF(IFERROR(INDEX(Expenses!B$3:B$999,SMALL(IF((Expenses!E$3:E$999="INR")*(Expenses!A$3:A$999=DATE(2026,11,15)),ROW(Expenses!A$3:A$999)-2),3)),"")&lt;&gt;"",IFERROR(INDEX(Expenses!B$3:B$999,SMALL(IF((Expenses!E$3:E$999="INR")*(Expenses!A$3:A$999=DATE(2026,11,15)),ROW(Expenses!A$3:A$999)-2),3)),""),IF(IFERROR(INDEX(Income!B$3:B$502,SMALL(IF((Income!D$3:D$502="INR")*(Income!A$3:A$502=DATE(2026,11,15)),ROW(Income!A$3:A$502)-2),3)),"")&lt;&gt;"",IFERROR(INDEX(Income!B$3:B$502,SMALL(IF((Income!D$3:D$502="INR")*(Income!A$3:A$502=DATE(2026,11,15)),ROW(Income!A$3:A$502)-2),3)),""),""))</f>
        <v/>
      </c>
      <c r="Q231" s="9" t="n"/>
      <c r="R231" s="9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68">
      <c r="A232" s="9" t="n"/>
      <c r="B232" s="9" t="n"/>
      <c r="C232" s="153">
        <f t="array" ref="C232">IF(IFERROR(-INDEX(Expenses!D$3:D$999,SMALL(IF((Expenses!E$3:E$999="INR")*(Expenses!A$3:A$999=DATE(2026,11,9)),ROW(Expenses!A$3:A$999)-2),4)),0)+IFERROR(INDEX(Income!C$3:C$502,SMALL(IF((Income!D$3:D$502="INR")*(Income!A$3:A$502=DATE(2026,11,9)),ROW(Income!A$3:A$502)-2),4)),0)=0,"",IFERROR(-INDEX(Expenses!D$3:D$999,SMALL(IF((Expenses!E$3:E$999="INR")*(Expenses!A$3:A$999=DATE(2026,11,9)),ROW(Expenses!A$3:A$999)-2),4)),0)+IFERROR(INDEX(Income!C$3:C$502,SMALL(IF((Income!D$3:D$502="INR")*(Income!A$3:A$502=DATE(2026,11,9)),ROW(Income!A$3:A$502)-2),4)),0))</f>
        <v/>
      </c>
      <c r="D232" s="126">
        <f t="array" ref="D232">IF(IFERROR(INDEX(Expenses!B$3:B$999,SMALL(IF((Expenses!E$3:E$999="INR")*(Expenses!A$3:A$999=DATE(2026,11,9)),ROW(Expenses!A$3:A$999)-2),4)),"")&lt;&gt;"",IFERROR(INDEX(Expenses!B$3:B$999,SMALL(IF((Expenses!E$3:E$999="INR")*(Expenses!A$3:A$999=DATE(2026,11,9)),ROW(Expenses!A$3:A$999)-2),4)),""),IF(IFERROR(INDEX(Income!B$3:B$502,SMALL(IF((Income!D$3:D$502="INR")*(Income!A$3:A$502=DATE(2026,11,9)),ROW(Income!A$3:A$502)-2),4)),"")&lt;&gt;"",IFERROR(INDEX(Income!B$3:B$502,SMALL(IF((Income!D$3:D$502="INR")*(Income!A$3:A$502=DATE(2026,11,9)),ROW(Income!A$3:A$502)-2),4)),""),""))</f>
        <v/>
      </c>
      <c r="E232" s="153">
        <f t="array" ref="E232">IF(IFERROR(-INDEX(Expenses!D$3:D$999,SMALL(IF((Expenses!E$3:E$999="INR")*(Expenses!A$3:A$999=DATE(2026,11,10)),ROW(Expenses!A$3:A$999)-2),4)),0)+IFERROR(INDEX(Income!C$3:C$502,SMALL(IF((Income!D$3:D$502="INR")*(Income!A$3:A$502=DATE(2026,11,10)),ROW(Income!A$3:A$502)-2),4)),0)=0,"",IFERROR(-INDEX(Expenses!D$3:D$999,SMALL(IF((Expenses!E$3:E$999="INR")*(Expenses!A$3:A$999=DATE(2026,11,10)),ROW(Expenses!A$3:A$999)-2),4)),0)+IFERROR(INDEX(Income!C$3:C$502,SMALL(IF((Income!D$3:D$502="INR")*(Income!A$3:A$502=DATE(2026,11,10)),ROW(Income!A$3:A$502)-2),4)),0))</f>
        <v/>
      </c>
      <c r="F232" s="126">
        <f t="array" ref="F232">IF(IFERROR(INDEX(Expenses!B$3:B$999,SMALL(IF((Expenses!E$3:E$999="INR")*(Expenses!A$3:A$999=DATE(2026,11,10)),ROW(Expenses!A$3:A$999)-2),4)),"")&lt;&gt;"",IFERROR(INDEX(Expenses!B$3:B$999,SMALL(IF((Expenses!E$3:E$999="INR")*(Expenses!A$3:A$999=DATE(2026,11,10)),ROW(Expenses!A$3:A$999)-2),4)),""),IF(IFERROR(INDEX(Income!B$3:B$502,SMALL(IF((Income!D$3:D$502="INR")*(Income!A$3:A$502=DATE(2026,11,10)),ROW(Income!A$3:A$502)-2),4)),"")&lt;&gt;"",IFERROR(INDEX(Income!B$3:B$502,SMALL(IF((Income!D$3:D$502="INR")*(Income!A$3:A$502=DATE(2026,11,10)),ROW(Income!A$3:A$502)-2),4)),""),""))</f>
        <v/>
      </c>
      <c r="G232" s="153">
        <f t="array" ref="G232">IF(IFERROR(-INDEX(Expenses!D$3:D$999,SMALL(IF((Expenses!E$3:E$999="INR")*(Expenses!A$3:A$999=DATE(2026,11,11)),ROW(Expenses!A$3:A$999)-2),4)),0)+IFERROR(INDEX(Income!C$3:C$502,SMALL(IF((Income!D$3:D$502="INR")*(Income!A$3:A$502=DATE(2026,11,11)),ROW(Income!A$3:A$502)-2),4)),0)=0,"",IFERROR(-INDEX(Expenses!D$3:D$999,SMALL(IF((Expenses!E$3:E$999="INR")*(Expenses!A$3:A$999=DATE(2026,11,11)),ROW(Expenses!A$3:A$999)-2),4)),0)+IFERROR(INDEX(Income!C$3:C$502,SMALL(IF((Income!D$3:D$502="INR")*(Income!A$3:A$502=DATE(2026,11,11)),ROW(Income!A$3:A$502)-2),4)),0))</f>
        <v/>
      </c>
      <c r="H232" s="126">
        <f t="array" ref="H232">IF(IFERROR(INDEX(Expenses!B$3:B$999,SMALL(IF((Expenses!E$3:E$999="INR")*(Expenses!A$3:A$999=DATE(2026,11,11)),ROW(Expenses!A$3:A$999)-2),4)),"")&lt;&gt;"",IFERROR(INDEX(Expenses!B$3:B$999,SMALL(IF((Expenses!E$3:E$999="INR")*(Expenses!A$3:A$999=DATE(2026,11,11)),ROW(Expenses!A$3:A$999)-2),4)),""),IF(IFERROR(INDEX(Income!B$3:B$502,SMALL(IF((Income!D$3:D$502="INR")*(Income!A$3:A$502=DATE(2026,11,11)),ROW(Income!A$3:A$502)-2),4)),"")&lt;&gt;"",IFERROR(INDEX(Income!B$3:B$502,SMALL(IF((Income!D$3:D$502="INR")*(Income!A$3:A$502=DATE(2026,11,11)),ROW(Income!A$3:A$502)-2),4)),""),""))</f>
        <v/>
      </c>
      <c r="I232" s="153">
        <f t="array" ref="I232">IF(IFERROR(-INDEX(Expenses!D$3:D$999,SMALL(IF((Expenses!E$3:E$999="INR")*(Expenses!A$3:A$999=DATE(2026,11,12)),ROW(Expenses!A$3:A$999)-2),4)),0)+IFERROR(INDEX(Income!C$3:C$502,SMALL(IF((Income!D$3:D$502="INR")*(Income!A$3:A$502=DATE(2026,11,12)),ROW(Income!A$3:A$502)-2),4)),0)=0,"",IFERROR(-INDEX(Expenses!D$3:D$999,SMALL(IF((Expenses!E$3:E$999="INR")*(Expenses!A$3:A$999=DATE(2026,11,12)),ROW(Expenses!A$3:A$999)-2),4)),0)+IFERROR(INDEX(Income!C$3:C$502,SMALL(IF((Income!D$3:D$502="INR")*(Income!A$3:A$502=DATE(2026,11,12)),ROW(Income!A$3:A$502)-2),4)),0))</f>
        <v/>
      </c>
      <c r="J232" s="126">
        <f t="array" ref="J232">IF(IFERROR(INDEX(Expenses!B$3:B$999,SMALL(IF((Expenses!E$3:E$999="INR")*(Expenses!A$3:A$999=DATE(2026,11,12)),ROW(Expenses!A$3:A$999)-2),4)),"")&lt;&gt;"",IFERROR(INDEX(Expenses!B$3:B$999,SMALL(IF((Expenses!E$3:E$999="INR")*(Expenses!A$3:A$999=DATE(2026,11,12)),ROW(Expenses!A$3:A$999)-2),4)),""),IF(IFERROR(INDEX(Income!B$3:B$502,SMALL(IF((Income!D$3:D$502="INR")*(Income!A$3:A$502=DATE(2026,11,12)),ROW(Income!A$3:A$502)-2),4)),"")&lt;&gt;"",IFERROR(INDEX(Income!B$3:B$502,SMALL(IF((Income!D$3:D$502="INR")*(Income!A$3:A$502=DATE(2026,11,12)),ROW(Income!A$3:A$502)-2),4)),""),""))</f>
        <v/>
      </c>
      <c r="K232" s="153">
        <f t="array" ref="K232">IF(IFERROR(-INDEX(Expenses!D$3:D$999,SMALL(IF((Expenses!E$3:E$999="INR")*(Expenses!A$3:A$999=DATE(2026,11,13)),ROW(Expenses!A$3:A$999)-2),4)),0)+IFERROR(INDEX(Income!C$3:C$502,SMALL(IF((Income!D$3:D$502="INR")*(Income!A$3:A$502=DATE(2026,11,13)),ROW(Income!A$3:A$502)-2),4)),0)=0,"",IFERROR(-INDEX(Expenses!D$3:D$999,SMALL(IF((Expenses!E$3:E$999="INR")*(Expenses!A$3:A$999=DATE(2026,11,13)),ROW(Expenses!A$3:A$999)-2),4)),0)+IFERROR(INDEX(Income!C$3:C$502,SMALL(IF((Income!D$3:D$502="INR")*(Income!A$3:A$502=DATE(2026,11,13)),ROW(Income!A$3:A$502)-2),4)),0))</f>
        <v/>
      </c>
      <c r="L232" s="126">
        <f t="array" ref="L232">IF(IFERROR(INDEX(Expenses!B$3:B$999,SMALL(IF((Expenses!E$3:E$999="INR")*(Expenses!A$3:A$999=DATE(2026,11,13)),ROW(Expenses!A$3:A$999)-2),4)),"")&lt;&gt;"",IFERROR(INDEX(Expenses!B$3:B$999,SMALL(IF((Expenses!E$3:E$999="INR")*(Expenses!A$3:A$999=DATE(2026,11,13)),ROW(Expenses!A$3:A$999)-2),4)),""),IF(IFERROR(INDEX(Income!B$3:B$502,SMALL(IF((Income!D$3:D$502="INR")*(Income!A$3:A$502=DATE(2026,11,13)),ROW(Income!A$3:A$502)-2),4)),"")&lt;&gt;"",IFERROR(INDEX(Income!B$3:B$502,SMALL(IF((Income!D$3:D$502="INR")*(Income!A$3:A$502=DATE(2026,11,13)),ROW(Income!A$3:A$502)-2),4)),""),""))</f>
        <v/>
      </c>
      <c r="M232" s="153">
        <f t="array" ref="M232">IF(IFERROR(-INDEX(Expenses!D$3:D$999,SMALL(IF((Expenses!E$3:E$999="INR")*(Expenses!A$3:A$999=DATE(2026,11,14)),ROW(Expenses!A$3:A$999)-2),4)),0)+IFERROR(INDEX(Income!C$3:C$502,SMALL(IF((Income!D$3:D$502="INR")*(Income!A$3:A$502=DATE(2026,11,14)),ROW(Income!A$3:A$502)-2),4)),0)=0,"",IFERROR(-INDEX(Expenses!D$3:D$999,SMALL(IF((Expenses!E$3:E$999="INR")*(Expenses!A$3:A$999=DATE(2026,11,14)),ROW(Expenses!A$3:A$999)-2),4)),0)+IFERROR(INDEX(Income!C$3:C$502,SMALL(IF((Income!D$3:D$502="INR")*(Income!A$3:A$502=DATE(2026,11,14)),ROW(Income!A$3:A$502)-2),4)),0))</f>
        <v/>
      </c>
      <c r="N232" s="126">
        <f t="array" ref="N232">IF(IFERROR(INDEX(Expenses!B$3:B$999,SMALL(IF((Expenses!E$3:E$999="INR")*(Expenses!A$3:A$999=DATE(2026,11,14)),ROW(Expenses!A$3:A$999)-2),4)),"")&lt;&gt;"",IFERROR(INDEX(Expenses!B$3:B$999,SMALL(IF((Expenses!E$3:E$999="INR")*(Expenses!A$3:A$999=DATE(2026,11,14)),ROW(Expenses!A$3:A$999)-2),4)),""),IF(IFERROR(INDEX(Income!B$3:B$502,SMALL(IF((Income!D$3:D$502="INR")*(Income!A$3:A$502=DATE(2026,11,14)),ROW(Income!A$3:A$502)-2),4)),"")&lt;&gt;"",IFERROR(INDEX(Income!B$3:B$502,SMALL(IF((Income!D$3:D$502="INR")*(Income!A$3:A$502=DATE(2026,11,14)),ROW(Income!A$3:A$502)-2),4)),""),""))</f>
        <v/>
      </c>
      <c r="O232" s="153">
        <f t="array" ref="O232">IF(IFERROR(-INDEX(Expenses!D$3:D$999,SMALL(IF((Expenses!E$3:E$999="INR")*(Expenses!A$3:A$999=DATE(2026,11,15)),ROW(Expenses!A$3:A$999)-2),4)),0)+IFERROR(INDEX(Income!C$3:C$502,SMALL(IF((Income!D$3:D$502="INR")*(Income!A$3:A$502=DATE(2026,11,15)),ROW(Income!A$3:A$502)-2),4)),0)=0,"",IFERROR(-INDEX(Expenses!D$3:D$999,SMALL(IF((Expenses!E$3:E$999="INR")*(Expenses!A$3:A$999=DATE(2026,11,15)),ROW(Expenses!A$3:A$999)-2),4)),0)+IFERROR(INDEX(Income!C$3:C$502,SMALL(IF((Income!D$3:D$502="INR")*(Income!A$3:A$502=DATE(2026,11,15)),ROW(Income!A$3:A$502)-2),4)),0))</f>
        <v/>
      </c>
      <c r="P232" s="126">
        <f t="array" ref="P232">IF(IFERROR(INDEX(Expenses!B$3:B$999,SMALL(IF((Expenses!E$3:E$999="INR")*(Expenses!A$3:A$999=DATE(2026,11,15)),ROW(Expenses!A$3:A$999)-2),4)),"")&lt;&gt;"",IFERROR(INDEX(Expenses!B$3:B$999,SMALL(IF((Expenses!E$3:E$999="INR")*(Expenses!A$3:A$999=DATE(2026,11,15)),ROW(Expenses!A$3:A$999)-2),4)),""),IF(IFERROR(INDEX(Income!B$3:B$502,SMALL(IF((Income!D$3:D$502="INR")*(Income!A$3:A$502=DATE(2026,11,15)),ROW(Income!A$3:A$502)-2),4)),"")&lt;&gt;"",IFERROR(INDEX(Income!B$3:B$502,SMALL(IF((Income!D$3:D$502="INR")*(Income!A$3:A$502=DATE(2026,11,15)),ROW(Income!A$3:A$502)-2),4)),""),""))</f>
        <v/>
      </c>
      <c r="Q232" s="9" t="n"/>
      <c r="R232" s="9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68">
      <c r="A233" s="9" t="n"/>
      <c r="B233" s="9" t="n"/>
      <c r="C233" s="153">
        <f t="array" ref="C233">IF(IFERROR(-INDEX(Expenses!D$3:D$999,SMALL(IF((Expenses!E$3:E$999="INR")*(Expenses!A$3:A$999=DATE(2026,11,9)),ROW(Expenses!A$3:A$999)-2),5)),0)+IFERROR(INDEX(Income!C$3:C$502,SMALL(IF((Income!D$3:D$502="INR")*(Income!A$3:A$502=DATE(2026,11,9)),ROW(Income!A$3:A$502)-2),5)),0)=0,"",IFERROR(-INDEX(Expenses!D$3:D$999,SMALL(IF((Expenses!E$3:E$999="INR")*(Expenses!A$3:A$999=DATE(2026,11,9)),ROW(Expenses!A$3:A$999)-2),5)),0)+IFERROR(INDEX(Income!C$3:C$502,SMALL(IF((Income!D$3:D$502="INR")*(Income!A$3:A$502=DATE(2026,11,9)),ROW(Income!A$3:A$502)-2),5)),0))</f>
        <v/>
      </c>
      <c r="D233" s="126">
        <f t="array" ref="D233">IF(IFERROR(INDEX(Expenses!B$3:B$999,SMALL(IF((Expenses!E$3:E$999="INR")*(Expenses!A$3:A$999=DATE(2026,11,9)),ROW(Expenses!A$3:A$999)-2),5)),"")&lt;&gt;"",IFERROR(INDEX(Expenses!B$3:B$999,SMALL(IF((Expenses!E$3:E$999="INR")*(Expenses!A$3:A$999=DATE(2026,11,9)),ROW(Expenses!A$3:A$999)-2),5)),""),IF(IFERROR(INDEX(Income!B$3:B$502,SMALL(IF((Income!D$3:D$502="INR")*(Income!A$3:A$502=DATE(2026,11,9)),ROW(Income!A$3:A$502)-2),5)),"")&lt;&gt;"",IFERROR(INDEX(Income!B$3:B$502,SMALL(IF((Income!D$3:D$502="INR")*(Income!A$3:A$502=DATE(2026,11,9)),ROW(Income!A$3:A$502)-2),5)),""),""))</f>
        <v/>
      </c>
      <c r="E233" s="153">
        <f t="array" ref="E233">IF(IFERROR(-INDEX(Expenses!D$3:D$999,SMALL(IF((Expenses!E$3:E$999="INR")*(Expenses!A$3:A$999=DATE(2026,11,10)),ROW(Expenses!A$3:A$999)-2),5)),0)+IFERROR(INDEX(Income!C$3:C$502,SMALL(IF((Income!D$3:D$502="INR")*(Income!A$3:A$502=DATE(2026,11,10)),ROW(Income!A$3:A$502)-2),5)),0)=0,"",IFERROR(-INDEX(Expenses!D$3:D$999,SMALL(IF((Expenses!E$3:E$999="INR")*(Expenses!A$3:A$999=DATE(2026,11,10)),ROW(Expenses!A$3:A$999)-2),5)),0)+IFERROR(INDEX(Income!C$3:C$502,SMALL(IF((Income!D$3:D$502="INR")*(Income!A$3:A$502=DATE(2026,11,10)),ROW(Income!A$3:A$502)-2),5)),0))</f>
        <v/>
      </c>
      <c r="F233" s="126">
        <f t="array" ref="F233">IF(IFERROR(INDEX(Expenses!B$3:B$999,SMALL(IF((Expenses!E$3:E$999="INR")*(Expenses!A$3:A$999=DATE(2026,11,10)),ROW(Expenses!A$3:A$999)-2),5)),"")&lt;&gt;"",IFERROR(INDEX(Expenses!B$3:B$999,SMALL(IF((Expenses!E$3:E$999="INR")*(Expenses!A$3:A$999=DATE(2026,11,10)),ROW(Expenses!A$3:A$999)-2),5)),""),IF(IFERROR(INDEX(Income!B$3:B$502,SMALL(IF((Income!D$3:D$502="INR")*(Income!A$3:A$502=DATE(2026,11,10)),ROW(Income!A$3:A$502)-2),5)),"")&lt;&gt;"",IFERROR(INDEX(Income!B$3:B$502,SMALL(IF((Income!D$3:D$502="INR")*(Income!A$3:A$502=DATE(2026,11,10)),ROW(Income!A$3:A$502)-2),5)),""),""))</f>
        <v/>
      </c>
      <c r="G233" s="153">
        <f t="array" ref="G233">IF(IFERROR(-INDEX(Expenses!D$3:D$999,SMALL(IF((Expenses!E$3:E$999="INR")*(Expenses!A$3:A$999=DATE(2026,11,11)),ROW(Expenses!A$3:A$999)-2),5)),0)+IFERROR(INDEX(Income!C$3:C$502,SMALL(IF((Income!D$3:D$502="INR")*(Income!A$3:A$502=DATE(2026,11,11)),ROW(Income!A$3:A$502)-2),5)),0)=0,"",IFERROR(-INDEX(Expenses!D$3:D$999,SMALL(IF((Expenses!E$3:E$999="INR")*(Expenses!A$3:A$999=DATE(2026,11,11)),ROW(Expenses!A$3:A$999)-2),5)),0)+IFERROR(INDEX(Income!C$3:C$502,SMALL(IF((Income!D$3:D$502="INR")*(Income!A$3:A$502=DATE(2026,11,11)),ROW(Income!A$3:A$502)-2),5)),0))</f>
        <v/>
      </c>
      <c r="H233" s="126">
        <f t="array" ref="H233">IF(IFERROR(INDEX(Expenses!B$3:B$999,SMALL(IF((Expenses!E$3:E$999="INR")*(Expenses!A$3:A$999=DATE(2026,11,11)),ROW(Expenses!A$3:A$999)-2),5)),"")&lt;&gt;"",IFERROR(INDEX(Expenses!B$3:B$999,SMALL(IF((Expenses!E$3:E$999="INR")*(Expenses!A$3:A$999=DATE(2026,11,11)),ROW(Expenses!A$3:A$999)-2),5)),""),IF(IFERROR(INDEX(Income!B$3:B$502,SMALL(IF((Income!D$3:D$502="INR")*(Income!A$3:A$502=DATE(2026,11,11)),ROW(Income!A$3:A$502)-2),5)),"")&lt;&gt;"",IFERROR(INDEX(Income!B$3:B$502,SMALL(IF((Income!D$3:D$502="INR")*(Income!A$3:A$502=DATE(2026,11,11)),ROW(Income!A$3:A$502)-2),5)),""),""))</f>
        <v/>
      </c>
      <c r="I233" s="153">
        <f t="array" ref="I233">IF(IFERROR(-INDEX(Expenses!D$3:D$999,SMALL(IF((Expenses!E$3:E$999="INR")*(Expenses!A$3:A$999=DATE(2026,11,12)),ROW(Expenses!A$3:A$999)-2),5)),0)+IFERROR(INDEX(Income!C$3:C$502,SMALL(IF((Income!D$3:D$502="INR")*(Income!A$3:A$502=DATE(2026,11,12)),ROW(Income!A$3:A$502)-2),5)),0)=0,"",IFERROR(-INDEX(Expenses!D$3:D$999,SMALL(IF((Expenses!E$3:E$999="INR")*(Expenses!A$3:A$999=DATE(2026,11,12)),ROW(Expenses!A$3:A$999)-2),5)),0)+IFERROR(INDEX(Income!C$3:C$502,SMALL(IF((Income!D$3:D$502="INR")*(Income!A$3:A$502=DATE(2026,11,12)),ROW(Income!A$3:A$502)-2),5)),0))</f>
        <v/>
      </c>
      <c r="J233" s="126">
        <f t="array" ref="J233">IF(IFERROR(INDEX(Expenses!B$3:B$999,SMALL(IF((Expenses!E$3:E$999="INR")*(Expenses!A$3:A$999=DATE(2026,11,12)),ROW(Expenses!A$3:A$999)-2),5)),"")&lt;&gt;"",IFERROR(INDEX(Expenses!B$3:B$999,SMALL(IF((Expenses!E$3:E$999="INR")*(Expenses!A$3:A$999=DATE(2026,11,12)),ROW(Expenses!A$3:A$999)-2),5)),""),IF(IFERROR(INDEX(Income!B$3:B$502,SMALL(IF((Income!D$3:D$502="INR")*(Income!A$3:A$502=DATE(2026,11,12)),ROW(Income!A$3:A$502)-2),5)),"")&lt;&gt;"",IFERROR(INDEX(Income!B$3:B$502,SMALL(IF((Income!D$3:D$502="INR")*(Income!A$3:A$502=DATE(2026,11,12)),ROW(Income!A$3:A$502)-2),5)),""),""))</f>
        <v/>
      </c>
      <c r="K233" s="153">
        <f t="array" ref="K233">IF(IFERROR(-INDEX(Expenses!D$3:D$999,SMALL(IF((Expenses!E$3:E$999="INR")*(Expenses!A$3:A$999=DATE(2026,11,13)),ROW(Expenses!A$3:A$999)-2),5)),0)+IFERROR(INDEX(Income!C$3:C$502,SMALL(IF((Income!D$3:D$502="INR")*(Income!A$3:A$502=DATE(2026,11,13)),ROW(Income!A$3:A$502)-2),5)),0)=0,"",IFERROR(-INDEX(Expenses!D$3:D$999,SMALL(IF((Expenses!E$3:E$999="INR")*(Expenses!A$3:A$999=DATE(2026,11,13)),ROW(Expenses!A$3:A$999)-2),5)),0)+IFERROR(INDEX(Income!C$3:C$502,SMALL(IF((Income!D$3:D$502="INR")*(Income!A$3:A$502=DATE(2026,11,13)),ROW(Income!A$3:A$502)-2),5)),0))</f>
        <v/>
      </c>
      <c r="L233" s="126">
        <f t="array" ref="L233">IF(IFERROR(INDEX(Expenses!B$3:B$999,SMALL(IF((Expenses!E$3:E$999="INR")*(Expenses!A$3:A$999=DATE(2026,11,13)),ROW(Expenses!A$3:A$999)-2),5)),"")&lt;&gt;"",IFERROR(INDEX(Expenses!B$3:B$999,SMALL(IF((Expenses!E$3:E$999="INR")*(Expenses!A$3:A$999=DATE(2026,11,13)),ROW(Expenses!A$3:A$999)-2),5)),""),IF(IFERROR(INDEX(Income!B$3:B$502,SMALL(IF((Income!D$3:D$502="INR")*(Income!A$3:A$502=DATE(2026,11,13)),ROW(Income!A$3:A$502)-2),5)),"")&lt;&gt;"",IFERROR(INDEX(Income!B$3:B$502,SMALL(IF((Income!D$3:D$502="INR")*(Income!A$3:A$502=DATE(2026,11,13)),ROW(Income!A$3:A$502)-2),5)),""),""))</f>
        <v/>
      </c>
      <c r="M233" s="153">
        <f t="array" ref="M233">IF(IFERROR(-INDEX(Expenses!D$3:D$999,SMALL(IF((Expenses!E$3:E$999="INR")*(Expenses!A$3:A$999=DATE(2026,11,14)),ROW(Expenses!A$3:A$999)-2),5)),0)+IFERROR(INDEX(Income!C$3:C$502,SMALL(IF((Income!D$3:D$502="INR")*(Income!A$3:A$502=DATE(2026,11,14)),ROW(Income!A$3:A$502)-2),5)),0)=0,"",IFERROR(-INDEX(Expenses!D$3:D$999,SMALL(IF((Expenses!E$3:E$999="INR")*(Expenses!A$3:A$999=DATE(2026,11,14)),ROW(Expenses!A$3:A$999)-2),5)),0)+IFERROR(INDEX(Income!C$3:C$502,SMALL(IF((Income!D$3:D$502="INR")*(Income!A$3:A$502=DATE(2026,11,14)),ROW(Income!A$3:A$502)-2),5)),0))</f>
        <v/>
      </c>
      <c r="N233" s="126">
        <f t="array" ref="N233">IF(IFERROR(INDEX(Expenses!B$3:B$999,SMALL(IF((Expenses!E$3:E$999="INR")*(Expenses!A$3:A$999=DATE(2026,11,14)),ROW(Expenses!A$3:A$999)-2),5)),"")&lt;&gt;"",IFERROR(INDEX(Expenses!B$3:B$999,SMALL(IF((Expenses!E$3:E$999="INR")*(Expenses!A$3:A$999=DATE(2026,11,14)),ROW(Expenses!A$3:A$999)-2),5)),""),IF(IFERROR(INDEX(Income!B$3:B$502,SMALL(IF((Income!D$3:D$502="INR")*(Income!A$3:A$502=DATE(2026,11,14)),ROW(Income!A$3:A$502)-2),5)),"")&lt;&gt;"",IFERROR(INDEX(Income!B$3:B$502,SMALL(IF((Income!D$3:D$502="INR")*(Income!A$3:A$502=DATE(2026,11,14)),ROW(Income!A$3:A$502)-2),5)),""),""))</f>
        <v/>
      </c>
      <c r="O233" s="153">
        <f t="array" ref="O233">IF(IFERROR(-INDEX(Expenses!D$3:D$999,SMALL(IF((Expenses!E$3:E$999="INR")*(Expenses!A$3:A$999=DATE(2026,11,15)),ROW(Expenses!A$3:A$999)-2),5)),0)+IFERROR(INDEX(Income!C$3:C$502,SMALL(IF((Income!D$3:D$502="INR")*(Income!A$3:A$502=DATE(2026,11,15)),ROW(Income!A$3:A$502)-2),5)),0)=0,"",IFERROR(-INDEX(Expenses!D$3:D$999,SMALL(IF((Expenses!E$3:E$999="INR")*(Expenses!A$3:A$999=DATE(2026,11,15)),ROW(Expenses!A$3:A$999)-2),5)),0)+IFERROR(INDEX(Income!C$3:C$502,SMALL(IF((Income!D$3:D$502="INR")*(Income!A$3:A$502=DATE(2026,11,15)),ROW(Income!A$3:A$502)-2),5)),0))</f>
        <v/>
      </c>
      <c r="P233" s="126">
        <f t="array" ref="P233">IF(IFERROR(INDEX(Expenses!B$3:B$999,SMALL(IF((Expenses!E$3:E$999="INR")*(Expenses!A$3:A$999=DATE(2026,11,15)),ROW(Expenses!A$3:A$999)-2),5)),"")&lt;&gt;"",IFERROR(INDEX(Expenses!B$3:B$999,SMALL(IF((Expenses!E$3:E$999="INR")*(Expenses!A$3:A$999=DATE(2026,11,15)),ROW(Expenses!A$3:A$999)-2),5)),""),IF(IFERROR(INDEX(Income!B$3:B$502,SMALL(IF((Income!D$3:D$502="INR")*(Income!A$3:A$502=DATE(2026,11,15)),ROW(Income!A$3:A$502)-2),5)),"")&lt;&gt;"",IFERROR(INDEX(Income!B$3:B$502,SMALL(IF((Income!D$3:D$502="INR")*(Income!A$3:A$502=DATE(2026,11,15)),ROW(Income!A$3:A$502)-2),5)),""),""))</f>
        <v/>
      </c>
      <c r="Q233" s="9" t="n"/>
      <c r="R233" s="9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68">
      <c r="A234" s="151" t="n">
        <v>46342</v>
      </c>
      <c r="B234" s="103" t="n">
        <v>47</v>
      </c>
      <c r="C234" s="153">
        <f t="array" ref="C234">IF(IFERROR(-INDEX(Expenses!D$3:D$999,SMALL(IF((Expenses!E$3:E$999="INR")*(Expenses!A$3:A$999=DATE(2026,11,16)),ROW(Expenses!A$3:A$999)-2),1)),0)+IFERROR(INDEX(Income!C$3:C$502,SMALL(IF((Income!D$3:D$502="INR")*(Income!A$3:A$502=DATE(2026,11,16)),ROW(Income!A$3:A$502)-2),1)),0)=0,"",IFERROR(-INDEX(Expenses!D$3:D$999,SMALL(IF((Expenses!E$3:E$999="INR")*(Expenses!A$3:A$999=DATE(2026,11,16)),ROW(Expenses!A$3:A$999)-2),1)),0)+IFERROR(INDEX(Income!C$3:C$502,SMALL(IF((Income!D$3:D$502="INR")*(Income!A$3:A$502=DATE(2026,11,16)),ROW(Income!A$3:A$502)-2),1)),0))</f>
        <v/>
      </c>
      <c r="D234" s="126">
        <f t="array" ref="D234">IF(IFERROR(INDEX(Expenses!B$3:B$999,SMALL(IF((Expenses!E$3:E$999="INR")*(Expenses!A$3:A$999=DATE(2026,11,16)),ROW(Expenses!A$3:A$999)-2),1)),"")&lt;&gt;"",IFERROR(INDEX(Expenses!B$3:B$999,SMALL(IF((Expenses!E$3:E$999="INR")*(Expenses!A$3:A$999=DATE(2026,11,16)),ROW(Expenses!A$3:A$999)-2),1)),""),IF(IFERROR(INDEX(Income!B$3:B$502,SMALL(IF((Income!D$3:D$502="INR")*(Income!A$3:A$502=DATE(2026,11,16)),ROW(Income!A$3:A$502)-2),1)),"")&lt;&gt;"",IFERROR(INDEX(Income!B$3:B$502,SMALL(IF((Income!D$3:D$502="INR")*(Income!A$3:A$502=DATE(2026,11,16)),ROW(Income!A$3:A$502)-2),1)),""),""))</f>
        <v/>
      </c>
      <c r="E234" s="153">
        <f t="array" ref="E234">IF(IFERROR(-INDEX(Expenses!D$3:D$999,SMALL(IF((Expenses!E$3:E$999="INR")*(Expenses!A$3:A$999=DATE(2026,11,17)),ROW(Expenses!A$3:A$999)-2),1)),0)+IFERROR(INDEX(Income!C$3:C$502,SMALL(IF((Income!D$3:D$502="INR")*(Income!A$3:A$502=DATE(2026,11,17)),ROW(Income!A$3:A$502)-2),1)),0)=0,"",IFERROR(-INDEX(Expenses!D$3:D$999,SMALL(IF((Expenses!E$3:E$999="INR")*(Expenses!A$3:A$999=DATE(2026,11,17)),ROW(Expenses!A$3:A$999)-2),1)),0)+IFERROR(INDEX(Income!C$3:C$502,SMALL(IF((Income!D$3:D$502="INR")*(Income!A$3:A$502=DATE(2026,11,17)),ROW(Income!A$3:A$502)-2),1)),0))</f>
        <v/>
      </c>
      <c r="F234" s="126">
        <f t="array" ref="F234">IF(IFERROR(INDEX(Expenses!B$3:B$999,SMALL(IF((Expenses!E$3:E$999="INR")*(Expenses!A$3:A$999=DATE(2026,11,17)),ROW(Expenses!A$3:A$999)-2),1)),"")&lt;&gt;"",IFERROR(INDEX(Expenses!B$3:B$999,SMALL(IF((Expenses!E$3:E$999="INR")*(Expenses!A$3:A$999=DATE(2026,11,17)),ROW(Expenses!A$3:A$999)-2),1)),""),IF(IFERROR(INDEX(Income!B$3:B$502,SMALL(IF((Income!D$3:D$502="INR")*(Income!A$3:A$502=DATE(2026,11,17)),ROW(Income!A$3:A$502)-2),1)),"")&lt;&gt;"",IFERROR(INDEX(Income!B$3:B$502,SMALL(IF((Income!D$3:D$502="INR")*(Income!A$3:A$502=DATE(2026,11,17)),ROW(Income!A$3:A$502)-2),1)),""),""))</f>
        <v/>
      </c>
      <c r="G234" s="153">
        <f t="array" ref="G234">IF(IFERROR(-INDEX(Expenses!D$3:D$999,SMALL(IF((Expenses!E$3:E$999="INR")*(Expenses!A$3:A$999=DATE(2026,11,18)),ROW(Expenses!A$3:A$999)-2),1)),0)+IFERROR(INDEX(Income!C$3:C$502,SMALL(IF((Income!D$3:D$502="INR")*(Income!A$3:A$502=DATE(2026,11,18)),ROW(Income!A$3:A$502)-2),1)),0)=0,"",IFERROR(-INDEX(Expenses!D$3:D$999,SMALL(IF((Expenses!E$3:E$999="INR")*(Expenses!A$3:A$999=DATE(2026,11,18)),ROW(Expenses!A$3:A$999)-2),1)),0)+IFERROR(INDEX(Income!C$3:C$502,SMALL(IF((Income!D$3:D$502="INR")*(Income!A$3:A$502=DATE(2026,11,18)),ROW(Income!A$3:A$502)-2),1)),0))</f>
        <v/>
      </c>
      <c r="H234" s="126">
        <f t="array" ref="H234">IF(IFERROR(INDEX(Expenses!B$3:B$999,SMALL(IF((Expenses!E$3:E$999="INR")*(Expenses!A$3:A$999=DATE(2026,11,18)),ROW(Expenses!A$3:A$999)-2),1)),"")&lt;&gt;"",IFERROR(INDEX(Expenses!B$3:B$999,SMALL(IF((Expenses!E$3:E$999="INR")*(Expenses!A$3:A$999=DATE(2026,11,18)),ROW(Expenses!A$3:A$999)-2),1)),""),IF(IFERROR(INDEX(Income!B$3:B$502,SMALL(IF((Income!D$3:D$502="INR")*(Income!A$3:A$502=DATE(2026,11,18)),ROW(Income!A$3:A$502)-2),1)),"")&lt;&gt;"",IFERROR(INDEX(Income!B$3:B$502,SMALL(IF((Income!D$3:D$502="INR")*(Income!A$3:A$502=DATE(2026,11,18)),ROW(Income!A$3:A$502)-2),1)),""),""))</f>
        <v/>
      </c>
      <c r="I234" s="153">
        <f t="array" ref="I234">IF(IFERROR(-INDEX(Expenses!D$3:D$999,SMALL(IF((Expenses!E$3:E$999="INR")*(Expenses!A$3:A$999=DATE(2026,11,19)),ROW(Expenses!A$3:A$999)-2),1)),0)+IFERROR(INDEX(Income!C$3:C$502,SMALL(IF((Income!D$3:D$502="INR")*(Income!A$3:A$502=DATE(2026,11,19)),ROW(Income!A$3:A$502)-2),1)),0)=0,"",IFERROR(-INDEX(Expenses!D$3:D$999,SMALL(IF((Expenses!E$3:E$999="INR")*(Expenses!A$3:A$999=DATE(2026,11,19)),ROW(Expenses!A$3:A$999)-2),1)),0)+IFERROR(INDEX(Income!C$3:C$502,SMALL(IF((Income!D$3:D$502="INR")*(Income!A$3:A$502=DATE(2026,11,19)),ROW(Income!A$3:A$502)-2),1)),0))</f>
        <v/>
      </c>
      <c r="J234" s="126">
        <f t="array" ref="J234">IF(IFERROR(INDEX(Expenses!B$3:B$999,SMALL(IF((Expenses!E$3:E$999="INR")*(Expenses!A$3:A$999=DATE(2026,11,19)),ROW(Expenses!A$3:A$999)-2),1)),"")&lt;&gt;"",IFERROR(INDEX(Expenses!B$3:B$999,SMALL(IF((Expenses!E$3:E$999="INR")*(Expenses!A$3:A$999=DATE(2026,11,19)),ROW(Expenses!A$3:A$999)-2),1)),""),IF(IFERROR(INDEX(Income!B$3:B$502,SMALL(IF((Income!D$3:D$502="INR")*(Income!A$3:A$502=DATE(2026,11,19)),ROW(Income!A$3:A$502)-2),1)),"")&lt;&gt;"",IFERROR(INDEX(Income!B$3:B$502,SMALL(IF((Income!D$3:D$502="INR")*(Income!A$3:A$502=DATE(2026,11,19)),ROW(Income!A$3:A$502)-2),1)),""),""))</f>
        <v/>
      </c>
      <c r="K234" s="153">
        <f t="array" ref="K234">IF(IFERROR(-INDEX(Expenses!D$3:D$999,SMALL(IF((Expenses!E$3:E$999="INR")*(Expenses!A$3:A$999=DATE(2026,11,20)),ROW(Expenses!A$3:A$999)-2),1)),0)+IFERROR(INDEX(Income!C$3:C$502,SMALL(IF((Income!D$3:D$502="INR")*(Income!A$3:A$502=DATE(2026,11,20)),ROW(Income!A$3:A$502)-2),1)),0)=0,"",IFERROR(-INDEX(Expenses!D$3:D$999,SMALL(IF((Expenses!E$3:E$999="INR")*(Expenses!A$3:A$999=DATE(2026,11,20)),ROW(Expenses!A$3:A$999)-2),1)),0)+IFERROR(INDEX(Income!C$3:C$502,SMALL(IF((Income!D$3:D$502="INR")*(Income!A$3:A$502=DATE(2026,11,20)),ROW(Income!A$3:A$502)-2),1)),0))</f>
        <v/>
      </c>
      <c r="L234" s="126">
        <f t="array" ref="L234">IF(IFERROR(INDEX(Expenses!B$3:B$999,SMALL(IF((Expenses!E$3:E$999="INR")*(Expenses!A$3:A$999=DATE(2026,11,20)),ROW(Expenses!A$3:A$999)-2),1)),"")&lt;&gt;"",IFERROR(INDEX(Expenses!B$3:B$999,SMALL(IF((Expenses!E$3:E$999="INR")*(Expenses!A$3:A$999=DATE(2026,11,20)),ROW(Expenses!A$3:A$999)-2),1)),""),IF(IFERROR(INDEX(Income!B$3:B$502,SMALL(IF((Income!D$3:D$502="INR")*(Income!A$3:A$502=DATE(2026,11,20)),ROW(Income!A$3:A$502)-2),1)),"")&lt;&gt;"",IFERROR(INDEX(Income!B$3:B$502,SMALL(IF((Income!D$3:D$502="INR")*(Income!A$3:A$502=DATE(2026,11,20)),ROW(Income!A$3:A$502)-2),1)),""),""))</f>
        <v/>
      </c>
      <c r="M234" s="153">
        <f t="array" ref="M234">IF(IFERROR(-INDEX(Expenses!D$3:D$999,SMALL(IF((Expenses!E$3:E$999="INR")*(Expenses!A$3:A$999=DATE(2026,11,21)),ROW(Expenses!A$3:A$999)-2),1)),0)+IFERROR(INDEX(Income!C$3:C$502,SMALL(IF((Income!D$3:D$502="INR")*(Income!A$3:A$502=DATE(2026,11,21)),ROW(Income!A$3:A$502)-2),1)),0)=0,"",IFERROR(-INDEX(Expenses!D$3:D$999,SMALL(IF((Expenses!E$3:E$999="INR")*(Expenses!A$3:A$999=DATE(2026,11,21)),ROW(Expenses!A$3:A$999)-2),1)),0)+IFERROR(INDEX(Income!C$3:C$502,SMALL(IF((Income!D$3:D$502="INR")*(Income!A$3:A$502=DATE(2026,11,21)),ROW(Income!A$3:A$502)-2),1)),0))</f>
        <v/>
      </c>
      <c r="N234" s="126">
        <f t="array" ref="N234">IF(IFERROR(INDEX(Expenses!B$3:B$999,SMALL(IF((Expenses!E$3:E$999="INR")*(Expenses!A$3:A$999=DATE(2026,11,21)),ROW(Expenses!A$3:A$999)-2),1)),"")&lt;&gt;"",IFERROR(INDEX(Expenses!B$3:B$999,SMALL(IF((Expenses!E$3:E$999="INR")*(Expenses!A$3:A$999=DATE(2026,11,21)),ROW(Expenses!A$3:A$999)-2),1)),""),IF(IFERROR(INDEX(Income!B$3:B$502,SMALL(IF((Income!D$3:D$502="INR")*(Income!A$3:A$502=DATE(2026,11,21)),ROW(Income!A$3:A$502)-2),1)),"")&lt;&gt;"",IFERROR(INDEX(Income!B$3:B$502,SMALL(IF((Income!D$3:D$502="INR")*(Income!A$3:A$502=DATE(2026,11,21)),ROW(Income!A$3:A$502)-2),1)),""),""))</f>
        <v/>
      </c>
      <c r="O234" s="153">
        <f t="array" ref="O234">IF(IFERROR(-INDEX(Expenses!D$3:D$999,SMALL(IF((Expenses!E$3:E$999="INR")*(Expenses!A$3:A$999=DATE(2026,11,22)),ROW(Expenses!A$3:A$999)-2),1)),0)+IFERROR(INDEX(Income!C$3:C$502,SMALL(IF((Income!D$3:D$502="INR")*(Income!A$3:A$502=DATE(2026,11,22)),ROW(Income!A$3:A$502)-2),1)),0)=0,"",IFERROR(-INDEX(Expenses!D$3:D$999,SMALL(IF((Expenses!E$3:E$999="INR")*(Expenses!A$3:A$999=DATE(2026,11,22)),ROW(Expenses!A$3:A$999)-2),1)),0)+IFERROR(INDEX(Income!C$3:C$502,SMALL(IF((Income!D$3:D$502="INR")*(Income!A$3:A$502=DATE(2026,11,22)),ROW(Income!A$3:A$502)-2),1)),0))</f>
        <v/>
      </c>
      <c r="P234" s="126">
        <f t="array" ref="P234">IF(IFERROR(INDEX(Expenses!B$3:B$999,SMALL(IF((Expenses!E$3:E$999="INR")*(Expenses!A$3:A$999=DATE(2026,11,22)),ROW(Expenses!A$3:A$999)-2),1)),"")&lt;&gt;"",IFERROR(INDEX(Expenses!B$3:B$999,SMALL(IF((Expenses!E$3:E$999="INR")*(Expenses!A$3:A$999=DATE(2026,11,22)),ROW(Expenses!A$3:A$999)-2),1)),""),IF(IFERROR(INDEX(Income!B$3:B$502,SMALL(IF((Income!D$3:D$502="INR")*(Income!A$3:A$502=DATE(2026,11,22)),ROW(Income!A$3:A$502)-2),1)),"")&lt;&gt;"",IFERROR(INDEX(Income!B$3:B$502,SMALL(IF((Income!D$3:D$502="INR")*(Income!A$3:A$502=DATE(2026,11,22)),ROW(Income!A$3:A$502)-2),1)),""),""))</f>
        <v/>
      </c>
      <c r="Q234" s="103" t="n">
        <v>47</v>
      </c>
      <c r="R234" s="142">
        <f>SUM(C234:C238)+SUM(E234:E238)+SUM(G234:G238)+SUM(I234:I238)+SUM(K234:K238)+SUM(M234:M238)+SUM(O234:O238)</f>
        <v/>
      </c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68">
      <c r="A235" s="9" t="n"/>
      <c r="B235" s="9" t="n"/>
      <c r="C235" s="153">
        <f t="array" ref="C235">IF(IFERROR(-INDEX(Expenses!D$3:D$999,SMALL(IF((Expenses!E$3:E$999="INR")*(Expenses!A$3:A$999=DATE(2026,11,16)),ROW(Expenses!A$3:A$999)-2),2)),0)+IFERROR(INDEX(Income!C$3:C$502,SMALL(IF((Income!D$3:D$502="INR")*(Income!A$3:A$502=DATE(2026,11,16)),ROW(Income!A$3:A$502)-2),2)),0)=0,"",IFERROR(-INDEX(Expenses!D$3:D$999,SMALL(IF((Expenses!E$3:E$999="INR")*(Expenses!A$3:A$999=DATE(2026,11,16)),ROW(Expenses!A$3:A$999)-2),2)),0)+IFERROR(INDEX(Income!C$3:C$502,SMALL(IF((Income!D$3:D$502="INR")*(Income!A$3:A$502=DATE(2026,11,16)),ROW(Income!A$3:A$502)-2),2)),0))</f>
        <v/>
      </c>
      <c r="D235" s="126">
        <f t="array" ref="D235">IF(IFERROR(INDEX(Expenses!B$3:B$999,SMALL(IF((Expenses!E$3:E$999="INR")*(Expenses!A$3:A$999=DATE(2026,11,16)),ROW(Expenses!A$3:A$999)-2),2)),"")&lt;&gt;"",IFERROR(INDEX(Expenses!B$3:B$999,SMALL(IF((Expenses!E$3:E$999="INR")*(Expenses!A$3:A$999=DATE(2026,11,16)),ROW(Expenses!A$3:A$999)-2),2)),""),IF(IFERROR(INDEX(Income!B$3:B$502,SMALL(IF((Income!D$3:D$502="INR")*(Income!A$3:A$502=DATE(2026,11,16)),ROW(Income!A$3:A$502)-2),2)),"")&lt;&gt;"",IFERROR(INDEX(Income!B$3:B$502,SMALL(IF((Income!D$3:D$502="INR")*(Income!A$3:A$502=DATE(2026,11,16)),ROW(Income!A$3:A$502)-2),2)),""),""))</f>
        <v/>
      </c>
      <c r="E235" s="153">
        <f t="array" ref="E235">IF(IFERROR(-INDEX(Expenses!D$3:D$999,SMALL(IF((Expenses!E$3:E$999="INR")*(Expenses!A$3:A$999=DATE(2026,11,17)),ROW(Expenses!A$3:A$999)-2),2)),0)+IFERROR(INDEX(Income!C$3:C$502,SMALL(IF((Income!D$3:D$502="INR")*(Income!A$3:A$502=DATE(2026,11,17)),ROW(Income!A$3:A$502)-2),2)),0)=0,"",IFERROR(-INDEX(Expenses!D$3:D$999,SMALL(IF((Expenses!E$3:E$999="INR")*(Expenses!A$3:A$999=DATE(2026,11,17)),ROW(Expenses!A$3:A$999)-2),2)),0)+IFERROR(INDEX(Income!C$3:C$502,SMALL(IF((Income!D$3:D$502="INR")*(Income!A$3:A$502=DATE(2026,11,17)),ROW(Income!A$3:A$502)-2),2)),0))</f>
        <v/>
      </c>
      <c r="F235" s="126">
        <f t="array" ref="F235">IF(IFERROR(INDEX(Expenses!B$3:B$999,SMALL(IF((Expenses!E$3:E$999="INR")*(Expenses!A$3:A$999=DATE(2026,11,17)),ROW(Expenses!A$3:A$999)-2),2)),"")&lt;&gt;"",IFERROR(INDEX(Expenses!B$3:B$999,SMALL(IF((Expenses!E$3:E$999="INR")*(Expenses!A$3:A$999=DATE(2026,11,17)),ROW(Expenses!A$3:A$999)-2),2)),""),IF(IFERROR(INDEX(Income!B$3:B$502,SMALL(IF((Income!D$3:D$502="INR")*(Income!A$3:A$502=DATE(2026,11,17)),ROW(Income!A$3:A$502)-2),2)),"")&lt;&gt;"",IFERROR(INDEX(Income!B$3:B$502,SMALL(IF((Income!D$3:D$502="INR")*(Income!A$3:A$502=DATE(2026,11,17)),ROW(Income!A$3:A$502)-2),2)),""),""))</f>
        <v/>
      </c>
      <c r="G235" s="153">
        <f t="array" ref="G235">IF(IFERROR(-INDEX(Expenses!D$3:D$999,SMALL(IF((Expenses!E$3:E$999="INR")*(Expenses!A$3:A$999=DATE(2026,11,18)),ROW(Expenses!A$3:A$999)-2),2)),0)+IFERROR(INDEX(Income!C$3:C$502,SMALL(IF((Income!D$3:D$502="INR")*(Income!A$3:A$502=DATE(2026,11,18)),ROW(Income!A$3:A$502)-2),2)),0)=0,"",IFERROR(-INDEX(Expenses!D$3:D$999,SMALL(IF((Expenses!E$3:E$999="INR")*(Expenses!A$3:A$999=DATE(2026,11,18)),ROW(Expenses!A$3:A$999)-2),2)),0)+IFERROR(INDEX(Income!C$3:C$502,SMALL(IF((Income!D$3:D$502="INR")*(Income!A$3:A$502=DATE(2026,11,18)),ROW(Income!A$3:A$502)-2),2)),0))</f>
        <v/>
      </c>
      <c r="H235" s="126">
        <f t="array" ref="H235">IF(IFERROR(INDEX(Expenses!B$3:B$999,SMALL(IF((Expenses!E$3:E$999="INR")*(Expenses!A$3:A$999=DATE(2026,11,18)),ROW(Expenses!A$3:A$999)-2),2)),"")&lt;&gt;"",IFERROR(INDEX(Expenses!B$3:B$999,SMALL(IF((Expenses!E$3:E$999="INR")*(Expenses!A$3:A$999=DATE(2026,11,18)),ROW(Expenses!A$3:A$999)-2),2)),""),IF(IFERROR(INDEX(Income!B$3:B$502,SMALL(IF((Income!D$3:D$502="INR")*(Income!A$3:A$502=DATE(2026,11,18)),ROW(Income!A$3:A$502)-2),2)),"")&lt;&gt;"",IFERROR(INDEX(Income!B$3:B$502,SMALL(IF((Income!D$3:D$502="INR")*(Income!A$3:A$502=DATE(2026,11,18)),ROW(Income!A$3:A$502)-2),2)),""),""))</f>
        <v/>
      </c>
      <c r="I235" s="153">
        <f t="array" ref="I235">IF(IFERROR(-INDEX(Expenses!D$3:D$999,SMALL(IF((Expenses!E$3:E$999="INR")*(Expenses!A$3:A$999=DATE(2026,11,19)),ROW(Expenses!A$3:A$999)-2),2)),0)+IFERROR(INDEX(Income!C$3:C$502,SMALL(IF((Income!D$3:D$502="INR")*(Income!A$3:A$502=DATE(2026,11,19)),ROW(Income!A$3:A$502)-2),2)),0)=0,"",IFERROR(-INDEX(Expenses!D$3:D$999,SMALL(IF((Expenses!E$3:E$999="INR")*(Expenses!A$3:A$999=DATE(2026,11,19)),ROW(Expenses!A$3:A$999)-2),2)),0)+IFERROR(INDEX(Income!C$3:C$502,SMALL(IF((Income!D$3:D$502="INR")*(Income!A$3:A$502=DATE(2026,11,19)),ROW(Income!A$3:A$502)-2),2)),0))</f>
        <v/>
      </c>
      <c r="J235" s="126">
        <f t="array" ref="J235">IF(IFERROR(INDEX(Expenses!B$3:B$999,SMALL(IF((Expenses!E$3:E$999="INR")*(Expenses!A$3:A$999=DATE(2026,11,19)),ROW(Expenses!A$3:A$999)-2),2)),"")&lt;&gt;"",IFERROR(INDEX(Expenses!B$3:B$999,SMALL(IF((Expenses!E$3:E$999="INR")*(Expenses!A$3:A$999=DATE(2026,11,19)),ROW(Expenses!A$3:A$999)-2),2)),""),IF(IFERROR(INDEX(Income!B$3:B$502,SMALL(IF((Income!D$3:D$502="INR")*(Income!A$3:A$502=DATE(2026,11,19)),ROW(Income!A$3:A$502)-2),2)),"")&lt;&gt;"",IFERROR(INDEX(Income!B$3:B$502,SMALL(IF((Income!D$3:D$502="INR")*(Income!A$3:A$502=DATE(2026,11,19)),ROW(Income!A$3:A$502)-2),2)),""),""))</f>
        <v/>
      </c>
      <c r="K235" s="153">
        <f t="array" ref="K235">IF(IFERROR(-INDEX(Expenses!D$3:D$999,SMALL(IF((Expenses!E$3:E$999="INR")*(Expenses!A$3:A$999=DATE(2026,11,20)),ROW(Expenses!A$3:A$999)-2),2)),0)+IFERROR(INDEX(Income!C$3:C$502,SMALL(IF((Income!D$3:D$502="INR")*(Income!A$3:A$502=DATE(2026,11,20)),ROW(Income!A$3:A$502)-2),2)),0)=0,"",IFERROR(-INDEX(Expenses!D$3:D$999,SMALL(IF((Expenses!E$3:E$999="INR")*(Expenses!A$3:A$999=DATE(2026,11,20)),ROW(Expenses!A$3:A$999)-2),2)),0)+IFERROR(INDEX(Income!C$3:C$502,SMALL(IF((Income!D$3:D$502="INR")*(Income!A$3:A$502=DATE(2026,11,20)),ROW(Income!A$3:A$502)-2),2)),0))</f>
        <v/>
      </c>
      <c r="L235" s="126">
        <f t="array" ref="L235">IF(IFERROR(INDEX(Expenses!B$3:B$999,SMALL(IF((Expenses!E$3:E$999="INR")*(Expenses!A$3:A$999=DATE(2026,11,20)),ROW(Expenses!A$3:A$999)-2),2)),"")&lt;&gt;"",IFERROR(INDEX(Expenses!B$3:B$999,SMALL(IF((Expenses!E$3:E$999="INR")*(Expenses!A$3:A$999=DATE(2026,11,20)),ROW(Expenses!A$3:A$999)-2),2)),""),IF(IFERROR(INDEX(Income!B$3:B$502,SMALL(IF((Income!D$3:D$502="INR")*(Income!A$3:A$502=DATE(2026,11,20)),ROW(Income!A$3:A$502)-2),2)),"")&lt;&gt;"",IFERROR(INDEX(Income!B$3:B$502,SMALL(IF((Income!D$3:D$502="INR")*(Income!A$3:A$502=DATE(2026,11,20)),ROW(Income!A$3:A$502)-2),2)),""),""))</f>
        <v/>
      </c>
      <c r="M235" s="153">
        <f t="array" ref="M235">IF(IFERROR(-INDEX(Expenses!D$3:D$999,SMALL(IF((Expenses!E$3:E$999="INR")*(Expenses!A$3:A$999=DATE(2026,11,21)),ROW(Expenses!A$3:A$999)-2),2)),0)+IFERROR(INDEX(Income!C$3:C$502,SMALL(IF((Income!D$3:D$502="INR")*(Income!A$3:A$502=DATE(2026,11,21)),ROW(Income!A$3:A$502)-2),2)),0)=0,"",IFERROR(-INDEX(Expenses!D$3:D$999,SMALL(IF((Expenses!E$3:E$999="INR")*(Expenses!A$3:A$999=DATE(2026,11,21)),ROW(Expenses!A$3:A$999)-2),2)),0)+IFERROR(INDEX(Income!C$3:C$502,SMALL(IF((Income!D$3:D$502="INR")*(Income!A$3:A$502=DATE(2026,11,21)),ROW(Income!A$3:A$502)-2),2)),0))</f>
        <v/>
      </c>
      <c r="N235" s="126">
        <f t="array" ref="N235">IF(IFERROR(INDEX(Expenses!B$3:B$999,SMALL(IF((Expenses!E$3:E$999="INR")*(Expenses!A$3:A$999=DATE(2026,11,21)),ROW(Expenses!A$3:A$999)-2),2)),"")&lt;&gt;"",IFERROR(INDEX(Expenses!B$3:B$999,SMALL(IF((Expenses!E$3:E$999="INR")*(Expenses!A$3:A$999=DATE(2026,11,21)),ROW(Expenses!A$3:A$999)-2),2)),""),IF(IFERROR(INDEX(Income!B$3:B$502,SMALL(IF((Income!D$3:D$502="INR")*(Income!A$3:A$502=DATE(2026,11,21)),ROW(Income!A$3:A$502)-2),2)),"")&lt;&gt;"",IFERROR(INDEX(Income!B$3:B$502,SMALL(IF((Income!D$3:D$502="INR")*(Income!A$3:A$502=DATE(2026,11,21)),ROW(Income!A$3:A$502)-2),2)),""),""))</f>
        <v/>
      </c>
      <c r="O235" s="153">
        <f t="array" ref="O235">IF(IFERROR(-INDEX(Expenses!D$3:D$999,SMALL(IF((Expenses!E$3:E$999="INR")*(Expenses!A$3:A$999=DATE(2026,11,22)),ROW(Expenses!A$3:A$999)-2),2)),0)+IFERROR(INDEX(Income!C$3:C$502,SMALL(IF((Income!D$3:D$502="INR")*(Income!A$3:A$502=DATE(2026,11,22)),ROW(Income!A$3:A$502)-2),2)),0)=0,"",IFERROR(-INDEX(Expenses!D$3:D$999,SMALL(IF((Expenses!E$3:E$999="INR")*(Expenses!A$3:A$999=DATE(2026,11,22)),ROW(Expenses!A$3:A$999)-2),2)),0)+IFERROR(INDEX(Income!C$3:C$502,SMALL(IF((Income!D$3:D$502="INR")*(Income!A$3:A$502=DATE(2026,11,22)),ROW(Income!A$3:A$502)-2),2)),0))</f>
        <v/>
      </c>
      <c r="P235" s="126">
        <f t="array" ref="P235">IF(IFERROR(INDEX(Expenses!B$3:B$999,SMALL(IF((Expenses!E$3:E$999="INR")*(Expenses!A$3:A$999=DATE(2026,11,22)),ROW(Expenses!A$3:A$999)-2),2)),"")&lt;&gt;"",IFERROR(INDEX(Expenses!B$3:B$999,SMALL(IF((Expenses!E$3:E$999="INR")*(Expenses!A$3:A$999=DATE(2026,11,22)),ROW(Expenses!A$3:A$999)-2),2)),""),IF(IFERROR(INDEX(Income!B$3:B$502,SMALL(IF((Income!D$3:D$502="INR")*(Income!A$3:A$502=DATE(2026,11,22)),ROW(Income!A$3:A$502)-2),2)),"")&lt;&gt;"",IFERROR(INDEX(Income!B$3:B$502,SMALL(IF((Income!D$3:D$502="INR")*(Income!A$3:A$502=DATE(2026,11,22)),ROW(Income!A$3:A$502)-2),2)),""),""))</f>
        <v/>
      </c>
      <c r="Q235" s="9" t="n"/>
      <c r="R235" s="9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68">
      <c r="A236" s="9" t="n"/>
      <c r="B236" s="9" t="n"/>
      <c r="C236" s="153">
        <f t="array" ref="C236">IF(IFERROR(-INDEX(Expenses!D$3:D$999,SMALL(IF((Expenses!E$3:E$999="INR")*(Expenses!A$3:A$999=DATE(2026,11,16)),ROW(Expenses!A$3:A$999)-2),3)),0)+IFERROR(INDEX(Income!C$3:C$502,SMALL(IF((Income!D$3:D$502="INR")*(Income!A$3:A$502=DATE(2026,11,16)),ROW(Income!A$3:A$502)-2),3)),0)=0,"",IFERROR(-INDEX(Expenses!D$3:D$999,SMALL(IF((Expenses!E$3:E$999="INR")*(Expenses!A$3:A$999=DATE(2026,11,16)),ROW(Expenses!A$3:A$999)-2),3)),0)+IFERROR(INDEX(Income!C$3:C$502,SMALL(IF((Income!D$3:D$502="INR")*(Income!A$3:A$502=DATE(2026,11,16)),ROW(Income!A$3:A$502)-2),3)),0))</f>
        <v/>
      </c>
      <c r="D236" s="126">
        <f t="array" ref="D236">IF(IFERROR(INDEX(Expenses!B$3:B$999,SMALL(IF((Expenses!E$3:E$999="INR")*(Expenses!A$3:A$999=DATE(2026,11,16)),ROW(Expenses!A$3:A$999)-2),3)),"")&lt;&gt;"",IFERROR(INDEX(Expenses!B$3:B$999,SMALL(IF((Expenses!E$3:E$999="INR")*(Expenses!A$3:A$999=DATE(2026,11,16)),ROW(Expenses!A$3:A$999)-2),3)),""),IF(IFERROR(INDEX(Income!B$3:B$502,SMALL(IF((Income!D$3:D$502="INR")*(Income!A$3:A$502=DATE(2026,11,16)),ROW(Income!A$3:A$502)-2),3)),"")&lt;&gt;"",IFERROR(INDEX(Income!B$3:B$502,SMALL(IF((Income!D$3:D$502="INR")*(Income!A$3:A$502=DATE(2026,11,16)),ROW(Income!A$3:A$502)-2),3)),""),""))</f>
        <v/>
      </c>
      <c r="E236" s="153">
        <f t="array" ref="E236">IF(IFERROR(-INDEX(Expenses!D$3:D$999,SMALL(IF((Expenses!E$3:E$999="INR")*(Expenses!A$3:A$999=DATE(2026,11,17)),ROW(Expenses!A$3:A$999)-2),3)),0)+IFERROR(INDEX(Income!C$3:C$502,SMALL(IF((Income!D$3:D$502="INR")*(Income!A$3:A$502=DATE(2026,11,17)),ROW(Income!A$3:A$502)-2),3)),0)=0,"",IFERROR(-INDEX(Expenses!D$3:D$999,SMALL(IF((Expenses!E$3:E$999="INR")*(Expenses!A$3:A$999=DATE(2026,11,17)),ROW(Expenses!A$3:A$999)-2),3)),0)+IFERROR(INDEX(Income!C$3:C$502,SMALL(IF((Income!D$3:D$502="INR")*(Income!A$3:A$502=DATE(2026,11,17)),ROW(Income!A$3:A$502)-2),3)),0))</f>
        <v/>
      </c>
      <c r="F236" s="126">
        <f t="array" ref="F236">IF(IFERROR(INDEX(Expenses!B$3:B$999,SMALL(IF((Expenses!E$3:E$999="INR")*(Expenses!A$3:A$999=DATE(2026,11,17)),ROW(Expenses!A$3:A$999)-2),3)),"")&lt;&gt;"",IFERROR(INDEX(Expenses!B$3:B$999,SMALL(IF((Expenses!E$3:E$999="INR")*(Expenses!A$3:A$999=DATE(2026,11,17)),ROW(Expenses!A$3:A$999)-2),3)),""),IF(IFERROR(INDEX(Income!B$3:B$502,SMALL(IF((Income!D$3:D$502="INR")*(Income!A$3:A$502=DATE(2026,11,17)),ROW(Income!A$3:A$502)-2),3)),"")&lt;&gt;"",IFERROR(INDEX(Income!B$3:B$502,SMALL(IF((Income!D$3:D$502="INR")*(Income!A$3:A$502=DATE(2026,11,17)),ROW(Income!A$3:A$502)-2),3)),""),""))</f>
        <v/>
      </c>
      <c r="G236" s="153">
        <f t="array" ref="G236">IF(IFERROR(-INDEX(Expenses!D$3:D$999,SMALL(IF((Expenses!E$3:E$999="INR")*(Expenses!A$3:A$999=DATE(2026,11,18)),ROW(Expenses!A$3:A$999)-2),3)),0)+IFERROR(INDEX(Income!C$3:C$502,SMALL(IF((Income!D$3:D$502="INR")*(Income!A$3:A$502=DATE(2026,11,18)),ROW(Income!A$3:A$502)-2),3)),0)=0,"",IFERROR(-INDEX(Expenses!D$3:D$999,SMALL(IF((Expenses!E$3:E$999="INR")*(Expenses!A$3:A$999=DATE(2026,11,18)),ROW(Expenses!A$3:A$999)-2),3)),0)+IFERROR(INDEX(Income!C$3:C$502,SMALL(IF((Income!D$3:D$502="INR")*(Income!A$3:A$502=DATE(2026,11,18)),ROW(Income!A$3:A$502)-2),3)),0))</f>
        <v/>
      </c>
      <c r="H236" s="126">
        <f t="array" ref="H236">IF(IFERROR(INDEX(Expenses!B$3:B$999,SMALL(IF((Expenses!E$3:E$999="INR")*(Expenses!A$3:A$999=DATE(2026,11,18)),ROW(Expenses!A$3:A$999)-2),3)),"")&lt;&gt;"",IFERROR(INDEX(Expenses!B$3:B$999,SMALL(IF((Expenses!E$3:E$999="INR")*(Expenses!A$3:A$999=DATE(2026,11,18)),ROW(Expenses!A$3:A$999)-2),3)),""),IF(IFERROR(INDEX(Income!B$3:B$502,SMALL(IF((Income!D$3:D$502="INR")*(Income!A$3:A$502=DATE(2026,11,18)),ROW(Income!A$3:A$502)-2),3)),"")&lt;&gt;"",IFERROR(INDEX(Income!B$3:B$502,SMALL(IF((Income!D$3:D$502="INR")*(Income!A$3:A$502=DATE(2026,11,18)),ROW(Income!A$3:A$502)-2),3)),""),""))</f>
        <v/>
      </c>
      <c r="I236" s="153">
        <f t="array" ref="I236">IF(IFERROR(-INDEX(Expenses!D$3:D$999,SMALL(IF((Expenses!E$3:E$999="INR")*(Expenses!A$3:A$999=DATE(2026,11,19)),ROW(Expenses!A$3:A$999)-2),3)),0)+IFERROR(INDEX(Income!C$3:C$502,SMALL(IF((Income!D$3:D$502="INR")*(Income!A$3:A$502=DATE(2026,11,19)),ROW(Income!A$3:A$502)-2),3)),0)=0,"",IFERROR(-INDEX(Expenses!D$3:D$999,SMALL(IF((Expenses!E$3:E$999="INR")*(Expenses!A$3:A$999=DATE(2026,11,19)),ROW(Expenses!A$3:A$999)-2),3)),0)+IFERROR(INDEX(Income!C$3:C$502,SMALL(IF((Income!D$3:D$502="INR")*(Income!A$3:A$502=DATE(2026,11,19)),ROW(Income!A$3:A$502)-2),3)),0))</f>
        <v/>
      </c>
      <c r="J236" s="126">
        <f t="array" ref="J236">IF(IFERROR(INDEX(Expenses!B$3:B$999,SMALL(IF((Expenses!E$3:E$999="INR")*(Expenses!A$3:A$999=DATE(2026,11,19)),ROW(Expenses!A$3:A$999)-2),3)),"")&lt;&gt;"",IFERROR(INDEX(Expenses!B$3:B$999,SMALL(IF((Expenses!E$3:E$999="INR")*(Expenses!A$3:A$999=DATE(2026,11,19)),ROW(Expenses!A$3:A$999)-2),3)),""),IF(IFERROR(INDEX(Income!B$3:B$502,SMALL(IF((Income!D$3:D$502="INR")*(Income!A$3:A$502=DATE(2026,11,19)),ROW(Income!A$3:A$502)-2),3)),"")&lt;&gt;"",IFERROR(INDEX(Income!B$3:B$502,SMALL(IF((Income!D$3:D$502="INR")*(Income!A$3:A$502=DATE(2026,11,19)),ROW(Income!A$3:A$502)-2),3)),""),""))</f>
        <v/>
      </c>
      <c r="K236" s="153">
        <f t="array" ref="K236">IF(IFERROR(-INDEX(Expenses!D$3:D$999,SMALL(IF((Expenses!E$3:E$999="INR")*(Expenses!A$3:A$999=DATE(2026,11,20)),ROW(Expenses!A$3:A$999)-2),3)),0)+IFERROR(INDEX(Income!C$3:C$502,SMALL(IF((Income!D$3:D$502="INR")*(Income!A$3:A$502=DATE(2026,11,20)),ROW(Income!A$3:A$502)-2),3)),0)=0,"",IFERROR(-INDEX(Expenses!D$3:D$999,SMALL(IF((Expenses!E$3:E$999="INR")*(Expenses!A$3:A$999=DATE(2026,11,20)),ROW(Expenses!A$3:A$999)-2),3)),0)+IFERROR(INDEX(Income!C$3:C$502,SMALL(IF((Income!D$3:D$502="INR")*(Income!A$3:A$502=DATE(2026,11,20)),ROW(Income!A$3:A$502)-2),3)),0))</f>
        <v/>
      </c>
      <c r="L236" s="126">
        <f t="array" ref="L236">IF(IFERROR(INDEX(Expenses!B$3:B$999,SMALL(IF((Expenses!E$3:E$999="INR")*(Expenses!A$3:A$999=DATE(2026,11,20)),ROW(Expenses!A$3:A$999)-2),3)),"")&lt;&gt;"",IFERROR(INDEX(Expenses!B$3:B$999,SMALL(IF((Expenses!E$3:E$999="INR")*(Expenses!A$3:A$999=DATE(2026,11,20)),ROW(Expenses!A$3:A$999)-2),3)),""),IF(IFERROR(INDEX(Income!B$3:B$502,SMALL(IF((Income!D$3:D$502="INR")*(Income!A$3:A$502=DATE(2026,11,20)),ROW(Income!A$3:A$502)-2),3)),"")&lt;&gt;"",IFERROR(INDEX(Income!B$3:B$502,SMALL(IF((Income!D$3:D$502="INR")*(Income!A$3:A$502=DATE(2026,11,20)),ROW(Income!A$3:A$502)-2),3)),""),""))</f>
        <v/>
      </c>
      <c r="M236" s="153">
        <f t="array" ref="M236">IF(IFERROR(-INDEX(Expenses!D$3:D$999,SMALL(IF((Expenses!E$3:E$999="INR")*(Expenses!A$3:A$999=DATE(2026,11,21)),ROW(Expenses!A$3:A$999)-2),3)),0)+IFERROR(INDEX(Income!C$3:C$502,SMALL(IF((Income!D$3:D$502="INR")*(Income!A$3:A$502=DATE(2026,11,21)),ROW(Income!A$3:A$502)-2),3)),0)=0,"",IFERROR(-INDEX(Expenses!D$3:D$999,SMALL(IF((Expenses!E$3:E$999="INR")*(Expenses!A$3:A$999=DATE(2026,11,21)),ROW(Expenses!A$3:A$999)-2),3)),0)+IFERROR(INDEX(Income!C$3:C$502,SMALL(IF((Income!D$3:D$502="INR")*(Income!A$3:A$502=DATE(2026,11,21)),ROW(Income!A$3:A$502)-2),3)),0))</f>
        <v/>
      </c>
      <c r="N236" s="126">
        <f t="array" ref="N236">IF(IFERROR(INDEX(Expenses!B$3:B$999,SMALL(IF((Expenses!E$3:E$999="INR")*(Expenses!A$3:A$999=DATE(2026,11,21)),ROW(Expenses!A$3:A$999)-2),3)),"")&lt;&gt;"",IFERROR(INDEX(Expenses!B$3:B$999,SMALL(IF((Expenses!E$3:E$999="INR")*(Expenses!A$3:A$999=DATE(2026,11,21)),ROW(Expenses!A$3:A$999)-2),3)),""),IF(IFERROR(INDEX(Income!B$3:B$502,SMALL(IF((Income!D$3:D$502="INR")*(Income!A$3:A$502=DATE(2026,11,21)),ROW(Income!A$3:A$502)-2),3)),"")&lt;&gt;"",IFERROR(INDEX(Income!B$3:B$502,SMALL(IF((Income!D$3:D$502="INR")*(Income!A$3:A$502=DATE(2026,11,21)),ROW(Income!A$3:A$502)-2),3)),""),""))</f>
        <v/>
      </c>
      <c r="O236" s="153">
        <f t="array" ref="O236">IF(IFERROR(-INDEX(Expenses!D$3:D$999,SMALL(IF((Expenses!E$3:E$999="INR")*(Expenses!A$3:A$999=DATE(2026,11,22)),ROW(Expenses!A$3:A$999)-2),3)),0)+IFERROR(INDEX(Income!C$3:C$502,SMALL(IF((Income!D$3:D$502="INR")*(Income!A$3:A$502=DATE(2026,11,22)),ROW(Income!A$3:A$502)-2),3)),0)=0,"",IFERROR(-INDEX(Expenses!D$3:D$999,SMALL(IF((Expenses!E$3:E$999="INR")*(Expenses!A$3:A$999=DATE(2026,11,22)),ROW(Expenses!A$3:A$999)-2),3)),0)+IFERROR(INDEX(Income!C$3:C$502,SMALL(IF((Income!D$3:D$502="INR")*(Income!A$3:A$502=DATE(2026,11,22)),ROW(Income!A$3:A$502)-2),3)),0))</f>
        <v/>
      </c>
      <c r="P236" s="126">
        <f t="array" ref="P236">IF(IFERROR(INDEX(Expenses!B$3:B$999,SMALL(IF((Expenses!E$3:E$999="INR")*(Expenses!A$3:A$999=DATE(2026,11,22)),ROW(Expenses!A$3:A$999)-2),3)),"")&lt;&gt;"",IFERROR(INDEX(Expenses!B$3:B$999,SMALL(IF((Expenses!E$3:E$999="INR")*(Expenses!A$3:A$999=DATE(2026,11,22)),ROW(Expenses!A$3:A$999)-2),3)),""),IF(IFERROR(INDEX(Income!B$3:B$502,SMALL(IF((Income!D$3:D$502="INR")*(Income!A$3:A$502=DATE(2026,11,22)),ROW(Income!A$3:A$502)-2),3)),"")&lt;&gt;"",IFERROR(INDEX(Income!B$3:B$502,SMALL(IF((Income!D$3:D$502="INR")*(Income!A$3:A$502=DATE(2026,11,22)),ROW(Income!A$3:A$502)-2),3)),""),""))</f>
        <v/>
      </c>
      <c r="Q236" s="9" t="n"/>
      <c r="R236" s="9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68">
      <c r="A237" s="9" t="n"/>
      <c r="B237" s="9" t="n"/>
      <c r="C237" s="153">
        <f t="array" ref="C237">IF(IFERROR(-INDEX(Expenses!D$3:D$999,SMALL(IF((Expenses!E$3:E$999="INR")*(Expenses!A$3:A$999=DATE(2026,11,16)),ROW(Expenses!A$3:A$999)-2),4)),0)+IFERROR(INDEX(Income!C$3:C$502,SMALL(IF((Income!D$3:D$502="INR")*(Income!A$3:A$502=DATE(2026,11,16)),ROW(Income!A$3:A$502)-2),4)),0)=0,"",IFERROR(-INDEX(Expenses!D$3:D$999,SMALL(IF((Expenses!E$3:E$999="INR")*(Expenses!A$3:A$999=DATE(2026,11,16)),ROW(Expenses!A$3:A$999)-2),4)),0)+IFERROR(INDEX(Income!C$3:C$502,SMALL(IF((Income!D$3:D$502="INR")*(Income!A$3:A$502=DATE(2026,11,16)),ROW(Income!A$3:A$502)-2),4)),0))</f>
        <v/>
      </c>
      <c r="D237" s="126">
        <f t="array" ref="D237">IF(IFERROR(INDEX(Expenses!B$3:B$999,SMALL(IF((Expenses!E$3:E$999="INR")*(Expenses!A$3:A$999=DATE(2026,11,16)),ROW(Expenses!A$3:A$999)-2),4)),"")&lt;&gt;"",IFERROR(INDEX(Expenses!B$3:B$999,SMALL(IF((Expenses!E$3:E$999="INR")*(Expenses!A$3:A$999=DATE(2026,11,16)),ROW(Expenses!A$3:A$999)-2),4)),""),IF(IFERROR(INDEX(Income!B$3:B$502,SMALL(IF((Income!D$3:D$502="INR")*(Income!A$3:A$502=DATE(2026,11,16)),ROW(Income!A$3:A$502)-2),4)),"")&lt;&gt;"",IFERROR(INDEX(Income!B$3:B$502,SMALL(IF((Income!D$3:D$502="INR")*(Income!A$3:A$502=DATE(2026,11,16)),ROW(Income!A$3:A$502)-2),4)),""),""))</f>
        <v/>
      </c>
      <c r="E237" s="153">
        <f t="array" ref="E237">IF(IFERROR(-INDEX(Expenses!D$3:D$999,SMALL(IF((Expenses!E$3:E$999="INR")*(Expenses!A$3:A$999=DATE(2026,11,17)),ROW(Expenses!A$3:A$999)-2),4)),0)+IFERROR(INDEX(Income!C$3:C$502,SMALL(IF((Income!D$3:D$502="INR")*(Income!A$3:A$502=DATE(2026,11,17)),ROW(Income!A$3:A$502)-2),4)),0)=0,"",IFERROR(-INDEX(Expenses!D$3:D$999,SMALL(IF((Expenses!E$3:E$999="INR")*(Expenses!A$3:A$999=DATE(2026,11,17)),ROW(Expenses!A$3:A$999)-2),4)),0)+IFERROR(INDEX(Income!C$3:C$502,SMALL(IF((Income!D$3:D$502="INR")*(Income!A$3:A$502=DATE(2026,11,17)),ROW(Income!A$3:A$502)-2),4)),0))</f>
        <v/>
      </c>
      <c r="F237" s="126">
        <f t="array" ref="F237">IF(IFERROR(INDEX(Expenses!B$3:B$999,SMALL(IF((Expenses!E$3:E$999="INR")*(Expenses!A$3:A$999=DATE(2026,11,17)),ROW(Expenses!A$3:A$999)-2),4)),"")&lt;&gt;"",IFERROR(INDEX(Expenses!B$3:B$999,SMALL(IF((Expenses!E$3:E$999="INR")*(Expenses!A$3:A$999=DATE(2026,11,17)),ROW(Expenses!A$3:A$999)-2),4)),""),IF(IFERROR(INDEX(Income!B$3:B$502,SMALL(IF((Income!D$3:D$502="INR")*(Income!A$3:A$502=DATE(2026,11,17)),ROW(Income!A$3:A$502)-2),4)),"")&lt;&gt;"",IFERROR(INDEX(Income!B$3:B$502,SMALL(IF((Income!D$3:D$502="INR")*(Income!A$3:A$502=DATE(2026,11,17)),ROW(Income!A$3:A$502)-2),4)),""),""))</f>
        <v/>
      </c>
      <c r="G237" s="153">
        <f t="array" ref="G237">IF(IFERROR(-INDEX(Expenses!D$3:D$999,SMALL(IF((Expenses!E$3:E$999="INR")*(Expenses!A$3:A$999=DATE(2026,11,18)),ROW(Expenses!A$3:A$999)-2),4)),0)+IFERROR(INDEX(Income!C$3:C$502,SMALL(IF((Income!D$3:D$502="INR")*(Income!A$3:A$502=DATE(2026,11,18)),ROW(Income!A$3:A$502)-2),4)),0)=0,"",IFERROR(-INDEX(Expenses!D$3:D$999,SMALL(IF((Expenses!E$3:E$999="INR")*(Expenses!A$3:A$999=DATE(2026,11,18)),ROW(Expenses!A$3:A$999)-2),4)),0)+IFERROR(INDEX(Income!C$3:C$502,SMALL(IF((Income!D$3:D$502="INR")*(Income!A$3:A$502=DATE(2026,11,18)),ROW(Income!A$3:A$502)-2),4)),0))</f>
        <v/>
      </c>
      <c r="H237" s="126">
        <f t="array" ref="H237">IF(IFERROR(INDEX(Expenses!B$3:B$999,SMALL(IF((Expenses!E$3:E$999="INR")*(Expenses!A$3:A$999=DATE(2026,11,18)),ROW(Expenses!A$3:A$999)-2),4)),"")&lt;&gt;"",IFERROR(INDEX(Expenses!B$3:B$999,SMALL(IF((Expenses!E$3:E$999="INR")*(Expenses!A$3:A$999=DATE(2026,11,18)),ROW(Expenses!A$3:A$999)-2),4)),""),IF(IFERROR(INDEX(Income!B$3:B$502,SMALL(IF((Income!D$3:D$502="INR")*(Income!A$3:A$502=DATE(2026,11,18)),ROW(Income!A$3:A$502)-2),4)),"")&lt;&gt;"",IFERROR(INDEX(Income!B$3:B$502,SMALL(IF((Income!D$3:D$502="INR")*(Income!A$3:A$502=DATE(2026,11,18)),ROW(Income!A$3:A$502)-2),4)),""),""))</f>
        <v/>
      </c>
      <c r="I237" s="153">
        <f t="array" ref="I237">IF(IFERROR(-INDEX(Expenses!D$3:D$999,SMALL(IF((Expenses!E$3:E$999="INR")*(Expenses!A$3:A$999=DATE(2026,11,19)),ROW(Expenses!A$3:A$999)-2),4)),0)+IFERROR(INDEX(Income!C$3:C$502,SMALL(IF((Income!D$3:D$502="INR")*(Income!A$3:A$502=DATE(2026,11,19)),ROW(Income!A$3:A$502)-2),4)),0)=0,"",IFERROR(-INDEX(Expenses!D$3:D$999,SMALL(IF((Expenses!E$3:E$999="INR")*(Expenses!A$3:A$999=DATE(2026,11,19)),ROW(Expenses!A$3:A$999)-2),4)),0)+IFERROR(INDEX(Income!C$3:C$502,SMALL(IF((Income!D$3:D$502="INR")*(Income!A$3:A$502=DATE(2026,11,19)),ROW(Income!A$3:A$502)-2),4)),0))</f>
        <v/>
      </c>
      <c r="J237" s="126">
        <f t="array" ref="J237">IF(IFERROR(INDEX(Expenses!B$3:B$999,SMALL(IF((Expenses!E$3:E$999="INR")*(Expenses!A$3:A$999=DATE(2026,11,19)),ROW(Expenses!A$3:A$999)-2),4)),"")&lt;&gt;"",IFERROR(INDEX(Expenses!B$3:B$999,SMALL(IF((Expenses!E$3:E$999="INR")*(Expenses!A$3:A$999=DATE(2026,11,19)),ROW(Expenses!A$3:A$999)-2),4)),""),IF(IFERROR(INDEX(Income!B$3:B$502,SMALL(IF((Income!D$3:D$502="INR")*(Income!A$3:A$502=DATE(2026,11,19)),ROW(Income!A$3:A$502)-2),4)),"")&lt;&gt;"",IFERROR(INDEX(Income!B$3:B$502,SMALL(IF((Income!D$3:D$502="INR")*(Income!A$3:A$502=DATE(2026,11,19)),ROW(Income!A$3:A$502)-2),4)),""),""))</f>
        <v/>
      </c>
      <c r="K237" s="153">
        <f t="array" ref="K237">IF(IFERROR(-INDEX(Expenses!D$3:D$999,SMALL(IF((Expenses!E$3:E$999="INR")*(Expenses!A$3:A$999=DATE(2026,11,20)),ROW(Expenses!A$3:A$999)-2),4)),0)+IFERROR(INDEX(Income!C$3:C$502,SMALL(IF((Income!D$3:D$502="INR")*(Income!A$3:A$502=DATE(2026,11,20)),ROW(Income!A$3:A$502)-2),4)),0)=0,"",IFERROR(-INDEX(Expenses!D$3:D$999,SMALL(IF((Expenses!E$3:E$999="INR")*(Expenses!A$3:A$999=DATE(2026,11,20)),ROW(Expenses!A$3:A$999)-2),4)),0)+IFERROR(INDEX(Income!C$3:C$502,SMALL(IF((Income!D$3:D$502="INR")*(Income!A$3:A$502=DATE(2026,11,20)),ROW(Income!A$3:A$502)-2),4)),0))</f>
        <v/>
      </c>
      <c r="L237" s="126">
        <f t="array" ref="L237">IF(IFERROR(INDEX(Expenses!B$3:B$999,SMALL(IF((Expenses!E$3:E$999="INR")*(Expenses!A$3:A$999=DATE(2026,11,20)),ROW(Expenses!A$3:A$999)-2),4)),"")&lt;&gt;"",IFERROR(INDEX(Expenses!B$3:B$999,SMALL(IF((Expenses!E$3:E$999="INR")*(Expenses!A$3:A$999=DATE(2026,11,20)),ROW(Expenses!A$3:A$999)-2),4)),""),IF(IFERROR(INDEX(Income!B$3:B$502,SMALL(IF((Income!D$3:D$502="INR")*(Income!A$3:A$502=DATE(2026,11,20)),ROW(Income!A$3:A$502)-2),4)),"")&lt;&gt;"",IFERROR(INDEX(Income!B$3:B$502,SMALL(IF((Income!D$3:D$502="INR")*(Income!A$3:A$502=DATE(2026,11,20)),ROW(Income!A$3:A$502)-2),4)),""),""))</f>
        <v/>
      </c>
      <c r="M237" s="153">
        <f t="array" ref="M237">IF(IFERROR(-INDEX(Expenses!D$3:D$999,SMALL(IF((Expenses!E$3:E$999="INR")*(Expenses!A$3:A$999=DATE(2026,11,21)),ROW(Expenses!A$3:A$999)-2),4)),0)+IFERROR(INDEX(Income!C$3:C$502,SMALL(IF((Income!D$3:D$502="INR")*(Income!A$3:A$502=DATE(2026,11,21)),ROW(Income!A$3:A$502)-2),4)),0)=0,"",IFERROR(-INDEX(Expenses!D$3:D$999,SMALL(IF((Expenses!E$3:E$999="INR")*(Expenses!A$3:A$999=DATE(2026,11,21)),ROW(Expenses!A$3:A$999)-2),4)),0)+IFERROR(INDEX(Income!C$3:C$502,SMALL(IF((Income!D$3:D$502="INR")*(Income!A$3:A$502=DATE(2026,11,21)),ROW(Income!A$3:A$502)-2),4)),0))</f>
        <v/>
      </c>
      <c r="N237" s="126">
        <f t="array" ref="N237">IF(IFERROR(INDEX(Expenses!B$3:B$999,SMALL(IF((Expenses!E$3:E$999="INR")*(Expenses!A$3:A$999=DATE(2026,11,21)),ROW(Expenses!A$3:A$999)-2),4)),"")&lt;&gt;"",IFERROR(INDEX(Expenses!B$3:B$999,SMALL(IF((Expenses!E$3:E$999="INR")*(Expenses!A$3:A$999=DATE(2026,11,21)),ROW(Expenses!A$3:A$999)-2),4)),""),IF(IFERROR(INDEX(Income!B$3:B$502,SMALL(IF((Income!D$3:D$502="INR")*(Income!A$3:A$502=DATE(2026,11,21)),ROW(Income!A$3:A$502)-2),4)),"")&lt;&gt;"",IFERROR(INDEX(Income!B$3:B$502,SMALL(IF((Income!D$3:D$502="INR")*(Income!A$3:A$502=DATE(2026,11,21)),ROW(Income!A$3:A$502)-2),4)),""),""))</f>
        <v/>
      </c>
      <c r="O237" s="153">
        <f t="array" ref="O237">IF(IFERROR(-INDEX(Expenses!D$3:D$999,SMALL(IF((Expenses!E$3:E$999="INR")*(Expenses!A$3:A$999=DATE(2026,11,22)),ROW(Expenses!A$3:A$999)-2),4)),0)+IFERROR(INDEX(Income!C$3:C$502,SMALL(IF((Income!D$3:D$502="INR")*(Income!A$3:A$502=DATE(2026,11,22)),ROW(Income!A$3:A$502)-2),4)),0)=0,"",IFERROR(-INDEX(Expenses!D$3:D$999,SMALL(IF((Expenses!E$3:E$999="INR")*(Expenses!A$3:A$999=DATE(2026,11,22)),ROW(Expenses!A$3:A$999)-2),4)),0)+IFERROR(INDEX(Income!C$3:C$502,SMALL(IF((Income!D$3:D$502="INR")*(Income!A$3:A$502=DATE(2026,11,22)),ROW(Income!A$3:A$502)-2),4)),0))</f>
        <v/>
      </c>
      <c r="P237" s="126">
        <f t="array" ref="P237">IF(IFERROR(INDEX(Expenses!B$3:B$999,SMALL(IF((Expenses!E$3:E$999="INR")*(Expenses!A$3:A$999=DATE(2026,11,22)),ROW(Expenses!A$3:A$999)-2),4)),"")&lt;&gt;"",IFERROR(INDEX(Expenses!B$3:B$999,SMALL(IF((Expenses!E$3:E$999="INR")*(Expenses!A$3:A$999=DATE(2026,11,22)),ROW(Expenses!A$3:A$999)-2),4)),""),IF(IFERROR(INDEX(Income!B$3:B$502,SMALL(IF((Income!D$3:D$502="INR")*(Income!A$3:A$502=DATE(2026,11,22)),ROW(Income!A$3:A$502)-2),4)),"")&lt;&gt;"",IFERROR(INDEX(Income!B$3:B$502,SMALL(IF((Income!D$3:D$502="INR")*(Income!A$3:A$502=DATE(2026,11,22)),ROW(Income!A$3:A$502)-2),4)),""),""))</f>
        <v/>
      </c>
      <c r="Q237" s="9" t="n"/>
      <c r="R237" s="9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68">
      <c r="A238" s="9" t="n"/>
      <c r="B238" s="9" t="n"/>
      <c r="C238" s="153">
        <f t="array" ref="C238">IF(IFERROR(-INDEX(Expenses!D$3:D$999,SMALL(IF((Expenses!E$3:E$999="INR")*(Expenses!A$3:A$999=DATE(2026,11,16)),ROW(Expenses!A$3:A$999)-2),5)),0)+IFERROR(INDEX(Income!C$3:C$502,SMALL(IF((Income!D$3:D$502="INR")*(Income!A$3:A$502=DATE(2026,11,16)),ROW(Income!A$3:A$502)-2),5)),0)=0,"",IFERROR(-INDEX(Expenses!D$3:D$999,SMALL(IF((Expenses!E$3:E$999="INR")*(Expenses!A$3:A$999=DATE(2026,11,16)),ROW(Expenses!A$3:A$999)-2),5)),0)+IFERROR(INDEX(Income!C$3:C$502,SMALL(IF((Income!D$3:D$502="INR")*(Income!A$3:A$502=DATE(2026,11,16)),ROW(Income!A$3:A$502)-2),5)),0))</f>
        <v/>
      </c>
      <c r="D238" s="126">
        <f t="array" ref="D238">IF(IFERROR(INDEX(Expenses!B$3:B$999,SMALL(IF((Expenses!E$3:E$999="INR")*(Expenses!A$3:A$999=DATE(2026,11,16)),ROW(Expenses!A$3:A$999)-2),5)),"")&lt;&gt;"",IFERROR(INDEX(Expenses!B$3:B$999,SMALL(IF((Expenses!E$3:E$999="INR")*(Expenses!A$3:A$999=DATE(2026,11,16)),ROW(Expenses!A$3:A$999)-2),5)),""),IF(IFERROR(INDEX(Income!B$3:B$502,SMALL(IF((Income!D$3:D$502="INR")*(Income!A$3:A$502=DATE(2026,11,16)),ROW(Income!A$3:A$502)-2),5)),"")&lt;&gt;"",IFERROR(INDEX(Income!B$3:B$502,SMALL(IF((Income!D$3:D$502="INR")*(Income!A$3:A$502=DATE(2026,11,16)),ROW(Income!A$3:A$502)-2),5)),""),""))</f>
        <v/>
      </c>
      <c r="E238" s="153">
        <f t="array" ref="E238">IF(IFERROR(-INDEX(Expenses!D$3:D$999,SMALL(IF((Expenses!E$3:E$999="INR")*(Expenses!A$3:A$999=DATE(2026,11,17)),ROW(Expenses!A$3:A$999)-2),5)),0)+IFERROR(INDEX(Income!C$3:C$502,SMALL(IF((Income!D$3:D$502="INR")*(Income!A$3:A$502=DATE(2026,11,17)),ROW(Income!A$3:A$502)-2),5)),0)=0,"",IFERROR(-INDEX(Expenses!D$3:D$999,SMALL(IF((Expenses!E$3:E$999="INR")*(Expenses!A$3:A$999=DATE(2026,11,17)),ROW(Expenses!A$3:A$999)-2),5)),0)+IFERROR(INDEX(Income!C$3:C$502,SMALL(IF((Income!D$3:D$502="INR")*(Income!A$3:A$502=DATE(2026,11,17)),ROW(Income!A$3:A$502)-2),5)),0))</f>
        <v/>
      </c>
      <c r="F238" s="126">
        <f t="array" ref="F238">IF(IFERROR(INDEX(Expenses!B$3:B$999,SMALL(IF((Expenses!E$3:E$999="INR")*(Expenses!A$3:A$999=DATE(2026,11,17)),ROW(Expenses!A$3:A$999)-2),5)),"")&lt;&gt;"",IFERROR(INDEX(Expenses!B$3:B$999,SMALL(IF((Expenses!E$3:E$999="INR")*(Expenses!A$3:A$999=DATE(2026,11,17)),ROW(Expenses!A$3:A$999)-2),5)),""),IF(IFERROR(INDEX(Income!B$3:B$502,SMALL(IF((Income!D$3:D$502="INR")*(Income!A$3:A$502=DATE(2026,11,17)),ROW(Income!A$3:A$502)-2),5)),"")&lt;&gt;"",IFERROR(INDEX(Income!B$3:B$502,SMALL(IF((Income!D$3:D$502="INR")*(Income!A$3:A$502=DATE(2026,11,17)),ROW(Income!A$3:A$502)-2),5)),""),""))</f>
        <v/>
      </c>
      <c r="G238" s="153">
        <f t="array" ref="G238">IF(IFERROR(-INDEX(Expenses!D$3:D$999,SMALL(IF((Expenses!E$3:E$999="INR")*(Expenses!A$3:A$999=DATE(2026,11,18)),ROW(Expenses!A$3:A$999)-2),5)),0)+IFERROR(INDEX(Income!C$3:C$502,SMALL(IF((Income!D$3:D$502="INR")*(Income!A$3:A$502=DATE(2026,11,18)),ROW(Income!A$3:A$502)-2),5)),0)=0,"",IFERROR(-INDEX(Expenses!D$3:D$999,SMALL(IF((Expenses!E$3:E$999="INR")*(Expenses!A$3:A$999=DATE(2026,11,18)),ROW(Expenses!A$3:A$999)-2),5)),0)+IFERROR(INDEX(Income!C$3:C$502,SMALL(IF((Income!D$3:D$502="INR")*(Income!A$3:A$502=DATE(2026,11,18)),ROW(Income!A$3:A$502)-2),5)),0))</f>
        <v/>
      </c>
      <c r="H238" s="126">
        <f t="array" ref="H238">IF(IFERROR(INDEX(Expenses!B$3:B$999,SMALL(IF((Expenses!E$3:E$999="INR")*(Expenses!A$3:A$999=DATE(2026,11,18)),ROW(Expenses!A$3:A$999)-2),5)),"")&lt;&gt;"",IFERROR(INDEX(Expenses!B$3:B$999,SMALL(IF((Expenses!E$3:E$999="INR")*(Expenses!A$3:A$999=DATE(2026,11,18)),ROW(Expenses!A$3:A$999)-2),5)),""),IF(IFERROR(INDEX(Income!B$3:B$502,SMALL(IF((Income!D$3:D$502="INR")*(Income!A$3:A$502=DATE(2026,11,18)),ROW(Income!A$3:A$502)-2),5)),"")&lt;&gt;"",IFERROR(INDEX(Income!B$3:B$502,SMALL(IF((Income!D$3:D$502="INR")*(Income!A$3:A$502=DATE(2026,11,18)),ROW(Income!A$3:A$502)-2),5)),""),""))</f>
        <v/>
      </c>
      <c r="I238" s="153">
        <f t="array" ref="I238">IF(IFERROR(-INDEX(Expenses!D$3:D$999,SMALL(IF((Expenses!E$3:E$999="INR")*(Expenses!A$3:A$999=DATE(2026,11,19)),ROW(Expenses!A$3:A$999)-2),5)),0)+IFERROR(INDEX(Income!C$3:C$502,SMALL(IF((Income!D$3:D$502="INR")*(Income!A$3:A$502=DATE(2026,11,19)),ROW(Income!A$3:A$502)-2),5)),0)=0,"",IFERROR(-INDEX(Expenses!D$3:D$999,SMALL(IF((Expenses!E$3:E$999="INR")*(Expenses!A$3:A$999=DATE(2026,11,19)),ROW(Expenses!A$3:A$999)-2),5)),0)+IFERROR(INDEX(Income!C$3:C$502,SMALL(IF((Income!D$3:D$502="INR")*(Income!A$3:A$502=DATE(2026,11,19)),ROW(Income!A$3:A$502)-2),5)),0))</f>
        <v/>
      </c>
      <c r="J238" s="126">
        <f t="array" ref="J238">IF(IFERROR(INDEX(Expenses!B$3:B$999,SMALL(IF((Expenses!E$3:E$999="INR")*(Expenses!A$3:A$999=DATE(2026,11,19)),ROW(Expenses!A$3:A$999)-2),5)),"")&lt;&gt;"",IFERROR(INDEX(Expenses!B$3:B$999,SMALL(IF((Expenses!E$3:E$999="INR")*(Expenses!A$3:A$999=DATE(2026,11,19)),ROW(Expenses!A$3:A$999)-2),5)),""),IF(IFERROR(INDEX(Income!B$3:B$502,SMALL(IF((Income!D$3:D$502="INR")*(Income!A$3:A$502=DATE(2026,11,19)),ROW(Income!A$3:A$502)-2),5)),"")&lt;&gt;"",IFERROR(INDEX(Income!B$3:B$502,SMALL(IF((Income!D$3:D$502="INR")*(Income!A$3:A$502=DATE(2026,11,19)),ROW(Income!A$3:A$502)-2),5)),""),""))</f>
        <v/>
      </c>
      <c r="K238" s="153">
        <f t="array" ref="K238">IF(IFERROR(-INDEX(Expenses!D$3:D$999,SMALL(IF((Expenses!E$3:E$999="INR")*(Expenses!A$3:A$999=DATE(2026,11,20)),ROW(Expenses!A$3:A$999)-2),5)),0)+IFERROR(INDEX(Income!C$3:C$502,SMALL(IF((Income!D$3:D$502="INR")*(Income!A$3:A$502=DATE(2026,11,20)),ROW(Income!A$3:A$502)-2),5)),0)=0,"",IFERROR(-INDEX(Expenses!D$3:D$999,SMALL(IF((Expenses!E$3:E$999="INR")*(Expenses!A$3:A$999=DATE(2026,11,20)),ROW(Expenses!A$3:A$999)-2),5)),0)+IFERROR(INDEX(Income!C$3:C$502,SMALL(IF((Income!D$3:D$502="INR")*(Income!A$3:A$502=DATE(2026,11,20)),ROW(Income!A$3:A$502)-2),5)),0))</f>
        <v/>
      </c>
      <c r="L238" s="126">
        <f t="array" ref="L238">IF(IFERROR(INDEX(Expenses!B$3:B$999,SMALL(IF((Expenses!E$3:E$999="INR")*(Expenses!A$3:A$999=DATE(2026,11,20)),ROW(Expenses!A$3:A$999)-2),5)),"")&lt;&gt;"",IFERROR(INDEX(Expenses!B$3:B$999,SMALL(IF((Expenses!E$3:E$999="INR")*(Expenses!A$3:A$999=DATE(2026,11,20)),ROW(Expenses!A$3:A$999)-2),5)),""),IF(IFERROR(INDEX(Income!B$3:B$502,SMALL(IF((Income!D$3:D$502="INR")*(Income!A$3:A$502=DATE(2026,11,20)),ROW(Income!A$3:A$502)-2),5)),"")&lt;&gt;"",IFERROR(INDEX(Income!B$3:B$502,SMALL(IF((Income!D$3:D$502="INR")*(Income!A$3:A$502=DATE(2026,11,20)),ROW(Income!A$3:A$502)-2),5)),""),""))</f>
        <v/>
      </c>
      <c r="M238" s="153">
        <f t="array" ref="M238">IF(IFERROR(-INDEX(Expenses!D$3:D$999,SMALL(IF((Expenses!E$3:E$999="INR")*(Expenses!A$3:A$999=DATE(2026,11,21)),ROW(Expenses!A$3:A$999)-2),5)),0)+IFERROR(INDEX(Income!C$3:C$502,SMALL(IF((Income!D$3:D$502="INR")*(Income!A$3:A$502=DATE(2026,11,21)),ROW(Income!A$3:A$502)-2),5)),0)=0,"",IFERROR(-INDEX(Expenses!D$3:D$999,SMALL(IF((Expenses!E$3:E$999="INR")*(Expenses!A$3:A$999=DATE(2026,11,21)),ROW(Expenses!A$3:A$999)-2),5)),0)+IFERROR(INDEX(Income!C$3:C$502,SMALL(IF((Income!D$3:D$502="INR")*(Income!A$3:A$502=DATE(2026,11,21)),ROW(Income!A$3:A$502)-2),5)),0))</f>
        <v/>
      </c>
      <c r="N238" s="126">
        <f t="array" ref="N238">IF(IFERROR(INDEX(Expenses!B$3:B$999,SMALL(IF((Expenses!E$3:E$999="INR")*(Expenses!A$3:A$999=DATE(2026,11,21)),ROW(Expenses!A$3:A$999)-2),5)),"")&lt;&gt;"",IFERROR(INDEX(Expenses!B$3:B$999,SMALL(IF((Expenses!E$3:E$999="INR")*(Expenses!A$3:A$999=DATE(2026,11,21)),ROW(Expenses!A$3:A$999)-2),5)),""),IF(IFERROR(INDEX(Income!B$3:B$502,SMALL(IF((Income!D$3:D$502="INR")*(Income!A$3:A$502=DATE(2026,11,21)),ROW(Income!A$3:A$502)-2),5)),"")&lt;&gt;"",IFERROR(INDEX(Income!B$3:B$502,SMALL(IF((Income!D$3:D$502="INR")*(Income!A$3:A$502=DATE(2026,11,21)),ROW(Income!A$3:A$502)-2),5)),""),""))</f>
        <v/>
      </c>
      <c r="O238" s="153">
        <f t="array" ref="O238">IF(IFERROR(-INDEX(Expenses!D$3:D$999,SMALL(IF((Expenses!E$3:E$999="INR")*(Expenses!A$3:A$999=DATE(2026,11,22)),ROW(Expenses!A$3:A$999)-2),5)),0)+IFERROR(INDEX(Income!C$3:C$502,SMALL(IF((Income!D$3:D$502="INR")*(Income!A$3:A$502=DATE(2026,11,22)),ROW(Income!A$3:A$502)-2),5)),0)=0,"",IFERROR(-INDEX(Expenses!D$3:D$999,SMALL(IF((Expenses!E$3:E$999="INR")*(Expenses!A$3:A$999=DATE(2026,11,22)),ROW(Expenses!A$3:A$999)-2),5)),0)+IFERROR(INDEX(Income!C$3:C$502,SMALL(IF((Income!D$3:D$502="INR")*(Income!A$3:A$502=DATE(2026,11,22)),ROW(Income!A$3:A$502)-2),5)),0))</f>
        <v/>
      </c>
      <c r="P238" s="126">
        <f t="array" ref="P238">IF(IFERROR(INDEX(Expenses!B$3:B$999,SMALL(IF((Expenses!E$3:E$999="INR")*(Expenses!A$3:A$999=DATE(2026,11,22)),ROW(Expenses!A$3:A$999)-2),5)),"")&lt;&gt;"",IFERROR(INDEX(Expenses!B$3:B$999,SMALL(IF((Expenses!E$3:E$999="INR")*(Expenses!A$3:A$999=DATE(2026,11,22)),ROW(Expenses!A$3:A$999)-2),5)),""),IF(IFERROR(INDEX(Income!B$3:B$502,SMALL(IF((Income!D$3:D$502="INR")*(Income!A$3:A$502=DATE(2026,11,22)),ROW(Income!A$3:A$502)-2),5)),"")&lt;&gt;"",IFERROR(INDEX(Income!B$3:B$502,SMALL(IF((Income!D$3:D$502="INR")*(Income!A$3:A$502=DATE(2026,11,22)),ROW(Income!A$3:A$502)-2),5)),""),""))</f>
        <v/>
      </c>
      <c r="Q238" s="9" t="n"/>
      <c r="R238" s="9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68">
      <c r="A239" s="151" t="n">
        <v>46349</v>
      </c>
      <c r="B239" s="103" t="n">
        <v>48</v>
      </c>
      <c r="C239" s="153">
        <f t="array" ref="C239">IF(IFERROR(-INDEX(Expenses!D$3:D$999,SMALL(IF((Expenses!E$3:E$999="INR")*(Expenses!A$3:A$999=DATE(2026,11,23)),ROW(Expenses!A$3:A$999)-2),1)),0)+IFERROR(INDEX(Income!C$3:C$502,SMALL(IF((Income!D$3:D$502="INR")*(Income!A$3:A$502=DATE(2026,11,23)),ROW(Income!A$3:A$502)-2),1)),0)=0,"",IFERROR(-INDEX(Expenses!D$3:D$999,SMALL(IF((Expenses!E$3:E$999="INR")*(Expenses!A$3:A$999=DATE(2026,11,23)),ROW(Expenses!A$3:A$999)-2),1)),0)+IFERROR(INDEX(Income!C$3:C$502,SMALL(IF((Income!D$3:D$502="INR")*(Income!A$3:A$502=DATE(2026,11,23)),ROW(Income!A$3:A$502)-2),1)),0))</f>
        <v/>
      </c>
      <c r="D239" s="126">
        <f t="array" ref="D239">IF(IFERROR(INDEX(Expenses!B$3:B$999,SMALL(IF((Expenses!E$3:E$999="INR")*(Expenses!A$3:A$999=DATE(2026,11,23)),ROW(Expenses!A$3:A$999)-2),1)),"")&lt;&gt;"",IFERROR(INDEX(Expenses!B$3:B$999,SMALL(IF((Expenses!E$3:E$999="INR")*(Expenses!A$3:A$999=DATE(2026,11,23)),ROW(Expenses!A$3:A$999)-2),1)),""),IF(IFERROR(INDEX(Income!B$3:B$502,SMALL(IF((Income!D$3:D$502="INR")*(Income!A$3:A$502=DATE(2026,11,23)),ROW(Income!A$3:A$502)-2),1)),"")&lt;&gt;"",IFERROR(INDEX(Income!B$3:B$502,SMALL(IF((Income!D$3:D$502="INR")*(Income!A$3:A$502=DATE(2026,11,23)),ROW(Income!A$3:A$502)-2),1)),""),""))</f>
        <v/>
      </c>
      <c r="E239" s="153">
        <f t="array" ref="E239">IF(IFERROR(-INDEX(Expenses!D$3:D$999,SMALL(IF((Expenses!E$3:E$999="INR")*(Expenses!A$3:A$999=DATE(2026,11,24)),ROW(Expenses!A$3:A$999)-2),1)),0)+IFERROR(INDEX(Income!C$3:C$502,SMALL(IF((Income!D$3:D$502="INR")*(Income!A$3:A$502=DATE(2026,11,24)),ROW(Income!A$3:A$502)-2),1)),0)=0,"",IFERROR(-INDEX(Expenses!D$3:D$999,SMALL(IF((Expenses!E$3:E$999="INR")*(Expenses!A$3:A$999=DATE(2026,11,24)),ROW(Expenses!A$3:A$999)-2),1)),0)+IFERROR(INDEX(Income!C$3:C$502,SMALL(IF((Income!D$3:D$502="INR")*(Income!A$3:A$502=DATE(2026,11,24)),ROW(Income!A$3:A$502)-2),1)),0))</f>
        <v/>
      </c>
      <c r="F239" s="126">
        <f t="array" ref="F239">IF(IFERROR(INDEX(Expenses!B$3:B$999,SMALL(IF((Expenses!E$3:E$999="INR")*(Expenses!A$3:A$999=DATE(2026,11,24)),ROW(Expenses!A$3:A$999)-2),1)),"")&lt;&gt;"",IFERROR(INDEX(Expenses!B$3:B$999,SMALL(IF((Expenses!E$3:E$999="INR")*(Expenses!A$3:A$999=DATE(2026,11,24)),ROW(Expenses!A$3:A$999)-2),1)),""),IF(IFERROR(INDEX(Income!B$3:B$502,SMALL(IF((Income!D$3:D$502="INR")*(Income!A$3:A$502=DATE(2026,11,24)),ROW(Income!A$3:A$502)-2),1)),"")&lt;&gt;"",IFERROR(INDEX(Income!B$3:B$502,SMALL(IF((Income!D$3:D$502="INR")*(Income!A$3:A$502=DATE(2026,11,24)),ROW(Income!A$3:A$502)-2),1)),""),""))</f>
        <v/>
      </c>
      <c r="G239" s="153">
        <f t="array" ref="G239">IF(IFERROR(-INDEX(Expenses!D$3:D$999,SMALL(IF((Expenses!E$3:E$999="INR")*(Expenses!A$3:A$999=DATE(2026,11,25)),ROW(Expenses!A$3:A$999)-2),1)),0)+IFERROR(INDEX(Income!C$3:C$502,SMALL(IF((Income!D$3:D$502="INR")*(Income!A$3:A$502=DATE(2026,11,25)),ROW(Income!A$3:A$502)-2),1)),0)=0,"",IFERROR(-INDEX(Expenses!D$3:D$999,SMALL(IF((Expenses!E$3:E$999="INR")*(Expenses!A$3:A$999=DATE(2026,11,25)),ROW(Expenses!A$3:A$999)-2),1)),0)+IFERROR(INDEX(Income!C$3:C$502,SMALL(IF((Income!D$3:D$502="INR")*(Income!A$3:A$502=DATE(2026,11,25)),ROW(Income!A$3:A$502)-2),1)),0))</f>
        <v/>
      </c>
      <c r="H239" s="126">
        <f t="array" ref="H239">IF(IFERROR(INDEX(Expenses!B$3:B$999,SMALL(IF((Expenses!E$3:E$999="INR")*(Expenses!A$3:A$999=DATE(2026,11,25)),ROW(Expenses!A$3:A$999)-2),1)),"")&lt;&gt;"",IFERROR(INDEX(Expenses!B$3:B$999,SMALL(IF((Expenses!E$3:E$999="INR")*(Expenses!A$3:A$999=DATE(2026,11,25)),ROW(Expenses!A$3:A$999)-2),1)),""),IF(IFERROR(INDEX(Income!B$3:B$502,SMALL(IF((Income!D$3:D$502="INR")*(Income!A$3:A$502=DATE(2026,11,25)),ROW(Income!A$3:A$502)-2),1)),"")&lt;&gt;"",IFERROR(INDEX(Income!B$3:B$502,SMALL(IF((Income!D$3:D$502="INR")*(Income!A$3:A$502=DATE(2026,11,25)),ROW(Income!A$3:A$502)-2),1)),""),""))</f>
        <v/>
      </c>
      <c r="I239" s="153">
        <f t="array" ref="I239">IF(IFERROR(-INDEX(Expenses!D$3:D$999,SMALL(IF((Expenses!E$3:E$999="INR")*(Expenses!A$3:A$999=DATE(2026,11,26)),ROW(Expenses!A$3:A$999)-2),1)),0)+IFERROR(INDEX(Income!C$3:C$502,SMALL(IF((Income!D$3:D$502="INR")*(Income!A$3:A$502=DATE(2026,11,26)),ROW(Income!A$3:A$502)-2),1)),0)=0,"",IFERROR(-INDEX(Expenses!D$3:D$999,SMALL(IF((Expenses!E$3:E$999="INR")*(Expenses!A$3:A$999=DATE(2026,11,26)),ROW(Expenses!A$3:A$999)-2),1)),0)+IFERROR(INDEX(Income!C$3:C$502,SMALL(IF((Income!D$3:D$502="INR")*(Income!A$3:A$502=DATE(2026,11,26)),ROW(Income!A$3:A$502)-2),1)),0))</f>
        <v/>
      </c>
      <c r="J239" s="126">
        <f t="array" ref="J239">IF(IFERROR(INDEX(Expenses!B$3:B$999,SMALL(IF((Expenses!E$3:E$999="INR")*(Expenses!A$3:A$999=DATE(2026,11,26)),ROW(Expenses!A$3:A$999)-2),1)),"")&lt;&gt;"",IFERROR(INDEX(Expenses!B$3:B$999,SMALL(IF((Expenses!E$3:E$999="INR")*(Expenses!A$3:A$999=DATE(2026,11,26)),ROW(Expenses!A$3:A$999)-2),1)),""),IF(IFERROR(INDEX(Income!B$3:B$502,SMALL(IF((Income!D$3:D$502="INR")*(Income!A$3:A$502=DATE(2026,11,26)),ROW(Income!A$3:A$502)-2),1)),"")&lt;&gt;"",IFERROR(INDEX(Income!B$3:B$502,SMALL(IF((Income!D$3:D$502="INR")*(Income!A$3:A$502=DATE(2026,11,26)),ROW(Income!A$3:A$502)-2),1)),""),""))</f>
        <v/>
      </c>
      <c r="K239" s="153">
        <f t="array" ref="K239">IF(IFERROR(-INDEX(Expenses!D$3:D$999,SMALL(IF((Expenses!E$3:E$999="INR")*(Expenses!A$3:A$999=DATE(2026,11,27)),ROW(Expenses!A$3:A$999)-2),1)),0)+IFERROR(INDEX(Income!C$3:C$502,SMALL(IF((Income!D$3:D$502="INR")*(Income!A$3:A$502=DATE(2026,11,27)),ROW(Income!A$3:A$502)-2),1)),0)=0,"",IFERROR(-INDEX(Expenses!D$3:D$999,SMALL(IF((Expenses!E$3:E$999="INR")*(Expenses!A$3:A$999=DATE(2026,11,27)),ROW(Expenses!A$3:A$999)-2),1)),0)+IFERROR(INDEX(Income!C$3:C$502,SMALL(IF((Income!D$3:D$502="INR")*(Income!A$3:A$502=DATE(2026,11,27)),ROW(Income!A$3:A$502)-2),1)),0))</f>
        <v/>
      </c>
      <c r="L239" s="126">
        <f t="array" ref="L239">IF(IFERROR(INDEX(Expenses!B$3:B$999,SMALL(IF((Expenses!E$3:E$999="INR")*(Expenses!A$3:A$999=DATE(2026,11,27)),ROW(Expenses!A$3:A$999)-2),1)),"")&lt;&gt;"",IFERROR(INDEX(Expenses!B$3:B$999,SMALL(IF((Expenses!E$3:E$999="INR")*(Expenses!A$3:A$999=DATE(2026,11,27)),ROW(Expenses!A$3:A$999)-2),1)),""),IF(IFERROR(INDEX(Income!B$3:B$502,SMALL(IF((Income!D$3:D$502="INR")*(Income!A$3:A$502=DATE(2026,11,27)),ROW(Income!A$3:A$502)-2),1)),"")&lt;&gt;"",IFERROR(INDEX(Income!B$3:B$502,SMALL(IF((Income!D$3:D$502="INR")*(Income!A$3:A$502=DATE(2026,11,27)),ROW(Income!A$3:A$502)-2),1)),""),""))</f>
        <v/>
      </c>
      <c r="M239" s="153">
        <f t="array" ref="M239">IF(IFERROR(-INDEX(Expenses!D$3:D$999,SMALL(IF((Expenses!E$3:E$999="INR")*(Expenses!A$3:A$999=DATE(2026,11,28)),ROW(Expenses!A$3:A$999)-2),1)),0)+IFERROR(INDEX(Income!C$3:C$502,SMALL(IF((Income!D$3:D$502="INR")*(Income!A$3:A$502=DATE(2026,11,28)),ROW(Income!A$3:A$502)-2),1)),0)=0,"",IFERROR(-INDEX(Expenses!D$3:D$999,SMALL(IF((Expenses!E$3:E$999="INR")*(Expenses!A$3:A$999=DATE(2026,11,28)),ROW(Expenses!A$3:A$999)-2),1)),0)+IFERROR(INDEX(Income!C$3:C$502,SMALL(IF((Income!D$3:D$502="INR")*(Income!A$3:A$502=DATE(2026,11,28)),ROW(Income!A$3:A$502)-2),1)),0))</f>
        <v/>
      </c>
      <c r="N239" s="126">
        <f t="array" ref="N239">IF(IFERROR(INDEX(Expenses!B$3:B$999,SMALL(IF((Expenses!E$3:E$999="INR")*(Expenses!A$3:A$999=DATE(2026,11,28)),ROW(Expenses!A$3:A$999)-2),1)),"")&lt;&gt;"",IFERROR(INDEX(Expenses!B$3:B$999,SMALL(IF((Expenses!E$3:E$999="INR")*(Expenses!A$3:A$999=DATE(2026,11,28)),ROW(Expenses!A$3:A$999)-2),1)),""),IF(IFERROR(INDEX(Income!B$3:B$502,SMALL(IF((Income!D$3:D$502="INR")*(Income!A$3:A$502=DATE(2026,11,28)),ROW(Income!A$3:A$502)-2),1)),"")&lt;&gt;"",IFERROR(INDEX(Income!B$3:B$502,SMALL(IF((Income!D$3:D$502="INR")*(Income!A$3:A$502=DATE(2026,11,28)),ROW(Income!A$3:A$502)-2),1)),""),""))</f>
        <v/>
      </c>
      <c r="O239" s="153">
        <f t="array" ref="O239">IF(IFERROR(-INDEX(Expenses!D$3:D$999,SMALL(IF((Expenses!E$3:E$999="INR")*(Expenses!A$3:A$999=DATE(2026,11,29)),ROW(Expenses!A$3:A$999)-2),1)),0)+IFERROR(INDEX(Income!C$3:C$502,SMALL(IF((Income!D$3:D$502="INR")*(Income!A$3:A$502=DATE(2026,11,29)),ROW(Income!A$3:A$502)-2),1)),0)=0,"",IFERROR(-INDEX(Expenses!D$3:D$999,SMALL(IF((Expenses!E$3:E$999="INR")*(Expenses!A$3:A$999=DATE(2026,11,29)),ROW(Expenses!A$3:A$999)-2),1)),0)+IFERROR(INDEX(Income!C$3:C$502,SMALL(IF((Income!D$3:D$502="INR")*(Income!A$3:A$502=DATE(2026,11,29)),ROW(Income!A$3:A$502)-2),1)),0))</f>
        <v/>
      </c>
      <c r="P239" s="126">
        <f t="array" ref="P239">IF(IFERROR(INDEX(Expenses!B$3:B$999,SMALL(IF((Expenses!E$3:E$999="INR")*(Expenses!A$3:A$999=DATE(2026,11,29)),ROW(Expenses!A$3:A$999)-2),1)),"")&lt;&gt;"",IFERROR(INDEX(Expenses!B$3:B$999,SMALL(IF((Expenses!E$3:E$999="INR")*(Expenses!A$3:A$999=DATE(2026,11,29)),ROW(Expenses!A$3:A$999)-2),1)),""),IF(IFERROR(INDEX(Income!B$3:B$502,SMALL(IF((Income!D$3:D$502="INR")*(Income!A$3:A$502=DATE(2026,11,29)),ROW(Income!A$3:A$502)-2),1)),"")&lt;&gt;"",IFERROR(INDEX(Income!B$3:B$502,SMALL(IF((Income!D$3:D$502="INR")*(Income!A$3:A$502=DATE(2026,11,29)),ROW(Income!A$3:A$502)-2),1)),""),""))</f>
        <v/>
      </c>
      <c r="Q239" s="103" t="n">
        <v>48</v>
      </c>
      <c r="R239" s="142">
        <f>SUM(C239:C243)+SUM(E239:E243)+SUM(G239:G243)+SUM(I239:I243)+SUM(K239:K243)+SUM(M239:M243)+SUM(O239:O243)</f>
        <v/>
      </c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68">
      <c r="A240" s="9" t="n"/>
      <c r="B240" s="9" t="n"/>
      <c r="C240" s="153">
        <f t="array" ref="C240">IF(IFERROR(-INDEX(Expenses!D$3:D$999,SMALL(IF((Expenses!E$3:E$999="INR")*(Expenses!A$3:A$999=DATE(2026,11,23)),ROW(Expenses!A$3:A$999)-2),2)),0)+IFERROR(INDEX(Income!C$3:C$502,SMALL(IF((Income!D$3:D$502="INR")*(Income!A$3:A$502=DATE(2026,11,23)),ROW(Income!A$3:A$502)-2),2)),0)=0,"",IFERROR(-INDEX(Expenses!D$3:D$999,SMALL(IF((Expenses!E$3:E$999="INR")*(Expenses!A$3:A$999=DATE(2026,11,23)),ROW(Expenses!A$3:A$999)-2),2)),0)+IFERROR(INDEX(Income!C$3:C$502,SMALL(IF((Income!D$3:D$502="INR")*(Income!A$3:A$502=DATE(2026,11,23)),ROW(Income!A$3:A$502)-2),2)),0))</f>
        <v/>
      </c>
      <c r="D240" s="126">
        <f t="array" ref="D240">IF(IFERROR(INDEX(Expenses!B$3:B$999,SMALL(IF((Expenses!E$3:E$999="INR")*(Expenses!A$3:A$999=DATE(2026,11,23)),ROW(Expenses!A$3:A$999)-2),2)),"")&lt;&gt;"",IFERROR(INDEX(Expenses!B$3:B$999,SMALL(IF((Expenses!E$3:E$999="INR")*(Expenses!A$3:A$999=DATE(2026,11,23)),ROW(Expenses!A$3:A$999)-2),2)),""),IF(IFERROR(INDEX(Income!B$3:B$502,SMALL(IF((Income!D$3:D$502="INR")*(Income!A$3:A$502=DATE(2026,11,23)),ROW(Income!A$3:A$502)-2),2)),"")&lt;&gt;"",IFERROR(INDEX(Income!B$3:B$502,SMALL(IF((Income!D$3:D$502="INR")*(Income!A$3:A$502=DATE(2026,11,23)),ROW(Income!A$3:A$502)-2),2)),""),""))</f>
        <v/>
      </c>
      <c r="E240" s="153">
        <f t="array" ref="E240">IF(IFERROR(-INDEX(Expenses!D$3:D$999,SMALL(IF((Expenses!E$3:E$999="INR")*(Expenses!A$3:A$999=DATE(2026,11,24)),ROW(Expenses!A$3:A$999)-2),2)),0)+IFERROR(INDEX(Income!C$3:C$502,SMALL(IF((Income!D$3:D$502="INR")*(Income!A$3:A$502=DATE(2026,11,24)),ROW(Income!A$3:A$502)-2),2)),0)=0,"",IFERROR(-INDEX(Expenses!D$3:D$999,SMALL(IF((Expenses!E$3:E$999="INR")*(Expenses!A$3:A$999=DATE(2026,11,24)),ROW(Expenses!A$3:A$999)-2),2)),0)+IFERROR(INDEX(Income!C$3:C$502,SMALL(IF((Income!D$3:D$502="INR")*(Income!A$3:A$502=DATE(2026,11,24)),ROW(Income!A$3:A$502)-2),2)),0))</f>
        <v/>
      </c>
      <c r="F240" s="126">
        <f t="array" ref="F240">IF(IFERROR(INDEX(Expenses!B$3:B$999,SMALL(IF((Expenses!E$3:E$999="INR")*(Expenses!A$3:A$999=DATE(2026,11,24)),ROW(Expenses!A$3:A$999)-2),2)),"")&lt;&gt;"",IFERROR(INDEX(Expenses!B$3:B$999,SMALL(IF((Expenses!E$3:E$999="INR")*(Expenses!A$3:A$999=DATE(2026,11,24)),ROW(Expenses!A$3:A$999)-2),2)),""),IF(IFERROR(INDEX(Income!B$3:B$502,SMALL(IF((Income!D$3:D$502="INR")*(Income!A$3:A$502=DATE(2026,11,24)),ROW(Income!A$3:A$502)-2),2)),"")&lt;&gt;"",IFERROR(INDEX(Income!B$3:B$502,SMALL(IF((Income!D$3:D$502="INR")*(Income!A$3:A$502=DATE(2026,11,24)),ROW(Income!A$3:A$502)-2),2)),""),""))</f>
        <v/>
      </c>
      <c r="G240" s="153">
        <f t="array" ref="G240">IF(IFERROR(-INDEX(Expenses!D$3:D$999,SMALL(IF((Expenses!E$3:E$999="INR")*(Expenses!A$3:A$999=DATE(2026,11,25)),ROW(Expenses!A$3:A$999)-2),2)),0)+IFERROR(INDEX(Income!C$3:C$502,SMALL(IF((Income!D$3:D$502="INR")*(Income!A$3:A$502=DATE(2026,11,25)),ROW(Income!A$3:A$502)-2),2)),0)=0,"",IFERROR(-INDEX(Expenses!D$3:D$999,SMALL(IF((Expenses!E$3:E$999="INR")*(Expenses!A$3:A$999=DATE(2026,11,25)),ROW(Expenses!A$3:A$999)-2),2)),0)+IFERROR(INDEX(Income!C$3:C$502,SMALL(IF((Income!D$3:D$502="INR")*(Income!A$3:A$502=DATE(2026,11,25)),ROW(Income!A$3:A$502)-2),2)),0))</f>
        <v/>
      </c>
      <c r="H240" s="126">
        <f t="array" ref="H240">IF(IFERROR(INDEX(Expenses!B$3:B$999,SMALL(IF((Expenses!E$3:E$999="INR")*(Expenses!A$3:A$999=DATE(2026,11,25)),ROW(Expenses!A$3:A$999)-2),2)),"")&lt;&gt;"",IFERROR(INDEX(Expenses!B$3:B$999,SMALL(IF((Expenses!E$3:E$999="INR")*(Expenses!A$3:A$999=DATE(2026,11,25)),ROW(Expenses!A$3:A$999)-2),2)),""),IF(IFERROR(INDEX(Income!B$3:B$502,SMALL(IF((Income!D$3:D$502="INR")*(Income!A$3:A$502=DATE(2026,11,25)),ROW(Income!A$3:A$502)-2),2)),"")&lt;&gt;"",IFERROR(INDEX(Income!B$3:B$502,SMALL(IF((Income!D$3:D$502="INR")*(Income!A$3:A$502=DATE(2026,11,25)),ROW(Income!A$3:A$502)-2),2)),""),""))</f>
        <v/>
      </c>
      <c r="I240" s="153">
        <f t="array" ref="I240">IF(IFERROR(-INDEX(Expenses!D$3:D$999,SMALL(IF((Expenses!E$3:E$999="INR")*(Expenses!A$3:A$999=DATE(2026,11,26)),ROW(Expenses!A$3:A$999)-2),2)),0)+IFERROR(INDEX(Income!C$3:C$502,SMALL(IF((Income!D$3:D$502="INR")*(Income!A$3:A$502=DATE(2026,11,26)),ROW(Income!A$3:A$502)-2),2)),0)=0,"",IFERROR(-INDEX(Expenses!D$3:D$999,SMALL(IF((Expenses!E$3:E$999="INR")*(Expenses!A$3:A$999=DATE(2026,11,26)),ROW(Expenses!A$3:A$999)-2),2)),0)+IFERROR(INDEX(Income!C$3:C$502,SMALL(IF((Income!D$3:D$502="INR")*(Income!A$3:A$502=DATE(2026,11,26)),ROW(Income!A$3:A$502)-2),2)),0))</f>
        <v/>
      </c>
      <c r="J240" s="126">
        <f t="array" ref="J240">IF(IFERROR(INDEX(Expenses!B$3:B$999,SMALL(IF((Expenses!E$3:E$999="INR")*(Expenses!A$3:A$999=DATE(2026,11,26)),ROW(Expenses!A$3:A$999)-2),2)),"")&lt;&gt;"",IFERROR(INDEX(Expenses!B$3:B$999,SMALL(IF((Expenses!E$3:E$999="INR")*(Expenses!A$3:A$999=DATE(2026,11,26)),ROW(Expenses!A$3:A$999)-2),2)),""),IF(IFERROR(INDEX(Income!B$3:B$502,SMALL(IF((Income!D$3:D$502="INR")*(Income!A$3:A$502=DATE(2026,11,26)),ROW(Income!A$3:A$502)-2),2)),"")&lt;&gt;"",IFERROR(INDEX(Income!B$3:B$502,SMALL(IF((Income!D$3:D$502="INR")*(Income!A$3:A$502=DATE(2026,11,26)),ROW(Income!A$3:A$502)-2),2)),""),""))</f>
        <v/>
      </c>
      <c r="K240" s="153">
        <f t="array" ref="K240">IF(IFERROR(-INDEX(Expenses!D$3:D$999,SMALL(IF((Expenses!E$3:E$999="INR")*(Expenses!A$3:A$999=DATE(2026,11,27)),ROW(Expenses!A$3:A$999)-2),2)),0)+IFERROR(INDEX(Income!C$3:C$502,SMALL(IF((Income!D$3:D$502="INR")*(Income!A$3:A$502=DATE(2026,11,27)),ROW(Income!A$3:A$502)-2),2)),0)=0,"",IFERROR(-INDEX(Expenses!D$3:D$999,SMALL(IF((Expenses!E$3:E$999="INR")*(Expenses!A$3:A$999=DATE(2026,11,27)),ROW(Expenses!A$3:A$999)-2),2)),0)+IFERROR(INDEX(Income!C$3:C$502,SMALL(IF((Income!D$3:D$502="INR")*(Income!A$3:A$502=DATE(2026,11,27)),ROW(Income!A$3:A$502)-2),2)),0))</f>
        <v/>
      </c>
      <c r="L240" s="126">
        <f t="array" ref="L240">IF(IFERROR(INDEX(Expenses!B$3:B$999,SMALL(IF((Expenses!E$3:E$999="INR")*(Expenses!A$3:A$999=DATE(2026,11,27)),ROW(Expenses!A$3:A$999)-2),2)),"")&lt;&gt;"",IFERROR(INDEX(Expenses!B$3:B$999,SMALL(IF((Expenses!E$3:E$999="INR")*(Expenses!A$3:A$999=DATE(2026,11,27)),ROW(Expenses!A$3:A$999)-2),2)),""),IF(IFERROR(INDEX(Income!B$3:B$502,SMALL(IF((Income!D$3:D$502="INR")*(Income!A$3:A$502=DATE(2026,11,27)),ROW(Income!A$3:A$502)-2),2)),"")&lt;&gt;"",IFERROR(INDEX(Income!B$3:B$502,SMALL(IF((Income!D$3:D$502="INR")*(Income!A$3:A$502=DATE(2026,11,27)),ROW(Income!A$3:A$502)-2),2)),""),""))</f>
        <v/>
      </c>
      <c r="M240" s="153">
        <f t="array" ref="M240">IF(IFERROR(-INDEX(Expenses!D$3:D$999,SMALL(IF((Expenses!E$3:E$999="INR")*(Expenses!A$3:A$999=DATE(2026,11,28)),ROW(Expenses!A$3:A$999)-2),2)),0)+IFERROR(INDEX(Income!C$3:C$502,SMALL(IF((Income!D$3:D$502="INR")*(Income!A$3:A$502=DATE(2026,11,28)),ROW(Income!A$3:A$502)-2),2)),0)=0,"",IFERROR(-INDEX(Expenses!D$3:D$999,SMALL(IF((Expenses!E$3:E$999="INR")*(Expenses!A$3:A$999=DATE(2026,11,28)),ROW(Expenses!A$3:A$999)-2),2)),0)+IFERROR(INDEX(Income!C$3:C$502,SMALL(IF((Income!D$3:D$502="INR")*(Income!A$3:A$502=DATE(2026,11,28)),ROW(Income!A$3:A$502)-2),2)),0))</f>
        <v/>
      </c>
      <c r="N240" s="126">
        <f t="array" ref="N240">IF(IFERROR(INDEX(Expenses!B$3:B$999,SMALL(IF((Expenses!E$3:E$999="INR")*(Expenses!A$3:A$999=DATE(2026,11,28)),ROW(Expenses!A$3:A$999)-2),2)),"")&lt;&gt;"",IFERROR(INDEX(Expenses!B$3:B$999,SMALL(IF((Expenses!E$3:E$999="INR")*(Expenses!A$3:A$999=DATE(2026,11,28)),ROW(Expenses!A$3:A$999)-2),2)),""),IF(IFERROR(INDEX(Income!B$3:B$502,SMALL(IF((Income!D$3:D$502="INR")*(Income!A$3:A$502=DATE(2026,11,28)),ROW(Income!A$3:A$502)-2),2)),"")&lt;&gt;"",IFERROR(INDEX(Income!B$3:B$502,SMALL(IF((Income!D$3:D$502="INR")*(Income!A$3:A$502=DATE(2026,11,28)),ROW(Income!A$3:A$502)-2),2)),""),""))</f>
        <v/>
      </c>
      <c r="O240" s="153">
        <f t="array" ref="O240">IF(IFERROR(-INDEX(Expenses!D$3:D$999,SMALL(IF((Expenses!E$3:E$999="INR")*(Expenses!A$3:A$999=DATE(2026,11,29)),ROW(Expenses!A$3:A$999)-2),2)),0)+IFERROR(INDEX(Income!C$3:C$502,SMALL(IF((Income!D$3:D$502="INR")*(Income!A$3:A$502=DATE(2026,11,29)),ROW(Income!A$3:A$502)-2),2)),0)=0,"",IFERROR(-INDEX(Expenses!D$3:D$999,SMALL(IF((Expenses!E$3:E$999="INR")*(Expenses!A$3:A$999=DATE(2026,11,29)),ROW(Expenses!A$3:A$999)-2),2)),0)+IFERROR(INDEX(Income!C$3:C$502,SMALL(IF((Income!D$3:D$502="INR")*(Income!A$3:A$502=DATE(2026,11,29)),ROW(Income!A$3:A$502)-2),2)),0))</f>
        <v/>
      </c>
      <c r="P240" s="126">
        <f t="array" ref="P240">IF(IFERROR(INDEX(Expenses!B$3:B$999,SMALL(IF((Expenses!E$3:E$999="INR")*(Expenses!A$3:A$999=DATE(2026,11,29)),ROW(Expenses!A$3:A$999)-2),2)),"")&lt;&gt;"",IFERROR(INDEX(Expenses!B$3:B$999,SMALL(IF((Expenses!E$3:E$999="INR")*(Expenses!A$3:A$999=DATE(2026,11,29)),ROW(Expenses!A$3:A$999)-2),2)),""),IF(IFERROR(INDEX(Income!B$3:B$502,SMALL(IF((Income!D$3:D$502="INR")*(Income!A$3:A$502=DATE(2026,11,29)),ROW(Income!A$3:A$502)-2),2)),"")&lt;&gt;"",IFERROR(INDEX(Income!B$3:B$502,SMALL(IF((Income!D$3:D$502="INR")*(Income!A$3:A$502=DATE(2026,11,29)),ROW(Income!A$3:A$502)-2),2)),""),""))</f>
        <v/>
      </c>
      <c r="Q240" s="9" t="n"/>
      <c r="R240" s="9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68">
      <c r="A241" s="9" t="n"/>
      <c r="B241" s="9" t="n"/>
      <c r="C241" s="153">
        <f t="array" ref="C241">IF(IFERROR(-INDEX(Expenses!D$3:D$999,SMALL(IF((Expenses!E$3:E$999="INR")*(Expenses!A$3:A$999=DATE(2026,11,23)),ROW(Expenses!A$3:A$999)-2),3)),0)+IFERROR(INDEX(Income!C$3:C$502,SMALL(IF((Income!D$3:D$502="INR")*(Income!A$3:A$502=DATE(2026,11,23)),ROW(Income!A$3:A$502)-2),3)),0)=0,"",IFERROR(-INDEX(Expenses!D$3:D$999,SMALL(IF((Expenses!E$3:E$999="INR")*(Expenses!A$3:A$999=DATE(2026,11,23)),ROW(Expenses!A$3:A$999)-2),3)),0)+IFERROR(INDEX(Income!C$3:C$502,SMALL(IF((Income!D$3:D$502="INR")*(Income!A$3:A$502=DATE(2026,11,23)),ROW(Income!A$3:A$502)-2),3)),0))</f>
        <v/>
      </c>
      <c r="D241" s="126">
        <f t="array" ref="D241">IF(IFERROR(INDEX(Expenses!B$3:B$999,SMALL(IF((Expenses!E$3:E$999="INR")*(Expenses!A$3:A$999=DATE(2026,11,23)),ROW(Expenses!A$3:A$999)-2),3)),"")&lt;&gt;"",IFERROR(INDEX(Expenses!B$3:B$999,SMALL(IF((Expenses!E$3:E$999="INR")*(Expenses!A$3:A$999=DATE(2026,11,23)),ROW(Expenses!A$3:A$999)-2),3)),""),IF(IFERROR(INDEX(Income!B$3:B$502,SMALL(IF((Income!D$3:D$502="INR")*(Income!A$3:A$502=DATE(2026,11,23)),ROW(Income!A$3:A$502)-2),3)),"")&lt;&gt;"",IFERROR(INDEX(Income!B$3:B$502,SMALL(IF((Income!D$3:D$502="INR")*(Income!A$3:A$502=DATE(2026,11,23)),ROW(Income!A$3:A$502)-2),3)),""),""))</f>
        <v/>
      </c>
      <c r="E241" s="153">
        <f t="array" ref="E241">IF(IFERROR(-INDEX(Expenses!D$3:D$999,SMALL(IF((Expenses!E$3:E$999="INR")*(Expenses!A$3:A$999=DATE(2026,11,24)),ROW(Expenses!A$3:A$999)-2),3)),0)+IFERROR(INDEX(Income!C$3:C$502,SMALL(IF((Income!D$3:D$502="INR")*(Income!A$3:A$502=DATE(2026,11,24)),ROW(Income!A$3:A$502)-2),3)),0)=0,"",IFERROR(-INDEX(Expenses!D$3:D$999,SMALL(IF((Expenses!E$3:E$999="INR")*(Expenses!A$3:A$999=DATE(2026,11,24)),ROW(Expenses!A$3:A$999)-2),3)),0)+IFERROR(INDEX(Income!C$3:C$502,SMALL(IF((Income!D$3:D$502="INR")*(Income!A$3:A$502=DATE(2026,11,24)),ROW(Income!A$3:A$502)-2),3)),0))</f>
        <v/>
      </c>
      <c r="F241" s="126">
        <f t="array" ref="F241">IF(IFERROR(INDEX(Expenses!B$3:B$999,SMALL(IF((Expenses!E$3:E$999="INR")*(Expenses!A$3:A$999=DATE(2026,11,24)),ROW(Expenses!A$3:A$999)-2),3)),"")&lt;&gt;"",IFERROR(INDEX(Expenses!B$3:B$999,SMALL(IF((Expenses!E$3:E$999="INR")*(Expenses!A$3:A$999=DATE(2026,11,24)),ROW(Expenses!A$3:A$999)-2),3)),""),IF(IFERROR(INDEX(Income!B$3:B$502,SMALL(IF((Income!D$3:D$502="INR")*(Income!A$3:A$502=DATE(2026,11,24)),ROW(Income!A$3:A$502)-2),3)),"")&lt;&gt;"",IFERROR(INDEX(Income!B$3:B$502,SMALL(IF((Income!D$3:D$502="INR")*(Income!A$3:A$502=DATE(2026,11,24)),ROW(Income!A$3:A$502)-2),3)),""),""))</f>
        <v/>
      </c>
      <c r="G241" s="153">
        <f t="array" ref="G241">IF(IFERROR(-INDEX(Expenses!D$3:D$999,SMALL(IF((Expenses!E$3:E$999="INR")*(Expenses!A$3:A$999=DATE(2026,11,25)),ROW(Expenses!A$3:A$999)-2),3)),0)+IFERROR(INDEX(Income!C$3:C$502,SMALL(IF((Income!D$3:D$502="INR")*(Income!A$3:A$502=DATE(2026,11,25)),ROW(Income!A$3:A$502)-2),3)),0)=0,"",IFERROR(-INDEX(Expenses!D$3:D$999,SMALL(IF((Expenses!E$3:E$999="INR")*(Expenses!A$3:A$999=DATE(2026,11,25)),ROW(Expenses!A$3:A$999)-2),3)),0)+IFERROR(INDEX(Income!C$3:C$502,SMALL(IF((Income!D$3:D$502="INR")*(Income!A$3:A$502=DATE(2026,11,25)),ROW(Income!A$3:A$502)-2),3)),0))</f>
        <v/>
      </c>
      <c r="H241" s="126">
        <f t="array" ref="H241">IF(IFERROR(INDEX(Expenses!B$3:B$999,SMALL(IF((Expenses!E$3:E$999="INR")*(Expenses!A$3:A$999=DATE(2026,11,25)),ROW(Expenses!A$3:A$999)-2),3)),"")&lt;&gt;"",IFERROR(INDEX(Expenses!B$3:B$999,SMALL(IF((Expenses!E$3:E$999="INR")*(Expenses!A$3:A$999=DATE(2026,11,25)),ROW(Expenses!A$3:A$999)-2),3)),""),IF(IFERROR(INDEX(Income!B$3:B$502,SMALL(IF((Income!D$3:D$502="INR")*(Income!A$3:A$502=DATE(2026,11,25)),ROW(Income!A$3:A$502)-2),3)),"")&lt;&gt;"",IFERROR(INDEX(Income!B$3:B$502,SMALL(IF((Income!D$3:D$502="INR")*(Income!A$3:A$502=DATE(2026,11,25)),ROW(Income!A$3:A$502)-2),3)),""),""))</f>
        <v/>
      </c>
      <c r="I241" s="153">
        <f t="array" ref="I241">IF(IFERROR(-INDEX(Expenses!D$3:D$999,SMALL(IF((Expenses!E$3:E$999="INR")*(Expenses!A$3:A$999=DATE(2026,11,26)),ROW(Expenses!A$3:A$999)-2),3)),0)+IFERROR(INDEX(Income!C$3:C$502,SMALL(IF((Income!D$3:D$502="INR")*(Income!A$3:A$502=DATE(2026,11,26)),ROW(Income!A$3:A$502)-2),3)),0)=0,"",IFERROR(-INDEX(Expenses!D$3:D$999,SMALL(IF((Expenses!E$3:E$999="INR")*(Expenses!A$3:A$999=DATE(2026,11,26)),ROW(Expenses!A$3:A$999)-2),3)),0)+IFERROR(INDEX(Income!C$3:C$502,SMALL(IF((Income!D$3:D$502="INR")*(Income!A$3:A$502=DATE(2026,11,26)),ROW(Income!A$3:A$502)-2),3)),0))</f>
        <v/>
      </c>
      <c r="J241" s="126">
        <f t="array" ref="J241">IF(IFERROR(INDEX(Expenses!B$3:B$999,SMALL(IF((Expenses!E$3:E$999="INR")*(Expenses!A$3:A$999=DATE(2026,11,26)),ROW(Expenses!A$3:A$999)-2),3)),"")&lt;&gt;"",IFERROR(INDEX(Expenses!B$3:B$999,SMALL(IF((Expenses!E$3:E$999="INR")*(Expenses!A$3:A$999=DATE(2026,11,26)),ROW(Expenses!A$3:A$999)-2),3)),""),IF(IFERROR(INDEX(Income!B$3:B$502,SMALL(IF((Income!D$3:D$502="INR")*(Income!A$3:A$502=DATE(2026,11,26)),ROW(Income!A$3:A$502)-2),3)),"")&lt;&gt;"",IFERROR(INDEX(Income!B$3:B$502,SMALL(IF((Income!D$3:D$502="INR")*(Income!A$3:A$502=DATE(2026,11,26)),ROW(Income!A$3:A$502)-2),3)),""),""))</f>
        <v/>
      </c>
      <c r="K241" s="153">
        <f t="array" ref="K241">IF(IFERROR(-INDEX(Expenses!D$3:D$999,SMALL(IF((Expenses!E$3:E$999="INR")*(Expenses!A$3:A$999=DATE(2026,11,27)),ROW(Expenses!A$3:A$999)-2),3)),0)+IFERROR(INDEX(Income!C$3:C$502,SMALL(IF((Income!D$3:D$502="INR")*(Income!A$3:A$502=DATE(2026,11,27)),ROW(Income!A$3:A$502)-2),3)),0)=0,"",IFERROR(-INDEX(Expenses!D$3:D$999,SMALL(IF((Expenses!E$3:E$999="INR")*(Expenses!A$3:A$999=DATE(2026,11,27)),ROW(Expenses!A$3:A$999)-2),3)),0)+IFERROR(INDEX(Income!C$3:C$502,SMALL(IF((Income!D$3:D$502="INR")*(Income!A$3:A$502=DATE(2026,11,27)),ROW(Income!A$3:A$502)-2),3)),0))</f>
        <v/>
      </c>
      <c r="L241" s="126">
        <f t="array" ref="L241">IF(IFERROR(INDEX(Expenses!B$3:B$999,SMALL(IF((Expenses!E$3:E$999="INR")*(Expenses!A$3:A$999=DATE(2026,11,27)),ROW(Expenses!A$3:A$999)-2),3)),"")&lt;&gt;"",IFERROR(INDEX(Expenses!B$3:B$999,SMALL(IF((Expenses!E$3:E$999="INR")*(Expenses!A$3:A$999=DATE(2026,11,27)),ROW(Expenses!A$3:A$999)-2),3)),""),IF(IFERROR(INDEX(Income!B$3:B$502,SMALL(IF((Income!D$3:D$502="INR")*(Income!A$3:A$502=DATE(2026,11,27)),ROW(Income!A$3:A$502)-2),3)),"")&lt;&gt;"",IFERROR(INDEX(Income!B$3:B$502,SMALL(IF((Income!D$3:D$502="INR")*(Income!A$3:A$502=DATE(2026,11,27)),ROW(Income!A$3:A$502)-2),3)),""),""))</f>
        <v/>
      </c>
      <c r="M241" s="153">
        <f t="array" ref="M241">IF(IFERROR(-INDEX(Expenses!D$3:D$999,SMALL(IF((Expenses!E$3:E$999="INR")*(Expenses!A$3:A$999=DATE(2026,11,28)),ROW(Expenses!A$3:A$999)-2),3)),0)+IFERROR(INDEX(Income!C$3:C$502,SMALL(IF((Income!D$3:D$502="INR")*(Income!A$3:A$502=DATE(2026,11,28)),ROW(Income!A$3:A$502)-2),3)),0)=0,"",IFERROR(-INDEX(Expenses!D$3:D$999,SMALL(IF((Expenses!E$3:E$999="INR")*(Expenses!A$3:A$999=DATE(2026,11,28)),ROW(Expenses!A$3:A$999)-2),3)),0)+IFERROR(INDEX(Income!C$3:C$502,SMALL(IF((Income!D$3:D$502="INR")*(Income!A$3:A$502=DATE(2026,11,28)),ROW(Income!A$3:A$502)-2),3)),0))</f>
        <v/>
      </c>
      <c r="N241" s="126">
        <f t="array" ref="N241">IF(IFERROR(INDEX(Expenses!B$3:B$999,SMALL(IF((Expenses!E$3:E$999="INR")*(Expenses!A$3:A$999=DATE(2026,11,28)),ROW(Expenses!A$3:A$999)-2),3)),"")&lt;&gt;"",IFERROR(INDEX(Expenses!B$3:B$999,SMALL(IF((Expenses!E$3:E$999="INR")*(Expenses!A$3:A$999=DATE(2026,11,28)),ROW(Expenses!A$3:A$999)-2),3)),""),IF(IFERROR(INDEX(Income!B$3:B$502,SMALL(IF((Income!D$3:D$502="INR")*(Income!A$3:A$502=DATE(2026,11,28)),ROW(Income!A$3:A$502)-2),3)),"")&lt;&gt;"",IFERROR(INDEX(Income!B$3:B$502,SMALL(IF((Income!D$3:D$502="INR")*(Income!A$3:A$502=DATE(2026,11,28)),ROW(Income!A$3:A$502)-2),3)),""),""))</f>
        <v/>
      </c>
      <c r="O241" s="153">
        <f t="array" ref="O241">IF(IFERROR(-INDEX(Expenses!D$3:D$999,SMALL(IF((Expenses!E$3:E$999="INR")*(Expenses!A$3:A$999=DATE(2026,11,29)),ROW(Expenses!A$3:A$999)-2),3)),0)+IFERROR(INDEX(Income!C$3:C$502,SMALL(IF((Income!D$3:D$502="INR")*(Income!A$3:A$502=DATE(2026,11,29)),ROW(Income!A$3:A$502)-2),3)),0)=0,"",IFERROR(-INDEX(Expenses!D$3:D$999,SMALL(IF((Expenses!E$3:E$999="INR")*(Expenses!A$3:A$999=DATE(2026,11,29)),ROW(Expenses!A$3:A$999)-2),3)),0)+IFERROR(INDEX(Income!C$3:C$502,SMALL(IF((Income!D$3:D$502="INR")*(Income!A$3:A$502=DATE(2026,11,29)),ROW(Income!A$3:A$502)-2),3)),0))</f>
        <v/>
      </c>
      <c r="P241" s="126">
        <f t="array" ref="P241">IF(IFERROR(INDEX(Expenses!B$3:B$999,SMALL(IF((Expenses!E$3:E$999="INR")*(Expenses!A$3:A$999=DATE(2026,11,29)),ROW(Expenses!A$3:A$999)-2),3)),"")&lt;&gt;"",IFERROR(INDEX(Expenses!B$3:B$999,SMALL(IF((Expenses!E$3:E$999="INR")*(Expenses!A$3:A$999=DATE(2026,11,29)),ROW(Expenses!A$3:A$999)-2),3)),""),IF(IFERROR(INDEX(Income!B$3:B$502,SMALL(IF((Income!D$3:D$502="INR")*(Income!A$3:A$502=DATE(2026,11,29)),ROW(Income!A$3:A$502)-2),3)),"")&lt;&gt;"",IFERROR(INDEX(Income!B$3:B$502,SMALL(IF((Income!D$3:D$502="INR")*(Income!A$3:A$502=DATE(2026,11,29)),ROW(Income!A$3:A$502)-2),3)),""),""))</f>
        <v/>
      </c>
      <c r="Q241" s="9" t="n"/>
      <c r="R241" s="9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68">
      <c r="A242" s="9" t="n"/>
      <c r="B242" s="9" t="n"/>
      <c r="C242" s="153">
        <f t="array" ref="C242">IF(IFERROR(-INDEX(Expenses!D$3:D$999,SMALL(IF((Expenses!E$3:E$999="INR")*(Expenses!A$3:A$999=DATE(2026,11,23)),ROW(Expenses!A$3:A$999)-2),4)),0)+IFERROR(INDEX(Income!C$3:C$502,SMALL(IF((Income!D$3:D$502="INR")*(Income!A$3:A$502=DATE(2026,11,23)),ROW(Income!A$3:A$502)-2),4)),0)=0,"",IFERROR(-INDEX(Expenses!D$3:D$999,SMALL(IF((Expenses!E$3:E$999="INR")*(Expenses!A$3:A$999=DATE(2026,11,23)),ROW(Expenses!A$3:A$999)-2),4)),0)+IFERROR(INDEX(Income!C$3:C$502,SMALL(IF((Income!D$3:D$502="INR")*(Income!A$3:A$502=DATE(2026,11,23)),ROW(Income!A$3:A$502)-2),4)),0))</f>
        <v/>
      </c>
      <c r="D242" s="126">
        <f t="array" ref="D242">IF(IFERROR(INDEX(Expenses!B$3:B$999,SMALL(IF((Expenses!E$3:E$999="INR")*(Expenses!A$3:A$999=DATE(2026,11,23)),ROW(Expenses!A$3:A$999)-2),4)),"")&lt;&gt;"",IFERROR(INDEX(Expenses!B$3:B$999,SMALL(IF((Expenses!E$3:E$999="INR")*(Expenses!A$3:A$999=DATE(2026,11,23)),ROW(Expenses!A$3:A$999)-2),4)),""),IF(IFERROR(INDEX(Income!B$3:B$502,SMALL(IF((Income!D$3:D$502="INR")*(Income!A$3:A$502=DATE(2026,11,23)),ROW(Income!A$3:A$502)-2),4)),"")&lt;&gt;"",IFERROR(INDEX(Income!B$3:B$502,SMALL(IF((Income!D$3:D$502="INR")*(Income!A$3:A$502=DATE(2026,11,23)),ROW(Income!A$3:A$502)-2),4)),""),""))</f>
        <v/>
      </c>
      <c r="E242" s="153">
        <f t="array" ref="E242">IF(IFERROR(-INDEX(Expenses!D$3:D$999,SMALL(IF((Expenses!E$3:E$999="INR")*(Expenses!A$3:A$999=DATE(2026,11,24)),ROW(Expenses!A$3:A$999)-2),4)),0)+IFERROR(INDEX(Income!C$3:C$502,SMALL(IF((Income!D$3:D$502="INR")*(Income!A$3:A$502=DATE(2026,11,24)),ROW(Income!A$3:A$502)-2),4)),0)=0,"",IFERROR(-INDEX(Expenses!D$3:D$999,SMALL(IF((Expenses!E$3:E$999="INR")*(Expenses!A$3:A$999=DATE(2026,11,24)),ROW(Expenses!A$3:A$999)-2),4)),0)+IFERROR(INDEX(Income!C$3:C$502,SMALL(IF((Income!D$3:D$502="INR")*(Income!A$3:A$502=DATE(2026,11,24)),ROW(Income!A$3:A$502)-2),4)),0))</f>
        <v/>
      </c>
      <c r="F242" s="126">
        <f t="array" ref="F242">IF(IFERROR(INDEX(Expenses!B$3:B$999,SMALL(IF((Expenses!E$3:E$999="INR")*(Expenses!A$3:A$999=DATE(2026,11,24)),ROW(Expenses!A$3:A$999)-2),4)),"")&lt;&gt;"",IFERROR(INDEX(Expenses!B$3:B$999,SMALL(IF((Expenses!E$3:E$999="INR")*(Expenses!A$3:A$999=DATE(2026,11,24)),ROW(Expenses!A$3:A$999)-2),4)),""),IF(IFERROR(INDEX(Income!B$3:B$502,SMALL(IF((Income!D$3:D$502="INR")*(Income!A$3:A$502=DATE(2026,11,24)),ROW(Income!A$3:A$502)-2),4)),"")&lt;&gt;"",IFERROR(INDEX(Income!B$3:B$502,SMALL(IF((Income!D$3:D$502="INR")*(Income!A$3:A$502=DATE(2026,11,24)),ROW(Income!A$3:A$502)-2),4)),""),""))</f>
        <v/>
      </c>
      <c r="G242" s="153">
        <f t="array" ref="G242">IF(IFERROR(-INDEX(Expenses!D$3:D$999,SMALL(IF((Expenses!E$3:E$999="INR")*(Expenses!A$3:A$999=DATE(2026,11,25)),ROW(Expenses!A$3:A$999)-2),4)),0)+IFERROR(INDEX(Income!C$3:C$502,SMALL(IF((Income!D$3:D$502="INR")*(Income!A$3:A$502=DATE(2026,11,25)),ROW(Income!A$3:A$502)-2),4)),0)=0,"",IFERROR(-INDEX(Expenses!D$3:D$999,SMALL(IF((Expenses!E$3:E$999="INR")*(Expenses!A$3:A$999=DATE(2026,11,25)),ROW(Expenses!A$3:A$999)-2),4)),0)+IFERROR(INDEX(Income!C$3:C$502,SMALL(IF((Income!D$3:D$502="INR")*(Income!A$3:A$502=DATE(2026,11,25)),ROW(Income!A$3:A$502)-2),4)),0))</f>
        <v/>
      </c>
      <c r="H242" s="126">
        <f t="array" ref="H242">IF(IFERROR(INDEX(Expenses!B$3:B$999,SMALL(IF((Expenses!E$3:E$999="INR")*(Expenses!A$3:A$999=DATE(2026,11,25)),ROW(Expenses!A$3:A$999)-2),4)),"")&lt;&gt;"",IFERROR(INDEX(Expenses!B$3:B$999,SMALL(IF((Expenses!E$3:E$999="INR")*(Expenses!A$3:A$999=DATE(2026,11,25)),ROW(Expenses!A$3:A$999)-2),4)),""),IF(IFERROR(INDEX(Income!B$3:B$502,SMALL(IF((Income!D$3:D$502="INR")*(Income!A$3:A$502=DATE(2026,11,25)),ROW(Income!A$3:A$502)-2),4)),"")&lt;&gt;"",IFERROR(INDEX(Income!B$3:B$502,SMALL(IF((Income!D$3:D$502="INR")*(Income!A$3:A$502=DATE(2026,11,25)),ROW(Income!A$3:A$502)-2),4)),""),""))</f>
        <v/>
      </c>
      <c r="I242" s="153">
        <f t="array" ref="I242">IF(IFERROR(-INDEX(Expenses!D$3:D$999,SMALL(IF((Expenses!E$3:E$999="INR")*(Expenses!A$3:A$999=DATE(2026,11,26)),ROW(Expenses!A$3:A$999)-2),4)),0)+IFERROR(INDEX(Income!C$3:C$502,SMALL(IF((Income!D$3:D$502="INR")*(Income!A$3:A$502=DATE(2026,11,26)),ROW(Income!A$3:A$502)-2),4)),0)=0,"",IFERROR(-INDEX(Expenses!D$3:D$999,SMALL(IF((Expenses!E$3:E$999="INR")*(Expenses!A$3:A$999=DATE(2026,11,26)),ROW(Expenses!A$3:A$999)-2),4)),0)+IFERROR(INDEX(Income!C$3:C$502,SMALL(IF((Income!D$3:D$502="INR")*(Income!A$3:A$502=DATE(2026,11,26)),ROW(Income!A$3:A$502)-2),4)),0))</f>
        <v/>
      </c>
      <c r="J242" s="126">
        <f t="array" ref="J242">IF(IFERROR(INDEX(Expenses!B$3:B$999,SMALL(IF((Expenses!E$3:E$999="INR")*(Expenses!A$3:A$999=DATE(2026,11,26)),ROW(Expenses!A$3:A$999)-2),4)),"")&lt;&gt;"",IFERROR(INDEX(Expenses!B$3:B$999,SMALL(IF((Expenses!E$3:E$999="INR")*(Expenses!A$3:A$999=DATE(2026,11,26)),ROW(Expenses!A$3:A$999)-2),4)),""),IF(IFERROR(INDEX(Income!B$3:B$502,SMALL(IF((Income!D$3:D$502="INR")*(Income!A$3:A$502=DATE(2026,11,26)),ROW(Income!A$3:A$502)-2),4)),"")&lt;&gt;"",IFERROR(INDEX(Income!B$3:B$502,SMALL(IF((Income!D$3:D$502="INR")*(Income!A$3:A$502=DATE(2026,11,26)),ROW(Income!A$3:A$502)-2),4)),""),""))</f>
        <v/>
      </c>
      <c r="K242" s="153">
        <f t="array" ref="K242">IF(IFERROR(-INDEX(Expenses!D$3:D$999,SMALL(IF((Expenses!E$3:E$999="INR")*(Expenses!A$3:A$999=DATE(2026,11,27)),ROW(Expenses!A$3:A$999)-2),4)),0)+IFERROR(INDEX(Income!C$3:C$502,SMALL(IF((Income!D$3:D$502="INR")*(Income!A$3:A$502=DATE(2026,11,27)),ROW(Income!A$3:A$502)-2),4)),0)=0,"",IFERROR(-INDEX(Expenses!D$3:D$999,SMALL(IF((Expenses!E$3:E$999="INR")*(Expenses!A$3:A$999=DATE(2026,11,27)),ROW(Expenses!A$3:A$999)-2),4)),0)+IFERROR(INDEX(Income!C$3:C$502,SMALL(IF((Income!D$3:D$502="INR")*(Income!A$3:A$502=DATE(2026,11,27)),ROW(Income!A$3:A$502)-2),4)),0))</f>
        <v/>
      </c>
      <c r="L242" s="126">
        <f t="array" ref="L242">IF(IFERROR(INDEX(Expenses!B$3:B$999,SMALL(IF((Expenses!E$3:E$999="INR")*(Expenses!A$3:A$999=DATE(2026,11,27)),ROW(Expenses!A$3:A$999)-2),4)),"")&lt;&gt;"",IFERROR(INDEX(Expenses!B$3:B$999,SMALL(IF((Expenses!E$3:E$999="INR")*(Expenses!A$3:A$999=DATE(2026,11,27)),ROW(Expenses!A$3:A$999)-2),4)),""),IF(IFERROR(INDEX(Income!B$3:B$502,SMALL(IF((Income!D$3:D$502="INR")*(Income!A$3:A$502=DATE(2026,11,27)),ROW(Income!A$3:A$502)-2),4)),"")&lt;&gt;"",IFERROR(INDEX(Income!B$3:B$502,SMALL(IF((Income!D$3:D$502="INR")*(Income!A$3:A$502=DATE(2026,11,27)),ROW(Income!A$3:A$502)-2),4)),""),""))</f>
        <v/>
      </c>
      <c r="M242" s="153">
        <f t="array" ref="M242">IF(IFERROR(-INDEX(Expenses!D$3:D$999,SMALL(IF((Expenses!E$3:E$999="INR")*(Expenses!A$3:A$999=DATE(2026,11,28)),ROW(Expenses!A$3:A$999)-2),4)),0)+IFERROR(INDEX(Income!C$3:C$502,SMALL(IF((Income!D$3:D$502="INR")*(Income!A$3:A$502=DATE(2026,11,28)),ROW(Income!A$3:A$502)-2),4)),0)=0,"",IFERROR(-INDEX(Expenses!D$3:D$999,SMALL(IF((Expenses!E$3:E$999="INR")*(Expenses!A$3:A$999=DATE(2026,11,28)),ROW(Expenses!A$3:A$999)-2),4)),0)+IFERROR(INDEX(Income!C$3:C$502,SMALL(IF((Income!D$3:D$502="INR")*(Income!A$3:A$502=DATE(2026,11,28)),ROW(Income!A$3:A$502)-2),4)),0))</f>
        <v/>
      </c>
      <c r="N242" s="126">
        <f t="array" ref="N242">IF(IFERROR(INDEX(Expenses!B$3:B$999,SMALL(IF((Expenses!E$3:E$999="INR")*(Expenses!A$3:A$999=DATE(2026,11,28)),ROW(Expenses!A$3:A$999)-2),4)),"")&lt;&gt;"",IFERROR(INDEX(Expenses!B$3:B$999,SMALL(IF((Expenses!E$3:E$999="INR")*(Expenses!A$3:A$999=DATE(2026,11,28)),ROW(Expenses!A$3:A$999)-2),4)),""),IF(IFERROR(INDEX(Income!B$3:B$502,SMALL(IF((Income!D$3:D$502="INR")*(Income!A$3:A$502=DATE(2026,11,28)),ROW(Income!A$3:A$502)-2),4)),"")&lt;&gt;"",IFERROR(INDEX(Income!B$3:B$502,SMALL(IF((Income!D$3:D$502="INR")*(Income!A$3:A$502=DATE(2026,11,28)),ROW(Income!A$3:A$502)-2),4)),""),""))</f>
        <v/>
      </c>
      <c r="O242" s="153">
        <f t="array" ref="O242">IF(IFERROR(-INDEX(Expenses!D$3:D$999,SMALL(IF((Expenses!E$3:E$999="INR")*(Expenses!A$3:A$999=DATE(2026,11,29)),ROW(Expenses!A$3:A$999)-2),4)),0)+IFERROR(INDEX(Income!C$3:C$502,SMALL(IF((Income!D$3:D$502="INR")*(Income!A$3:A$502=DATE(2026,11,29)),ROW(Income!A$3:A$502)-2),4)),0)=0,"",IFERROR(-INDEX(Expenses!D$3:D$999,SMALL(IF((Expenses!E$3:E$999="INR")*(Expenses!A$3:A$999=DATE(2026,11,29)),ROW(Expenses!A$3:A$999)-2),4)),0)+IFERROR(INDEX(Income!C$3:C$502,SMALL(IF((Income!D$3:D$502="INR")*(Income!A$3:A$502=DATE(2026,11,29)),ROW(Income!A$3:A$502)-2),4)),0))</f>
        <v/>
      </c>
      <c r="P242" s="126">
        <f t="array" ref="P242">IF(IFERROR(INDEX(Expenses!B$3:B$999,SMALL(IF((Expenses!E$3:E$999="INR")*(Expenses!A$3:A$999=DATE(2026,11,29)),ROW(Expenses!A$3:A$999)-2),4)),"")&lt;&gt;"",IFERROR(INDEX(Expenses!B$3:B$999,SMALL(IF((Expenses!E$3:E$999="INR")*(Expenses!A$3:A$999=DATE(2026,11,29)),ROW(Expenses!A$3:A$999)-2),4)),""),IF(IFERROR(INDEX(Income!B$3:B$502,SMALL(IF((Income!D$3:D$502="INR")*(Income!A$3:A$502=DATE(2026,11,29)),ROW(Income!A$3:A$502)-2),4)),"")&lt;&gt;"",IFERROR(INDEX(Income!B$3:B$502,SMALL(IF((Income!D$3:D$502="INR")*(Income!A$3:A$502=DATE(2026,11,29)),ROW(Income!A$3:A$502)-2),4)),""),""))</f>
        <v/>
      </c>
      <c r="Q242" s="9" t="n"/>
      <c r="R242" s="9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68">
      <c r="A243" s="9" t="n"/>
      <c r="B243" s="9" t="n"/>
      <c r="C243" s="153">
        <f t="array" ref="C243">IF(IFERROR(-INDEX(Expenses!D$3:D$999,SMALL(IF((Expenses!E$3:E$999="INR")*(Expenses!A$3:A$999=DATE(2026,11,23)),ROW(Expenses!A$3:A$999)-2),5)),0)+IFERROR(INDEX(Income!C$3:C$502,SMALL(IF((Income!D$3:D$502="INR")*(Income!A$3:A$502=DATE(2026,11,23)),ROW(Income!A$3:A$502)-2),5)),0)=0,"",IFERROR(-INDEX(Expenses!D$3:D$999,SMALL(IF((Expenses!E$3:E$999="INR")*(Expenses!A$3:A$999=DATE(2026,11,23)),ROW(Expenses!A$3:A$999)-2),5)),0)+IFERROR(INDEX(Income!C$3:C$502,SMALL(IF((Income!D$3:D$502="INR")*(Income!A$3:A$502=DATE(2026,11,23)),ROW(Income!A$3:A$502)-2),5)),0))</f>
        <v/>
      </c>
      <c r="D243" s="126">
        <f t="array" ref="D243">IF(IFERROR(INDEX(Expenses!B$3:B$999,SMALL(IF((Expenses!E$3:E$999="INR")*(Expenses!A$3:A$999=DATE(2026,11,23)),ROW(Expenses!A$3:A$999)-2),5)),"")&lt;&gt;"",IFERROR(INDEX(Expenses!B$3:B$999,SMALL(IF((Expenses!E$3:E$999="INR")*(Expenses!A$3:A$999=DATE(2026,11,23)),ROW(Expenses!A$3:A$999)-2),5)),""),IF(IFERROR(INDEX(Income!B$3:B$502,SMALL(IF((Income!D$3:D$502="INR")*(Income!A$3:A$502=DATE(2026,11,23)),ROW(Income!A$3:A$502)-2),5)),"")&lt;&gt;"",IFERROR(INDEX(Income!B$3:B$502,SMALL(IF((Income!D$3:D$502="INR")*(Income!A$3:A$502=DATE(2026,11,23)),ROW(Income!A$3:A$502)-2),5)),""),""))</f>
        <v/>
      </c>
      <c r="E243" s="153">
        <f t="array" ref="E243">IF(IFERROR(-INDEX(Expenses!D$3:D$999,SMALL(IF((Expenses!E$3:E$999="INR")*(Expenses!A$3:A$999=DATE(2026,11,24)),ROW(Expenses!A$3:A$999)-2),5)),0)+IFERROR(INDEX(Income!C$3:C$502,SMALL(IF((Income!D$3:D$502="INR")*(Income!A$3:A$502=DATE(2026,11,24)),ROW(Income!A$3:A$502)-2),5)),0)=0,"",IFERROR(-INDEX(Expenses!D$3:D$999,SMALL(IF((Expenses!E$3:E$999="INR")*(Expenses!A$3:A$999=DATE(2026,11,24)),ROW(Expenses!A$3:A$999)-2),5)),0)+IFERROR(INDEX(Income!C$3:C$502,SMALL(IF((Income!D$3:D$502="INR")*(Income!A$3:A$502=DATE(2026,11,24)),ROW(Income!A$3:A$502)-2),5)),0))</f>
        <v/>
      </c>
      <c r="F243" s="126">
        <f t="array" ref="F243">IF(IFERROR(INDEX(Expenses!B$3:B$999,SMALL(IF((Expenses!E$3:E$999="INR")*(Expenses!A$3:A$999=DATE(2026,11,24)),ROW(Expenses!A$3:A$999)-2),5)),"")&lt;&gt;"",IFERROR(INDEX(Expenses!B$3:B$999,SMALL(IF((Expenses!E$3:E$999="INR")*(Expenses!A$3:A$999=DATE(2026,11,24)),ROW(Expenses!A$3:A$999)-2),5)),""),IF(IFERROR(INDEX(Income!B$3:B$502,SMALL(IF((Income!D$3:D$502="INR")*(Income!A$3:A$502=DATE(2026,11,24)),ROW(Income!A$3:A$502)-2),5)),"")&lt;&gt;"",IFERROR(INDEX(Income!B$3:B$502,SMALL(IF((Income!D$3:D$502="INR")*(Income!A$3:A$502=DATE(2026,11,24)),ROW(Income!A$3:A$502)-2),5)),""),""))</f>
        <v/>
      </c>
      <c r="G243" s="153">
        <f t="array" ref="G243">IF(IFERROR(-INDEX(Expenses!D$3:D$999,SMALL(IF((Expenses!E$3:E$999="INR")*(Expenses!A$3:A$999=DATE(2026,11,25)),ROW(Expenses!A$3:A$999)-2),5)),0)+IFERROR(INDEX(Income!C$3:C$502,SMALL(IF((Income!D$3:D$502="INR")*(Income!A$3:A$502=DATE(2026,11,25)),ROW(Income!A$3:A$502)-2),5)),0)=0,"",IFERROR(-INDEX(Expenses!D$3:D$999,SMALL(IF((Expenses!E$3:E$999="INR")*(Expenses!A$3:A$999=DATE(2026,11,25)),ROW(Expenses!A$3:A$999)-2),5)),0)+IFERROR(INDEX(Income!C$3:C$502,SMALL(IF((Income!D$3:D$502="INR")*(Income!A$3:A$502=DATE(2026,11,25)),ROW(Income!A$3:A$502)-2),5)),0))</f>
        <v/>
      </c>
      <c r="H243" s="126">
        <f t="array" ref="H243">IF(IFERROR(INDEX(Expenses!B$3:B$999,SMALL(IF((Expenses!E$3:E$999="INR")*(Expenses!A$3:A$999=DATE(2026,11,25)),ROW(Expenses!A$3:A$999)-2),5)),"")&lt;&gt;"",IFERROR(INDEX(Expenses!B$3:B$999,SMALL(IF((Expenses!E$3:E$999="INR")*(Expenses!A$3:A$999=DATE(2026,11,25)),ROW(Expenses!A$3:A$999)-2),5)),""),IF(IFERROR(INDEX(Income!B$3:B$502,SMALL(IF((Income!D$3:D$502="INR")*(Income!A$3:A$502=DATE(2026,11,25)),ROW(Income!A$3:A$502)-2),5)),"")&lt;&gt;"",IFERROR(INDEX(Income!B$3:B$502,SMALL(IF((Income!D$3:D$502="INR")*(Income!A$3:A$502=DATE(2026,11,25)),ROW(Income!A$3:A$502)-2),5)),""),""))</f>
        <v/>
      </c>
      <c r="I243" s="153">
        <f t="array" ref="I243">IF(IFERROR(-INDEX(Expenses!D$3:D$999,SMALL(IF((Expenses!E$3:E$999="INR")*(Expenses!A$3:A$999=DATE(2026,11,26)),ROW(Expenses!A$3:A$999)-2),5)),0)+IFERROR(INDEX(Income!C$3:C$502,SMALL(IF((Income!D$3:D$502="INR")*(Income!A$3:A$502=DATE(2026,11,26)),ROW(Income!A$3:A$502)-2),5)),0)=0,"",IFERROR(-INDEX(Expenses!D$3:D$999,SMALL(IF((Expenses!E$3:E$999="INR")*(Expenses!A$3:A$999=DATE(2026,11,26)),ROW(Expenses!A$3:A$999)-2),5)),0)+IFERROR(INDEX(Income!C$3:C$502,SMALL(IF((Income!D$3:D$502="INR")*(Income!A$3:A$502=DATE(2026,11,26)),ROW(Income!A$3:A$502)-2),5)),0))</f>
        <v/>
      </c>
      <c r="J243" s="126">
        <f t="array" ref="J243">IF(IFERROR(INDEX(Expenses!B$3:B$999,SMALL(IF((Expenses!E$3:E$999="INR")*(Expenses!A$3:A$999=DATE(2026,11,26)),ROW(Expenses!A$3:A$999)-2),5)),"")&lt;&gt;"",IFERROR(INDEX(Expenses!B$3:B$999,SMALL(IF((Expenses!E$3:E$999="INR")*(Expenses!A$3:A$999=DATE(2026,11,26)),ROW(Expenses!A$3:A$999)-2),5)),""),IF(IFERROR(INDEX(Income!B$3:B$502,SMALL(IF((Income!D$3:D$502="INR")*(Income!A$3:A$502=DATE(2026,11,26)),ROW(Income!A$3:A$502)-2),5)),"")&lt;&gt;"",IFERROR(INDEX(Income!B$3:B$502,SMALL(IF((Income!D$3:D$502="INR")*(Income!A$3:A$502=DATE(2026,11,26)),ROW(Income!A$3:A$502)-2),5)),""),""))</f>
        <v/>
      </c>
      <c r="K243" s="153">
        <f t="array" ref="K243">IF(IFERROR(-INDEX(Expenses!D$3:D$999,SMALL(IF((Expenses!E$3:E$999="INR")*(Expenses!A$3:A$999=DATE(2026,11,27)),ROW(Expenses!A$3:A$999)-2),5)),0)+IFERROR(INDEX(Income!C$3:C$502,SMALL(IF((Income!D$3:D$502="INR")*(Income!A$3:A$502=DATE(2026,11,27)),ROW(Income!A$3:A$502)-2),5)),0)=0,"",IFERROR(-INDEX(Expenses!D$3:D$999,SMALL(IF((Expenses!E$3:E$999="INR")*(Expenses!A$3:A$999=DATE(2026,11,27)),ROW(Expenses!A$3:A$999)-2),5)),0)+IFERROR(INDEX(Income!C$3:C$502,SMALL(IF((Income!D$3:D$502="INR")*(Income!A$3:A$502=DATE(2026,11,27)),ROW(Income!A$3:A$502)-2),5)),0))</f>
        <v/>
      </c>
      <c r="L243" s="126">
        <f t="array" ref="L243">IF(IFERROR(INDEX(Expenses!B$3:B$999,SMALL(IF((Expenses!E$3:E$999="INR")*(Expenses!A$3:A$999=DATE(2026,11,27)),ROW(Expenses!A$3:A$999)-2),5)),"")&lt;&gt;"",IFERROR(INDEX(Expenses!B$3:B$999,SMALL(IF((Expenses!E$3:E$999="INR")*(Expenses!A$3:A$999=DATE(2026,11,27)),ROW(Expenses!A$3:A$999)-2),5)),""),IF(IFERROR(INDEX(Income!B$3:B$502,SMALL(IF((Income!D$3:D$502="INR")*(Income!A$3:A$502=DATE(2026,11,27)),ROW(Income!A$3:A$502)-2),5)),"")&lt;&gt;"",IFERROR(INDEX(Income!B$3:B$502,SMALL(IF((Income!D$3:D$502="INR")*(Income!A$3:A$502=DATE(2026,11,27)),ROW(Income!A$3:A$502)-2),5)),""),""))</f>
        <v/>
      </c>
      <c r="M243" s="153">
        <f t="array" ref="M243">IF(IFERROR(-INDEX(Expenses!D$3:D$999,SMALL(IF((Expenses!E$3:E$999="INR")*(Expenses!A$3:A$999=DATE(2026,11,28)),ROW(Expenses!A$3:A$999)-2),5)),0)+IFERROR(INDEX(Income!C$3:C$502,SMALL(IF((Income!D$3:D$502="INR")*(Income!A$3:A$502=DATE(2026,11,28)),ROW(Income!A$3:A$502)-2),5)),0)=0,"",IFERROR(-INDEX(Expenses!D$3:D$999,SMALL(IF((Expenses!E$3:E$999="INR")*(Expenses!A$3:A$999=DATE(2026,11,28)),ROW(Expenses!A$3:A$999)-2),5)),0)+IFERROR(INDEX(Income!C$3:C$502,SMALL(IF((Income!D$3:D$502="INR")*(Income!A$3:A$502=DATE(2026,11,28)),ROW(Income!A$3:A$502)-2),5)),0))</f>
        <v/>
      </c>
      <c r="N243" s="126">
        <f t="array" ref="N243">IF(IFERROR(INDEX(Expenses!B$3:B$999,SMALL(IF((Expenses!E$3:E$999="INR")*(Expenses!A$3:A$999=DATE(2026,11,28)),ROW(Expenses!A$3:A$999)-2),5)),"")&lt;&gt;"",IFERROR(INDEX(Expenses!B$3:B$999,SMALL(IF((Expenses!E$3:E$999="INR")*(Expenses!A$3:A$999=DATE(2026,11,28)),ROW(Expenses!A$3:A$999)-2),5)),""),IF(IFERROR(INDEX(Income!B$3:B$502,SMALL(IF((Income!D$3:D$502="INR")*(Income!A$3:A$502=DATE(2026,11,28)),ROW(Income!A$3:A$502)-2),5)),"")&lt;&gt;"",IFERROR(INDEX(Income!B$3:B$502,SMALL(IF((Income!D$3:D$502="INR")*(Income!A$3:A$502=DATE(2026,11,28)),ROW(Income!A$3:A$502)-2),5)),""),""))</f>
        <v/>
      </c>
      <c r="O243" s="153">
        <f t="array" ref="O243">IF(IFERROR(-INDEX(Expenses!D$3:D$999,SMALL(IF((Expenses!E$3:E$999="INR")*(Expenses!A$3:A$999=DATE(2026,11,29)),ROW(Expenses!A$3:A$999)-2),5)),0)+IFERROR(INDEX(Income!C$3:C$502,SMALL(IF((Income!D$3:D$502="INR")*(Income!A$3:A$502=DATE(2026,11,29)),ROW(Income!A$3:A$502)-2),5)),0)=0,"",IFERROR(-INDEX(Expenses!D$3:D$999,SMALL(IF((Expenses!E$3:E$999="INR")*(Expenses!A$3:A$999=DATE(2026,11,29)),ROW(Expenses!A$3:A$999)-2),5)),0)+IFERROR(INDEX(Income!C$3:C$502,SMALL(IF((Income!D$3:D$502="INR")*(Income!A$3:A$502=DATE(2026,11,29)),ROW(Income!A$3:A$502)-2),5)),0))</f>
        <v/>
      </c>
      <c r="P243" s="126">
        <f t="array" ref="P243">IF(IFERROR(INDEX(Expenses!B$3:B$999,SMALL(IF((Expenses!E$3:E$999="INR")*(Expenses!A$3:A$999=DATE(2026,11,29)),ROW(Expenses!A$3:A$999)-2),5)),"")&lt;&gt;"",IFERROR(INDEX(Expenses!B$3:B$999,SMALL(IF((Expenses!E$3:E$999="INR")*(Expenses!A$3:A$999=DATE(2026,11,29)),ROW(Expenses!A$3:A$999)-2),5)),""),IF(IFERROR(INDEX(Income!B$3:B$502,SMALL(IF((Income!D$3:D$502="INR")*(Income!A$3:A$502=DATE(2026,11,29)),ROW(Income!A$3:A$502)-2),5)),"")&lt;&gt;"",IFERROR(INDEX(Income!B$3:B$502,SMALL(IF((Income!D$3:D$502="INR")*(Income!A$3:A$502=DATE(2026,11,29)),ROW(Income!A$3:A$502)-2),5)),""),""))</f>
        <v/>
      </c>
      <c r="Q243" s="9" t="n"/>
      <c r="R243" s="9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68">
      <c r="A244" s="151" t="n">
        <v>46356</v>
      </c>
      <c r="B244" s="103" t="n">
        <v>49</v>
      </c>
      <c r="C244" s="153">
        <f t="array" ref="C244">IF(IFERROR(-INDEX(Expenses!D$3:D$999,SMALL(IF((Expenses!E$3:E$999="INR")*(Expenses!A$3:A$999=DATE(2026,11,30)),ROW(Expenses!A$3:A$999)-2),1)),0)+IFERROR(INDEX(Income!C$3:C$502,SMALL(IF((Income!D$3:D$502="INR")*(Income!A$3:A$502=DATE(2026,11,30)),ROW(Income!A$3:A$502)-2),1)),0)=0,"",IFERROR(-INDEX(Expenses!D$3:D$999,SMALL(IF((Expenses!E$3:E$999="INR")*(Expenses!A$3:A$999=DATE(2026,11,30)),ROW(Expenses!A$3:A$999)-2),1)),0)+IFERROR(INDEX(Income!C$3:C$502,SMALL(IF((Income!D$3:D$502="INR")*(Income!A$3:A$502=DATE(2026,11,30)),ROW(Income!A$3:A$502)-2),1)),0))</f>
        <v/>
      </c>
      <c r="D244" s="126">
        <f t="array" ref="D244">IF(IFERROR(INDEX(Expenses!B$3:B$999,SMALL(IF((Expenses!E$3:E$999="INR")*(Expenses!A$3:A$999=DATE(2026,11,30)),ROW(Expenses!A$3:A$999)-2),1)),"")&lt;&gt;"",IFERROR(INDEX(Expenses!B$3:B$999,SMALL(IF((Expenses!E$3:E$999="INR")*(Expenses!A$3:A$999=DATE(2026,11,30)),ROW(Expenses!A$3:A$999)-2),1)),""),IF(IFERROR(INDEX(Income!B$3:B$502,SMALL(IF((Income!D$3:D$502="INR")*(Income!A$3:A$502=DATE(2026,11,30)),ROW(Income!A$3:A$502)-2),1)),"")&lt;&gt;"",IFERROR(INDEX(Income!B$3:B$502,SMALL(IF((Income!D$3:D$502="INR")*(Income!A$3:A$502=DATE(2026,11,30)),ROW(Income!A$3:A$502)-2),1)),""),""))</f>
        <v/>
      </c>
      <c r="E244" s="153">
        <f t="array" ref="E244">IF(IFERROR(-INDEX(Expenses!D$3:D$999,SMALL(IF((Expenses!E$3:E$999="INR")*(Expenses!A$3:A$999=DATE(2026,12,1)),ROW(Expenses!A$3:A$999)-2),1)),0)+IFERROR(INDEX(Income!C$3:C$502,SMALL(IF((Income!D$3:D$502="INR")*(Income!A$3:A$502=DATE(2026,12,1)),ROW(Income!A$3:A$502)-2),1)),0)=0,"",IFERROR(-INDEX(Expenses!D$3:D$999,SMALL(IF((Expenses!E$3:E$999="INR")*(Expenses!A$3:A$999=DATE(2026,12,1)),ROW(Expenses!A$3:A$999)-2),1)),0)+IFERROR(INDEX(Income!C$3:C$502,SMALL(IF((Income!D$3:D$502="INR")*(Income!A$3:A$502=DATE(2026,12,1)),ROW(Income!A$3:A$502)-2),1)),0))</f>
        <v/>
      </c>
      <c r="F244" s="126">
        <f t="array" ref="F244">IF(IFERROR(INDEX(Expenses!B$3:B$999,SMALL(IF((Expenses!E$3:E$999="INR")*(Expenses!A$3:A$999=DATE(2026,12,1)),ROW(Expenses!A$3:A$999)-2),1)),"")&lt;&gt;"",IFERROR(INDEX(Expenses!B$3:B$999,SMALL(IF((Expenses!E$3:E$999="INR")*(Expenses!A$3:A$999=DATE(2026,12,1)),ROW(Expenses!A$3:A$999)-2),1)),""),IF(IFERROR(INDEX(Income!B$3:B$502,SMALL(IF((Income!D$3:D$502="INR")*(Income!A$3:A$502=DATE(2026,12,1)),ROW(Income!A$3:A$502)-2),1)),"")&lt;&gt;"",IFERROR(INDEX(Income!B$3:B$502,SMALL(IF((Income!D$3:D$502="INR")*(Income!A$3:A$502=DATE(2026,12,1)),ROW(Income!A$3:A$502)-2),1)),""),""))</f>
        <v/>
      </c>
      <c r="G244" s="153">
        <f t="array" ref="G244">IF(IFERROR(-INDEX(Expenses!D$3:D$999,SMALL(IF((Expenses!E$3:E$999="INR")*(Expenses!A$3:A$999=DATE(2026,12,2)),ROW(Expenses!A$3:A$999)-2),1)),0)+IFERROR(INDEX(Income!C$3:C$502,SMALL(IF((Income!D$3:D$502="INR")*(Income!A$3:A$502=DATE(2026,12,2)),ROW(Income!A$3:A$502)-2),1)),0)=0,"",IFERROR(-INDEX(Expenses!D$3:D$999,SMALL(IF((Expenses!E$3:E$999="INR")*(Expenses!A$3:A$999=DATE(2026,12,2)),ROW(Expenses!A$3:A$999)-2),1)),0)+IFERROR(INDEX(Income!C$3:C$502,SMALL(IF((Income!D$3:D$502="INR")*(Income!A$3:A$502=DATE(2026,12,2)),ROW(Income!A$3:A$502)-2),1)),0))</f>
        <v/>
      </c>
      <c r="H244" s="126">
        <f t="array" ref="H244">IF(IFERROR(INDEX(Expenses!B$3:B$999,SMALL(IF((Expenses!E$3:E$999="INR")*(Expenses!A$3:A$999=DATE(2026,12,2)),ROW(Expenses!A$3:A$999)-2),1)),"")&lt;&gt;"",IFERROR(INDEX(Expenses!B$3:B$999,SMALL(IF((Expenses!E$3:E$999="INR")*(Expenses!A$3:A$999=DATE(2026,12,2)),ROW(Expenses!A$3:A$999)-2),1)),""),IF(IFERROR(INDEX(Income!B$3:B$502,SMALL(IF((Income!D$3:D$502="INR")*(Income!A$3:A$502=DATE(2026,12,2)),ROW(Income!A$3:A$502)-2),1)),"")&lt;&gt;"",IFERROR(INDEX(Income!B$3:B$502,SMALL(IF((Income!D$3:D$502="INR")*(Income!A$3:A$502=DATE(2026,12,2)),ROW(Income!A$3:A$502)-2),1)),""),""))</f>
        <v/>
      </c>
      <c r="I244" s="153">
        <f t="array" ref="I244">IF(IFERROR(-INDEX(Expenses!D$3:D$999,SMALL(IF((Expenses!E$3:E$999="INR")*(Expenses!A$3:A$999=DATE(2026,12,3)),ROW(Expenses!A$3:A$999)-2),1)),0)+IFERROR(INDEX(Income!C$3:C$502,SMALL(IF((Income!D$3:D$502="INR")*(Income!A$3:A$502=DATE(2026,12,3)),ROW(Income!A$3:A$502)-2),1)),0)=0,"",IFERROR(-INDEX(Expenses!D$3:D$999,SMALL(IF((Expenses!E$3:E$999="INR")*(Expenses!A$3:A$999=DATE(2026,12,3)),ROW(Expenses!A$3:A$999)-2),1)),0)+IFERROR(INDEX(Income!C$3:C$502,SMALL(IF((Income!D$3:D$502="INR")*(Income!A$3:A$502=DATE(2026,12,3)),ROW(Income!A$3:A$502)-2),1)),0))</f>
        <v/>
      </c>
      <c r="J244" s="126">
        <f t="array" ref="J244">IF(IFERROR(INDEX(Expenses!B$3:B$999,SMALL(IF((Expenses!E$3:E$999="INR")*(Expenses!A$3:A$999=DATE(2026,12,3)),ROW(Expenses!A$3:A$999)-2),1)),"")&lt;&gt;"",IFERROR(INDEX(Expenses!B$3:B$999,SMALL(IF((Expenses!E$3:E$999="INR")*(Expenses!A$3:A$999=DATE(2026,12,3)),ROW(Expenses!A$3:A$999)-2),1)),""),IF(IFERROR(INDEX(Income!B$3:B$502,SMALL(IF((Income!D$3:D$502="INR")*(Income!A$3:A$502=DATE(2026,12,3)),ROW(Income!A$3:A$502)-2),1)),"")&lt;&gt;"",IFERROR(INDEX(Income!B$3:B$502,SMALL(IF((Income!D$3:D$502="INR")*(Income!A$3:A$502=DATE(2026,12,3)),ROW(Income!A$3:A$502)-2),1)),""),""))</f>
        <v/>
      </c>
      <c r="K244" s="153">
        <f t="array" ref="K244">IF(IFERROR(-INDEX(Expenses!D$3:D$999,SMALL(IF((Expenses!E$3:E$999="INR")*(Expenses!A$3:A$999=DATE(2026,12,4)),ROW(Expenses!A$3:A$999)-2),1)),0)+IFERROR(INDEX(Income!C$3:C$502,SMALL(IF((Income!D$3:D$502="INR")*(Income!A$3:A$502=DATE(2026,12,4)),ROW(Income!A$3:A$502)-2),1)),0)=0,"",IFERROR(-INDEX(Expenses!D$3:D$999,SMALL(IF((Expenses!E$3:E$999="INR")*(Expenses!A$3:A$999=DATE(2026,12,4)),ROW(Expenses!A$3:A$999)-2),1)),0)+IFERROR(INDEX(Income!C$3:C$502,SMALL(IF((Income!D$3:D$502="INR")*(Income!A$3:A$502=DATE(2026,12,4)),ROW(Income!A$3:A$502)-2),1)),0))</f>
        <v/>
      </c>
      <c r="L244" s="126">
        <f t="array" ref="L244">IF(IFERROR(INDEX(Expenses!B$3:B$999,SMALL(IF((Expenses!E$3:E$999="INR")*(Expenses!A$3:A$999=DATE(2026,12,4)),ROW(Expenses!A$3:A$999)-2),1)),"")&lt;&gt;"",IFERROR(INDEX(Expenses!B$3:B$999,SMALL(IF((Expenses!E$3:E$999="INR")*(Expenses!A$3:A$999=DATE(2026,12,4)),ROW(Expenses!A$3:A$999)-2),1)),""),IF(IFERROR(INDEX(Income!B$3:B$502,SMALL(IF((Income!D$3:D$502="INR")*(Income!A$3:A$502=DATE(2026,12,4)),ROW(Income!A$3:A$502)-2),1)),"")&lt;&gt;"",IFERROR(INDEX(Income!B$3:B$502,SMALL(IF((Income!D$3:D$502="INR")*(Income!A$3:A$502=DATE(2026,12,4)),ROW(Income!A$3:A$502)-2),1)),""),""))</f>
        <v/>
      </c>
      <c r="M244" s="153">
        <f t="array" ref="M244">IF(IFERROR(-INDEX(Expenses!D$3:D$999,SMALL(IF((Expenses!E$3:E$999="INR")*(Expenses!A$3:A$999=DATE(2026,12,5)),ROW(Expenses!A$3:A$999)-2),1)),0)+IFERROR(INDEX(Income!C$3:C$502,SMALL(IF((Income!D$3:D$502="INR")*(Income!A$3:A$502=DATE(2026,12,5)),ROW(Income!A$3:A$502)-2),1)),0)=0,"",IFERROR(-INDEX(Expenses!D$3:D$999,SMALL(IF((Expenses!E$3:E$999="INR")*(Expenses!A$3:A$999=DATE(2026,12,5)),ROW(Expenses!A$3:A$999)-2),1)),0)+IFERROR(INDEX(Income!C$3:C$502,SMALL(IF((Income!D$3:D$502="INR")*(Income!A$3:A$502=DATE(2026,12,5)),ROW(Income!A$3:A$502)-2),1)),0))</f>
        <v/>
      </c>
      <c r="N244" s="126">
        <f t="array" ref="N244">IF(IFERROR(INDEX(Expenses!B$3:B$999,SMALL(IF((Expenses!E$3:E$999="INR")*(Expenses!A$3:A$999=DATE(2026,12,5)),ROW(Expenses!A$3:A$999)-2),1)),"")&lt;&gt;"",IFERROR(INDEX(Expenses!B$3:B$999,SMALL(IF((Expenses!E$3:E$999="INR")*(Expenses!A$3:A$999=DATE(2026,12,5)),ROW(Expenses!A$3:A$999)-2),1)),""),IF(IFERROR(INDEX(Income!B$3:B$502,SMALL(IF((Income!D$3:D$502="INR")*(Income!A$3:A$502=DATE(2026,12,5)),ROW(Income!A$3:A$502)-2),1)),"")&lt;&gt;"",IFERROR(INDEX(Income!B$3:B$502,SMALL(IF((Income!D$3:D$502="INR")*(Income!A$3:A$502=DATE(2026,12,5)),ROW(Income!A$3:A$502)-2),1)),""),""))</f>
        <v/>
      </c>
      <c r="O244" s="153">
        <f t="array" ref="O244">IF(IFERROR(-INDEX(Expenses!D$3:D$999,SMALL(IF((Expenses!E$3:E$999="INR")*(Expenses!A$3:A$999=DATE(2026,12,6)),ROW(Expenses!A$3:A$999)-2),1)),0)+IFERROR(INDEX(Income!C$3:C$502,SMALL(IF((Income!D$3:D$502="INR")*(Income!A$3:A$502=DATE(2026,12,6)),ROW(Income!A$3:A$502)-2),1)),0)=0,"",IFERROR(-INDEX(Expenses!D$3:D$999,SMALL(IF((Expenses!E$3:E$999="INR")*(Expenses!A$3:A$999=DATE(2026,12,6)),ROW(Expenses!A$3:A$999)-2),1)),0)+IFERROR(INDEX(Income!C$3:C$502,SMALL(IF((Income!D$3:D$502="INR")*(Income!A$3:A$502=DATE(2026,12,6)),ROW(Income!A$3:A$502)-2),1)),0))</f>
        <v/>
      </c>
      <c r="P244" s="126">
        <f t="array" ref="P244">IF(IFERROR(INDEX(Expenses!B$3:B$999,SMALL(IF((Expenses!E$3:E$999="INR")*(Expenses!A$3:A$999=DATE(2026,12,6)),ROW(Expenses!A$3:A$999)-2),1)),"")&lt;&gt;"",IFERROR(INDEX(Expenses!B$3:B$999,SMALL(IF((Expenses!E$3:E$999="INR")*(Expenses!A$3:A$999=DATE(2026,12,6)),ROW(Expenses!A$3:A$999)-2),1)),""),IF(IFERROR(INDEX(Income!B$3:B$502,SMALL(IF((Income!D$3:D$502="INR")*(Income!A$3:A$502=DATE(2026,12,6)),ROW(Income!A$3:A$502)-2),1)),"")&lt;&gt;"",IFERROR(INDEX(Income!B$3:B$502,SMALL(IF((Income!D$3:D$502="INR")*(Income!A$3:A$502=DATE(2026,12,6)),ROW(Income!A$3:A$502)-2),1)),""),""))</f>
        <v/>
      </c>
      <c r="Q244" s="103" t="n">
        <v>49</v>
      </c>
      <c r="R244" s="142">
        <f>SUM(C244:C248)+SUM(E244:E248)+SUM(G244:G248)+SUM(I244:I248)+SUM(K244:K248)+SUM(M244:M248)+SUM(O244:O248)</f>
        <v/>
      </c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68">
      <c r="A245" s="9" t="n"/>
      <c r="B245" s="9" t="n"/>
      <c r="C245" s="153">
        <f t="array" ref="C245">IF(IFERROR(-INDEX(Expenses!D$3:D$999,SMALL(IF((Expenses!E$3:E$999="INR")*(Expenses!A$3:A$999=DATE(2026,11,30)),ROW(Expenses!A$3:A$999)-2),2)),0)+IFERROR(INDEX(Income!C$3:C$502,SMALL(IF((Income!D$3:D$502="INR")*(Income!A$3:A$502=DATE(2026,11,30)),ROW(Income!A$3:A$502)-2),2)),0)=0,"",IFERROR(-INDEX(Expenses!D$3:D$999,SMALL(IF((Expenses!E$3:E$999="INR")*(Expenses!A$3:A$999=DATE(2026,11,30)),ROW(Expenses!A$3:A$999)-2),2)),0)+IFERROR(INDEX(Income!C$3:C$502,SMALL(IF((Income!D$3:D$502="INR")*(Income!A$3:A$502=DATE(2026,11,30)),ROW(Income!A$3:A$502)-2),2)),0))</f>
        <v/>
      </c>
      <c r="D245" s="126">
        <f t="array" ref="D245">IF(IFERROR(INDEX(Expenses!B$3:B$999,SMALL(IF((Expenses!E$3:E$999="INR")*(Expenses!A$3:A$999=DATE(2026,11,30)),ROW(Expenses!A$3:A$999)-2),2)),"")&lt;&gt;"",IFERROR(INDEX(Expenses!B$3:B$999,SMALL(IF((Expenses!E$3:E$999="INR")*(Expenses!A$3:A$999=DATE(2026,11,30)),ROW(Expenses!A$3:A$999)-2),2)),""),IF(IFERROR(INDEX(Income!B$3:B$502,SMALL(IF((Income!D$3:D$502="INR")*(Income!A$3:A$502=DATE(2026,11,30)),ROW(Income!A$3:A$502)-2),2)),"")&lt;&gt;"",IFERROR(INDEX(Income!B$3:B$502,SMALL(IF((Income!D$3:D$502="INR")*(Income!A$3:A$502=DATE(2026,11,30)),ROW(Income!A$3:A$502)-2),2)),""),""))</f>
        <v/>
      </c>
      <c r="E245" s="153">
        <f t="array" ref="E245">IF(IFERROR(-INDEX(Expenses!D$3:D$999,SMALL(IF((Expenses!E$3:E$999="INR")*(Expenses!A$3:A$999=DATE(2026,12,1)),ROW(Expenses!A$3:A$999)-2),2)),0)+IFERROR(INDEX(Income!C$3:C$502,SMALL(IF((Income!D$3:D$502="INR")*(Income!A$3:A$502=DATE(2026,12,1)),ROW(Income!A$3:A$502)-2),2)),0)=0,"",IFERROR(-INDEX(Expenses!D$3:D$999,SMALL(IF((Expenses!E$3:E$999="INR")*(Expenses!A$3:A$999=DATE(2026,12,1)),ROW(Expenses!A$3:A$999)-2),2)),0)+IFERROR(INDEX(Income!C$3:C$502,SMALL(IF((Income!D$3:D$502="INR")*(Income!A$3:A$502=DATE(2026,12,1)),ROW(Income!A$3:A$502)-2),2)),0))</f>
        <v/>
      </c>
      <c r="F245" s="126">
        <f t="array" ref="F245">IF(IFERROR(INDEX(Expenses!B$3:B$999,SMALL(IF((Expenses!E$3:E$999="INR")*(Expenses!A$3:A$999=DATE(2026,12,1)),ROW(Expenses!A$3:A$999)-2),2)),"")&lt;&gt;"",IFERROR(INDEX(Expenses!B$3:B$999,SMALL(IF((Expenses!E$3:E$999="INR")*(Expenses!A$3:A$999=DATE(2026,12,1)),ROW(Expenses!A$3:A$999)-2),2)),""),IF(IFERROR(INDEX(Income!B$3:B$502,SMALL(IF((Income!D$3:D$502="INR")*(Income!A$3:A$502=DATE(2026,12,1)),ROW(Income!A$3:A$502)-2),2)),"")&lt;&gt;"",IFERROR(INDEX(Income!B$3:B$502,SMALL(IF((Income!D$3:D$502="INR")*(Income!A$3:A$502=DATE(2026,12,1)),ROW(Income!A$3:A$502)-2),2)),""),""))</f>
        <v/>
      </c>
      <c r="G245" s="153">
        <f t="array" ref="G245">IF(IFERROR(-INDEX(Expenses!D$3:D$999,SMALL(IF((Expenses!E$3:E$999="INR")*(Expenses!A$3:A$999=DATE(2026,12,2)),ROW(Expenses!A$3:A$999)-2),2)),0)+IFERROR(INDEX(Income!C$3:C$502,SMALL(IF((Income!D$3:D$502="INR")*(Income!A$3:A$502=DATE(2026,12,2)),ROW(Income!A$3:A$502)-2),2)),0)=0,"",IFERROR(-INDEX(Expenses!D$3:D$999,SMALL(IF((Expenses!E$3:E$999="INR")*(Expenses!A$3:A$999=DATE(2026,12,2)),ROW(Expenses!A$3:A$999)-2),2)),0)+IFERROR(INDEX(Income!C$3:C$502,SMALL(IF((Income!D$3:D$502="INR")*(Income!A$3:A$502=DATE(2026,12,2)),ROW(Income!A$3:A$502)-2),2)),0))</f>
        <v/>
      </c>
      <c r="H245" s="126">
        <f t="array" ref="H245">IF(IFERROR(INDEX(Expenses!B$3:B$999,SMALL(IF((Expenses!E$3:E$999="INR")*(Expenses!A$3:A$999=DATE(2026,12,2)),ROW(Expenses!A$3:A$999)-2),2)),"")&lt;&gt;"",IFERROR(INDEX(Expenses!B$3:B$999,SMALL(IF((Expenses!E$3:E$999="INR")*(Expenses!A$3:A$999=DATE(2026,12,2)),ROW(Expenses!A$3:A$999)-2),2)),""),IF(IFERROR(INDEX(Income!B$3:B$502,SMALL(IF((Income!D$3:D$502="INR")*(Income!A$3:A$502=DATE(2026,12,2)),ROW(Income!A$3:A$502)-2),2)),"")&lt;&gt;"",IFERROR(INDEX(Income!B$3:B$502,SMALL(IF((Income!D$3:D$502="INR")*(Income!A$3:A$502=DATE(2026,12,2)),ROW(Income!A$3:A$502)-2),2)),""),""))</f>
        <v/>
      </c>
      <c r="I245" s="153">
        <f t="array" ref="I245">IF(IFERROR(-INDEX(Expenses!D$3:D$999,SMALL(IF((Expenses!E$3:E$999="INR")*(Expenses!A$3:A$999=DATE(2026,12,3)),ROW(Expenses!A$3:A$999)-2),2)),0)+IFERROR(INDEX(Income!C$3:C$502,SMALL(IF((Income!D$3:D$502="INR")*(Income!A$3:A$502=DATE(2026,12,3)),ROW(Income!A$3:A$502)-2),2)),0)=0,"",IFERROR(-INDEX(Expenses!D$3:D$999,SMALL(IF((Expenses!E$3:E$999="INR")*(Expenses!A$3:A$999=DATE(2026,12,3)),ROW(Expenses!A$3:A$999)-2),2)),0)+IFERROR(INDEX(Income!C$3:C$502,SMALL(IF((Income!D$3:D$502="INR")*(Income!A$3:A$502=DATE(2026,12,3)),ROW(Income!A$3:A$502)-2),2)),0))</f>
        <v/>
      </c>
      <c r="J245" s="126">
        <f t="array" ref="J245">IF(IFERROR(INDEX(Expenses!B$3:B$999,SMALL(IF((Expenses!E$3:E$999="INR")*(Expenses!A$3:A$999=DATE(2026,12,3)),ROW(Expenses!A$3:A$999)-2),2)),"")&lt;&gt;"",IFERROR(INDEX(Expenses!B$3:B$999,SMALL(IF((Expenses!E$3:E$999="INR")*(Expenses!A$3:A$999=DATE(2026,12,3)),ROW(Expenses!A$3:A$999)-2),2)),""),IF(IFERROR(INDEX(Income!B$3:B$502,SMALL(IF((Income!D$3:D$502="INR")*(Income!A$3:A$502=DATE(2026,12,3)),ROW(Income!A$3:A$502)-2),2)),"")&lt;&gt;"",IFERROR(INDEX(Income!B$3:B$502,SMALL(IF((Income!D$3:D$502="INR")*(Income!A$3:A$502=DATE(2026,12,3)),ROW(Income!A$3:A$502)-2),2)),""),""))</f>
        <v/>
      </c>
      <c r="K245" s="153">
        <f t="array" ref="K245">IF(IFERROR(-INDEX(Expenses!D$3:D$999,SMALL(IF((Expenses!E$3:E$999="INR")*(Expenses!A$3:A$999=DATE(2026,12,4)),ROW(Expenses!A$3:A$999)-2),2)),0)+IFERROR(INDEX(Income!C$3:C$502,SMALL(IF((Income!D$3:D$502="INR")*(Income!A$3:A$502=DATE(2026,12,4)),ROW(Income!A$3:A$502)-2),2)),0)=0,"",IFERROR(-INDEX(Expenses!D$3:D$999,SMALL(IF((Expenses!E$3:E$999="INR")*(Expenses!A$3:A$999=DATE(2026,12,4)),ROW(Expenses!A$3:A$999)-2),2)),0)+IFERROR(INDEX(Income!C$3:C$502,SMALL(IF((Income!D$3:D$502="INR")*(Income!A$3:A$502=DATE(2026,12,4)),ROW(Income!A$3:A$502)-2),2)),0))</f>
        <v/>
      </c>
      <c r="L245" s="126">
        <f t="array" ref="L245">IF(IFERROR(INDEX(Expenses!B$3:B$999,SMALL(IF((Expenses!E$3:E$999="INR")*(Expenses!A$3:A$999=DATE(2026,12,4)),ROW(Expenses!A$3:A$999)-2),2)),"")&lt;&gt;"",IFERROR(INDEX(Expenses!B$3:B$999,SMALL(IF((Expenses!E$3:E$999="INR")*(Expenses!A$3:A$999=DATE(2026,12,4)),ROW(Expenses!A$3:A$999)-2),2)),""),IF(IFERROR(INDEX(Income!B$3:B$502,SMALL(IF((Income!D$3:D$502="INR")*(Income!A$3:A$502=DATE(2026,12,4)),ROW(Income!A$3:A$502)-2),2)),"")&lt;&gt;"",IFERROR(INDEX(Income!B$3:B$502,SMALL(IF((Income!D$3:D$502="INR")*(Income!A$3:A$502=DATE(2026,12,4)),ROW(Income!A$3:A$502)-2),2)),""),""))</f>
        <v/>
      </c>
      <c r="M245" s="153">
        <f t="array" ref="M245">IF(IFERROR(-INDEX(Expenses!D$3:D$999,SMALL(IF((Expenses!E$3:E$999="INR")*(Expenses!A$3:A$999=DATE(2026,12,5)),ROW(Expenses!A$3:A$999)-2),2)),0)+IFERROR(INDEX(Income!C$3:C$502,SMALL(IF((Income!D$3:D$502="INR")*(Income!A$3:A$502=DATE(2026,12,5)),ROW(Income!A$3:A$502)-2),2)),0)=0,"",IFERROR(-INDEX(Expenses!D$3:D$999,SMALL(IF((Expenses!E$3:E$999="INR")*(Expenses!A$3:A$999=DATE(2026,12,5)),ROW(Expenses!A$3:A$999)-2),2)),0)+IFERROR(INDEX(Income!C$3:C$502,SMALL(IF((Income!D$3:D$502="INR")*(Income!A$3:A$502=DATE(2026,12,5)),ROW(Income!A$3:A$502)-2),2)),0))</f>
        <v/>
      </c>
      <c r="N245" s="126">
        <f t="array" ref="N245">IF(IFERROR(INDEX(Expenses!B$3:B$999,SMALL(IF((Expenses!E$3:E$999="INR")*(Expenses!A$3:A$999=DATE(2026,12,5)),ROW(Expenses!A$3:A$999)-2),2)),"")&lt;&gt;"",IFERROR(INDEX(Expenses!B$3:B$999,SMALL(IF((Expenses!E$3:E$999="INR")*(Expenses!A$3:A$999=DATE(2026,12,5)),ROW(Expenses!A$3:A$999)-2),2)),""),IF(IFERROR(INDEX(Income!B$3:B$502,SMALL(IF((Income!D$3:D$502="INR")*(Income!A$3:A$502=DATE(2026,12,5)),ROW(Income!A$3:A$502)-2),2)),"")&lt;&gt;"",IFERROR(INDEX(Income!B$3:B$502,SMALL(IF((Income!D$3:D$502="INR")*(Income!A$3:A$502=DATE(2026,12,5)),ROW(Income!A$3:A$502)-2),2)),""),""))</f>
        <v/>
      </c>
      <c r="O245" s="153">
        <f t="array" ref="O245">IF(IFERROR(-INDEX(Expenses!D$3:D$999,SMALL(IF((Expenses!E$3:E$999="INR")*(Expenses!A$3:A$999=DATE(2026,12,6)),ROW(Expenses!A$3:A$999)-2),2)),0)+IFERROR(INDEX(Income!C$3:C$502,SMALL(IF((Income!D$3:D$502="INR")*(Income!A$3:A$502=DATE(2026,12,6)),ROW(Income!A$3:A$502)-2),2)),0)=0,"",IFERROR(-INDEX(Expenses!D$3:D$999,SMALL(IF((Expenses!E$3:E$999="INR")*(Expenses!A$3:A$999=DATE(2026,12,6)),ROW(Expenses!A$3:A$999)-2),2)),0)+IFERROR(INDEX(Income!C$3:C$502,SMALL(IF((Income!D$3:D$502="INR")*(Income!A$3:A$502=DATE(2026,12,6)),ROW(Income!A$3:A$502)-2),2)),0))</f>
        <v/>
      </c>
      <c r="P245" s="126">
        <f t="array" ref="P245">IF(IFERROR(INDEX(Expenses!B$3:B$999,SMALL(IF((Expenses!E$3:E$999="INR")*(Expenses!A$3:A$999=DATE(2026,12,6)),ROW(Expenses!A$3:A$999)-2),2)),"")&lt;&gt;"",IFERROR(INDEX(Expenses!B$3:B$999,SMALL(IF((Expenses!E$3:E$999="INR")*(Expenses!A$3:A$999=DATE(2026,12,6)),ROW(Expenses!A$3:A$999)-2),2)),""),IF(IFERROR(INDEX(Income!B$3:B$502,SMALL(IF((Income!D$3:D$502="INR")*(Income!A$3:A$502=DATE(2026,12,6)),ROW(Income!A$3:A$502)-2),2)),"")&lt;&gt;"",IFERROR(INDEX(Income!B$3:B$502,SMALL(IF((Income!D$3:D$502="INR")*(Income!A$3:A$502=DATE(2026,12,6)),ROW(Income!A$3:A$502)-2),2)),""),""))</f>
        <v/>
      </c>
      <c r="Q245" s="9" t="n"/>
      <c r="R245" s="9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68">
      <c r="A246" s="9" t="n"/>
      <c r="B246" s="9" t="n"/>
      <c r="C246" s="153">
        <f t="array" ref="C246">IF(IFERROR(-INDEX(Expenses!D$3:D$999,SMALL(IF((Expenses!E$3:E$999="INR")*(Expenses!A$3:A$999=DATE(2026,11,30)),ROW(Expenses!A$3:A$999)-2),3)),0)+IFERROR(INDEX(Income!C$3:C$502,SMALL(IF((Income!D$3:D$502="INR")*(Income!A$3:A$502=DATE(2026,11,30)),ROW(Income!A$3:A$502)-2),3)),0)=0,"",IFERROR(-INDEX(Expenses!D$3:D$999,SMALL(IF((Expenses!E$3:E$999="INR")*(Expenses!A$3:A$999=DATE(2026,11,30)),ROW(Expenses!A$3:A$999)-2),3)),0)+IFERROR(INDEX(Income!C$3:C$502,SMALL(IF((Income!D$3:D$502="INR")*(Income!A$3:A$502=DATE(2026,11,30)),ROW(Income!A$3:A$502)-2),3)),0))</f>
        <v/>
      </c>
      <c r="D246" s="126">
        <f t="array" ref="D246">IF(IFERROR(INDEX(Expenses!B$3:B$999,SMALL(IF((Expenses!E$3:E$999="INR")*(Expenses!A$3:A$999=DATE(2026,11,30)),ROW(Expenses!A$3:A$999)-2),3)),"")&lt;&gt;"",IFERROR(INDEX(Expenses!B$3:B$999,SMALL(IF((Expenses!E$3:E$999="INR")*(Expenses!A$3:A$999=DATE(2026,11,30)),ROW(Expenses!A$3:A$999)-2),3)),""),IF(IFERROR(INDEX(Income!B$3:B$502,SMALL(IF((Income!D$3:D$502="INR")*(Income!A$3:A$502=DATE(2026,11,30)),ROW(Income!A$3:A$502)-2),3)),"")&lt;&gt;"",IFERROR(INDEX(Income!B$3:B$502,SMALL(IF((Income!D$3:D$502="INR")*(Income!A$3:A$502=DATE(2026,11,30)),ROW(Income!A$3:A$502)-2),3)),""),""))</f>
        <v/>
      </c>
      <c r="E246" s="153">
        <f t="array" ref="E246">IF(IFERROR(-INDEX(Expenses!D$3:D$999,SMALL(IF((Expenses!E$3:E$999="INR")*(Expenses!A$3:A$999=DATE(2026,12,1)),ROW(Expenses!A$3:A$999)-2),3)),0)+IFERROR(INDEX(Income!C$3:C$502,SMALL(IF((Income!D$3:D$502="INR")*(Income!A$3:A$502=DATE(2026,12,1)),ROW(Income!A$3:A$502)-2),3)),0)=0,"",IFERROR(-INDEX(Expenses!D$3:D$999,SMALL(IF((Expenses!E$3:E$999="INR")*(Expenses!A$3:A$999=DATE(2026,12,1)),ROW(Expenses!A$3:A$999)-2),3)),0)+IFERROR(INDEX(Income!C$3:C$502,SMALL(IF((Income!D$3:D$502="INR")*(Income!A$3:A$502=DATE(2026,12,1)),ROW(Income!A$3:A$502)-2),3)),0))</f>
        <v/>
      </c>
      <c r="F246" s="126">
        <f t="array" ref="F246">IF(IFERROR(INDEX(Expenses!B$3:B$999,SMALL(IF((Expenses!E$3:E$999="INR")*(Expenses!A$3:A$999=DATE(2026,12,1)),ROW(Expenses!A$3:A$999)-2),3)),"")&lt;&gt;"",IFERROR(INDEX(Expenses!B$3:B$999,SMALL(IF((Expenses!E$3:E$999="INR")*(Expenses!A$3:A$999=DATE(2026,12,1)),ROW(Expenses!A$3:A$999)-2),3)),""),IF(IFERROR(INDEX(Income!B$3:B$502,SMALL(IF((Income!D$3:D$502="INR")*(Income!A$3:A$502=DATE(2026,12,1)),ROW(Income!A$3:A$502)-2),3)),"")&lt;&gt;"",IFERROR(INDEX(Income!B$3:B$502,SMALL(IF((Income!D$3:D$502="INR")*(Income!A$3:A$502=DATE(2026,12,1)),ROW(Income!A$3:A$502)-2),3)),""),""))</f>
        <v/>
      </c>
      <c r="G246" s="153">
        <f t="array" ref="G246">IF(IFERROR(-INDEX(Expenses!D$3:D$999,SMALL(IF((Expenses!E$3:E$999="INR")*(Expenses!A$3:A$999=DATE(2026,12,2)),ROW(Expenses!A$3:A$999)-2),3)),0)+IFERROR(INDEX(Income!C$3:C$502,SMALL(IF((Income!D$3:D$502="INR")*(Income!A$3:A$502=DATE(2026,12,2)),ROW(Income!A$3:A$502)-2),3)),0)=0,"",IFERROR(-INDEX(Expenses!D$3:D$999,SMALL(IF((Expenses!E$3:E$999="INR")*(Expenses!A$3:A$999=DATE(2026,12,2)),ROW(Expenses!A$3:A$999)-2),3)),0)+IFERROR(INDEX(Income!C$3:C$502,SMALL(IF((Income!D$3:D$502="INR")*(Income!A$3:A$502=DATE(2026,12,2)),ROW(Income!A$3:A$502)-2),3)),0))</f>
        <v/>
      </c>
      <c r="H246" s="126">
        <f t="array" ref="H246">IF(IFERROR(INDEX(Expenses!B$3:B$999,SMALL(IF((Expenses!E$3:E$999="INR")*(Expenses!A$3:A$999=DATE(2026,12,2)),ROW(Expenses!A$3:A$999)-2),3)),"")&lt;&gt;"",IFERROR(INDEX(Expenses!B$3:B$999,SMALL(IF((Expenses!E$3:E$999="INR")*(Expenses!A$3:A$999=DATE(2026,12,2)),ROW(Expenses!A$3:A$999)-2),3)),""),IF(IFERROR(INDEX(Income!B$3:B$502,SMALL(IF((Income!D$3:D$502="INR")*(Income!A$3:A$502=DATE(2026,12,2)),ROW(Income!A$3:A$502)-2),3)),"")&lt;&gt;"",IFERROR(INDEX(Income!B$3:B$502,SMALL(IF((Income!D$3:D$502="INR")*(Income!A$3:A$502=DATE(2026,12,2)),ROW(Income!A$3:A$502)-2),3)),""),""))</f>
        <v/>
      </c>
      <c r="I246" s="153">
        <f t="array" ref="I246">IF(IFERROR(-INDEX(Expenses!D$3:D$999,SMALL(IF((Expenses!E$3:E$999="INR")*(Expenses!A$3:A$999=DATE(2026,12,3)),ROW(Expenses!A$3:A$999)-2),3)),0)+IFERROR(INDEX(Income!C$3:C$502,SMALL(IF((Income!D$3:D$502="INR")*(Income!A$3:A$502=DATE(2026,12,3)),ROW(Income!A$3:A$502)-2),3)),0)=0,"",IFERROR(-INDEX(Expenses!D$3:D$999,SMALL(IF((Expenses!E$3:E$999="INR")*(Expenses!A$3:A$999=DATE(2026,12,3)),ROW(Expenses!A$3:A$999)-2),3)),0)+IFERROR(INDEX(Income!C$3:C$502,SMALL(IF((Income!D$3:D$502="INR")*(Income!A$3:A$502=DATE(2026,12,3)),ROW(Income!A$3:A$502)-2),3)),0))</f>
        <v/>
      </c>
      <c r="J246" s="126">
        <f t="array" ref="J246">IF(IFERROR(INDEX(Expenses!B$3:B$999,SMALL(IF((Expenses!E$3:E$999="INR")*(Expenses!A$3:A$999=DATE(2026,12,3)),ROW(Expenses!A$3:A$999)-2),3)),"")&lt;&gt;"",IFERROR(INDEX(Expenses!B$3:B$999,SMALL(IF((Expenses!E$3:E$999="INR")*(Expenses!A$3:A$999=DATE(2026,12,3)),ROW(Expenses!A$3:A$999)-2),3)),""),IF(IFERROR(INDEX(Income!B$3:B$502,SMALL(IF((Income!D$3:D$502="INR")*(Income!A$3:A$502=DATE(2026,12,3)),ROW(Income!A$3:A$502)-2),3)),"")&lt;&gt;"",IFERROR(INDEX(Income!B$3:B$502,SMALL(IF((Income!D$3:D$502="INR")*(Income!A$3:A$502=DATE(2026,12,3)),ROW(Income!A$3:A$502)-2),3)),""),""))</f>
        <v/>
      </c>
      <c r="K246" s="153">
        <f t="array" ref="K246">IF(IFERROR(-INDEX(Expenses!D$3:D$999,SMALL(IF((Expenses!E$3:E$999="INR")*(Expenses!A$3:A$999=DATE(2026,12,4)),ROW(Expenses!A$3:A$999)-2),3)),0)+IFERROR(INDEX(Income!C$3:C$502,SMALL(IF((Income!D$3:D$502="INR")*(Income!A$3:A$502=DATE(2026,12,4)),ROW(Income!A$3:A$502)-2),3)),0)=0,"",IFERROR(-INDEX(Expenses!D$3:D$999,SMALL(IF((Expenses!E$3:E$999="INR")*(Expenses!A$3:A$999=DATE(2026,12,4)),ROW(Expenses!A$3:A$999)-2),3)),0)+IFERROR(INDEX(Income!C$3:C$502,SMALL(IF((Income!D$3:D$502="INR")*(Income!A$3:A$502=DATE(2026,12,4)),ROW(Income!A$3:A$502)-2),3)),0))</f>
        <v/>
      </c>
      <c r="L246" s="126">
        <f t="array" ref="L246">IF(IFERROR(INDEX(Expenses!B$3:B$999,SMALL(IF((Expenses!E$3:E$999="INR")*(Expenses!A$3:A$999=DATE(2026,12,4)),ROW(Expenses!A$3:A$999)-2),3)),"")&lt;&gt;"",IFERROR(INDEX(Expenses!B$3:B$999,SMALL(IF((Expenses!E$3:E$999="INR")*(Expenses!A$3:A$999=DATE(2026,12,4)),ROW(Expenses!A$3:A$999)-2),3)),""),IF(IFERROR(INDEX(Income!B$3:B$502,SMALL(IF((Income!D$3:D$502="INR")*(Income!A$3:A$502=DATE(2026,12,4)),ROW(Income!A$3:A$502)-2),3)),"")&lt;&gt;"",IFERROR(INDEX(Income!B$3:B$502,SMALL(IF((Income!D$3:D$502="INR")*(Income!A$3:A$502=DATE(2026,12,4)),ROW(Income!A$3:A$502)-2),3)),""),""))</f>
        <v/>
      </c>
      <c r="M246" s="153">
        <f t="array" ref="M246">IF(IFERROR(-INDEX(Expenses!D$3:D$999,SMALL(IF((Expenses!E$3:E$999="INR")*(Expenses!A$3:A$999=DATE(2026,12,5)),ROW(Expenses!A$3:A$999)-2),3)),0)+IFERROR(INDEX(Income!C$3:C$502,SMALL(IF((Income!D$3:D$502="INR")*(Income!A$3:A$502=DATE(2026,12,5)),ROW(Income!A$3:A$502)-2),3)),0)=0,"",IFERROR(-INDEX(Expenses!D$3:D$999,SMALL(IF((Expenses!E$3:E$999="INR")*(Expenses!A$3:A$999=DATE(2026,12,5)),ROW(Expenses!A$3:A$999)-2),3)),0)+IFERROR(INDEX(Income!C$3:C$502,SMALL(IF((Income!D$3:D$502="INR")*(Income!A$3:A$502=DATE(2026,12,5)),ROW(Income!A$3:A$502)-2),3)),0))</f>
        <v/>
      </c>
      <c r="N246" s="126">
        <f t="array" ref="N246">IF(IFERROR(INDEX(Expenses!B$3:B$999,SMALL(IF((Expenses!E$3:E$999="INR")*(Expenses!A$3:A$999=DATE(2026,12,5)),ROW(Expenses!A$3:A$999)-2),3)),"")&lt;&gt;"",IFERROR(INDEX(Expenses!B$3:B$999,SMALL(IF((Expenses!E$3:E$999="INR")*(Expenses!A$3:A$999=DATE(2026,12,5)),ROW(Expenses!A$3:A$999)-2),3)),""),IF(IFERROR(INDEX(Income!B$3:B$502,SMALL(IF((Income!D$3:D$502="INR")*(Income!A$3:A$502=DATE(2026,12,5)),ROW(Income!A$3:A$502)-2),3)),"")&lt;&gt;"",IFERROR(INDEX(Income!B$3:B$502,SMALL(IF((Income!D$3:D$502="INR")*(Income!A$3:A$502=DATE(2026,12,5)),ROW(Income!A$3:A$502)-2),3)),""),""))</f>
        <v/>
      </c>
      <c r="O246" s="153">
        <f t="array" ref="O246">IF(IFERROR(-INDEX(Expenses!D$3:D$999,SMALL(IF((Expenses!E$3:E$999="INR")*(Expenses!A$3:A$999=DATE(2026,12,6)),ROW(Expenses!A$3:A$999)-2),3)),0)+IFERROR(INDEX(Income!C$3:C$502,SMALL(IF((Income!D$3:D$502="INR")*(Income!A$3:A$502=DATE(2026,12,6)),ROW(Income!A$3:A$502)-2),3)),0)=0,"",IFERROR(-INDEX(Expenses!D$3:D$999,SMALL(IF((Expenses!E$3:E$999="INR")*(Expenses!A$3:A$999=DATE(2026,12,6)),ROW(Expenses!A$3:A$999)-2),3)),0)+IFERROR(INDEX(Income!C$3:C$502,SMALL(IF((Income!D$3:D$502="INR")*(Income!A$3:A$502=DATE(2026,12,6)),ROW(Income!A$3:A$502)-2),3)),0))</f>
        <v/>
      </c>
      <c r="P246" s="126">
        <f t="array" ref="P246">IF(IFERROR(INDEX(Expenses!B$3:B$999,SMALL(IF((Expenses!E$3:E$999="INR")*(Expenses!A$3:A$999=DATE(2026,12,6)),ROW(Expenses!A$3:A$999)-2),3)),"")&lt;&gt;"",IFERROR(INDEX(Expenses!B$3:B$999,SMALL(IF((Expenses!E$3:E$999="INR")*(Expenses!A$3:A$999=DATE(2026,12,6)),ROW(Expenses!A$3:A$999)-2),3)),""),IF(IFERROR(INDEX(Income!B$3:B$502,SMALL(IF((Income!D$3:D$502="INR")*(Income!A$3:A$502=DATE(2026,12,6)),ROW(Income!A$3:A$502)-2),3)),"")&lt;&gt;"",IFERROR(INDEX(Income!B$3:B$502,SMALL(IF((Income!D$3:D$502="INR")*(Income!A$3:A$502=DATE(2026,12,6)),ROW(Income!A$3:A$502)-2),3)),""),""))</f>
        <v/>
      </c>
      <c r="Q246" s="9" t="n"/>
      <c r="R246" s="9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68">
      <c r="A247" s="9" t="n"/>
      <c r="B247" s="9" t="n"/>
      <c r="C247" s="153">
        <f t="array" ref="C247">IF(IFERROR(-INDEX(Expenses!D$3:D$999,SMALL(IF((Expenses!E$3:E$999="INR")*(Expenses!A$3:A$999=DATE(2026,11,30)),ROW(Expenses!A$3:A$999)-2),4)),0)+IFERROR(INDEX(Income!C$3:C$502,SMALL(IF((Income!D$3:D$502="INR")*(Income!A$3:A$502=DATE(2026,11,30)),ROW(Income!A$3:A$502)-2),4)),0)=0,"",IFERROR(-INDEX(Expenses!D$3:D$999,SMALL(IF((Expenses!E$3:E$999="INR")*(Expenses!A$3:A$999=DATE(2026,11,30)),ROW(Expenses!A$3:A$999)-2),4)),0)+IFERROR(INDEX(Income!C$3:C$502,SMALL(IF((Income!D$3:D$502="INR")*(Income!A$3:A$502=DATE(2026,11,30)),ROW(Income!A$3:A$502)-2),4)),0))</f>
        <v/>
      </c>
      <c r="D247" s="126">
        <f t="array" ref="D247">IF(IFERROR(INDEX(Expenses!B$3:B$999,SMALL(IF((Expenses!E$3:E$999="INR")*(Expenses!A$3:A$999=DATE(2026,11,30)),ROW(Expenses!A$3:A$999)-2),4)),"")&lt;&gt;"",IFERROR(INDEX(Expenses!B$3:B$999,SMALL(IF((Expenses!E$3:E$999="INR")*(Expenses!A$3:A$999=DATE(2026,11,30)),ROW(Expenses!A$3:A$999)-2),4)),""),IF(IFERROR(INDEX(Income!B$3:B$502,SMALL(IF((Income!D$3:D$502="INR")*(Income!A$3:A$502=DATE(2026,11,30)),ROW(Income!A$3:A$502)-2),4)),"")&lt;&gt;"",IFERROR(INDEX(Income!B$3:B$502,SMALL(IF((Income!D$3:D$502="INR")*(Income!A$3:A$502=DATE(2026,11,30)),ROW(Income!A$3:A$502)-2),4)),""),""))</f>
        <v/>
      </c>
      <c r="E247" s="153">
        <f t="array" ref="E247">IF(IFERROR(-INDEX(Expenses!D$3:D$999,SMALL(IF((Expenses!E$3:E$999="INR")*(Expenses!A$3:A$999=DATE(2026,12,1)),ROW(Expenses!A$3:A$999)-2),4)),0)+IFERROR(INDEX(Income!C$3:C$502,SMALL(IF((Income!D$3:D$502="INR")*(Income!A$3:A$502=DATE(2026,12,1)),ROW(Income!A$3:A$502)-2),4)),0)=0,"",IFERROR(-INDEX(Expenses!D$3:D$999,SMALL(IF((Expenses!E$3:E$999="INR")*(Expenses!A$3:A$999=DATE(2026,12,1)),ROW(Expenses!A$3:A$999)-2),4)),0)+IFERROR(INDEX(Income!C$3:C$502,SMALL(IF((Income!D$3:D$502="INR")*(Income!A$3:A$502=DATE(2026,12,1)),ROW(Income!A$3:A$502)-2),4)),0))</f>
        <v/>
      </c>
      <c r="F247" s="126">
        <f t="array" ref="F247">IF(IFERROR(INDEX(Expenses!B$3:B$999,SMALL(IF((Expenses!E$3:E$999="INR")*(Expenses!A$3:A$999=DATE(2026,12,1)),ROW(Expenses!A$3:A$999)-2),4)),"")&lt;&gt;"",IFERROR(INDEX(Expenses!B$3:B$999,SMALL(IF((Expenses!E$3:E$999="INR")*(Expenses!A$3:A$999=DATE(2026,12,1)),ROW(Expenses!A$3:A$999)-2),4)),""),IF(IFERROR(INDEX(Income!B$3:B$502,SMALL(IF((Income!D$3:D$502="INR")*(Income!A$3:A$502=DATE(2026,12,1)),ROW(Income!A$3:A$502)-2),4)),"")&lt;&gt;"",IFERROR(INDEX(Income!B$3:B$502,SMALL(IF((Income!D$3:D$502="INR")*(Income!A$3:A$502=DATE(2026,12,1)),ROW(Income!A$3:A$502)-2),4)),""),""))</f>
        <v/>
      </c>
      <c r="G247" s="153">
        <f t="array" ref="G247">IF(IFERROR(-INDEX(Expenses!D$3:D$999,SMALL(IF((Expenses!E$3:E$999="INR")*(Expenses!A$3:A$999=DATE(2026,12,2)),ROW(Expenses!A$3:A$999)-2),4)),0)+IFERROR(INDEX(Income!C$3:C$502,SMALL(IF((Income!D$3:D$502="INR")*(Income!A$3:A$502=DATE(2026,12,2)),ROW(Income!A$3:A$502)-2),4)),0)=0,"",IFERROR(-INDEX(Expenses!D$3:D$999,SMALL(IF((Expenses!E$3:E$999="INR")*(Expenses!A$3:A$999=DATE(2026,12,2)),ROW(Expenses!A$3:A$999)-2),4)),0)+IFERROR(INDEX(Income!C$3:C$502,SMALL(IF((Income!D$3:D$502="INR")*(Income!A$3:A$502=DATE(2026,12,2)),ROW(Income!A$3:A$502)-2),4)),0))</f>
        <v/>
      </c>
      <c r="H247" s="126">
        <f t="array" ref="H247">IF(IFERROR(INDEX(Expenses!B$3:B$999,SMALL(IF((Expenses!E$3:E$999="INR")*(Expenses!A$3:A$999=DATE(2026,12,2)),ROW(Expenses!A$3:A$999)-2),4)),"")&lt;&gt;"",IFERROR(INDEX(Expenses!B$3:B$999,SMALL(IF((Expenses!E$3:E$999="INR")*(Expenses!A$3:A$999=DATE(2026,12,2)),ROW(Expenses!A$3:A$999)-2),4)),""),IF(IFERROR(INDEX(Income!B$3:B$502,SMALL(IF((Income!D$3:D$502="INR")*(Income!A$3:A$502=DATE(2026,12,2)),ROW(Income!A$3:A$502)-2),4)),"")&lt;&gt;"",IFERROR(INDEX(Income!B$3:B$502,SMALL(IF((Income!D$3:D$502="INR")*(Income!A$3:A$502=DATE(2026,12,2)),ROW(Income!A$3:A$502)-2),4)),""),""))</f>
        <v/>
      </c>
      <c r="I247" s="153">
        <f t="array" ref="I247">IF(IFERROR(-INDEX(Expenses!D$3:D$999,SMALL(IF((Expenses!E$3:E$999="INR")*(Expenses!A$3:A$999=DATE(2026,12,3)),ROW(Expenses!A$3:A$999)-2),4)),0)+IFERROR(INDEX(Income!C$3:C$502,SMALL(IF((Income!D$3:D$502="INR")*(Income!A$3:A$502=DATE(2026,12,3)),ROW(Income!A$3:A$502)-2),4)),0)=0,"",IFERROR(-INDEX(Expenses!D$3:D$999,SMALL(IF((Expenses!E$3:E$999="INR")*(Expenses!A$3:A$999=DATE(2026,12,3)),ROW(Expenses!A$3:A$999)-2),4)),0)+IFERROR(INDEX(Income!C$3:C$502,SMALL(IF((Income!D$3:D$502="INR")*(Income!A$3:A$502=DATE(2026,12,3)),ROW(Income!A$3:A$502)-2),4)),0))</f>
        <v/>
      </c>
      <c r="J247" s="126">
        <f t="array" ref="J247">IF(IFERROR(INDEX(Expenses!B$3:B$999,SMALL(IF((Expenses!E$3:E$999="INR")*(Expenses!A$3:A$999=DATE(2026,12,3)),ROW(Expenses!A$3:A$999)-2),4)),"")&lt;&gt;"",IFERROR(INDEX(Expenses!B$3:B$999,SMALL(IF((Expenses!E$3:E$999="INR")*(Expenses!A$3:A$999=DATE(2026,12,3)),ROW(Expenses!A$3:A$999)-2),4)),""),IF(IFERROR(INDEX(Income!B$3:B$502,SMALL(IF((Income!D$3:D$502="INR")*(Income!A$3:A$502=DATE(2026,12,3)),ROW(Income!A$3:A$502)-2),4)),"")&lt;&gt;"",IFERROR(INDEX(Income!B$3:B$502,SMALL(IF((Income!D$3:D$502="INR")*(Income!A$3:A$502=DATE(2026,12,3)),ROW(Income!A$3:A$502)-2),4)),""),""))</f>
        <v/>
      </c>
      <c r="K247" s="153">
        <f t="array" ref="K247">IF(IFERROR(-INDEX(Expenses!D$3:D$999,SMALL(IF((Expenses!E$3:E$999="INR")*(Expenses!A$3:A$999=DATE(2026,12,4)),ROW(Expenses!A$3:A$999)-2),4)),0)+IFERROR(INDEX(Income!C$3:C$502,SMALL(IF((Income!D$3:D$502="INR")*(Income!A$3:A$502=DATE(2026,12,4)),ROW(Income!A$3:A$502)-2),4)),0)=0,"",IFERROR(-INDEX(Expenses!D$3:D$999,SMALL(IF((Expenses!E$3:E$999="INR")*(Expenses!A$3:A$999=DATE(2026,12,4)),ROW(Expenses!A$3:A$999)-2),4)),0)+IFERROR(INDEX(Income!C$3:C$502,SMALL(IF((Income!D$3:D$502="INR")*(Income!A$3:A$502=DATE(2026,12,4)),ROW(Income!A$3:A$502)-2),4)),0))</f>
        <v/>
      </c>
      <c r="L247" s="126">
        <f t="array" ref="L247">IF(IFERROR(INDEX(Expenses!B$3:B$999,SMALL(IF((Expenses!E$3:E$999="INR")*(Expenses!A$3:A$999=DATE(2026,12,4)),ROW(Expenses!A$3:A$999)-2),4)),"")&lt;&gt;"",IFERROR(INDEX(Expenses!B$3:B$999,SMALL(IF((Expenses!E$3:E$999="INR")*(Expenses!A$3:A$999=DATE(2026,12,4)),ROW(Expenses!A$3:A$999)-2),4)),""),IF(IFERROR(INDEX(Income!B$3:B$502,SMALL(IF((Income!D$3:D$502="INR")*(Income!A$3:A$502=DATE(2026,12,4)),ROW(Income!A$3:A$502)-2),4)),"")&lt;&gt;"",IFERROR(INDEX(Income!B$3:B$502,SMALL(IF((Income!D$3:D$502="INR")*(Income!A$3:A$502=DATE(2026,12,4)),ROW(Income!A$3:A$502)-2),4)),""),""))</f>
        <v/>
      </c>
      <c r="M247" s="153">
        <f t="array" ref="M247">IF(IFERROR(-INDEX(Expenses!D$3:D$999,SMALL(IF((Expenses!E$3:E$999="INR")*(Expenses!A$3:A$999=DATE(2026,12,5)),ROW(Expenses!A$3:A$999)-2),4)),0)+IFERROR(INDEX(Income!C$3:C$502,SMALL(IF((Income!D$3:D$502="INR")*(Income!A$3:A$502=DATE(2026,12,5)),ROW(Income!A$3:A$502)-2),4)),0)=0,"",IFERROR(-INDEX(Expenses!D$3:D$999,SMALL(IF((Expenses!E$3:E$999="INR")*(Expenses!A$3:A$999=DATE(2026,12,5)),ROW(Expenses!A$3:A$999)-2),4)),0)+IFERROR(INDEX(Income!C$3:C$502,SMALL(IF((Income!D$3:D$502="INR")*(Income!A$3:A$502=DATE(2026,12,5)),ROW(Income!A$3:A$502)-2),4)),0))</f>
        <v/>
      </c>
      <c r="N247" s="126">
        <f t="array" ref="N247">IF(IFERROR(INDEX(Expenses!B$3:B$999,SMALL(IF((Expenses!E$3:E$999="INR")*(Expenses!A$3:A$999=DATE(2026,12,5)),ROW(Expenses!A$3:A$999)-2),4)),"")&lt;&gt;"",IFERROR(INDEX(Expenses!B$3:B$999,SMALL(IF((Expenses!E$3:E$999="INR")*(Expenses!A$3:A$999=DATE(2026,12,5)),ROW(Expenses!A$3:A$999)-2),4)),""),IF(IFERROR(INDEX(Income!B$3:B$502,SMALL(IF((Income!D$3:D$502="INR")*(Income!A$3:A$502=DATE(2026,12,5)),ROW(Income!A$3:A$502)-2),4)),"")&lt;&gt;"",IFERROR(INDEX(Income!B$3:B$502,SMALL(IF((Income!D$3:D$502="INR")*(Income!A$3:A$502=DATE(2026,12,5)),ROW(Income!A$3:A$502)-2),4)),""),""))</f>
        <v/>
      </c>
      <c r="O247" s="153">
        <f t="array" ref="O247">IF(IFERROR(-INDEX(Expenses!D$3:D$999,SMALL(IF((Expenses!E$3:E$999="INR")*(Expenses!A$3:A$999=DATE(2026,12,6)),ROW(Expenses!A$3:A$999)-2),4)),0)+IFERROR(INDEX(Income!C$3:C$502,SMALL(IF((Income!D$3:D$502="INR")*(Income!A$3:A$502=DATE(2026,12,6)),ROW(Income!A$3:A$502)-2),4)),0)=0,"",IFERROR(-INDEX(Expenses!D$3:D$999,SMALL(IF((Expenses!E$3:E$999="INR")*(Expenses!A$3:A$999=DATE(2026,12,6)),ROW(Expenses!A$3:A$999)-2),4)),0)+IFERROR(INDEX(Income!C$3:C$502,SMALL(IF((Income!D$3:D$502="INR")*(Income!A$3:A$502=DATE(2026,12,6)),ROW(Income!A$3:A$502)-2),4)),0))</f>
        <v/>
      </c>
      <c r="P247" s="126">
        <f t="array" ref="P247">IF(IFERROR(INDEX(Expenses!B$3:B$999,SMALL(IF((Expenses!E$3:E$999="INR")*(Expenses!A$3:A$999=DATE(2026,12,6)),ROW(Expenses!A$3:A$999)-2),4)),"")&lt;&gt;"",IFERROR(INDEX(Expenses!B$3:B$999,SMALL(IF((Expenses!E$3:E$999="INR")*(Expenses!A$3:A$999=DATE(2026,12,6)),ROW(Expenses!A$3:A$999)-2),4)),""),IF(IFERROR(INDEX(Income!B$3:B$502,SMALL(IF((Income!D$3:D$502="INR")*(Income!A$3:A$502=DATE(2026,12,6)),ROW(Income!A$3:A$502)-2),4)),"")&lt;&gt;"",IFERROR(INDEX(Income!B$3:B$502,SMALL(IF((Income!D$3:D$502="INR")*(Income!A$3:A$502=DATE(2026,12,6)),ROW(Income!A$3:A$502)-2),4)),""),""))</f>
        <v/>
      </c>
      <c r="Q247" s="9" t="n"/>
      <c r="R247" s="9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68">
      <c r="A248" s="9" t="n"/>
      <c r="B248" s="9" t="n"/>
      <c r="C248" s="153">
        <f t="array" ref="C248">IF(IFERROR(-INDEX(Expenses!D$3:D$999,SMALL(IF((Expenses!E$3:E$999="INR")*(Expenses!A$3:A$999=DATE(2026,11,30)),ROW(Expenses!A$3:A$999)-2),5)),0)+IFERROR(INDEX(Income!C$3:C$502,SMALL(IF((Income!D$3:D$502="INR")*(Income!A$3:A$502=DATE(2026,11,30)),ROW(Income!A$3:A$502)-2),5)),0)=0,"",IFERROR(-INDEX(Expenses!D$3:D$999,SMALL(IF((Expenses!E$3:E$999="INR")*(Expenses!A$3:A$999=DATE(2026,11,30)),ROW(Expenses!A$3:A$999)-2),5)),0)+IFERROR(INDEX(Income!C$3:C$502,SMALL(IF((Income!D$3:D$502="INR")*(Income!A$3:A$502=DATE(2026,11,30)),ROW(Income!A$3:A$502)-2),5)),0))</f>
        <v/>
      </c>
      <c r="D248" s="126">
        <f t="array" ref="D248">IF(IFERROR(INDEX(Expenses!B$3:B$999,SMALL(IF((Expenses!E$3:E$999="INR")*(Expenses!A$3:A$999=DATE(2026,11,30)),ROW(Expenses!A$3:A$999)-2),5)),"")&lt;&gt;"",IFERROR(INDEX(Expenses!B$3:B$999,SMALL(IF((Expenses!E$3:E$999="INR")*(Expenses!A$3:A$999=DATE(2026,11,30)),ROW(Expenses!A$3:A$999)-2),5)),""),IF(IFERROR(INDEX(Income!B$3:B$502,SMALL(IF((Income!D$3:D$502="INR")*(Income!A$3:A$502=DATE(2026,11,30)),ROW(Income!A$3:A$502)-2),5)),"")&lt;&gt;"",IFERROR(INDEX(Income!B$3:B$502,SMALL(IF((Income!D$3:D$502="INR")*(Income!A$3:A$502=DATE(2026,11,30)),ROW(Income!A$3:A$502)-2),5)),""),""))</f>
        <v/>
      </c>
      <c r="E248" s="153">
        <f t="array" ref="E248">IF(IFERROR(-INDEX(Expenses!D$3:D$999,SMALL(IF((Expenses!E$3:E$999="INR")*(Expenses!A$3:A$999=DATE(2026,12,1)),ROW(Expenses!A$3:A$999)-2),5)),0)+IFERROR(INDEX(Income!C$3:C$502,SMALL(IF((Income!D$3:D$502="INR")*(Income!A$3:A$502=DATE(2026,12,1)),ROW(Income!A$3:A$502)-2),5)),0)=0,"",IFERROR(-INDEX(Expenses!D$3:D$999,SMALL(IF((Expenses!E$3:E$999="INR")*(Expenses!A$3:A$999=DATE(2026,12,1)),ROW(Expenses!A$3:A$999)-2),5)),0)+IFERROR(INDEX(Income!C$3:C$502,SMALL(IF((Income!D$3:D$502="INR")*(Income!A$3:A$502=DATE(2026,12,1)),ROW(Income!A$3:A$502)-2),5)),0))</f>
        <v/>
      </c>
      <c r="F248" s="126">
        <f t="array" ref="F248">IF(IFERROR(INDEX(Expenses!B$3:B$999,SMALL(IF((Expenses!E$3:E$999="INR")*(Expenses!A$3:A$999=DATE(2026,12,1)),ROW(Expenses!A$3:A$999)-2),5)),"")&lt;&gt;"",IFERROR(INDEX(Expenses!B$3:B$999,SMALL(IF((Expenses!E$3:E$999="INR")*(Expenses!A$3:A$999=DATE(2026,12,1)),ROW(Expenses!A$3:A$999)-2),5)),""),IF(IFERROR(INDEX(Income!B$3:B$502,SMALL(IF((Income!D$3:D$502="INR")*(Income!A$3:A$502=DATE(2026,12,1)),ROW(Income!A$3:A$502)-2),5)),"")&lt;&gt;"",IFERROR(INDEX(Income!B$3:B$502,SMALL(IF((Income!D$3:D$502="INR")*(Income!A$3:A$502=DATE(2026,12,1)),ROW(Income!A$3:A$502)-2),5)),""),""))</f>
        <v/>
      </c>
      <c r="G248" s="153">
        <f t="array" ref="G248">IF(IFERROR(-INDEX(Expenses!D$3:D$999,SMALL(IF((Expenses!E$3:E$999="INR")*(Expenses!A$3:A$999=DATE(2026,12,2)),ROW(Expenses!A$3:A$999)-2),5)),0)+IFERROR(INDEX(Income!C$3:C$502,SMALL(IF((Income!D$3:D$502="INR")*(Income!A$3:A$502=DATE(2026,12,2)),ROW(Income!A$3:A$502)-2),5)),0)=0,"",IFERROR(-INDEX(Expenses!D$3:D$999,SMALL(IF((Expenses!E$3:E$999="INR")*(Expenses!A$3:A$999=DATE(2026,12,2)),ROW(Expenses!A$3:A$999)-2),5)),0)+IFERROR(INDEX(Income!C$3:C$502,SMALL(IF((Income!D$3:D$502="INR")*(Income!A$3:A$502=DATE(2026,12,2)),ROW(Income!A$3:A$502)-2),5)),0))</f>
        <v/>
      </c>
      <c r="H248" s="126">
        <f t="array" ref="H248">IF(IFERROR(INDEX(Expenses!B$3:B$999,SMALL(IF((Expenses!E$3:E$999="INR")*(Expenses!A$3:A$999=DATE(2026,12,2)),ROW(Expenses!A$3:A$999)-2),5)),"")&lt;&gt;"",IFERROR(INDEX(Expenses!B$3:B$999,SMALL(IF((Expenses!E$3:E$999="INR")*(Expenses!A$3:A$999=DATE(2026,12,2)),ROW(Expenses!A$3:A$999)-2),5)),""),IF(IFERROR(INDEX(Income!B$3:B$502,SMALL(IF((Income!D$3:D$502="INR")*(Income!A$3:A$502=DATE(2026,12,2)),ROW(Income!A$3:A$502)-2),5)),"")&lt;&gt;"",IFERROR(INDEX(Income!B$3:B$502,SMALL(IF((Income!D$3:D$502="INR")*(Income!A$3:A$502=DATE(2026,12,2)),ROW(Income!A$3:A$502)-2),5)),""),""))</f>
        <v/>
      </c>
      <c r="I248" s="153">
        <f t="array" ref="I248">IF(IFERROR(-INDEX(Expenses!D$3:D$999,SMALL(IF((Expenses!E$3:E$999="INR")*(Expenses!A$3:A$999=DATE(2026,12,3)),ROW(Expenses!A$3:A$999)-2),5)),0)+IFERROR(INDEX(Income!C$3:C$502,SMALL(IF((Income!D$3:D$502="INR")*(Income!A$3:A$502=DATE(2026,12,3)),ROW(Income!A$3:A$502)-2),5)),0)=0,"",IFERROR(-INDEX(Expenses!D$3:D$999,SMALL(IF((Expenses!E$3:E$999="INR")*(Expenses!A$3:A$999=DATE(2026,12,3)),ROW(Expenses!A$3:A$999)-2),5)),0)+IFERROR(INDEX(Income!C$3:C$502,SMALL(IF((Income!D$3:D$502="INR")*(Income!A$3:A$502=DATE(2026,12,3)),ROW(Income!A$3:A$502)-2),5)),0))</f>
        <v/>
      </c>
      <c r="J248" s="126">
        <f t="array" ref="J248">IF(IFERROR(INDEX(Expenses!B$3:B$999,SMALL(IF((Expenses!E$3:E$999="INR")*(Expenses!A$3:A$999=DATE(2026,12,3)),ROW(Expenses!A$3:A$999)-2),5)),"")&lt;&gt;"",IFERROR(INDEX(Expenses!B$3:B$999,SMALL(IF((Expenses!E$3:E$999="INR")*(Expenses!A$3:A$999=DATE(2026,12,3)),ROW(Expenses!A$3:A$999)-2),5)),""),IF(IFERROR(INDEX(Income!B$3:B$502,SMALL(IF((Income!D$3:D$502="INR")*(Income!A$3:A$502=DATE(2026,12,3)),ROW(Income!A$3:A$502)-2),5)),"")&lt;&gt;"",IFERROR(INDEX(Income!B$3:B$502,SMALL(IF((Income!D$3:D$502="INR")*(Income!A$3:A$502=DATE(2026,12,3)),ROW(Income!A$3:A$502)-2),5)),""),""))</f>
        <v/>
      </c>
      <c r="K248" s="153">
        <f t="array" ref="K248">IF(IFERROR(-INDEX(Expenses!D$3:D$999,SMALL(IF((Expenses!E$3:E$999="INR")*(Expenses!A$3:A$999=DATE(2026,12,4)),ROW(Expenses!A$3:A$999)-2),5)),0)+IFERROR(INDEX(Income!C$3:C$502,SMALL(IF((Income!D$3:D$502="INR")*(Income!A$3:A$502=DATE(2026,12,4)),ROW(Income!A$3:A$502)-2),5)),0)=0,"",IFERROR(-INDEX(Expenses!D$3:D$999,SMALL(IF((Expenses!E$3:E$999="INR")*(Expenses!A$3:A$999=DATE(2026,12,4)),ROW(Expenses!A$3:A$999)-2),5)),0)+IFERROR(INDEX(Income!C$3:C$502,SMALL(IF((Income!D$3:D$502="INR")*(Income!A$3:A$502=DATE(2026,12,4)),ROW(Income!A$3:A$502)-2),5)),0))</f>
        <v/>
      </c>
      <c r="L248" s="126">
        <f t="array" ref="L248">IF(IFERROR(INDEX(Expenses!B$3:B$999,SMALL(IF((Expenses!E$3:E$999="INR")*(Expenses!A$3:A$999=DATE(2026,12,4)),ROW(Expenses!A$3:A$999)-2),5)),"")&lt;&gt;"",IFERROR(INDEX(Expenses!B$3:B$999,SMALL(IF((Expenses!E$3:E$999="INR")*(Expenses!A$3:A$999=DATE(2026,12,4)),ROW(Expenses!A$3:A$999)-2),5)),""),IF(IFERROR(INDEX(Income!B$3:B$502,SMALL(IF((Income!D$3:D$502="INR")*(Income!A$3:A$502=DATE(2026,12,4)),ROW(Income!A$3:A$502)-2),5)),"")&lt;&gt;"",IFERROR(INDEX(Income!B$3:B$502,SMALL(IF((Income!D$3:D$502="INR")*(Income!A$3:A$502=DATE(2026,12,4)),ROW(Income!A$3:A$502)-2),5)),""),""))</f>
        <v/>
      </c>
      <c r="M248" s="153">
        <f t="array" ref="M248">IF(IFERROR(-INDEX(Expenses!D$3:D$999,SMALL(IF((Expenses!E$3:E$999="INR")*(Expenses!A$3:A$999=DATE(2026,12,5)),ROW(Expenses!A$3:A$999)-2),5)),0)+IFERROR(INDEX(Income!C$3:C$502,SMALL(IF((Income!D$3:D$502="INR")*(Income!A$3:A$502=DATE(2026,12,5)),ROW(Income!A$3:A$502)-2),5)),0)=0,"",IFERROR(-INDEX(Expenses!D$3:D$999,SMALL(IF((Expenses!E$3:E$999="INR")*(Expenses!A$3:A$999=DATE(2026,12,5)),ROW(Expenses!A$3:A$999)-2),5)),0)+IFERROR(INDEX(Income!C$3:C$502,SMALL(IF((Income!D$3:D$502="INR")*(Income!A$3:A$502=DATE(2026,12,5)),ROW(Income!A$3:A$502)-2),5)),0))</f>
        <v/>
      </c>
      <c r="N248" s="126">
        <f t="array" ref="N248">IF(IFERROR(INDEX(Expenses!B$3:B$999,SMALL(IF((Expenses!E$3:E$999="INR")*(Expenses!A$3:A$999=DATE(2026,12,5)),ROW(Expenses!A$3:A$999)-2),5)),"")&lt;&gt;"",IFERROR(INDEX(Expenses!B$3:B$999,SMALL(IF((Expenses!E$3:E$999="INR")*(Expenses!A$3:A$999=DATE(2026,12,5)),ROW(Expenses!A$3:A$999)-2),5)),""),IF(IFERROR(INDEX(Income!B$3:B$502,SMALL(IF((Income!D$3:D$502="INR")*(Income!A$3:A$502=DATE(2026,12,5)),ROW(Income!A$3:A$502)-2),5)),"")&lt;&gt;"",IFERROR(INDEX(Income!B$3:B$502,SMALL(IF((Income!D$3:D$502="INR")*(Income!A$3:A$502=DATE(2026,12,5)),ROW(Income!A$3:A$502)-2),5)),""),""))</f>
        <v/>
      </c>
      <c r="O248" s="153">
        <f t="array" ref="O248">IF(IFERROR(-INDEX(Expenses!D$3:D$999,SMALL(IF((Expenses!E$3:E$999="INR")*(Expenses!A$3:A$999=DATE(2026,12,6)),ROW(Expenses!A$3:A$999)-2),5)),0)+IFERROR(INDEX(Income!C$3:C$502,SMALL(IF((Income!D$3:D$502="INR")*(Income!A$3:A$502=DATE(2026,12,6)),ROW(Income!A$3:A$502)-2),5)),0)=0,"",IFERROR(-INDEX(Expenses!D$3:D$999,SMALL(IF((Expenses!E$3:E$999="INR")*(Expenses!A$3:A$999=DATE(2026,12,6)),ROW(Expenses!A$3:A$999)-2),5)),0)+IFERROR(INDEX(Income!C$3:C$502,SMALL(IF((Income!D$3:D$502="INR")*(Income!A$3:A$502=DATE(2026,12,6)),ROW(Income!A$3:A$502)-2),5)),0))</f>
        <v/>
      </c>
      <c r="P248" s="126">
        <f t="array" ref="P248">IF(IFERROR(INDEX(Expenses!B$3:B$999,SMALL(IF((Expenses!E$3:E$999="INR")*(Expenses!A$3:A$999=DATE(2026,12,6)),ROW(Expenses!A$3:A$999)-2),5)),"")&lt;&gt;"",IFERROR(INDEX(Expenses!B$3:B$999,SMALL(IF((Expenses!E$3:E$999="INR")*(Expenses!A$3:A$999=DATE(2026,12,6)),ROW(Expenses!A$3:A$999)-2),5)),""),IF(IFERROR(INDEX(Income!B$3:B$502,SMALL(IF((Income!D$3:D$502="INR")*(Income!A$3:A$502=DATE(2026,12,6)),ROW(Income!A$3:A$502)-2),5)),"")&lt;&gt;"",IFERROR(INDEX(Income!B$3:B$502,SMALL(IF((Income!D$3:D$502="INR")*(Income!A$3:A$502=DATE(2026,12,6)),ROW(Income!A$3:A$502)-2),5)),""),""))</f>
        <v/>
      </c>
      <c r="Q248" s="9" t="n"/>
      <c r="R248" s="9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68">
      <c r="A249" s="151" t="n">
        <v>46363</v>
      </c>
      <c r="B249" s="103" t="n">
        <v>50</v>
      </c>
      <c r="C249" s="153">
        <f t="array" ref="C249">IF(IFERROR(-INDEX(Expenses!D$3:D$999,SMALL(IF((Expenses!E$3:E$999="INR")*(Expenses!A$3:A$999=DATE(2026,12,7)),ROW(Expenses!A$3:A$999)-2),1)),0)+IFERROR(INDEX(Income!C$3:C$502,SMALL(IF((Income!D$3:D$502="INR")*(Income!A$3:A$502=DATE(2026,12,7)),ROW(Income!A$3:A$502)-2),1)),0)=0,"",IFERROR(-INDEX(Expenses!D$3:D$999,SMALL(IF((Expenses!E$3:E$999="INR")*(Expenses!A$3:A$999=DATE(2026,12,7)),ROW(Expenses!A$3:A$999)-2),1)),0)+IFERROR(INDEX(Income!C$3:C$502,SMALL(IF((Income!D$3:D$502="INR")*(Income!A$3:A$502=DATE(2026,12,7)),ROW(Income!A$3:A$502)-2),1)),0))</f>
        <v/>
      </c>
      <c r="D249" s="126">
        <f t="array" ref="D249">IF(IFERROR(INDEX(Expenses!B$3:B$999,SMALL(IF((Expenses!E$3:E$999="INR")*(Expenses!A$3:A$999=DATE(2026,12,7)),ROW(Expenses!A$3:A$999)-2),1)),"")&lt;&gt;"",IFERROR(INDEX(Expenses!B$3:B$999,SMALL(IF((Expenses!E$3:E$999="INR")*(Expenses!A$3:A$999=DATE(2026,12,7)),ROW(Expenses!A$3:A$999)-2),1)),""),IF(IFERROR(INDEX(Income!B$3:B$502,SMALL(IF((Income!D$3:D$502="INR")*(Income!A$3:A$502=DATE(2026,12,7)),ROW(Income!A$3:A$502)-2),1)),"")&lt;&gt;"",IFERROR(INDEX(Income!B$3:B$502,SMALL(IF((Income!D$3:D$502="INR")*(Income!A$3:A$502=DATE(2026,12,7)),ROW(Income!A$3:A$502)-2),1)),""),""))</f>
        <v/>
      </c>
      <c r="E249" s="153">
        <f t="array" ref="E249">IF(IFERROR(-INDEX(Expenses!D$3:D$999,SMALL(IF((Expenses!E$3:E$999="INR")*(Expenses!A$3:A$999=DATE(2026,12,8)),ROW(Expenses!A$3:A$999)-2),1)),0)+IFERROR(INDEX(Income!C$3:C$502,SMALL(IF((Income!D$3:D$502="INR")*(Income!A$3:A$502=DATE(2026,12,8)),ROW(Income!A$3:A$502)-2),1)),0)=0,"",IFERROR(-INDEX(Expenses!D$3:D$999,SMALL(IF((Expenses!E$3:E$999="INR")*(Expenses!A$3:A$999=DATE(2026,12,8)),ROW(Expenses!A$3:A$999)-2),1)),0)+IFERROR(INDEX(Income!C$3:C$502,SMALL(IF((Income!D$3:D$502="INR")*(Income!A$3:A$502=DATE(2026,12,8)),ROW(Income!A$3:A$502)-2),1)),0))</f>
        <v/>
      </c>
      <c r="F249" s="126">
        <f t="array" ref="F249">IF(IFERROR(INDEX(Expenses!B$3:B$999,SMALL(IF((Expenses!E$3:E$999="INR")*(Expenses!A$3:A$999=DATE(2026,12,8)),ROW(Expenses!A$3:A$999)-2),1)),"")&lt;&gt;"",IFERROR(INDEX(Expenses!B$3:B$999,SMALL(IF((Expenses!E$3:E$999="INR")*(Expenses!A$3:A$999=DATE(2026,12,8)),ROW(Expenses!A$3:A$999)-2),1)),""),IF(IFERROR(INDEX(Income!B$3:B$502,SMALL(IF((Income!D$3:D$502="INR")*(Income!A$3:A$502=DATE(2026,12,8)),ROW(Income!A$3:A$502)-2),1)),"")&lt;&gt;"",IFERROR(INDEX(Income!B$3:B$502,SMALL(IF((Income!D$3:D$502="INR")*(Income!A$3:A$502=DATE(2026,12,8)),ROW(Income!A$3:A$502)-2),1)),""),""))</f>
        <v/>
      </c>
      <c r="G249" s="153">
        <f t="array" ref="G249">IF(IFERROR(-INDEX(Expenses!D$3:D$999,SMALL(IF((Expenses!E$3:E$999="INR")*(Expenses!A$3:A$999=DATE(2026,12,9)),ROW(Expenses!A$3:A$999)-2),1)),0)+IFERROR(INDEX(Income!C$3:C$502,SMALL(IF((Income!D$3:D$502="INR")*(Income!A$3:A$502=DATE(2026,12,9)),ROW(Income!A$3:A$502)-2),1)),0)=0,"",IFERROR(-INDEX(Expenses!D$3:D$999,SMALL(IF((Expenses!E$3:E$999="INR")*(Expenses!A$3:A$999=DATE(2026,12,9)),ROW(Expenses!A$3:A$999)-2),1)),0)+IFERROR(INDEX(Income!C$3:C$502,SMALL(IF((Income!D$3:D$502="INR")*(Income!A$3:A$502=DATE(2026,12,9)),ROW(Income!A$3:A$502)-2),1)),0))</f>
        <v/>
      </c>
      <c r="H249" s="126">
        <f t="array" ref="H249">IF(IFERROR(INDEX(Expenses!B$3:B$999,SMALL(IF((Expenses!E$3:E$999="INR")*(Expenses!A$3:A$999=DATE(2026,12,9)),ROW(Expenses!A$3:A$999)-2),1)),"")&lt;&gt;"",IFERROR(INDEX(Expenses!B$3:B$999,SMALL(IF((Expenses!E$3:E$999="INR")*(Expenses!A$3:A$999=DATE(2026,12,9)),ROW(Expenses!A$3:A$999)-2),1)),""),IF(IFERROR(INDEX(Income!B$3:B$502,SMALL(IF((Income!D$3:D$502="INR")*(Income!A$3:A$502=DATE(2026,12,9)),ROW(Income!A$3:A$502)-2),1)),"")&lt;&gt;"",IFERROR(INDEX(Income!B$3:B$502,SMALL(IF((Income!D$3:D$502="INR")*(Income!A$3:A$502=DATE(2026,12,9)),ROW(Income!A$3:A$502)-2),1)),""),""))</f>
        <v/>
      </c>
      <c r="I249" s="153">
        <f t="array" ref="I249">IF(IFERROR(-INDEX(Expenses!D$3:D$999,SMALL(IF((Expenses!E$3:E$999="INR")*(Expenses!A$3:A$999=DATE(2026,12,10)),ROW(Expenses!A$3:A$999)-2),1)),0)+IFERROR(INDEX(Income!C$3:C$502,SMALL(IF((Income!D$3:D$502="INR")*(Income!A$3:A$502=DATE(2026,12,10)),ROW(Income!A$3:A$502)-2),1)),0)=0,"",IFERROR(-INDEX(Expenses!D$3:D$999,SMALL(IF((Expenses!E$3:E$999="INR")*(Expenses!A$3:A$999=DATE(2026,12,10)),ROW(Expenses!A$3:A$999)-2),1)),0)+IFERROR(INDEX(Income!C$3:C$502,SMALL(IF((Income!D$3:D$502="INR")*(Income!A$3:A$502=DATE(2026,12,10)),ROW(Income!A$3:A$502)-2),1)),0))</f>
        <v/>
      </c>
      <c r="J249" s="126">
        <f t="array" ref="J249">IF(IFERROR(INDEX(Expenses!B$3:B$999,SMALL(IF((Expenses!E$3:E$999="INR")*(Expenses!A$3:A$999=DATE(2026,12,10)),ROW(Expenses!A$3:A$999)-2),1)),"")&lt;&gt;"",IFERROR(INDEX(Expenses!B$3:B$999,SMALL(IF((Expenses!E$3:E$999="INR")*(Expenses!A$3:A$999=DATE(2026,12,10)),ROW(Expenses!A$3:A$999)-2),1)),""),IF(IFERROR(INDEX(Income!B$3:B$502,SMALL(IF((Income!D$3:D$502="INR")*(Income!A$3:A$502=DATE(2026,12,10)),ROW(Income!A$3:A$502)-2),1)),"")&lt;&gt;"",IFERROR(INDEX(Income!B$3:B$502,SMALL(IF((Income!D$3:D$502="INR")*(Income!A$3:A$502=DATE(2026,12,10)),ROW(Income!A$3:A$502)-2),1)),""),""))</f>
        <v/>
      </c>
      <c r="K249" s="153">
        <f t="array" ref="K249">IF(IFERROR(-INDEX(Expenses!D$3:D$999,SMALL(IF((Expenses!E$3:E$999="INR")*(Expenses!A$3:A$999=DATE(2026,12,11)),ROW(Expenses!A$3:A$999)-2),1)),0)+IFERROR(INDEX(Income!C$3:C$502,SMALL(IF((Income!D$3:D$502="INR")*(Income!A$3:A$502=DATE(2026,12,11)),ROW(Income!A$3:A$502)-2),1)),0)=0,"",IFERROR(-INDEX(Expenses!D$3:D$999,SMALL(IF((Expenses!E$3:E$999="INR")*(Expenses!A$3:A$999=DATE(2026,12,11)),ROW(Expenses!A$3:A$999)-2),1)),0)+IFERROR(INDEX(Income!C$3:C$502,SMALL(IF((Income!D$3:D$502="INR")*(Income!A$3:A$502=DATE(2026,12,11)),ROW(Income!A$3:A$502)-2),1)),0))</f>
        <v/>
      </c>
      <c r="L249" s="126">
        <f t="array" ref="L249">IF(IFERROR(INDEX(Expenses!B$3:B$999,SMALL(IF((Expenses!E$3:E$999="INR")*(Expenses!A$3:A$999=DATE(2026,12,11)),ROW(Expenses!A$3:A$999)-2),1)),"")&lt;&gt;"",IFERROR(INDEX(Expenses!B$3:B$999,SMALL(IF((Expenses!E$3:E$999="INR")*(Expenses!A$3:A$999=DATE(2026,12,11)),ROW(Expenses!A$3:A$999)-2),1)),""),IF(IFERROR(INDEX(Income!B$3:B$502,SMALL(IF((Income!D$3:D$502="INR")*(Income!A$3:A$502=DATE(2026,12,11)),ROW(Income!A$3:A$502)-2),1)),"")&lt;&gt;"",IFERROR(INDEX(Income!B$3:B$502,SMALL(IF((Income!D$3:D$502="INR")*(Income!A$3:A$502=DATE(2026,12,11)),ROW(Income!A$3:A$502)-2),1)),""),""))</f>
        <v/>
      </c>
      <c r="M249" s="153">
        <f t="array" ref="M249">IF(IFERROR(-INDEX(Expenses!D$3:D$999,SMALL(IF((Expenses!E$3:E$999="INR")*(Expenses!A$3:A$999=DATE(2026,12,12)),ROW(Expenses!A$3:A$999)-2),1)),0)+IFERROR(INDEX(Income!C$3:C$502,SMALL(IF((Income!D$3:D$502="INR")*(Income!A$3:A$502=DATE(2026,12,12)),ROW(Income!A$3:A$502)-2),1)),0)=0,"",IFERROR(-INDEX(Expenses!D$3:D$999,SMALL(IF((Expenses!E$3:E$999="INR")*(Expenses!A$3:A$999=DATE(2026,12,12)),ROW(Expenses!A$3:A$999)-2),1)),0)+IFERROR(INDEX(Income!C$3:C$502,SMALL(IF((Income!D$3:D$502="INR")*(Income!A$3:A$502=DATE(2026,12,12)),ROW(Income!A$3:A$502)-2),1)),0))</f>
        <v/>
      </c>
      <c r="N249" s="126">
        <f t="array" ref="N249">IF(IFERROR(INDEX(Expenses!B$3:B$999,SMALL(IF((Expenses!E$3:E$999="INR")*(Expenses!A$3:A$999=DATE(2026,12,12)),ROW(Expenses!A$3:A$999)-2),1)),"")&lt;&gt;"",IFERROR(INDEX(Expenses!B$3:B$999,SMALL(IF((Expenses!E$3:E$999="INR")*(Expenses!A$3:A$999=DATE(2026,12,12)),ROW(Expenses!A$3:A$999)-2),1)),""),IF(IFERROR(INDEX(Income!B$3:B$502,SMALL(IF((Income!D$3:D$502="INR")*(Income!A$3:A$502=DATE(2026,12,12)),ROW(Income!A$3:A$502)-2),1)),"")&lt;&gt;"",IFERROR(INDEX(Income!B$3:B$502,SMALL(IF((Income!D$3:D$502="INR")*(Income!A$3:A$502=DATE(2026,12,12)),ROW(Income!A$3:A$502)-2),1)),""),""))</f>
        <v/>
      </c>
      <c r="O249" s="153">
        <f t="array" ref="O249">IF(IFERROR(-INDEX(Expenses!D$3:D$999,SMALL(IF((Expenses!E$3:E$999="INR")*(Expenses!A$3:A$999=DATE(2026,12,13)),ROW(Expenses!A$3:A$999)-2),1)),0)+IFERROR(INDEX(Income!C$3:C$502,SMALL(IF((Income!D$3:D$502="INR")*(Income!A$3:A$502=DATE(2026,12,13)),ROW(Income!A$3:A$502)-2),1)),0)=0,"",IFERROR(-INDEX(Expenses!D$3:D$999,SMALL(IF((Expenses!E$3:E$999="INR")*(Expenses!A$3:A$999=DATE(2026,12,13)),ROW(Expenses!A$3:A$999)-2),1)),0)+IFERROR(INDEX(Income!C$3:C$502,SMALL(IF((Income!D$3:D$502="INR")*(Income!A$3:A$502=DATE(2026,12,13)),ROW(Income!A$3:A$502)-2),1)),0))</f>
        <v/>
      </c>
      <c r="P249" s="126">
        <f t="array" ref="P249">IF(IFERROR(INDEX(Expenses!B$3:B$999,SMALL(IF((Expenses!E$3:E$999="INR")*(Expenses!A$3:A$999=DATE(2026,12,13)),ROW(Expenses!A$3:A$999)-2),1)),"")&lt;&gt;"",IFERROR(INDEX(Expenses!B$3:B$999,SMALL(IF((Expenses!E$3:E$999="INR")*(Expenses!A$3:A$999=DATE(2026,12,13)),ROW(Expenses!A$3:A$999)-2),1)),""),IF(IFERROR(INDEX(Income!B$3:B$502,SMALL(IF((Income!D$3:D$502="INR")*(Income!A$3:A$502=DATE(2026,12,13)),ROW(Income!A$3:A$502)-2),1)),"")&lt;&gt;"",IFERROR(INDEX(Income!B$3:B$502,SMALL(IF((Income!D$3:D$502="INR")*(Income!A$3:A$502=DATE(2026,12,13)),ROW(Income!A$3:A$502)-2),1)),""),""))</f>
        <v/>
      </c>
      <c r="Q249" s="103" t="n">
        <v>50</v>
      </c>
      <c r="R249" s="142">
        <f>SUM(C249:C253)+SUM(E249:E253)+SUM(G249:G253)+SUM(I249:I253)+SUM(K249:K253)+SUM(M249:M253)+SUM(O249:O253)</f>
        <v/>
      </c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68">
      <c r="A250" s="9" t="n"/>
      <c r="B250" s="9" t="n"/>
      <c r="C250" s="153">
        <f t="array" ref="C250">IF(IFERROR(-INDEX(Expenses!D$3:D$999,SMALL(IF((Expenses!E$3:E$999="INR")*(Expenses!A$3:A$999=DATE(2026,12,7)),ROW(Expenses!A$3:A$999)-2),2)),0)+IFERROR(INDEX(Income!C$3:C$502,SMALL(IF((Income!D$3:D$502="INR")*(Income!A$3:A$502=DATE(2026,12,7)),ROW(Income!A$3:A$502)-2),2)),0)=0,"",IFERROR(-INDEX(Expenses!D$3:D$999,SMALL(IF((Expenses!E$3:E$999="INR")*(Expenses!A$3:A$999=DATE(2026,12,7)),ROW(Expenses!A$3:A$999)-2),2)),0)+IFERROR(INDEX(Income!C$3:C$502,SMALL(IF((Income!D$3:D$502="INR")*(Income!A$3:A$502=DATE(2026,12,7)),ROW(Income!A$3:A$502)-2),2)),0))</f>
        <v/>
      </c>
      <c r="D250" s="126">
        <f t="array" ref="D250">IF(IFERROR(INDEX(Expenses!B$3:B$999,SMALL(IF((Expenses!E$3:E$999="INR")*(Expenses!A$3:A$999=DATE(2026,12,7)),ROW(Expenses!A$3:A$999)-2),2)),"")&lt;&gt;"",IFERROR(INDEX(Expenses!B$3:B$999,SMALL(IF((Expenses!E$3:E$999="INR")*(Expenses!A$3:A$999=DATE(2026,12,7)),ROW(Expenses!A$3:A$999)-2),2)),""),IF(IFERROR(INDEX(Income!B$3:B$502,SMALL(IF((Income!D$3:D$502="INR")*(Income!A$3:A$502=DATE(2026,12,7)),ROW(Income!A$3:A$502)-2),2)),"")&lt;&gt;"",IFERROR(INDEX(Income!B$3:B$502,SMALL(IF((Income!D$3:D$502="INR")*(Income!A$3:A$502=DATE(2026,12,7)),ROW(Income!A$3:A$502)-2),2)),""),""))</f>
        <v/>
      </c>
      <c r="E250" s="153">
        <f t="array" ref="E250">IF(IFERROR(-INDEX(Expenses!D$3:D$999,SMALL(IF((Expenses!E$3:E$999="INR")*(Expenses!A$3:A$999=DATE(2026,12,8)),ROW(Expenses!A$3:A$999)-2),2)),0)+IFERROR(INDEX(Income!C$3:C$502,SMALL(IF((Income!D$3:D$502="INR")*(Income!A$3:A$502=DATE(2026,12,8)),ROW(Income!A$3:A$502)-2),2)),0)=0,"",IFERROR(-INDEX(Expenses!D$3:D$999,SMALL(IF((Expenses!E$3:E$999="INR")*(Expenses!A$3:A$999=DATE(2026,12,8)),ROW(Expenses!A$3:A$999)-2),2)),0)+IFERROR(INDEX(Income!C$3:C$502,SMALL(IF((Income!D$3:D$502="INR")*(Income!A$3:A$502=DATE(2026,12,8)),ROW(Income!A$3:A$502)-2),2)),0))</f>
        <v/>
      </c>
      <c r="F250" s="126">
        <f t="array" ref="F250">IF(IFERROR(INDEX(Expenses!B$3:B$999,SMALL(IF((Expenses!E$3:E$999="INR")*(Expenses!A$3:A$999=DATE(2026,12,8)),ROW(Expenses!A$3:A$999)-2),2)),"")&lt;&gt;"",IFERROR(INDEX(Expenses!B$3:B$999,SMALL(IF((Expenses!E$3:E$999="INR")*(Expenses!A$3:A$999=DATE(2026,12,8)),ROW(Expenses!A$3:A$999)-2),2)),""),IF(IFERROR(INDEX(Income!B$3:B$502,SMALL(IF((Income!D$3:D$502="INR")*(Income!A$3:A$502=DATE(2026,12,8)),ROW(Income!A$3:A$502)-2),2)),"")&lt;&gt;"",IFERROR(INDEX(Income!B$3:B$502,SMALL(IF((Income!D$3:D$502="INR")*(Income!A$3:A$502=DATE(2026,12,8)),ROW(Income!A$3:A$502)-2),2)),""),""))</f>
        <v/>
      </c>
      <c r="G250" s="153">
        <f t="array" ref="G250">IF(IFERROR(-INDEX(Expenses!D$3:D$999,SMALL(IF((Expenses!E$3:E$999="INR")*(Expenses!A$3:A$999=DATE(2026,12,9)),ROW(Expenses!A$3:A$999)-2),2)),0)+IFERROR(INDEX(Income!C$3:C$502,SMALL(IF((Income!D$3:D$502="INR")*(Income!A$3:A$502=DATE(2026,12,9)),ROW(Income!A$3:A$502)-2),2)),0)=0,"",IFERROR(-INDEX(Expenses!D$3:D$999,SMALL(IF((Expenses!E$3:E$999="INR")*(Expenses!A$3:A$999=DATE(2026,12,9)),ROW(Expenses!A$3:A$999)-2),2)),0)+IFERROR(INDEX(Income!C$3:C$502,SMALL(IF((Income!D$3:D$502="INR")*(Income!A$3:A$502=DATE(2026,12,9)),ROW(Income!A$3:A$502)-2),2)),0))</f>
        <v/>
      </c>
      <c r="H250" s="126">
        <f t="array" ref="H250">IF(IFERROR(INDEX(Expenses!B$3:B$999,SMALL(IF((Expenses!E$3:E$999="INR")*(Expenses!A$3:A$999=DATE(2026,12,9)),ROW(Expenses!A$3:A$999)-2),2)),"")&lt;&gt;"",IFERROR(INDEX(Expenses!B$3:B$999,SMALL(IF((Expenses!E$3:E$999="INR")*(Expenses!A$3:A$999=DATE(2026,12,9)),ROW(Expenses!A$3:A$999)-2),2)),""),IF(IFERROR(INDEX(Income!B$3:B$502,SMALL(IF((Income!D$3:D$502="INR")*(Income!A$3:A$502=DATE(2026,12,9)),ROW(Income!A$3:A$502)-2),2)),"")&lt;&gt;"",IFERROR(INDEX(Income!B$3:B$502,SMALL(IF((Income!D$3:D$502="INR")*(Income!A$3:A$502=DATE(2026,12,9)),ROW(Income!A$3:A$502)-2),2)),""),""))</f>
        <v/>
      </c>
      <c r="I250" s="153">
        <f t="array" ref="I250">IF(IFERROR(-INDEX(Expenses!D$3:D$999,SMALL(IF((Expenses!E$3:E$999="INR")*(Expenses!A$3:A$999=DATE(2026,12,10)),ROW(Expenses!A$3:A$999)-2),2)),0)+IFERROR(INDEX(Income!C$3:C$502,SMALL(IF((Income!D$3:D$502="INR")*(Income!A$3:A$502=DATE(2026,12,10)),ROW(Income!A$3:A$502)-2),2)),0)=0,"",IFERROR(-INDEX(Expenses!D$3:D$999,SMALL(IF((Expenses!E$3:E$999="INR")*(Expenses!A$3:A$999=DATE(2026,12,10)),ROW(Expenses!A$3:A$999)-2),2)),0)+IFERROR(INDEX(Income!C$3:C$502,SMALL(IF((Income!D$3:D$502="INR")*(Income!A$3:A$502=DATE(2026,12,10)),ROW(Income!A$3:A$502)-2),2)),0))</f>
        <v/>
      </c>
      <c r="J250" s="126">
        <f t="array" ref="J250">IF(IFERROR(INDEX(Expenses!B$3:B$999,SMALL(IF((Expenses!E$3:E$999="INR")*(Expenses!A$3:A$999=DATE(2026,12,10)),ROW(Expenses!A$3:A$999)-2),2)),"")&lt;&gt;"",IFERROR(INDEX(Expenses!B$3:B$999,SMALL(IF((Expenses!E$3:E$999="INR")*(Expenses!A$3:A$999=DATE(2026,12,10)),ROW(Expenses!A$3:A$999)-2),2)),""),IF(IFERROR(INDEX(Income!B$3:B$502,SMALL(IF((Income!D$3:D$502="INR")*(Income!A$3:A$502=DATE(2026,12,10)),ROW(Income!A$3:A$502)-2),2)),"")&lt;&gt;"",IFERROR(INDEX(Income!B$3:B$502,SMALL(IF((Income!D$3:D$502="INR")*(Income!A$3:A$502=DATE(2026,12,10)),ROW(Income!A$3:A$502)-2),2)),""),""))</f>
        <v/>
      </c>
      <c r="K250" s="153">
        <f t="array" ref="K250">IF(IFERROR(-INDEX(Expenses!D$3:D$999,SMALL(IF((Expenses!E$3:E$999="INR")*(Expenses!A$3:A$999=DATE(2026,12,11)),ROW(Expenses!A$3:A$999)-2),2)),0)+IFERROR(INDEX(Income!C$3:C$502,SMALL(IF((Income!D$3:D$502="INR")*(Income!A$3:A$502=DATE(2026,12,11)),ROW(Income!A$3:A$502)-2),2)),0)=0,"",IFERROR(-INDEX(Expenses!D$3:D$999,SMALL(IF((Expenses!E$3:E$999="INR")*(Expenses!A$3:A$999=DATE(2026,12,11)),ROW(Expenses!A$3:A$999)-2),2)),0)+IFERROR(INDEX(Income!C$3:C$502,SMALL(IF((Income!D$3:D$502="INR")*(Income!A$3:A$502=DATE(2026,12,11)),ROW(Income!A$3:A$502)-2),2)),0))</f>
        <v/>
      </c>
      <c r="L250" s="126">
        <f t="array" ref="L250">IF(IFERROR(INDEX(Expenses!B$3:B$999,SMALL(IF((Expenses!E$3:E$999="INR")*(Expenses!A$3:A$999=DATE(2026,12,11)),ROW(Expenses!A$3:A$999)-2),2)),"")&lt;&gt;"",IFERROR(INDEX(Expenses!B$3:B$999,SMALL(IF((Expenses!E$3:E$999="INR")*(Expenses!A$3:A$999=DATE(2026,12,11)),ROW(Expenses!A$3:A$999)-2),2)),""),IF(IFERROR(INDEX(Income!B$3:B$502,SMALL(IF((Income!D$3:D$502="INR")*(Income!A$3:A$502=DATE(2026,12,11)),ROW(Income!A$3:A$502)-2),2)),"")&lt;&gt;"",IFERROR(INDEX(Income!B$3:B$502,SMALL(IF((Income!D$3:D$502="INR")*(Income!A$3:A$502=DATE(2026,12,11)),ROW(Income!A$3:A$502)-2),2)),""),""))</f>
        <v/>
      </c>
      <c r="M250" s="153">
        <f t="array" ref="M250">IF(IFERROR(-INDEX(Expenses!D$3:D$999,SMALL(IF((Expenses!E$3:E$999="INR")*(Expenses!A$3:A$999=DATE(2026,12,12)),ROW(Expenses!A$3:A$999)-2),2)),0)+IFERROR(INDEX(Income!C$3:C$502,SMALL(IF((Income!D$3:D$502="INR")*(Income!A$3:A$502=DATE(2026,12,12)),ROW(Income!A$3:A$502)-2),2)),0)=0,"",IFERROR(-INDEX(Expenses!D$3:D$999,SMALL(IF((Expenses!E$3:E$999="INR")*(Expenses!A$3:A$999=DATE(2026,12,12)),ROW(Expenses!A$3:A$999)-2),2)),0)+IFERROR(INDEX(Income!C$3:C$502,SMALL(IF((Income!D$3:D$502="INR")*(Income!A$3:A$502=DATE(2026,12,12)),ROW(Income!A$3:A$502)-2),2)),0))</f>
        <v/>
      </c>
      <c r="N250" s="126">
        <f t="array" ref="N250">IF(IFERROR(INDEX(Expenses!B$3:B$999,SMALL(IF((Expenses!E$3:E$999="INR")*(Expenses!A$3:A$999=DATE(2026,12,12)),ROW(Expenses!A$3:A$999)-2),2)),"")&lt;&gt;"",IFERROR(INDEX(Expenses!B$3:B$999,SMALL(IF((Expenses!E$3:E$999="INR")*(Expenses!A$3:A$999=DATE(2026,12,12)),ROW(Expenses!A$3:A$999)-2),2)),""),IF(IFERROR(INDEX(Income!B$3:B$502,SMALL(IF((Income!D$3:D$502="INR")*(Income!A$3:A$502=DATE(2026,12,12)),ROW(Income!A$3:A$502)-2),2)),"")&lt;&gt;"",IFERROR(INDEX(Income!B$3:B$502,SMALL(IF((Income!D$3:D$502="INR")*(Income!A$3:A$502=DATE(2026,12,12)),ROW(Income!A$3:A$502)-2),2)),""),""))</f>
        <v/>
      </c>
      <c r="O250" s="153">
        <f t="array" ref="O250">IF(IFERROR(-INDEX(Expenses!D$3:D$999,SMALL(IF((Expenses!E$3:E$999="INR")*(Expenses!A$3:A$999=DATE(2026,12,13)),ROW(Expenses!A$3:A$999)-2),2)),0)+IFERROR(INDEX(Income!C$3:C$502,SMALL(IF((Income!D$3:D$502="INR")*(Income!A$3:A$502=DATE(2026,12,13)),ROW(Income!A$3:A$502)-2),2)),0)=0,"",IFERROR(-INDEX(Expenses!D$3:D$999,SMALL(IF((Expenses!E$3:E$999="INR")*(Expenses!A$3:A$999=DATE(2026,12,13)),ROW(Expenses!A$3:A$999)-2),2)),0)+IFERROR(INDEX(Income!C$3:C$502,SMALL(IF((Income!D$3:D$502="INR")*(Income!A$3:A$502=DATE(2026,12,13)),ROW(Income!A$3:A$502)-2),2)),0))</f>
        <v/>
      </c>
      <c r="P250" s="126">
        <f t="array" ref="P250">IF(IFERROR(INDEX(Expenses!B$3:B$999,SMALL(IF((Expenses!E$3:E$999="INR")*(Expenses!A$3:A$999=DATE(2026,12,13)),ROW(Expenses!A$3:A$999)-2),2)),"")&lt;&gt;"",IFERROR(INDEX(Expenses!B$3:B$999,SMALL(IF((Expenses!E$3:E$999="INR")*(Expenses!A$3:A$999=DATE(2026,12,13)),ROW(Expenses!A$3:A$999)-2),2)),""),IF(IFERROR(INDEX(Income!B$3:B$502,SMALL(IF((Income!D$3:D$502="INR")*(Income!A$3:A$502=DATE(2026,12,13)),ROW(Income!A$3:A$502)-2),2)),"")&lt;&gt;"",IFERROR(INDEX(Income!B$3:B$502,SMALL(IF((Income!D$3:D$502="INR")*(Income!A$3:A$502=DATE(2026,12,13)),ROW(Income!A$3:A$502)-2),2)),""),""))</f>
        <v/>
      </c>
      <c r="Q250" s="9" t="n"/>
      <c r="R250" s="9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68">
      <c r="A251" s="9" t="n"/>
      <c r="B251" s="9" t="n"/>
      <c r="C251" s="153">
        <f t="array" ref="C251">IF(IFERROR(-INDEX(Expenses!D$3:D$999,SMALL(IF((Expenses!E$3:E$999="INR")*(Expenses!A$3:A$999=DATE(2026,12,7)),ROW(Expenses!A$3:A$999)-2),3)),0)+IFERROR(INDEX(Income!C$3:C$502,SMALL(IF((Income!D$3:D$502="INR")*(Income!A$3:A$502=DATE(2026,12,7)),ROW(Income!A$3:A$502)-2),3)),0)=0,"",IFERROR(-INDEX(Expenses!D$3:D$999,SMALL(IF((Expenses!E$3:E$999="INR")*(Expenses!A$3:A$999=DATE(2026,12,7)),ROW(Expenses!A$3:A$999)-2),3)),0)+IFERROR(INDEX(Income!C$3:C$502,SMALL(IF((Income!D$3:D$502="INR")*(Income!A$3:A$502=DATE(2026,12,7)),ROW(Income!A$3:A$502)-2),3)),0))</f>
        <v/>
      </c>
      <c r="D251" s="126">
        <f t="array" ref="D251">IF(IFERROR(INDEX(Expenses!B$3:B$999,SMALL(IF((Expenses!E$3:E$999="INR")*(Expenses!A$3:A$999=DATE(2026,12,7)),ROW(Expenses!A$3:A$999)-2),3)),"")&lt;&gt;"",IFERROR(INDEX(Expenses!B$3:B$999,SMALL(IF((Expenses!E$3:E$999="INR")*(Expenses!A$3:A$999=DATE(2026,12,7)),ROW(Expenses!A$3:A$999)-2),3)),""),IF(IFERROR(INDEX(Income!B$3:B$502,SMALL(IF((Income!D$3:D$502="INR")*(Income!A$3:A$502=DATE(2026,12,7)),ROW(Income!A$3:A$502)-2),3)),"")&lt;&gt;"",IFERROR(INDEX(Income!B$3:B$502,SMALL(IF((Income!D$3:D$502="INR")*(Income!A$3:A$502=DATE(2026,12,7)),ROW(Income!A$3:A$502)-2),3)),""),""))</f>
        <v/>
      </c>
      <c r="E251" s="153">
        <f t="array" ref="E251">IF(IFERROR(-INDEX(Expenses!D$3:D$999,SMALL(IF((Expenses!E$3:E$999="INR")*(Expenses!A$3:A$999=DATE(2026,12,8)),ROW(Expenses!A$3:A$999)-2),3)),0)+IFERROR(INDEX(Income!C$3:C$502,SMALL(IF((Income!D$3:D$502="INR")*(Income!A$3:A$502=DATE(2026,12,8)),ROW(Income!A$3:A$502)-2),3)),0)=0,"",IFERROR(-INDEX(Expenses!D$3:D$999,SMALL(IF((Expenses!E$3:E$999="INR")*(Expenses!A$3:A$999=DATE(2026,12,8)),ROW(Expenses!A$3:A$999)-2),3)),0)+IFERROR(INDEX(Income!C$3:C$502,SMALL(IF((Income!D$3:D$502="INR")*(Income!A$3:A$502=DATE(2026,12,8)),ROW(Income!A$3:A$502)-2),3)),0))</f>
        <v/>
      </c>
      <c r="F251" s="126">
        <f t="array" ref="F251">IF(IFERROR(INDEX(Expenses!B$3:B$999,SMALL(IF((Expenses!E$3:E$999="INR")*(Expenses!A$3:A$999=DATE(2026,12,8)),ROW(Expenses!A$3:A$999)-2),3)),"")&lt;&gt;"",IFERROR(INDEX(Expenses!B$3:B$999,SMALL(IF((Expenses!E$3:E$999="INR")*(Expenses!A$3:A$999=DATE(2026,12,8)),ROW(Expenses!A$3:A$999)-2),3)),""),IF(IFERROR(INDEX(Income!B$3:B$502,SMALL(IF((Income!D$3:D$502="INR")*(Income!A$3:A$502=DATE(2026,12,8)),ROW(Income!A$3:A$502)-2),3)),"")&lt;&gt;"",IFERROR(INDEX(Income!B$3:B$502,SMALL(IF((Income!D$3:D$502="INR")*(Income!A$3:A$502=DATE(2026,12,8)),ROW(Income!A$3:A$502)-2),3)),""),""))</f>
        <v/>
      </c>
      <c r="G251" s="153">
        <f t="array" ref="G251">IF(IFERROR(-INDEX(Expenses!D$3:D$999,SMALL(IF((Expenses!E$3:E$999="INR")*(Expenses!A$3:A$999=DATE(2026,12,9)),ROW(Expenses!A$3:A$999)-2),3)),0)+IFERROR(INDEX(Income!C$3:C$502,SMALL(IF((Income!D$3:D$502="INR")*(Income!A$3:A$502=DATE(2026,12,9)),ROW(Income!A$3:A$502)-2),3)),0)=0,"",IFERROR(-INDEX(Expenses!D$3:D$999,SMALL(IF((Expenses!E$3:E$999="INR")*(Expenses!A$3:A$999=DATE(2026,12,9)),ROW(Expenses!A$3:A$999)-2),3)),0)+IFERROR(INDEX(Income!C$3:C$502,SMALL(IF((Income!D$3:D$502="INR")*(Income!A$3:A$502=DATE(2026,12,9)),ROW(Income!A$3:A$502)-2),3)),0))</f>
        <v/>
      </c>
      <c r="H251" s="126">
        <f t="array" ref="H251">IF(IFERROR(INDEX(Expenses!B$3:B$999,SMALL(IF((Expenses!E$3:E$999="INR")*(Expenses!A$3:A$999=DATE(2026,12,9)),ROW(Expenses!A$3:A$999)-2),3)),"")&lt;&gt;"",IFERROR(INDEX(Expenses!B$3:B$999,SMALL(IF((Expenses!E$3:E$999="INR")*(Expenses!A$3:A$999=DATE(2026,12,9)),ROW(Expenses!A$3:A$999)-2),3)),""),IF(IFERROR(INDEX(Income!B$3:B$502,SMALL(IF((Income!D$3:D$502="INR")*(Income!A$3:A$502=DATE(2026,12,9)),ROW(Income!A$3:A$502)-2),3)),"")&lt;&gt;"",IFERROR(INDEX(Income!B$3:B$502,SMALL(IF((Income!D$3:D$502="INR")*(Income!A$3:A$502=DATE(2026,12,9)),ROW(Income!A$3:A$502)-2),3)),""),""))</f>
        <v/>
      </c>
      <c r="I251" s="153">
        <f t="array" ref="I251">IF(IFERROR(-INDEX(Expenses!D$3:D$999,SMALL(IF((Expenses!E$3:E$999="INR")*(Expenses!A$3:A$999=DATE(2026,12,10)),ROW(Expenses!A$3:A$999)-2),3)),0)+IFERROR(INDEX(Income!C$3:C$502,SMALL(IF((Income!D$3:D$502="INR")*(Income!A$3:A$502=DATE(2026,12,10)),ROW(Income!A$3:A$502)-2),3)),0)=0,"",IFERROR(-INDEX(Expenses!D$3:D$999,SMALL(IF((Expenses!E$3:E$999="INR")*(Expenses!A$3:A$999=DATE(2026,12,10)),ROW(Expenses!A$3:A$999)-2),3)),0)+IFERROR(INDEX(Income!C$3:C$502,SMALL(IF((Income!D$3:D$502="INR")*(Income!A$3:A$502=DATE(2026,12,10)),ROW(Income!A$3:A$502)-2),3)),0))</f>
        <v/>
      </c>
      <c r="J251" s="126">
        <f t="array" ref="J251">IF(IFERROR(INDEX(Expenses!B$3:B$999,SMALL(IF((Expenses!E$3:E$999="INR")*(Expenses!A$3:A$999=DATE(2026,12,10)),ROW(Expenses!A$3:A$999)-2),3)),"")&lt;&gt;"",IFERROR(INDEX(Expenses!B$3:B$999,SMALL(IF((Expenses!E$3:E$999="INR")*(Expenses!A$3:A$999=DATE(2026,12,10)),ROW(Expenses!A$3:A$999)-2),3)),""),IF(IFERROR(INDEX(Income!B$3:B$502,SMALL(IF((Income!D$3:D$502="INR")*(Income!A$3:A$502=DATE(2026,12,10)),ROW(Income!A$3:A$502)-2),3)),"")&lt;&gt;"",IFERROR(INDEX(Income!B$3:B$502,SMALL(IF((Income!D$3:D$502="INR")*(Income!A$3:A$502=DATE(2026,12,10)),ROW(Income!A$3:A$502)-2),3)),""),""))</f>
        <v/>
      </c>
      <c r="K251" s="153">
        <f t="array" ref="K251">IF(IFERROR(-INDEX(Expenses!D$3:D$999,SMALL(IF((Expenses!E$3:E$999="INR")*(Expenses!A$3:A$999=DATE(2026,12,11)),ROW(Expenses!A$3:A$999)-2),3)),0)+IFERROR(INDEX(Income!C$3:C$502,SMALL(IF((Income!D$3:D$502="INR")*(Income!A$3:A$502=DATE(2026,12,11)),ROW(Income!A$3:A$502)-2),3)),0)=0,"",IFERROR(-INDEX(Expenses!D$3:D$999,SMALL(IF((Expenses!E$3:E$999="INR")*(Expenses!A$3:A$999=DATE(2026,12,11)),ROW(Expenses!A$3:A$999)-2),3)),0)+IFERROR(INDEX(Income!C$3:C$502,SMALL(IF((Income!D$3:D$502="INR")*(Income!A$3:A$502=DATE(2026,12,11)),ROW(Income!A$3:A$502)-2),3)),0))</f>
        <v/>
      </c>
      <c r="L251" s="126">
        <f t="array" ref="L251">IF(IFERROR(INDEX(Expenses!B$3:B$999,SMALL(IF((Expenses!E$3:E$999="INR")*(Expenses!A$3:A$999=DATE(2026,12,11)),ROW(Expenses!A$3:A$999)-2),3)),"")&lt;&gt;"",IFERROR(INDEX(Expenses!B$3:B$999,SMALL(IF((Expenses!E$3:E$999="INR")*(Expenses!A$3:A$999=DATE(2026,12,11)),ROW(Expenses!A$3:A$999)-2),3)),""),IF(IFERROR(INDEX(Income!B$3:B$502,SMALL(IF((Income!D$3:D$502="INR")*(Income!A$3:A$502=DATE(2026,12,11)),ROW(Income!A$3:A$502)-2),3)),"")&lt;&gt;"",IFERROR(INDEX(Income!B$3:B$502,SMALL(IF((Income!D$3:D$502="INR")*(Income!A$3:A$502=DATE(2026,12,11)),ROW(Income!A$3:A$502)-2),3)),""),""))</f>
        <v/>
      </c>
      <c r="M251" s="153">
        <f t="array" ref="M251">IF(IFERROR(-INDEX(Expenses!D$3:D$999,SMALL(IF((Expenses!E$3:E$999="INR")*(Expenses!A$3:A$999=DATE(2026,12,12)),ROW(Expenses!A$3:A$999)-2),3)),0)+IFERROR(INDEX(Income!C$3:C$502,SMALL(IF((Income!D$3:D$502="INR")*(Income!A$3:A$502=DATE(2026,12,12)),ROW(Income!A$3:A$502)-2),3)),0)=0,"",IFERROR(-INDEX(Expenses!D$3:D$999,SMALL(IF((Expenses!E$3:E$999="INR")*(Expenses!A$3:A$999=DATE(2026,12,12)),ROW(Expenses!A$3:A$999)-2),3)),0)+IFERROR(INDEX(Income!C$3:C$502,SMALL(IF((Income!D$3:D$502="INR")*(Income!A$3:A$502=DATE(2026,12,12)),ROW(Income!A$3:A$502)-2),3)),0))</f>
        <v/>
      </c>
      <c r="N251" s="126">
        <f t="array" ref="N251">IF(IFERROR(INDEX(Expenses!B$3:B$999,SMALL(IF((Expenses!E$3:E$999="INR")*(Expenses!A$3:A$999=DATE(2026,12,12)),ROW(Expenses!A$3:A$999)-2),3)),"")&lt;&gt;"",IFERROR(INDEX(Expenses!B$3:B$999,SMALL(IF((Expenses!E$3:E$999="INR")*(Expenses!A$3:A$999=DATE(2026,12,12)),ROW(Expenses!A$3:A$999)-2),3)),""),IF(IFERROR(INDEX(Income!B$3:B$502,SMALL(IF((Income!D$3:D$502="INR")*(Income!A$3:A$502=DATE(2026,12,12)),ROW(Income!A$3:A$502)-2),3)),"")&lt;&gt;"",IFERROR(INDEX(Income!B$3:B$502,SMALL(IF((Income!D$3:D$502="INR")*(Income!A$3:A$502=DATE(2026,12,12)),ROW(Income!A$3:A$502)-2),3)),""),""))</f>
        <v/>
      </c>
      <c r="O251" s="153">
        <f t="array" ref="O251">IF(IFERROR(-INDEX(Expenses!D$3:D$999,SMALL(IF((Expenses!E$3:E$999="INR")*(Expenses!A$3:A$999=DATE(2026,12,13)),ROW(Expenses!A$3:A$999)-2),3)),0)+IFERROR(INDEX(Income!C$3:C$502,SMALL(IF((Income!D$3:D$502="INR")*(Income!A$3:A$502=DATE(2026,12,13)),ROW(Income!A$3:A$502)-2),3)),0)=0,"",IFERROR(-INDEX(Expenses!D$3:D$999,SMALL(IF((Expenses!E$3:E$999="INR")*(Expenses!A$3:A$999=DATE(2026,12,13)),ROW(Expenses!A$3:A$999)-2),3)),0)+IFERROR(INDEX(Income!C$3:C$502,SMALL(IF((Income!D$3:D$502="INR")*(Income!A$3:A$502=DATE(2026,12,13)),ROW(Income!A$3:A$502)-2),3)),0))</f>
        <v/>
      </c>
      <c r="P251" s="126">
        <f t="array" ref="P251">IF(IFERROR(INDEX(Expenses!B$3:B$999,SMALL(IF((Expenses!E$3:E$999="INR")*(Expenses!A$3:A$999=DATE(2026,12,13)),ROW(Expenses!A$3:A$999)-2),3)),"")&lt;&gt;"",IFERROR(INDEX(Expenses!B$3:B$999,SMALL(IF((Expenses!E$3:E$999="INR")*(Expenses!A$3:A$999=DATE(2026,12,13)),ROW(Expenses!A$3:A$999)-2),3)),""),IF(IFERROR(INDEX(Income!B$3:B$502,SMALL(IF((Income!D$3:D$502="INR")*(Income!A$3:A$502=DATE(2026,12,13)),ROW(Income!A$3:A$502)-2),3)),"")&lt;&gt;"",IFERROR(INDEX(Income!B$3:B$502,SMALL(IF((Income!D$3:D$502="INR")*(Income!A$3:A$502=DATE(2026,12,13)),ROW(Income!A$3:A$502)-2),3)),""),""))</f>
        <v/>
      </c>
      <c r="Q251" s="9" t="n"/>
      <c r="R251" s="9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68">
      <c r="A252" s="9" t="n"/>
      <c r="B252" s="9" t="n"/>
      <c r="C252" s="153">
        <f t="array" ref="C252">IF(IFERROR(-INDEX(Expenses!D$3:D$999,SMALL(IF((Expenses!E$3:E$999="INR")*(Expenses!A$3:A$999=DATE(2026,12,7)),ROW(Expenses!A$3:A$999)-2),4)),0)+IFERROR(INDEX(Income!C$3:C$502,SMALL(IF((Income!D$3:D$502="INR")*(Income!A$3:A$502=DATE(2026,12,7)),ROW(Income!A$3:A$502)-2),4)),0)=0,"",IFERROR(-INDEX(Expenses!D$3:D$999,SMALL(IF((Expenses!E$3:E$999="INR")*(Expenses!A$3:A$999=DATE(2026,12,7)),ROW(Expenses!A$3:A$999)-2),4)),0)+IFERROR(INDEX(Income!C$3:C$502,SMALL(IF((Income!D$3:D$502="INR")*(Income!A$3:A$502=DATE(2026,12,7)),ROW(Income!A$3:A$502)-2),4)),0))</f>
        <v/>
      </c>
      <c r="D252" s="126">
        <f t="array" ref="D252">IF(IFERROR(INDEX(Expenses!B$3:B$999,SMALL(IF((Expenses!E$3:E$999="INR")*(Expenses!A$3:A$999=DATE(2026,12,7)),ROW(Expenses!A$3:A$999)-2),4)),"")&lt;&gt;"",IFERROR(INDEX(Expenses!B$3:B$999,SMALL(IF((Expenses!E$3:E$999="INR")*(Expenses!A$3:A$999=DATE(2026,12,7)),ROW(Expenses!A$3:A$999)-2),4)),""),IF(IFERROR(INDEX(Income!B$3:B$502,SMALL(IF((Income!D$3:D$502="INR")*(Income!A$3:A$502=DATE(2026,12,7)),ROW(Income!A$3:A$502)-2),4)),"")&lt;&gt;"",IFERROR(INDEX(Income!B$3:B$502,SMALL(IF((Income!D$3:D$502="INR")*(Income!A$3:A$502=DATE(2026,12,7)),ROW(Income!A$3:A$502)-2),4)),""),""))</f>
        <v/>
      </c>
      <c r="E252" s="153">
        <f t="array" ref="E252">IF(IFERROR(-INDEX(Expenses!D$3:D$999,SMALL(IF((Expenses!E$3:E$999="INR")*(Expenses!A$3:A$999=DATE(2026,12,8)),ROW(Expenses!A$3:A$999)-2),4)),0)+IFERROR(INDEX(Income!C$3:C$502,SMALL(IF((Income!D$3:D$502="INR")*(Income!A$3:A$502=DATE(2026,12,8)),ROW(Income!A$3:A$502)-2),4)),0)=0,"",IFERROR(-INDEX(Expenses!D$3:D$999,SMALL(IF((Expenses!E$3:E$999="INR")*(Expenses!A$3:A$999=DATE(2026,12,8)),ROW(Expenses!A$3:A$999)-2),4)),0)+IFERROR(INDEX(Income!C$3:C$502,SMALL(IF((Income!D$3:D$502="INR")*(Income!A$3:A$502=DATE(2026,12,8)),ROW(Income!A$3:A$502)-2),4)),0))</f>
        <v/>
      </c>
      <c r="F252" s="126">
        <f t="array" ref="F252">IF(IFERROR(INDEX(Expenses!B$3:B$999,SMALL(IF((Expenses!E$3:E$999="INR")*(Expenses!A$3:A$999=DATE(2026,12,8)),ROW(Expenses!A$3:A$999)-2),4)),"")&lt;&gt;"",IFERROR(INDEX(Expenses!B$3:B$999,SMALL(IF((Expenses!E$3:E$999="INR")*(Expenses!A$3:A$999=DATE(2026,12,8)),ROW(Expenses!A$3:A$999)-2),4)),""),IF(IFERROR(INDEX(Income!B$3:B$502,SMALL(IF((Income!D$3:D$502="INR")*(Income!A$3:A$502=DATE(2026,12,8)),ROW(Income!A$3:A$502)-2),4)),"")&lt;&gt;"",IFERROR(INDEX(Income!B$3:B$502,SMALL(IF((Income!D$3:D$502="INR")*(Income!A$3:A$502=DATE(2026,12,8)),ROW(Income!A$3:A$502)-2),4)),""),""))</f>
        <v/>
      </c>
      <c r="G252" s="153">
        <f t="array" ref="G252">IF(IFERROR(-INDEX(Expenses!D$3:D$999,SMALL(IF((Expenses!E$3:E$999="INR")*(Expenses!A$3:A$999=DATE(2026,12,9)),ROW(Expenses!A$3:A$999)-2),4)),0)+IFERROR(INDEX(Income!C$3:C$502,SMALL(IF((Income!D$3:D$502="INR")*(Income!A$3:A$502=DATE(2026,12,9)),ROW(Income!A$3:A$502)-2),4)),0)=0,"",IFERROR(-INDEX(Expenses!D$3:D$999,SMALL(IF((Expenses!E$3:E$999="INR")*(Expenses!A$3:A$999=DATE(2026,12,9)),ROW(Expenses!A$3:A$999)-2),4)),0)+IFERROR(INDEX(Income!C$3:C$502,SMALL(IF((Income!D$3:D$502="INR")*(Income!A$3:A$502=DATE(2026,12,9)),ROW(Income!A$3:A$502)-2),4)),0))</f>
        <v/>
      </c>
      <c r="H252" s="126">
        <f t="array" ref="H252">IF(IFERROR(INDEX(Expenses!B$3:B$999,SMALL(IF((Expenses!E$3:E$999="INR")*(Expenses!A$3:A$999=DATE(2026,12,9)),ROW(Expenses!A$3:A$999)-2),4)),"")&lt;&gt;"",IFERROR(INDEX(Expenses!B$3:B$999,SMALL(IF((Expenses!E$3:E$999="INR")*(Expenses!A$3:A$999=DATE(2026,12,9)),ROW(Expenses!A$3:A$999)-2),4)),""),IF(IFERROR(INDEX(Income!B$3:B$502,SMALL(IF((Income!D$3:D$502="INR")*(Income!A$3:A$502=DATE(2026,12,9)),ROW(Income!A$3:A$502)-2),4)),"")&lt;&gt;"",IFERROR(INDEX(Income!B$3:B$502,SMALL(IF((Income!D$3:D$502="INR")*(Income!A$3:A$502=DATE(2026,12,9)),ROW(Income!A$3:A$502)-2),4)),""),""))</f>
        <v/>
      </c>
      <c r="I252" s="153">
        <f t="array" ref="I252">IF(IFERROR(-INDEX(Expenses!D$3:D$999,SMALL(IF((Expenses!E$3:E$999="INR")*(Expenses!A$3:A$999=DATE(2026,12,10)),ROW(Expenses!A$3:A$999)-2),4)),0)+IFERROR(INDEX(Income!C$3:C$502,SMALL(IF((Income!D$3:D$502="INR")*(Income!A$3:A$502=DATE(2026,12,10)),ROW(Income!A$3:A$502)-2),4)),0)=0,"",IFERROR(-INDEX(Expenses!D$3:D$999,SMALL(IF((Expenses!E$3:E$999="INR")*(Expenses!A$3:A$999=DATE(2026,12,10)),ROW(Expenses!A$3:A$999)-2),4)),0)+IFERROR(INDEX(Income!C$3:C$502,SMALL(IF((Income!D$3:D$502="INR")*(Income!A$3:A$502=DATE(2026,12,10)),ROW(Income!A$3:A$502)-2),4)),0))</f>
        <v/>
      </c>
      <c r="J252" s="126">
        <f t="array" ref="J252">IF(IFERROR(INDEX(Expenses!B$3:B$999,SMALL(IF((Expenses!E$3:E$999="INR")*(Expenses!A$3:A$999=DATE(2026,12,10)),ROW(Expenses!A$3:A$999)-2),4)),"")&lt;&gt;"",IFERROR(INDEX(Expenses!B$3:B$999,SMALL(IF((Expenses!E$3:E$999="INR")*(Expenses!A$3:A$999=DATE(2026,12,10)),ROW(Expenses!A$3:A$999)-2),4)),""),IF(IFERROR(INDEX(Income!B$3:B$502,SMALL(IF((Income!D$3:D$502="INR")*(Income!A$3:A$502=DATE(2026,12,10)),ROW(Income!A$3:A$502)-2),4)),"")&lt;&gt;"",IFERROR(INDEX(Income!B$3:B$502,SMALL(IF((Income!D$3:D$502="INR")*(Income!A$3:A$502=DATE(2026,12,10)),ROW(Income!A$3:A$502)-2),4)),""),""))</f>
        <v/>
      </c>
      <c r="K252" s="153">
        <f t="array" ref="K252">IF(IFERROR(-INDEX(Expenses!D$3:D$999,SMALL(IF((Expenses!E$3:E$999="INR")*(Expenses!A$3:A$999=DATE(2026,12,11)),ROW(Expenses!A$3:A$999)-2),4)),0)+IFERROR(INDEX(Income!C$3:C$502,SMALL(IF((Income!D$3:D$502="INR")*(Income!A$3:A$502=DATE(2026,12,11)),ROW(Income!A$3:A$502)-2),4)),0)=0,"",IFERROR(-INDEX(Expenses!D$3:D$999,SMALL(IF((Expenses!E$3:E$999="INR")*(Expenses!A$3:A$999=DATE(2026,12,11)),ROW(Expenses!A$3:A$999)-2),4)),0)+IFERROR(INDEX(Income!C$3:C$502,SMALL(IF((Income!D$3:D$502="INR")*(Income!A$3:A$502=DATE(2026,12,11)),ROW(Income!A$3:A$502)-2),4)),0))</f>
        <v/>
      </c>
      <c r="L252" s="126">
        <f t="array" ref="L252">IF(IFERROR(INDEX(Expenses!B$3:B$999,SMALL(IF((Expenses!E$3:E$999="INR")*(Expenses!A$3:A$999=DATE(2026,12,11)),ROW(Expenses!A$3:A$999)-2),4)),"")&lt;&gt;"",IFERROR(INDEX(Expenses!B$3:B$999,SMALL(IF((Expenses!E$3:E$999="INR")*(Expenses!A$3:A$999=DATE(2026,12,11)),ROW(Expenses!A$3:A$999)-2),4)),""),IF(IFERROR(INDEX(Income!B$3:B$502,SMALL(IF((Income!D$3:D$502="INR")*(Income!A$3:A$502=DATE(2026,12,11)),ROW(Income!A$3:A$502)-2),4)),"")&lt;&gt;"",IFERROR(INDEX(Income!B$3:B$502,SMALL(IF((Income!D$3:D$502="INR")*(Income!A$3:A$502=DATE(2026,12,11)),ROW(Income!A$3:A$502)-2),4)),""),""))</f>
        <v/>
      </c>
      <c r="M252" s="153">
        <f t="array" ref="M252">IF(IFERROR(-INDEX(Expenses!D$3:D$999,SMALL(IF((Expenses!E$3:E$999="INR")*(Expenses!A$3:A$999=DATE(2026,12,12)),ROW(Expenses!A$3:A$999)-2),4)),0)+IFERROR(INDEX(Income!C$3:C$502,SMALL(IF((Income!D$3:D$502="INR")*(Income!A$3:A$502=DATE(2026,12,12)),ROW(Income!A$3:A$502)-2),4)),0)=0,"",IFERROR(-INDEX(Expenses!D$3:D$999,SMALL(IF((Expenses!E$3:E$999="INR")*(Expenses!A$3:A$999=DATE(2026,12,12)),ROW(Expenses!A$3:A$999)-2),4)),0)+IFERROR(INDEX(Income!C$3:C$502,SMALL(IF((Income!D$3:D$502="INR")*(Income!A$3:A$502=DATE(2026,12,12)),ROW(Income!A$3:A$502)-2),4)),0))</f>
        <v/>
      </c>
      <c r="N252" s="126">
        <f t="array" ref="N252">IF(IFERROR(INDEX(Expenses!B$3:B$999,SMALL(IF((Expenses!E$3:E$999="INR")*(Expenses!A$3:A$999=DATE(2026,12,12)),ROW(Expenses!A$3:A$999)-2),4)),"")&lt;&gt;"",IFERROR(INDEX(Expenses!B$3:B$999,SMALL(IF((Expenses!E$3:E$999="INR")*(Expenses!A$3:A$999=DATE(2026,12,12)),ROW(Expenses!A$3:A$999)-2),4)),""),IF(IFERROR(INDEX(Income!B$3:B$502,SMALL(IF((Income!D$3:D$502="INR")*(Income!A$3:A$502=DATE(2026,12,12)),ROW(Income!A$3:A$502)-2),4)),"")&lt;&gt;"",IFERROR(INDEX(Income!B$3:B$502,SMALL(IF((Income!D$3:D$502="INR")*(Income!A$3:A$502=DATE(2026,12,12)),ROW(Income!A$3:A$502)-2),4)),""),""))</f>
        <v/>
      </c>
      <c r="O252" s="153">
        <f t="array" ref="O252">IF(IFERROR(-INDEX(Expenses!D$3:D$999,SMALL(IF((Expenses!E$3:E$999="INR")*(Expenses!A$3:A$999=DATE(2026,12,13)),ROW(Expenses!A$3:A$999)-2),4)),0)+IFERROR(INDEX(Income!C$3:C$502,SMALL(IF((Income!D$3:D$502="INR")*(Income!A$3:A$502=DATE(2026,12,13)),ROW(Income!A$3:A$502)-2),4)),0)=0,"",IFERROR(-INDEX(Expenses!D$3:D$999,SMALL(IF((Expenses!E$3:E$999="INR")*(Expenses!A$3:A$999=DATE(2026,12,13)),ROW(Expenses!A$3:A$999)-2),4)),0)+IFERROR(INDEX(Income!C$3:C$502,SMALL(IF((Income!D$3:D$502="INR")*(Income!A$3:A$502=DATE(2026,12,13)),ROW(Income!A$3:A$502)-2),4)),0))</f>
        <v/>
      </c>
      <c r="P252" s="126">
        <f t="array" ref="P252">IF(IFERROR(INDEX(Expenses!B$3:B$999,SMALL(IF((Expenses!E$3:E$999="INR")*(Expenses!A$3:A$999=DATE(2026,12,13)),ROW(Expenses!A$3:A$999)-2),4)),"")&lt;&gt;"",IFERROR(INDEX(Expenses!B$3:B$999,SMALL(IF((Expenses!E$3:E$999="INR")*(Expenses!A$3:A$999=DATE(2026,12,13)),ROW(Expenses!A$3:A$999)-2),4)),""),IF(IFERROR(INDEX(Income!B$3:B$502,SMALL(IF((Income!D$3:D$502="INR")*(Income!A$3:A$502=DATE(2026,12,13)),ROW(Income!A$3:A$502)-2),4)),"")&lt;&gt;"",IFERROR(INDEX(Income!B$3:B$502,SMALL(IF((Income!D$3:D$502="INR")*(Income!A$3:A$502=DATE(2026,12,13)),ROW(Income!A$3:A$502)-2),4)),""),""))</f>
        <v/>
      </c>
      <c r="Q252" s="9" t="n"/>
      <c r="R252" s="9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68">
      <c r="A253" s="9" t="n"/>
      <c r="B253" s="9" t="n"/>
      <c r="C253" s="153">
        <f t="array" ref="C253">IF(IFERROR(-INDEX(Expenses!D$3:D$999,SMALL(IF((Expenses!E$3:E$999="INR")*(Expenses!A$3:A$999=DATE(2026,12,7)),ROW(Expenses!A$3:A$999)-2),5)),0)+IFERROR(INDEX(Income!C$3:C$502,SMALL(IF((Income!D$3:D$502="INR")*(Income!A$3:A$502=DATE(2026,12,7)),ROW(Income!A$3:A$502)-2),5)),0)=0,"",IFERROR(-INDEX(Expenses!D$3:D$999,SMALL(IF((Expenses!E$3:E$999="INR")*(Expenses!A$3:A$999=DATE(2026,12,7)),ROW(Expenses!A$3:A$999)-2),5)),0)+IFERROR(INDEX(Income!C$3:C$502,SMALL(IF((Income!D$3:D$502="INR")*(Income!A$3:A$502=DATE(2026,12,7)),ROW(Income!A$3:A$502)-2),5)),0))</f>
        <v/>
      </c>
      <c r="D253" s="126">
        <f t="array" ref="D253">IF(IFERROR(INDEX(Expenses!B$3:B$999,SMALL(IF((Expenses!E$3:E$999="INR")*(Expenses!A$3:A$999=DATE(2026,12,7)),ROW(Expenses!A$3:A$999)-2),5)),"")&lt;&gt;"",IFERROR(INDEX(Expenses!B$3:B$999,SMALL(IF((Expenses!E$3:E$999="INR")*(Expenses!A$3:A$999=DATE(2026,12,7)),ROW(Expenses!A$3:A$999)-2),5)),""),IF(IFERROR(INDEX(Income!B$3:B$502,SMALL(IF((Income!D$3:D$502="INR")*(Income!A$3:A$502=DATE(2026,12,7)),ROW(Income!A$3:A$502)-2),5)),"")&lt;&gt;"",IFERROR(INDEX(Income!B$3:B$502,SMALL(IF((Income!D$3:D$502="INR")*(Income!A$3:A$502=DATE(2026,12,7)),ROW(Income!A$3:A$502)-2),5)),""),""))</f>
        <v/>
      </c>
      <c r="E253" s="153">
        <f t="array" ref="E253">IF(IFERROR(-INDEX(Expenses!D$3:D$999,SMALL(IF((Expenses!E$3:E$999="INR")*(Expenses!A$3:A$999=DATE(2026,12,8)),ROW(Expenses!A$3:A$999)-2),5)),0)+IFERROR(INDEX(Income!C$3:C$502,SMALL(IF((Income!D$3:D$502="INR")*(Income!A$3:A$502=DATE(2026,12,8)),ROW(Income!A$3:A$502)-2),5)),0)=0,"",IFERROR(-INDEX(Expenses!D$3:D$999,SMALL(IF((Expenses!E$3:E$999="INR")*(Expenses!A$3:A$999=DATE(2026,12,8)),ROW(Expenses!A$3:A$999)-2),5)),0)+IFERROR(INDEX(Income!C$3:C$502,SMALL(IF((Income!D$3:D$502="INR")*(Income!A$3:A$502=DATE(2026,12,8)),ROW(Income!A$3:A$502)-2),5)),0))</f>
        <v/>
      </c>
      <c r="F253" s="126">
        <f t="array" ref="F253">IF(IFERROR(INDEX(Expenses!B$3:B$999,SMALL(IF((Expenses!E$3:E$999="INR")*(Expenses!A$3:A$999=DATE(2026,12,8)),ROW(Expenses!A$3:A$999)-2),5)),"")&lt;&gt;"",IFERROR(INDEX(Expenses!B$3:B$999,SMALL(IF((Expenses!E$3:E$999="INR")*(Expenses!A$3:A$999=DATE(2026,12,8)),ROW(Expenses!A$3:A$999)-2),5)),""),IF(IFERROR(INDEX(Income!B$3:B$502,SMALL(IF((Income!D$3:D$502="INR")*(Income!A$3:A$502=DATE(2026,12,8)),ROW(Income!A$3:A$502)-2),5)),"")&lt;&gt;"",IFERROR(INDEX(Income!B$3:B$502,SMALL(IF((Income!D$3:D$502="INR")*(Income!A$3:A$502=DATE(2026,12,8)),ROW(Income!A$3:A$502)-2),5)),""),""))</f>
        <v/>
      </c>
      <c r="G253" s="153">
        <f t="array" ref="G253">IF(IFERROR(-INDEX(Expenses!D$3:D$999,SMALL(IF((Expenses!E$3:E$999="INR")*(Expenses!A$3:A$999=DATE(2026,12,9)),ROW(Expenses!A$3:A$999)-2),5)),0)+IFERROR(INDEX(Income!C$3:C$502,SMALL(IF((Income!D$3:D$502="INR")*(Income!A$3:A$502=DATE(2026,12,9)),ROW(Income!A$3:A$502)-2),5)),0)=0,"",IFERROR(-INDEX(Expenses!D$3:D$999,SMALL(IF((Expenses!E$3:E$999="INR")*(Expenses!A$3:A$999=DATE(2026,12,9)),ROW(Expenses!A$3:A$999)-2),5)),0)+IFERROR(INDEX(Income!C$3:C$502,SMALL(IF((Income!D$3:D$502="INR")*(Income!A$3:A$502=DATE(2026,12,9)),ROW(Income!A$3:A$502)-2),5)),0))</f>
        <v/>
      </c>
      <c r="H253" s="126">
        <f t="array" ref="H253">IF(IFERROR(INDEX(Expenses!B$3:B$999,SMALL(IF((Expenses!E$3:E$999="INR")*(Expenses!A$3:A$999=DATE(2026,12,9)),ROW(Expenses!A$3:A$999)-2),5)),"")&lt;&gt;"",IFERROR(INDEX(Expenses!B$3:B$999,SMALL(IF((Expenses!E$3:E$999="INR")*(Expenses!A$3:A$999=DATE(2026,12,9)),ROW(Expenses!A$3:A$999)-2),5)),""),IF(IFERROR(INDEX(Income!B$3:B$502,SMALL(IF((Income!D$3:D$502="INR")*(Income!A$3:A$502=DATE(2026,12,9)),ROW(Income!A$3:A$502)-2),5)),"")&lt;&gt;"",IFERROR(INDEX(Income!B$3:B$502,SMALL(IF((Income!D$3:D$502="INR")*(Income!A$3:A$502=DATE(2026,12,9)),ROW(Income!A$3:A$502)-2),5)),""),""))</f>
        <v/>
      </c>
      <c r="I253" s="153">
        <f t="array" ref="I253">IF(IFERROR(-INDEX(Expenses!D$3:D$999,SMALL(IF((Expenses!E$3:E$999="INR")*(Expenses!A$3:A$999=DATE(2026,12,10)),ROW(Expenses!A$3:A$999)-2),5)),0)+IFERROR(INDEX(Income!C$3:C$502,SMALL(IF((Income!D$3:D$502="INR")*(Income!A$3:A$502=DATE(2026,12,10)),ROW(Income!A$3:A$502)-2),5)),0)=0,"",IFERROR(-INDEX(Expenses!D$3:D$999,SMALL(IF((Expenses!E$3:E$999="INR")*(Expenses!A$3:A$999=DATE(2026,12,10)),ROW(Expenses!A$3:A$999)-2),5)),0)+IFERROR(INDEX(Income!C$3:C$502,SMALL(IF((Income!D$3:D$502="INR")*(Income!A$3:A$502=DATE(2026,12,10)),ROW(Income!A$3:A$502)-2),5)),0))</f>
        <v/>
      </c>
      <c r="J253" s="126">
        <f t="array" ref="J253">IF(IFERROR(INDEX(Expenses!B$3:B$999,SMALL(IF((Expenses!E$3:E$999="INR")*(Expenses!A$3:A$999=DATE(2026,12,10)),ROW(Expenses!A$3:A$999)-2),5)),"")&lt;&gt;"",IFERROR(INDEX(Expenses!B$3:B$999,SMALL(IF((Expenses!E$3:E$999="INR")*(Expenses!A$3:A$999=DATE(2026,12,10)),ROW(Expenses!A$3:A$999)-2),5)),""),IF(IFERROR(INDEX(Income!B$3:B$502,SMALL(IF((Income!D$3:D$502="INR")*(Income!A$3:A$502=DATE(2026,12,10)),ROW(Income!A$3:A$502)-2),5)),"")&lt;&gt;"",IFERROR(INDEX(Income!B$3:B$502,SMALL(IF((Income!D$3:D$502="INR")*(Income!A$3:A$502=DATE(2026,12,10)),ROW(Income!A$3:A$502)-2),5)),""),""))</f>
        <v/>
      </c>
      <c r="K253" s="153">
        <f t="array" ref="K253">IF(IFERROR(-INDEX(Expenses!D$3:D$999,SMALL(IF((Expenses!E$3:E$999="INR")*(Expenses!A$3:A$999=DATE(2026,12,11)),ROW(Expenses!A$3:A$999)-2),5)),0)+IFERROR(INDEX(Income!C$3:C$502,SMALL(IF((Income!D$3:D$502="INR")*(Income!A$3:A$502=DATE(2026,12,11)),ROW(Income!A$3:A$502)-2),5)),0)=0,"",IFERROR(-INDEX(Expenses!D$3:D$999,SMALL(IF((Expenses!E$3:E$999="INR")*(Expenses!A$3:A$999=DATE(2026,12,11)),ROW(Expenses!A$3:A$999)-2),5)),0)+IFERROR(INDEX(Income!C$3:C$502,SMALL(IF((Income!D$3:D$502="INR")*(Income!A$3:A$502=DATE(2026,12,11)),ROW(Income!A$3:A$502)-2),5)),0))</f>
        <v/>
      </c>
      <c r="L253" s="126">
        <f t="array" ref="L253">IF(IFERROR(INDEX(Expenses!B$3:B$999,SMALL(IF((Expenses!E$3:E$999="INR")*(Expenses!A$3:A$999=DATE(2026,12,11)),ROW(Expenses!A$3:A$999)-2),5)),"")&lt;&gt;"",IFERROR(INDEX(Expenses!B$3:B$999,SMALL(IF((Expenses!E$3:E$999="INR")*(Expenses!A$3:A$999=DATE(2026,12,11)),ROW(Expenses!A$3:A$999)-2),5)),""),IF(IFERROR(INDEX(Income!B$3:B$502,SMALL(IF((Income!D$3:D$502="INR")*(Income!A$3:A$502=DATE(2026,12,11)),ROW(Income!A$3:A$502)-2),5)),"")&lt;&gt;"",IFERROR(INDEX(Income!B$3:B$502,SMALL(IF((Income!D$3:D$502="INR")*(Income!A$3:A$502=DATE(2026,12,11)),ROW(Income!A$3:A$502)-2),5)),""),""))</f>
        <v/>
      </c>
      <c r="M253" s="153">
        <f t="array" ref="M253">IF(IFERROR(-INDEX(Expenses!D$3:D$999,SMALL(IF((Expenses!E$3:E$999="INR")*(Expenses!A$3:A$999=DATE(2026,12,12)),ROW(Expenses!A$3:A$999)-2),5)),0)+IFERROR(INDEX(Income!C$3:C$502,SMALL(IF((Income!D$3:D$502="INR")*(Income!A$3:A$502=DATE(2026,12,12)),ROW(Income!A$3:A$502)-2),5)),0)=0,"",IFERROR(-INDEX(Expenses!D$3:D$999,SMALL(IF((Expenses!E$3:E$999="INR")*(Expenses!A$3:A$999=DATE(2026,12,12)),ROW(Expenses!A$3:A$999)-2),5)),0)+IFERROR(INDEX(Income!C$3:C$502,SMALL(IF((Income!D$3:D$502="INR")*(Income!A$3:A$502=DATE(2026,12,12)),ROW(Income!A$3:A$502)-2),5)),0))</f>
        <v/>
      </c>
      <c r="N253" s="126">
        <f t="array" ref="N253">IF(IFERROR(INDEX(Expenses!B$3:B$999,SMALL(IF((Expenses!E$3:E$999="INR")*(Expenses!A$3:A$999=DATE(2026,12,12)),ROW(Expenses!A$3:A$999)-2),5)),"")&lt;&gt;"",IFERROR(INDEX(Expenses!B$3:B$999,SMALL(IF((Expenses!E$3:E$999="INR")*(Expenses!A$3:A$999=DATE(2026,12,12)),ROW(Expenses!A$3:A$999)-2),5)),""),IF(IFERROR(INDEX(Income!B$3:B$502,SMALL(IF((Income!D$3:D$502="INR")*(Income!A$3:A$502=DATE(2026,12,12)),ROW(Income!A$3:A$502)-2),5)),"")&lt;&gt;"",IFERROR(INDEX(Income!B$3:B$502,SMALL(IF((Income!D$3:D$502="INR")*(Income!A$3:A$502=DATE(2026,12,12)),ROW(Income!A$3:A$502)-2),5)),""),""))</f>
        <v/>
      </c>
      <c r="O253" s="153">
        <f t="array" ref="O253">IF(IFERROR(-INDEX(Expenses!D$3:D$999,SMALL(IF((Expenses!E$3:E$999="INR")*(Expenses!A$3:A$999=DATE(2026,12,13)),ROW(Expenses!A$3:A$999)-2),5)),0)+IFERROR(INDEX(Income!C$3:C$502,SMALL(IF((Income!D$3:D$502="INR")*(Income!A$3:A$502=DATE(2026,12,13)),ROW(Income!A$3:A$502)-2),5)),0)=0,"",IFERROR(-INDEX(Expenses!D$3:D$999,SMALL(IF((Expenses!E$3:E$999="INR")*(Expenses!A$3:A$999=DATE(2026,12,13)),ROW(Expenses!A$3:A$999)-2),5)),0)+IFERROR(INDEX(Income!C$3:C$502,SMALL(IF((Income!D$3:D$502="INR")*(Income!A$3:A$502=DATE(2026,12,13)),ROW(Income!A$3:A$502)-2),5)),0))</f>
        <v/>
      </c>
      <c r="P253" s="126">
        <f t="array" ref="P253">IF(IFERROR(INDEX(Expenses!B$3:B$999,SMALL(IF((Expenses!E$3:E$999="INR")*(Expenses!A$3:A$999=DATE(2026,12,13)),ROW(Expenses!A$3:A$999)-2),5)),"")&lt;&gt;"",IFERROR(INDEX(Expenses!B$3:B$999,SMALL(IF((Expenses!E$3:E$999="INR")*(Expenses!A$3:A$999=DATE(2026,12,13)),ROW(Expenses!A$3:A$999)-2),5)),""),IF(IFERROR(INDEX(Income!B$3:B$502,SMALL(IF((Income!D$3:D$502="INR")*(Income!A$3:A$502=DATE(2026,12,13)),ROW(Income!A$3:A$502)-2),5)),"")&lt;&gt;"",IFERROR(INDEX(Income!B$3:B$502,SMALL(IF((Income!D$3:D$502="INR")*(Income!A$3:A$502=DATE(2026,12,13)),ROW(Income!A$3:A$502)-2),5)),""),""))</f>
        <v/>
      </c>
      <c r="Q253" s="9" t="n"/>
      <c r="R253" s="9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68">
      <c r="A254" s="151" t="n">
        <v>46370</v>
      </c>
      <c r="B254" s="103" t="n">
        <v>51</v>
      </c>
      <c r="C254" s="153">
        <f t="array" ref="C254">IF(IFERROR(-INDEX(Expenses!D$3:D$999,SMALL(IF((Expenses!E$3:E$999="INR")*(Expenses!A$3:A$999=DATE(2026,12,14)),ROW(Expenses!A$3:A$999)-2),1)),0)+IFERROR(INDEX(Income!C$3:C$502,SMALL(IF((Income!D$3:D$502="INR")*(Income!A$3:A$502=DATE(2026,12,14)),ROW(Income!A$3:A$502)-2),1)),0)=0,"",IFERROR(-INDEX(Expenses!D$3:D$999,SMALL(IF((Expenses!E$3:E$999="INR")*(Expenses!A$3:A$999=DATE(2026,12,14)),ROW(Expenses!A$3:A$999)-2),1)),0)+IFERROR(INDEX(Income!C$3:C$502,SMALL(IF((Income!D$3:D$502="INR")*(Income!A$3:A$502=DATE(2026,12,14)),ROW(Income!A$3:A$502)-2),1)),0))</f>
        <v/>
      </c>
      <c r="D254" s="126">
        <f t="array" ref="D254">IF(IFERROR(INDEX(Expenses!B$3:B$999,SMALL(IF((Expenses!E$3:E$999="INR")*(Expenses!A$3:A$999=DATE(2026,12,14)),ROW(Expenses!A$3:A$999)-2),1)),"")&lt;&gt;"",IFERROR(INDEX(Expenses!B$3:B$999,SMALL(IF((Expenses!E$3:E$999="INR")*(Expenses!A$3:A$999=DATE(2026,12,14)),ROW(Expenses!A$3:A$999)-2),1)),""),IF(IFERROR(INDEX(Income!B$3:B$502,SMALL(IF((Income!D$3:D$502="INR")*(Income!A$3:A$502=DATE(2026,12,14)),ROW(Income!A$3:A$502)-2),1)),"")&lt;&gt;"",IFERROR(INDEX(Income!B$3:B$502,SMALL(IF((Income!D$3:D$502="INR")*(Income!A$3:A$502=DATE(2026,12,14)),ROW(Income!A$3:A$502)-2),1)),""),""))</f>
        <v/>
      </c>
      <c r="E254" s="153">
        <f t="array" ref="E254">IF(IFERROR(-INDEX(Expenses!D$3:D$999,SMALL(IF((Expenses!E$3:E$999="INR")*(Expenses!A$3:A$999=DATE(2026,12,15)),ROW(Expenses!A$3:A$999)-2),1)),0)+IFERROR(INDEX(Income!C$3:C$502,SMALL(IF((Income!D$3:D$502="INR")*(Income!A$3:A$502=DATE(2026,12,15)),ROW(Income!A$3:A$502)-2),1)),0)=0,"",IFERROR(-INDEX(Expenses!D$3:D$999,SMALL(IF((Expenses!E$3:E$999="INR")*(Expenses!A$3:A$999=DATE(2026,12,15)),ROW(Expenses!A$3:A$999)-2),1)),0)+IFERROR(INDEX(Income!C$3:C$502,SMALL(IF((Income!D$3:D$502="INR")*(Income!A$3:A$502=DATE(2026,12,15)),ROW(Income!A$3:A$502)-2),1)),0))</f>
        <v/>
      </c>
      <c r="F254" s="126">
        <f t="array" ref="F254">IF(IFERROR(INDEX(Expenses!B$3:B$999,SMALL(IF((Expenses!E$3:E$999="INR")*(Expenses!A$3:A$999=DATE(2026,12,15)),ROW(Expenses!A$3:A$999)-2),1)),"")&lt;&gt;"",IFERROR(INDEX(Expenses!B$3:B$999,SMALL(IF((Expenses!E$3:E$999="INR")*(Expenses!A$3:A$999=DATE(2026,12,15)),ROW(Expenses!A$3:A$999)-2),1)),""),IF(IFERROR(INDEX(Income!B$3:B$502,SMALL(IF((Income!D$3:D$502="INR")*(Income!A$3:A$502=DATE(2026,12,15)),ROW(Income!A$3:A$502)-2),1)),"")&lt;&gt;"",IFERROR(INDEX(Income!B$3:B$502,SMALL(IF((Income!D$3:D$502="INR")*(Income!A$3:A$502=DATE(2026,12,15)),ROW(Income!A$3:A$502)-2),1)),""),""))</f>
        <v/>
      </c>
      <c r="G254" s="153">
        <f t="array" ref="G254">IF(IFERROR(-INDEX(Expenses!D$3:D$999,SMALL(IF((Expenses!E$3:E$999="INR")*(Expenses!A$3:A$999=DATE(2026,12,16)),ROW(Expenses!A$3:A$999)-2),1)),0)+IFERROR(INDEX(Income!C$3:C$502,SMALL(IF((Income!D$3:D$502="INR")*(Income!A$3:A$502=DATE(2026,12,16)),ROW(Income!A$3:A$502)-2),1)),0)=0,"",IFERROR(-INDEX(Expenses!D$3:D$999,SMALL(IF((Expenses!E$3:E$999="INR")*(Expenses!A$3:A$999=DATE(2026,12,16)),ROW(Expenses!A$3:A$999)-2),1)),0)+IFERROR(INDEX(Income!C$3:C$502,SMALL(IF((Income!D$3:D$502="INR")*(Income!A$3:A$502=DATE(2026,12,16)),ROW(Income!A$3:A$502)-2),1)),0))</f>
        <v/>
      </c>
      <c r="H254" s="126">
        <f t="array" ref="H254">IF(IFERROR(INDEX(Expenses!B$3:B$999,SMALL(IF((Expenses!E$3:E$999="INR")*(Expenses!A$3:A$999=DATE(2026,12,16)),ROW(Expenses!A$3:A$999)-2),1)),"")&lt;&gt;"",IFERROR(INDEX(Expenses!B$3:B$999,SMALL(IF((Expenses!E$3:E$999="INR")*(Expenses!A$3:A$999=DATE(2026,12,16)),ROW(Expenses!A$3:A$999)-2),1)),""),IF(IFERROR(INDEX(Income!B$3:B$502,SMALL(IF((Income!D$3:D$502="INR")*(Income!A$3:A$502=DATE(2026,12,16)),ROW(Income!A$3:A$502)-2),1)),"")&lt;&gt;"",IFERROR(INDEX(Income!B$3:B$502,SMALL(IF((Income!D$3:D$502="INR")*(Income!A$3:A$502=DATE(2026,12,16)),ROW(Income!A$3:A$502)-2),1)),""),""))</f>
        <v/>
      </c>
      <c r="I254" s="153">
        <f t="array" ref="I254">IF(IFERROR(-INDEX(Expenses!D$3:D$999,SMALL(IF((Expenses!E$3:E$999="INR")*(Expenses!A$3:A$999=DATE(2026,12,17)),ROW(Expenses!A$3:A$999)-2),1)),0)+IFERROR(INDEX(Income!C$3:C$502,SMALL(IF((Income!D$3:D$502="INR")*(Income!A$3:A$502=DATE(2026,12,17)),ROW(Income!A$3:A$502)-2),1)),0)=0,"",IFERROR(-INDEX(Expenses!D$3:D$999,SMALL(IF((Expenses!E$3:E$999="INR")*(Expenses!A$3:A$999=DATE(2026,12,17)),ROW(Expenses!A$3:A$999)-2),1)),0)+IFERROR(INDEX(Income!C$3:C$502,SMALL(IF((Income!D$3:D$502="INR")*(Income!A$3:A$502=DATE(2026,12,17)),ROW(Income!A$3:A$502)-2),1)),0))</f>
        <v/>
      </c>
      <c r="J254" s="126">
        <f t="array" ref="J254">IF(IFERROR(INDEX(Expenses!B$3:B$999,SMALL(IF((Expenses!E$3:E$999="INR")*(Expenses!A$3:A$999=DATE(2026,12,17)),ROW(Expenses!A$3:A$999)-2),1)),"")&lt;&gt;"",IFERROR(INDEX(Expenses!B$3:B$999,SMALL(IF((Expenses!E$3:E$999="INR")*(Expenses!A$3:A$999=DATE(2026,12,17)),ROW(Expenses!A$3:A$999)-2),1)),""),IF(IFERROR(INDEX(Income!B$3:B$502,SMALL(IF((Income!D$3:D$502="INR")*(Income!A$3:A$502=DATE(2026,12,17)),ROW(Income!A$3:A$502)-2),1)),"")&lt;&gt;"",IFERROR(INDEX(Income!B$3:B$502,SMALL(IF((Income!D$3:D$502="INR")*(Income!A$3:A$502=DATE(2026,12,17)),ROW(Income!A$3:A$502)-2),1)),""),""))</f>
        <v/>
      </c>
      <c r="K254" s="153">
        <f t="array" ref="K254">IF(IFERROR(-INDEX(Expenses!D$3:D$999,SMALL(IF((Expenses!E$3:E$999="INR")*(Expenses!A$3:A$999=DATE(2026,12,18)),ROW(Expenses!A$3:A$999)-2),1)),0)+IFERROR(INDEX(Income!C$3:C$502,SMALL(IF((Income!D$3:D$502="INR")*(Income!A$3:A$502=DATE(2026,12,18)),ROW(Income!A$3:A$502)-2),1)),0)=0,"",IFERROR(-INDEX(Expenses!D$3:D$999,SMALL(IF((Expenses!E$3:E$999="INR")*(Expenses!A$3:A$999=DATE(2026,12,18)),ROW(Expenses!A$3:A$999)-2),1)),0)+IFERROR(INDEX(Income!C$3:C$502,SMALL(IF((Income!D$3:D$502="INR")*(Income!A$3:A$502=DATE(2026,12,18)),ROW(Income!A$3:A$502)-2),1)),0))</f>
        <v/>
      </c>
      <c r="L254" s="126">
        <f t="array" ref="L254">IF(IFERROR(INDEX(Expenses!B$3:B$999,SMALL(IF((Expenses!E$3:E$999="INR")*(Expenses!A$3:A$999=DATE(2026,12,18)),ROW(Expenses!A$3:A$999)-2),1)),"")&lt;&gt;"",IFERROR(INDEX(Expenses!B$3:B$999,SMALL(IF((Expenses!E$3:E$999="INR")*(Expenses!A$3:A$999=DATE(2026,12,18)),ROW(Expenses!A$3:A$999)-2),1)),""),IF(IFERROR(INDEX(Income!B$3:B$502,SMALL(IF((Income!D$3:D$502="INR")*(Income!A$3:A$502=DATE(2026,12,18)),ROW(Income!A$3:A$502)-2),1)),"")&lt;&gt;"",IFERROR(INDEX(Income!B$3:B$502,SMALL(IF((Income!D$3:D$502="INR")*(Income!A$3:A$502=DATE(2026,12,18)),ROW(Income!A$3:A$502)-2),1)),""),""))</f>
        <v/>
      </c>
      <c r="M254" s="153">
        <f t="array" ref="M254">IF(IFERROR(-INDEX(Expenses!D$3:D$999,SMALL(IF((Expenses!E$3:E$999="INR")*(Expenses!A$3:A$999=DATE(2026,12,19)),ROW(Expenses!A$3:A$999)-2),1)),0)+IFERROR(INDEX(Income!C$3:C$502,SMALL(IF((Income!D$3:D$502="INR")*(Income!A$3:A$502=DATE(2026,12,19)),ROW(Income!A$3:A$502)-2),1)),0)=0,"",IFERROR(-INDEX(Expenses!D$3:D$999,SMALL(IF((Expenses!E$3:E$999="INR")*(Expenses!A$3:A$999=DATE(2026,12,19)),ROW(Expenses!A$3:A$999)-2),1)),0)+IFERROR(INDEX(Income!C$3:C$502,SMALL(IF((Income!D$3:D$502="INR")*(Income!A$3:A$502=DATE(2026,12,19)),ROW(Income!A$3:A$502)-2),1)),0))</f>
        <v/>
      </c>
      <c r="N254" s="126">
        <f t="array" ref="N254">IF(IFERROR(INDEX(Expenses!B$3:B$999,SMALL(IF((Expenses!E$3:E$999="INR")*(Expenses!A$3:A$999=DATE(2026,12,19)),ROW(Expenses!A$3:A$999)-2),1)),"")&lt;&gt;"",IFERROR(INDEX(Expenses!B$3:B$999,SMALL(IF((Expenses!E$3:E$999="INR")*(Expenses!A$3:A$999=DATE(2026,12,19)),ROW(Expenses!A$3:A$999)-2),1)),""),IF(IFERROR(INDEX(Income!B$3:B$502,SMALL(IF((Income!D$3:D$502="INR")*(Income!A$3:A$502=DATE(2026,12,19)),ROW(Income!A$3:A$502)-2),1)),"")&lt;&gt;"",IFERROR(INDEX(Income!B$3:B$502,SMALL(IF((Income!D$3:D$502="INR")*(Income!A$3:A$502=DATE(2026,12,19)),ROW(Income!A$3:A$502)-2),1)),""),""))</f>
        <v/>
      </c>
      <c r="O254" s="153">
        <f t="array" ref="O254">IF(IFERROR(-INDEX(Expenses!D$3:D$999,SMALL(IF((Expenses!E$3:E$999="INR")*(Expenses!A$3:A$999=DATE(2026,12,20)),ROW(Expenses!A$3:A$999)-2),1)),0)+IFERROR(INDEX(Income!C$3:C$502,SMALL(IF((Income!D$3:D$502="INR")*(Income!A$3:A$502=DATE(2026,12,20)),ROW(Income!A$3:A$502)-2),1)),0)=0,"",IFERROR(-INDEX(Expenses!D$3:D$999,SMALL(IF((Expenses!E$3:E$999="INR")*(Expenses!A$3:A$999=DATE(2026,12,20)),ROW(Expenses!A$3:A$999)-2),1)),0)+IFERROR(INDEX(Income!C$3:C$502,SMALL(IF((Income!D$3:D$502="INR")*(Income!A$3:A$502=DATE(2026,12,20)),ROW(Income!A$3:A$502)-2),1)),0))</f>
        <v/>
      </c>
      <c r="P254" s="126">
        <f t="array" ref="P254">IF(IFERROR(INDEX(Expenses!B$3:B$999,SMALL(IF((Expenses!E$3:E$999="INR")*(Expenses!A$3:A$999=DATE(2026,12,20)),ROW(Expenses!A$3:A$999)-2),1)),"")&lt;&gt;"",IFERROR(INDEX(Expenses!B$3:B$999,SMALL(IF((Expenses!E$3:E$999="INR")*(Expenses!A$3:A$999=DATE(2026,12,20)),ROW(Expenses!A$3:A$999)-2),1)),""),IF(IFERROR(INDEX(Income!B$3:B$502,SMALL(IF((Income!D$3:D$502="INR")*(Income!A$3:A$502=DATE(2026,12,20)),ROW(Income!A$3:A$502)-2),1)),"")&lt;&gt;"",IFERROR(INDEX(Income!B$3:B$502,SMALL(IF((Income!D$3:D$502="INR")*(Income!A$3:A$502=DATE(2026,12,20)),ROW(Income!A$3:A$502)-2),1)),""),""))</f>
        <v/>
      </c>
      <c r="Q254" s="103" t="n">
        <v>51</v>
      </c>
      <c r="R254" s="142">
        <f>SUM(C254:C258)+SUM(E254:E258)+SUM(G254:G258)+SUM(I254:I258)+SUM(K254:K258)+SUM(M254:M258)+SUM(O254:O258)</f>
        <v/>
      </c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68">
      <c r="A255" s="9" t="n"/>
      <c r="B255" s="9" t="n"/>
      <c r="C255" s="153">
        <f t="array" ref="C255">IF(IFERROR(-INDEX(Expenses!D$3:D$999,SMALL(IF((Expenses!E$3:E$999="INR")*(Expenses!A$3:A$999=DATE(2026,12,14)),ROW(Expenses!A$3:A$999)-2),2)),0)+IFERROR(INDEX(Income!C$3:C$502,SMALL(IF((Income!D$3:D$502="INR")*(Income!A$3:A$502=DATE(2026,12,14)),ROW(Income!A$3:A$502)-2),2)),0)=0,"",IFERROR(-INDEX(Expenses!D$3:D$999,SMALL(IF((Expenses!E$3:E$999="INR")*(Expenses!A$3:A$999=DATE(2026,12,14)),ROW(Expenses!A$3:A$999)-2),2)),0)+IFERROR(INDEX(Income!C$3:C$502,SMALL(IF((Income!D$3:D$502="INR")*(Income!A$3:A$502=DATE(2026,12,14)),ROW(Income!A$3:A$502)-2),2)),0))</f>
        <v/>
      </c>
      <c r="D255" s="126">
        <f t="array" ref="D255">IF(IFERROR(INDEX(Expenses!B$3:B$999,SMALL(IF((Expenses!E$3:E$999="INR")*(Expenses!A$3:A$999=DATE(2026,12,14)),ROW(Expenses!A$3:A$999)-2),2)),"")&lt;&gt;"",IFERROR(INDEX(Expenses!B$3:B$999,SMALL(IF((Expenses!E$3:E$999="INR")*(Expenses!A$3:A$999=DATE(2026,12,14)),ROW(Expenses!A$3:A$999)-2),2)),""),IF(IFERROR(INDEX(Income!B$3:B$502,SMALL(IF((Income!D$3:D$502="INR")*(Income!A$3:A$502=DATE(2026,12,14)),ROW(Income!A$3:A$502)-2),2)),"")&lt;&gt;"",IFERROR(INDEX(Income!B$3:B$502,SMALL(IF((Income!D$3:D$502="INR")*(Income!A$3:A$502=DATE(2026,12,14)),ROW(Income!A$3:A$502)-2),2)),""),""))</f>
        <v/>
      </c>
      <c r="E255" s="153">
        <f t="array" ref="E255">IF(IFERROR(-INDEX(Expenses!D$3:D$999,SMALL(IF((Expenses!E$3:E$999="INR")*(Expenses!A$3:A$999=DATE(2026,12,15)),ROW(Expenses!A$3:A$999)-2),2)),0)+IFERROR(INDEX(Income!C$3:C$502,SMALL(IF((Income!D$3:D$502="INR")*(Income!A$3:A$502=DATE(2026,12,15)),ROW(Income!A$3:A$502)-2),2)),0)=0,"",IFERROR(-INDEX(Expenses!D$3:D$999,SMALL(IF((Expenses!E$3:E$999="INR")*(Expenses!A$3:A$999=DATE(2026,12,15)),ROW(Expenses!A$3:A$999)-2),2)),0)+IFERROR(INDEX(Income!C$3:C$502,SMALL(IF((Income!D$3:D$502="INR")*(Income!A$3:A$502=DATE(2026,12,15)),ROW(Income!A$3:A$502)-2),2)),0))</f>
        <v/>
      </c>
      <c r="F255" s="126">
        <f t="array" ref="F255">IF(IFERROR(INDEX(Expenses!B$3:B$999,SMALL(IF((Expenses!E$3:E$999="INR")*(Expenses!A$3:A$999=DATE(2026,12,15)),ROW(Expenses!A$3:A$999)-2),2)),"")&lt;&gt;"",IFERROR(INDEX(Expenses!B$3:B$999,SMALL(IF((Expenses!E$3:E$999="INR")*(Expenses!A$3:A$999=DATE(2026,12,15)),ROW(Expenses!A$3:A$999)-2),2)),""),IF(IFERROR(INDEX(Income!B$3:B$502,SMALL(IF((Income!D$3:D$502="INR")*(Income!A$3:A$502=DATE(2026,12,15)),ROW(Income!A$3:A$502)-2),2)),"")&lt;&gt;"",IFERROR(INDEX(Income!B$3:B$502,SMALL(IF((Income!D$3:D$502="INR")*(Income!A$3:A$502=DATE(2026,12,15)),ROW(Income!A$3:A$502)-2),2)),""),""))</f>
        <v/>
      </c>
      <c r="G255" s="153">
        <f t="array" ref="G255">IF(IFERROR(-INDEX(Expenses!D$3:D$999,SMALL(IF((Expenses!E$3:E$999="INR")*(Expenses!A$3:A$999=DATE(2026,12,16)),ROW(Expenses!A$3:A$999)-2),2)),0)+IFERROR(INDEX(Income!C$3:C$502,SMALL(IF((Income!D$3:D$502="INR")*(Income!A$3:A$502=DATE(2026,12,16)),ROW(Income!A$3:A$502)-2),2)),0)=0,"",IFERROR(-INDEX(Expenses!D$3:D$999,SMALL(IF((Expenses!E$3:E$999="INR")*(Expenses!A$3:A$999=DATE(2026,12,16)),ROW(Expenses!A$3:A$999)-2),2)),0)+IFERROR(INDEX(Income!C$3:C$502,SMALL(IF((Income!D$3:D$502="INR")*(Income!A$3:A$502=DATE(2026,12,16)),ROW(Income!A$3:A$502)-2),2)),0))</f>
        <v/>
      </c>
      <c r="H255" s="126">
        <f t="array" ref="H255">IF(IFERROR(INDEX(Expenses!B$3:B$999,SMALL(IF((Expenses!E$3:E$999="INR")*(Expenses!A$3:A$999=DATE(2026,12,16)),ROW(Expenses!A$3:A$999)-2),2)),"")&lt;&gt;"",IFERROR(INDEX(Expenses!B$3:B$999,SMALL(IF((Expenses!E$3:E$999="INR")*(Expenses!A$3:A$999=DATE(2026,12,16)),ROW(Expenses!A$3:A$999)-2),2)),""),IF(IFERROR(INDEX(Income!B$3:B$502,SMALL(IF((Income!D$3:D$502="INR")*(Income!A$3:A$502=DATE(2026,12,16)),ROW(Income!A$3:A$502)-2),2)),"")&lt;&gt;"",IFERROR(INDEX(Income!B$3:B$502,SMALL(IF((Income!D$3:D$502="INR")*(Income!A$3:A$502=DATE(2026,12,16)),ROW(Income!A$3:A$502)-2),2)),""),""))</f>
        <v/>
      </c>
      <c r="I255" s="153">
        <f t="array" ref="I255">IF(IFERROR(-INDEX(Expenses!D$3:D$999,SMALL(IF((Expenses!E$3:E$999="INR")*(Expenses!A$3:A$999=DATE(2026,12,17)),ROW(Expenses!A$3:A$999)-2),2)),0)+IFERROR(INDEX(Income!C$3:C$502,SMALL(IF((Income!D$3:D$502="INR")*(Income!A$3:A$502=DATE(2026,12,17)),ROW(Income!A$3:A$502)-2),2)),0)=0,"",IFERROR(-INDEX(Expenses!D$3:D$999,SMALL(IF((Expenses!E$3:E$999="INR")*(Expenses!A$3:A$999=DATE(2026,12,17)),ROW(Expenses!A$3:A$999)-2),2)),0)+IFERROR(INDEX(Income!C$3:C$502,SMALL(IF((Income!D$3:D$502="INR")*(Income!A$3:A$502=DATE(2026,12,17)),ROW(Income!A$3:A$502)-2),2)),0))</f>
        <v/>
      </c>
      <c r="J255" s="126">
        <f t="array" ref="J255">IF(IFERROR(INDEX(Expenses!B$3:B$999,SMALL(IF((Expenses!E$3:E$999="INR")*(Expenses!A$3:A$999=DATE(2026,12,17)),ROW(Expenses!A$3:A$999)-2),2)),"")&lt;&gt;"",IFERROR(INDEX(Expenses!B$3:B$999,SMALL(IF((Expenses!E$3:E$999="INR")*(Expenses!A$3:A$999=DATE(2026,12,17)),ROW(Expenses!A$3:A$999)-2),2)),""),IF(IFERROR(INDEX(Income!B$3:B$502,SMALL(IF((Income!D$3:D$502="INR")*(Income!A$3:A$502=DATE(2026,12,17)),ROW(Income!A$3:A$502)-2),2)),"")&lt;&gt;"",IFERROR(INDEX(Income!B$3:B$502,SMALL(IF((Income!D$3:D$502="INR")*(Income!A$3:A$502=DATE(2026,12,17)),ROW(Income!A$3:A$502)-2),2)),""),""))</f>
        <v/>
      </c>
      <c r="K255" s="153">
        <f t="array" ref="K255">IF(IFERROR(-INDEX(Expenses!D$3:D$999,SMALL(IF((Expenses!E$3:E$999="INR")*(Expenses!A$3:A$999=DATE(2026,12,18)),ROW(Expenses!A$3:A$999)-2),2)),0)+IFERROR(INDEX(Income!C$3:C$502,SMALL(IF((Income!D$3:D$502="INR")*(Income!A$3:A$502=DATE(2026,12,18)),ROW(Income!A$3:A$502)-2),2)),0)=0,"",IFERROR(-INDEX(Expenses!D$3:D$999,SMALL(IF((Expenses!E$3:E$999="INR")*(Expenses!A$3:A$999=DATE(2026,12,18)),ROW(Expenses!A$3:A$999)-2),2)),0)+IFERROR(INDEX(Income!C$3:C$502,SMALL(IF((Income!D$3:D$502="INR")*(Income!A$3:A$502=DATE(2026,12,18)),ROW(Income!A$3:A$502)-2),2)),0))</f>
        <v/>
      </c>
      <c r="L255" s="126">
        <f t="array" ref="L255">IF(IFERROR(INDEX(Expenses!B$3:B$999,SMALL(IF((Expenses!E$3:E$999="INR")*(Expenses!A$3:A$999=DATE(2026,12,18)),ROW(Expenses!A$3:A$999)-2),2)),"")&lt;&gt;"",IFERROR(INDEX(Expenses!B$3:B$999,SMALL(IF((Expenses!E$3:E$999="INR")*(Expenses!A$3:A$999=DATE(2026,12,18)),ROW(Expenses!A$3:A$999)-2),2)),""),IF(IFERROR(INDEX(Income!B$3:B$502,SMALL(IF((Income!D$3:D$502="INR")*(Income!A$3:A$502=DATE(2026,12,18)),ROW(Income!A$3:A$502)-2),2)),"")&lt;&gt;"",IFERROR(INDEX(Income!B$3:B$502,SMALL(IF((Income!D$3:D$502="INR")*(Income!A$3:A$502=DATE(2026,12,18)),ROW(Income!A$3:A$502)-2),2)),""),""))</f>
        <v/>
      </c>
      <c r="M255" s="153">
        <f t="array" ref="M255">IF(IFERROR(-INDEX(Expenses!D$3:D$999,SMALL(IF((Expenses!E$3:E$999="INR")*(Expenses!A$3:A$999=DATE(2026,12,19)),ROW(Expenses!A$3:A$999)-2),2)),0)+IFERROR(INDEX(Income!C$3:C$502,SMALL(IF((Income!D$3:D$502="INR")*(Income!A$3:A$502=DATE(2026,12,19)),ROW(Income!A$3:A$502)-2),2)),0)=0,"",IFERROR(-INDEX(Expenses!D$3:D$999,SMALL(IF((Expenses!E$3:E$999="INR")*(Expenses!A$3:A$999=DATE(2026,12,19)),ROW(Expenses!A$3:A$999)-2),2)),0)+IFERROR(INDEX(Income!C$3:C$502,SMALL(IF((Income!D$3:D$502="INR")*(Income!A$3:A$502=DATE(2026,12,19)),ROW(Income!A$3:A$502)-2),2)),0))</f>
        <v/>
      </c>
      <c r="N255" s="126">
        <f t="array" ref="N255">IF(IFERROR(INDEX(Expenses!B$3:B$999,SMALL(IF((Expenses!E$3:E$999="INR")*(Expenses!A$3:A$999=DATE(2026,12,19)),ROW(Expenses!A$3:A$999)-2),2)),"")&lt;&gt;"",IFERROR(INDEX(Expenses!B$3:B$999,SMALL(IF((Expenses!E$3:E$999="INR")*(Expenses!A$3:A$999=DATE(2026,12,19)),ROW(Expenses!A$3:A$999)-2),2)),""),IF(IFERROR(INDEX(Income!B$3:B$502,SMALL(IF((Income!D$3:D$502="INR")*(Income!A$3:A$502=DATE(2026,12,19)),ROW(Income!A$3:A$502)-2),2)),"")&lt;&gt;"",IFERROR(INDEX(Income!B$3:B$502,SMALL(IF((Income!D$3:D$502="INR")*(Income!A$3:A$502=DATE(2026,12,19)),ROW(Income!A$3:A$502)-2),2)),""),""))</f>
        <v/>
      </c>
      <c r="O255" s="153">
        <f t="array" ref="O255">IF(IFERROR(-INDEX(Expenses!D$3:D$999,SMALL(IF((Expenses!E$3:E$999="INR")*(Expenses!A$3:A$999=DATE(2026,12,20)),ROW(Expenses!A$3:A$999)-2),2)),0)+IFERROR(INDEX(Income!C$3:C$502,SMALL(IF((Income!D$3:D$502="INR")*(Income!A$3:A$502=DATE(2026,12,20)),ROW(Income!A$3:A$502)-2),2)),0)=0,"",IFERROR(-INDEX(Expenses!D$3:D$999,SMALL(IF((Expenses!E$3:E$999="INR")*(Expenses!A$3:A$999=DATE(2026,12,20)),ROW(Expenses!A$3:A$999)-2),2)),0)+IFERROR(INDEX(Income!C$3:C$502,SMALL(IF((Income!D$3:D$502="INR")*(Income!A$3:A$502=DATE(2026,12,20)),ROW(Income!A$3:A$502)-2),2)),0))</f>
        <v/>
      </c>
      <c r="P255" s="126">
        <f t="array" ref="P255">IF(IFERROR(INDEX(Expenses!B$3:B$999,SMALL(IF((Expenses!E$3:E$999="INR")*(Expenses!A$3:A$999=DATE(2026,12,20)),ROW(Expenses!A$3:A$999)-2),2)),"")&lt;&gt;"",IFERROR(INDEX(Expenses!B$3:B$999,SMALL(IF((Expenses!E$3:E$999="INR")*(Expenses!A$3:A$999=DATE(2026,12,20)),ROW(Expenses!A$3:A$999)-2),2)),""),IF(IFERROR(INDEX(Income!B$3:B$502,SMALL(IF((Income!D$3:D$502="INR")*(Income!A$3:A$502=DATE(2026,12,20)),ROW(Income!A$3:A$502)-2),2)),"")&lt;&gt;"",IFERROR(INDEX(Income!B$3:B$502,SMALL(IF((Income!D$3:D$502="INR")*(Income!A$3:A$502=DATE(2026,12,20)),ROW(Income!A$3:A$502)-2),2)),""),""))</f>
        <v/>
      </c>
      <c r="Q255" s="9" t="n"/>
      <c r="R255" s="9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68">
      <c r="A256" s="9" t="n"/>
      <c r="B256" s="9" t="n"/>
      <c r="C256" s="153">
        <f t="array" ref="C256">IF(IFERROR(-INDEX(Expenses!D$3:D$999,SMALL(IF((Expenses!E$3:E$999="INR")*(Expenses!A$3:A$999=DATE(2026,12,14)),ROW(Expenses!A$3:A$999)-2),3)),0)+IFERROR(INDEX(Income!C$3:C$502,SMALL(IF((Income!D$3:D$502="INR")*(Income!A$3:A$502=DATE(2026,12,14)),ROW(Income!A$3:A$502)-2),3)),0)=0,"",IFERROR(-INDEX(Expenses!D$3:D$999,SMALL(IF((Expenses!E$3:E$999="INR")*(Expenses!A$3:A$999=DATE(2026,12,14)),ROW(Expenses!A$3:A$999)-2),3)),0)+IFERROR(INDEX(Income!C$3:C$502,SMALL(IF((Income!D$3:D$502="INR")*(Income!A$3:A$502=DATE(2026,12,14)),ROW(Income!A$3:A$502)-2),3)),0))</f>
        <v/>
      </c>
      <c r="D256" s="126">
        <f t="array" ref="D256">IF(IFERROR(INDEX(Expenses!B$3:B$999,SMALL(IF((Expenses!E$3:E$999="INR")*(Expenses!A$3:A$999=DATE(2026,12,14)),ROW(Expenses!A$3:A$999)-2),3)),"")&lt;&gt;"",IFERROR(INDEX(Expenses!B$3:B$999,SMALL(IF((Expenses!E$3:E$999="INR")*(Expenses!A$3:A$999=DATE(2026,12,14)),ROW(Expenses!A$3:A$999)-2),3)),""),IF(IFERROR(INDEX(Income!B$3:B$502,SMALL(IF((Income!D$3:D$502="INR")*(Income!A$3:A$502=DATE(2026,12,14)),ROW(Income!A$3:A$502)-2),3)),"")&lt;&gt;"",IFERROR(INDEX(Income!B$3:B$502,SMALL(IF((Income!D$3:D$502="INR")*(Income!A$3:A$502=DATE(2026,12,14)),ROW(Income!A$3:A$502)-2),3)),""),""))</f>
        <v/>
      </c>
      <c r="E256" s="153">
        <f t="array" ref="E256">IF(IFERROR(-INDEX(Expenses!D$3:D$999,SMALL(IF((Expenses!E$3:E$999="INR")*(Expenses!A$3:A$999=DATE(2026,12,15)),ROW(Expenses!A$3:A$999)-2),3)),0)+IFERROR(INDEX(Income!C$3:C$502,SMALL(IF((Income!D$3:D$502="INR")*(Income!A$3:A$502=DATE(2026,12,15)),ROW(Income!A$3:A$502)-2),3)),0)=0,"",IFERROR(-INDEX(Expenses!D$3:D$999,SMALL(IF((Expenses!E$3:E$999="INR")*(Expenses!A$3:A$999=DATE(2026,12,15)),ROW(Expenses!A$3:A$999)-2),3)),0)+IFERROR(INDEX(Income!C$3:C$502,SMALL(IF((Income!D$3:D$502="INR")*(Income!A$3:A$502=DATE(2026,12,15)),ROW(Income!A$3:A$502)-2),3)),0))</f>
        <v/>
      </c>
      <c r="F256" s="126">
        <f t="array" ref="F256">IF(IFERROR(INDEX(Expenses!B$3:B$999,SMALL(IF((Expenses!E$3:E$999="INR")*(Expenses!A$3:A$999=DATE(2026,12,15)),ROW(Expenses!A$3:A$999)-2),3)),"")&lt;&gt;"",IFERROR(INDEX(Expenses!B$3:B$999,SMALL(IF((Expenses!E$3:E$999="INR")*(Expenses!A$3:A$999=DATE(2026,12,15)),ROW(Expenses!A$3:A$999)-2),3)),""),IF(IFERROR(INDEX(Income!B$3:B$502,SMALL(IF((Income!D$3:D$502="INR")*(Income!A$3:A$502=DATE(2026,12,15)),ROW(Income!A$3:A$502)-2),3)),"")&lt;&gt;"",IFERROR(INDEX(Income!B$3:B$502,SMALL(IF((Income!D$3:D$502="INR")*(Income!A$3:A$502=DATE(2026,12,15)),ROW(Income!A$3:A$502)-2),3)),""),""))</f>
        <v/>
      </c>
      <c r="G256" s="153">
        <f t="array" ref="G256">IF(IFERROR(-INDEX(Expenses!D$3:D$999,SMALL(IF((Expenses!E$3:E$999="INR")*(Expenses!A$3:A$999=DATE(2026,12,16)),ROW(Expenses!A$3:A$999)-2),3)),0)+IFERROR(INDEX(Income!C$3:C$502,SMALL(IF((Income!D$3:D$502="INR")*(Income!A$3:A$502=DATE(2026,12,16)),ROW(Income!A$3:A$502)-2),3)),0)=0,"",IFERROR(-INDEX(Expenses!D$3:D$999,SMALL(IF((Expenses!E$3:E$999="INR")*(Expenses!A$3:A$999=DATE(2026,12,16)),ROW(Expenses!A$3:A$999)-2),3)),0)+IFERROR(INDEX(Income!C$3:C$502,SMALL(IF((Income!D$3:D$502="INR")*(Income!A$3:A$502=DATE(2026,12,16)),ROW(Income!A$3:A$502)-2),3)),0))</f>
        <v/>
      </c>
      <c r="H256" s="126">
        <f t="array" ref="H256">IF(IFERROR(INDEX(Expenses!B$3:B$999,SMALL(IF((Expenses!E$3:E$999="INR")*(Expenses!A$3:A$999=DATE(2026,12,16)),ROW(Expenses!A$3:A$999)-2),3)),"")&lt;&gt;"",IFERROR(INDEX(Expenses!B$3:B$999,SMALL(IF((Expenses!E$3:E$999="INR")*(Expenses!A$3:A$999=DATE(2026,12,16)),ROW(Expenses!A$3:A$999)-2),3)),""),IF(IFERROR(INDEX(Income!B$3:B$502,SMALL(IF((Income!D$3:D$502="INR")*(Income!A$3:A$502=DATE(2026,12,16)),ROW(Income!A$3:A$502)-2),3)),"")&lt;&gt;"",IFERROR(INDEX(Income!B$3:B$502,SMALL(IF((Income!D$3:D$502="INR")*(Income!A$3:A$502=DATE(2026,12,16)),ROW(Income!A$3:A$502)-2),3)),""),""))</f>
        <v/>
      </c>
      <c r="I256" s="153">
        <f t="array" ref="I256">IF(IFERROR(-INDEX(Expenses!D$3:D$999,SMALL(IF((Expenses!E$3:E$999="INR")*(Expenses!A$3:A$999=DATE(2026,12,17)),ROW(Expenses!A$3:A$999)-2),3)),0)+IFERROR(INDEX(Income!C$3:C$502,SMALL(IF((Income!D$3:D$502="INR")*(Income!A$3:A$502=DATE(2026,12,17)),ROW(Income!A$3:A$502)-2),3)),0)=0,"",IFERROR(-INDEX(Expenses!D$3:D$999,SMALL(IF((Expenses!E$3:E$999="INR")*(Expenses!A$3:A$999=DATE(2026,12,17)),ROW(Expenses!A$3:A$999)-2),3)),0)+IFERROR(INDEX(Income!C$3:C$502,SMALL(IF((Income!D$3:D$502="INR")*(Income!A$3:A$502=DATE(2026,12,17)),ROW(Income!A$3:A$502)-2),3)),0))</f>
        <v/>
      </c>
      <c r="J256" s="126">
        <f t="array" ref="J256">IF(IFERROR(INDEX(Expenses!B$3:B$999,SMALL(IF((Expenses!E$3:E$999="INR")*(Expenses!A$3:A$999=DATE(2026,12,17)),ROW(Expenses!A$3:A$999)-2),3)),"")&lt;&gt;"",IFERROR(INDEX(Expenses!B$3:B$999,SMALL(IF((Expenses!E$3:E$999="INR")*(Expenses!A$3:A$999=DATE(2026,12,17)),ROW(Expenses!A$3:A$999)-2),3)),""),IF(IFERROR(INDEX(Income!B$3:B$502,SMALL(IF((Income!D$3:D$502="INR")*(Income!A$3:A$502=DATE(2026,12,17)),ROW(Income!A$3:A$502)-2),3)),"")&lt;&gt;"",IFERROR(INDEX(Income!B$3:B$502,SMALL(IF((Income!D$3:D$502="INR")*(Income!A$3:A$502=DATE(2026,12,17)),ROW(Income!A$3:A$502)-2),3)),""),""))</f>
        <v/>
      </c>
      <c r="K256" s="153">
        <f t="array" ref="K256">IF(IFERROR(-INDEX(Expenses!D$3:D$999,SMALL(IF((Expenses!E$3:E$999="INR")*(Expenses!A$3:A$999=DATE(2026,12,18)),ROW(Expenses!A$3:A$999)-2),3)),0)+IFERROR(INDEX(Income!C$3:C$502,SMALL(IF((Income!D$3:D$502="INR")*(Income!A$3:A$502=DATE(2026,12,18)),ROW(Income!A$3:A$502)-2),3)),0)=0,"",IFERROR(-INDEX(Expenses!D$3:D$999,SMALL(IF((Expenses!E$3:E$999="INR")*(Expenses!A$3:A$999=DATE(2026,12,18)),ROW(Expenses!A$3:A$999)-2),3)),0)+IFERROR(INDEX(Income!C$3:C$502,SMALL(IF((Income!D$3:D$502="INR")*(Income!A$3:A$502=DATE(2026,12,18)),ROW(Income!A$3:A$502)-2),3)),0))</f>
        <v/>
      </c>
      <c r="L256" s="126">
        <f t="array" ref="L256">IF(IFERROR(INDEX(Expenses!B$3:B$999,SMALL(IF((Expenses!E$3:E$999="INR")*(Expenses!A$3:A$999=DATE(2026,12,18)),ROW(Expenses!A$3:A$999)-2),3)),"")&lt;&gt;"",IFERROR(INDEX(Expenses!B$3:B$999,SMALL(IF((Expenses!E$3:E$999="INR")*(Expenses!A$3:A$999=DATE(2026,12,18)),ROW(Expenses!A$3:A$999)-2),3)),""),IF(IFERROR(INDEX(Income!B$3:B$502,SMALL(IF((Income!D$3:D$502="INR")*(Income!A$3:A$502=DATE(2026,12,18)),ROW(Income!A$3:A$502)-2),3)),"")&lt;&gt;"",IFERROR(INDEX(Income!B$3:B$502,SMALL(IF((Income!D$3:D$502="INR")*(Income!A$3:A$502=DATE(2026,12,18)),ROW(Income!A$3:A$502)-2),3)),""),""))</f>
        <v/>
      </c>
      <c r="M256" s="153">
        <f t="array" ref="M256">IF(IFERROR(-INDEX(Expenses!D$3:D$999,SMALL(IF((Expenses!E$3:E$999="INR")*(Expenses!A$3:A$999=DATE(2026,12,19)),ROW(Expenses!A$3:A$999)-2),3)),0)+IFERROR(INDEX(Income!C$3:C$502,SMALL(IF((Income!D$3:D$502="INR")*(Income!A$3:A$502=DATE(2026,12,19)),ROW(Income!A$3:A$502)-2),3)),0)=0,"",IFERROR(-INDEX(Expenses!D$3:D$999,SMALL(IF((Expenses!E$3:E$999="INR")*(Expenses!A$3:A$999=DATE(2026,12,19)),ROW(Expenses!A$3:A$999)-2),3)),0)+IFERROR(INDEX(Income!C$3:C$502,SMALL(IF((Income!D$3:D$502="INR")*(Income!A$3:A$502=DATE(2026,12,19)),ROW(Income!A$3:A$502)-2),3)),0))</f>
        <v/>
      </c>
      <c r="N256" s="126">
        <f t="array" ref="N256">IF(IFERROR(INDEX(Expenses!B$3:B$999,SMALL(IF((Expenses!E$3:E$999="INR")*(Expenses!A$3:A$999=DATE(2026,12,19)),ROW(Expenses!A$3:A$999)-2),3)),"")&lt;&gt;"",IFERROR(INDEX(Expenses!B$3:B$999,SMALL(IF((Expenses!E$3:E$999="INR")*(Expenses!A$3:A$999=DATE(2026,12,19)),ROW(Expenses!A$3:A$999)-2),3)),""),IF(IFERROR(INDEX(Income!B$3:B$502,SMALL(IF((Income!D$3:D$502="INR")*(Income!A$3:A$502=DATE(2026,12,19)),ROW(Income!A$3:A$502)-2),3)),"")&lt;&gt;"",IFERROR(INDEX(Income!B$3:B$502,SMALL(IF((Income!D$3:D$502="INR")*(Income!A$3:A$502=DATE(2026,12,19)),ROW(Income!A$3:A$502)-2),3)),""),""))</f>
        <v/>
      </c>
      <c r="O256" s="153">
        <f t="array" ref="O256">IF(IFERROR(-INDEX(Expenses!D$3:D$999,SMALL(IF((Expenses!E$3:E$999="INR")*(Expenses!A$3:A$999=DATE(2026,12,20)),ROW(Expenses!A$3:A$999)-2),3)),0)+IFERROR(INDEX(Income!C$3:C$502,SMALL(IF((Income!D$3:D$502="INR")*(Income!A$3:A$502=DATE(2026,12,20)),ROW(Income!A$3:A$502)-2),3)),0)=0,"",IFERROR(-INDEX(Expenses!D$3:D$999,SMALL(IF((Expenses!E$3:E$999="INR")*(Expenses!A$3:A$999=DATE(2026,12,20)),ROW(Expenses!A$3:A$999)-2),3)),0)+IFERROR(INDEX(Income!C$3:C$502,SMALL(IF((Income!D$3:D$502="INR")*(Income!A$3:A$502=DATE(2026,12,20)),ROW(Income!A$3:A$502)-2),3)),0))</f>
        <v/>
      </c>
      <c r="P256" s="126">
        <f t="array" ref="P256">IF(IFERROR(INDEX(Expenses!B$3:B$999,SMALL(IF((Expenses!E$3:E$999="INR")*(Expenses!A$3:A$999=DATE(2026,12,20)),ROW(Expenses!A$3:A$999)-2),3)),"")&lt;&gt;"",IFERROR(INDEX(Expenses!B$3:B$999,SMALL(IF((Expenses!E$3:E$999="INR")*(Expenses!A$3:A$999=DATE(2026,12,20)),ROW(Expenses!A$3:A$999)-2),3)),""),IF(IFERROR(INDEX(Income!B$3:B$502,SMALL(IF((Income!D$3:D$502="INR")*(Income!A$3:A$502=DATE(2026,12,20)),ROW(Income!A$3:A$502)-2),3)),"")&lt;&gt;"",IFERROR(INDEX(Income!B$3:B$502,SMALL(IF((Income!D$3:D$502="INR")*(Income!A$3:A$502=DATE(2026,12,20)),ROW(Income!A$3:A$502)-2),3)),""),""))</f>
        <v/>
      </c>
      <c r="Q256" s="9" t="n"/>
      <c r="R256" s="9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68">
      <c r="A257" s="9" t="n"/>
      <c r="B257" s="9" t="n"/>
      <c r="C257" s="153">
        <f t="array" ref="C257">IF(IFERROR(-INDEX(Expenses!D$3:D$999,SMALL(IF((Expenses!E$3:E$999="INR")*(Expenses!A$3:A$999=DATE(2026,12,14)),ROW(Expenses!A$3:A$999)-2),4)),0)+IFERROR(INDEX(Income!C$3:C$502,SMALL(IF((Income!D$3:D$502="INR")*(Income!A$3:A$502=DATE(2026,12,14)),ROW(Income!A$3:A$502)-2),4)),0)=0,"",IFERROR(-INDEX(Expenses!D$3:D$999,SMALL(IF((Expenses!E$3:E$999="INR")*(Expenses!A$3:A$999=DATE(2026,12,14)),ROW(Expenses!A$3:A$999)-2),4)),0)+IFERROR(INDEX(Income!C$3:C$502,SMALL(IF((Income!D$3:D$502="INR")*(Income!A$3:A$502=DATE(2026,12,14)),ROW(Income!A$3:A$502)-2),4)),0))</f>
        <v/>
      </c>
      <c r="D257" s="126">
        <f t="array" ref="D257">IF(IFERROR(INDEX(Expenses!B$3:B$999,SMALL(IF((Expenses!E$3:E$999="INR")*(Expenses!A$3:A$999=DATE(2026,12,14)),ROW(Expenses!A$3:A$999)-2),4)),"")&lt;&gt;"",IFERROR(INDEX(Expenses!B$3:B$999,SMALL(IF((Expenses!E$3:E$999="INR")*(Expenses!A$3:A$999=DATE(2026,12,14)),ROW(Expenses!A$3:A$999)-2),4)),""),IF(IFERROR(INDEX(Income!B$3:B$502,SMALL(IF((Income!D$3:D$502="INR")*(Income!A$3:A$502=DATE(2026,12,14)),ROW(Income!A$3:A$502)-2),4)),"")&lt;&gt;"",IFERROR(INDEX(Income!B$3:B$502,SMALL(IF((Income!D$3:D$502="INR")*(Income!A$3:A$502=DATE(2026,12,14)),ROW(Income!A$3:A$502)-2),4)),""),""))</f>
        <v/>
      </c>
      <c r="E257" s="153">
        <f t="array" ref="E257">IF(IFERROR(-INDEX(Expenses!D$3:D$999,SMALL(IF((Expenses!E$3:E$999="INR")*(Expenses!A$3:A$999=DATE(2026,12,15)),ROW(Expenses!A$3:A$999)-2),4)),0)+IFERROR(INDEX(Income!C$3:C$502,SMALL(IF((Income!D$3:D$502="INR")*(Income!A$3:A$502=DATE(2026,12,15)),ROW(Income!A$3:A$502)-2),4)),0)=0,"",IFERROR(-INDEX(Expenses!D$3:D$999,SMALL(IF((Expenses!E$3:E$999="INR")*(Expenses!A$3:A$999=DATE(2026,12,15)),ROW(Expenses!A$3:A$999)-2),4)),0)+IFERROR(INDEX(Income!C$3:C$502,SMALL(IF((Income!D$3:D$502="INR")*(Income!A$3:A$502=DATE(2026,12,15)),ROW(Income!A$3:A$502)-2),4)),0))</f>
        <v/>
      </c>
      <c r="F257" s="126">
        <f t="array" ref="F257">IF(IFERROR(INDEX(Expenses!B$3:B$999,SMALL(IF((Expenses!E$3:E$999="INR")*(Expenses!A$3:A$999=DATE(2026,12,15)),ROW(Expenses!A$3:A$999)-2),4)),"")&lt;&gt;"",IFERROR(INDEX(Expenses!B$3:B$999,SMALL(IF((Expenses!E$3:E$999="INR")*(Expenses!A$3:A$999=DATE(2026,12,15)),ROW(Expenses!A$3:A$999)-2),4)),""),IF(IFERROR(INDEX(Income!B$3:B$502,SMALL(IF((Income!D$3:D$502="INR")*(Income!A$3:A$502=DATE(2026,12,15)),ROW(Income!A$3:A$502)-2),4)),"")&lt;&gt;"",IFERROR(INDEX(Income!B$3:B$502,SMALL(IF((Income!D$3:D$502="INR")*(Income!A$3:A$502=DATE(2026,12,15)),ROW(Income!A$3:A$502)-2),4)),""),""))</f>
        <v/>
      </c>
      <c r="G257" s="153">
        <f t="array" ref="G257">IF(IFERROR(-INDEX(Expenses!D$3:D$999,SMALL(IF((Expenses!E$3:E$999="INR")*(Expenses!A$3:A$999=DATE(2026,12,16)),ROW(Expenses!A$3:A$999)-2),4)),0)+IFERROR(INDEX(Income!C$3:C$502,SMALL(IF((Income!D$3:D$502="INR")*(Income!A$3:A$502=DATE(2026,12,16)),ROW(Income!A$3:A$502)-2),4)),0)=0,"",IFERROR(-INDEX(Expenses!D$3:D$999,SMALL(IF((Expenses!E$3:E$999="INR")*(Expenses!A$3:A$999=DATE(2026,12,16)),ROW(Expenses!A$3:A$999)-2),4)),0)+IFERROR(INDEX(Income!C$3:C$502,SMALL(IF((Income!D$3:D$502="INR")*(Income!A$3:A$502=DATE(2026,12,16)),ROW(Income!A$3:A$502)-2),4)),0))</f>
        <v/>
      </c>
      <c r="H257" s="126">
        <f t="array" ref="H257">IF(IFERROR(INDEX(Expenses!B$3:B$999,SMALL(IF((Expenses!E$3:E$999="INR")*(Expenses!A$3:A$999=DATE(2026,12,16)),ROW(Expenses!A$3:A$999)-2),4)),"")&lt;&gt;"",IFERROR(INDEX(Expenses!B$3:B$999,SMALL(IF((Expenses!E$3:E$999="INR")*(Expenses!A$3:A$999=DATE(2026,12,16)),ROW(Expenses!A$3:A$999)-2),4)),""),IF(IFERROR(INDEX(Income!B$3:B$502,SMALL(IF((Income!D$3:D$502="INR")*(Income!A$3:A$502=DATE(2026,12,16)),ROW(Income!A$3:A$502)-2),4)),"")&lt;&gt;"",IFERROR(INDEX(Income!B$3:B$502,SMALL(IF((Income!D$3:D$502="INR")*(Income!A$3:A$502=DATE(2026,12,16)),ROW(Income!A$3:A$502)-2),4)),""),""))</f>
        <v/>
      </c>
      <c r="I257" s="153">
        <f t="array" ref="I257">IF(IFERROR(-INDEX(Expenses!D$3:D$999,SMALL(IF((Expenses!E$3:E$999="INR")*(Expenses!A$3:A$999=DATE(2026,12,17)),ROW(Expenses!A$3:A$999)-2),4)),0)+IFERROR(INDEX(Income!C$3:C$502,SMALL(IF((Income!D$3:D$502="INR")*(Income!A$3:A$502=DATE(2026,12,17)),ROW(Income!A$3:A$502)-2),4)),0)=0,"",IFERROR(-INDEX(Expenses!D$3:D$999,SMALL(IF((Expenses!E$3:E$999="INR")*(Expenses!A$3:A$999=DATE(2026,12,17)),ROW(Expenses!A$3:A$999)-2),4)),0)+IFERROR(INDEX(Income!C$3:C$502,SMALL(IF((Income!D$3:D$502="INR")*(Income!A$3:A$502=DATE(2026,12,17)),ROW(Income!A$3:A$502)-2),4)),0))</f>
        <v/>
      </c>
      <c r="J257" s="126">
        <f t="array" ref="J257">IF(IFERROR(INDEX(Expenses!B$3:B$999,SMALL(IF((Expenses!E$3:E$999="INR")*(Expenses!A$3:A$999=DATE(2026,12,17)),ROW(Expenses!A$3:A$999)-2),4)),"")&lt;&gt;"",IFERROR(INDEX(Expenses!B$3:B$999,SMALL(IF((Expenses!E$3:E$999="INR")*(Expenses!A$3:A$999=DATE(2026,12,17)),ROW(Expenses!A$3:A$999)-2),4)),""),IF(IFERROR(INDEX(Income!B$3:B$502,SMALL(IF((Income!D$3:D$502="INR")*(Income!A$3:A$502=DATE(2026,12,17)),ROW(Income!A$3:A$502)-2),4)),"")&lt;&gt;"",IFERROR(INDEX(Income!B$3:B$502,SMALL(IF((Income!D$3:D$502="INR")*(Income!A$3:A$502=DATE(2026,12,17)),ROW(Income!A$3:A$502)-2),4)),""),""))</f>
        <v/>
      </c>
      <c r="K257" s="153">
        <f t="array" ref="K257">IF(IFERROR(-INDEX(Expenses!D$3:D$999,SMALL(IF((Expenses!E$3:E$999="INR")*(Expenses!A$3:A$999=DATE(2026,12,18)),ROW(Expenses!A$3:A$999)-2),4)),0)+IFERROR(INDEX(Income!C$3:C$502,SMALL(IF((Income!D$3:D$502="INR")*(Income!A$3:A$502=DATE(2026,12,18)),ROW(Income!A$3:A$502)-2),4)),0)=0,"",IFERROR(-INDEX(Expenses!D$3:D$999,SMALL(IF((Expenses!E$3:E$999="INR")*(Expenses!A$3:A$999=DATE(2026,12,18)),ROW(Expenses!A$3:A$999)-2),4)),0)+IFERROR(INDEX(Income!C$3:C$502,SMALL(IF((Income!D$3:D$502="INR")*(Income!A$3:A$502=DATE(2026,12,18)),ROW(Income!A$3:A$502)-2),4)),0))</f>
        <v/>
      </c>
      <c r="L257" s="126">
        <f t="array" ref="L257">IF(IFERROR(INDEX(Expenses!B$3:B$999,SMALL(IF((Expenses!E$3:E$999="INR")*(Expenses!A$3:A$999=DATE(2026,12,18)),ROW(Expenses!A$3:A$999)-2),4)),"")&lt;&gt;"",IFERROR(INDEX(Expenses!B$3:B$999,SMALL(IF((Expenses!E$3:E$999="INR")*(Expenses!A$3:A$999=DATE(2026,12,18)),ROW(Expenses!A$3:A$999)-2),4)),""),IF(IFERROR(INDEX(Income!B$3:B$502,SMALL(IF((Income!D$3:D$502="INR")*(Income!A$3:A$502=DATE(2026,12,18)),ROW(Income!A$3:A$502)-2),4)),"")&lt;&gt;"",IFERROR(INDEX(Income!B$3:B$502,SMALL(IF((Income!D$3:D$502="INR")*(Income!A$3:A$502=DATE(2026,12,18)),ROW(Income!A$3:A$502)-2),4)),""),""))</f>
        <v/>
      </c>
      <c r="M257" s="153">
        <f t="array" ref="M257">IF(IFERROR(-INDEX(Expenses!D$3:D$999,SMALL(IF((Expenses!E$3:E$999="INR")*(Expenses!A$3:A$999=DATE(2026,12,19)),ROW(Expenses!A$3:A$999)-2),4)),0)+IFERROR(INDEX(Income!C$3:C$502,SMALL(IF((Income!D$3:D$502="INR")*(Income!A$3:A$502=DATE(2026,12,19)),ROW(Income!A$3:A$502)-2),4)),0)=0,"",IFERROR(-INDEX(Expenses!D$3:D$999,SMALL(IF((Expenses!E$3:E$999="INR")*(Expenses!A$3:A$999=DATE(2026,12,19)),ROW(Expenses!A$3:A$999)-2),4)),0)+IFERROR(INDEX(Income!C$3:C$502,SMALL(IF((Income!D$3:D$502="INR")*(Income!A$3:A$502=DATE(2026,12,19)),ROW(Income!A$3:A$502)-2),4)),0))</f>
        <v/>
      </c>
      <c r="N257" s="126">
        <f t="array" ref="N257">IF(IFERROR(INDEX(Expenses!B$3:B$999,SMALL(IF((Expenses!E$3:E$999="INR")*(Expenses!A$3:A$999=DATE(2026,12,19)),ROW(Expenses!A$3:A$999)-2),4)),"")&lt;&gt;"",IFERROR(INDEX(Expenses!B$3:B$999,SMALL(IF((Expenses!E$3:E$999="INR")*(Expenses!A$3:A$999=DATE(2026,12,19)),ROW(Expenses!A$3:A$999)-2),4)),""),IF(IFERROR(INDEX(Income!B$3:B$502,SMALL(IF((Income!D$3:D$502="INR")*(Income!A$3:A$502=DATE(2026,12,19)),ROW(Income!A$3:A$502)-2),4)),"")&lt;&gt;"",IFERROR(INDEX(Income!B$3:B$502,SMALL(IF((Income!D$3:D$502="INR")*(Income!A$3:A$502=DATE(2026,12,19)),ROW(Income!A$3:A$502)-2),4)),""),""))</f>
        <v/>
      </c>
      <c r="O257" s="153">
        <f t="array" ref="O257">IF(IFERROR(-INDEX(Expenses!D$3:D$999,SMALL(IF((Expenses!E$3:E$999="INR")*(Expenses!A$3:A$999=DATE(2026,12,20)),ROW(Expenses!A$3:A$999)-2),4)),0)+IFERROR(INDEX(Income!C$3:C$502,SMALL(IF((Income!D$3:D$502="INR")*(Income!A$3:A$502=DATE(2026,12,20)),ROW(Income!A$3:A$502)-2),4)),0)=0,"",IFERROR(-INDEX(Expenses!D$3:D$999,SMALL(IF((Expenses!E$3:E$999="INR")*(Expenses!A$3:A$999=DATE(2026,12,20)),ROW(Expenses!A$3:A$999)-2),4)),0)+IFERROR(INDEX(Income!C$3:C$502,SMALL(IF((Income!D$3:D$502="INR")*(Income!A$3:A$502=DATE(2026,12,20)),ROW(Income!A$3:A$502)-2),4)),0))</f>
        <v/>
      </c>
      <c r="P257" s="126">
        <f t="array" ref="P257">IF(IFERROR(INDEX(Expenses!B$3:B$999,SMALL(IF((Expenses!E$3:E$999="INR")*(Expenses!A$3:A$999=DATE(2026,12,20)),ROW(Expenses!A$3:A$999)-2),4)),"")&lt;&gt;"",IFERROR(INDEX(Expenses!B$3:B$999,SMALL(IF((Expenses!E$3:E$999="INR")*(Expenses!A$3:A$999=DATE(2026,12,20)),ROW(Expenses!A$3:A$999)-2),4)),""),IF(IFERROR(INDEX(Income!B$3:B$502,SMALL(IF((Income!D$3:D$502="INR")*(Income!A$3:A$502=DATE(2026,12,20)),ROW(Income!A$3:A$502)-2),4)),"")&lt;&gt;"",IFERROR(INDEX(Income!B$3:B$502,SMALL(IF((Income!D$3:D$502="INR")*(Income!A$3:A$502=DATE(2026,12,20)),ROW(Income!A$3:A$502)-2),4)),""),""))</f>
        <v/>
      </c>
      <c r="Q257" s="9" t="n"/>
      <c r="R257" s="9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68">
      <c r="A258" s="9" t="n"/>
      <c r="B258" s="9" t="n"/>
      <c r="C258" s="153">
        <f t="array" ref="C258">IF(IFERROR(-INDEX(Expenses!D$3:D$999,SMALL(IF((Expenses!E$3:E$999="INR")*(Expenses!A$3:A$999=DATE(2026,12,14)),ROW(Expenses!A$3:A$999)-2),5)),0)+IFERROR(INDEX(Income!C$3:C$502,SMALL(IF((Income!D$3:D$502="INR")*(Income!A$3:A$502=DATE(2026,12,14)),ROW(Income!A$3:A$502)-2),5)),0)=0,"",IFERROR(-INDEX(Expenses!D$3:D$999,SMALL(IF((Expenses!E$3:E$999="INR")*(Expenses!A$3:A$999=DATE(2026,12,14)),ROW(Expenses!A$3:A$999)-2),5)),0)+IFERROR(INDEX(Income!C$3:C$502,SMALL(IF((Income!D$3:D$502="INR")*(Income!A$3:A$502=DATE(2026,12,14)),ROW(Income!A$3:A$502)-2),5)),0))</f>
        <v/>
      </c>
      <c r="D258" s="126">
        <f t="array" ref="D258">IF(IFERROR(INDEX(Expenses!B$3:B$999,SMALL(IF((Expenses!E$3:E$999="INR")*(Expenses!A$3:A$999=DATE(2026,12,14)),ROW(Expenses!A$3:A$999)-2),5)),"")&lt;&gt;"",IFERROR(INDEX(Expenses!B$3:B$999,SMALL(IF((Expenses!E$3:E$999="INR")*(Expenses!A$3:A$999=DATE(2026,12,14)),ROW(Expenses!A$3:A$999)-2),5)),""),IF(IFERROR(INDEX(Income!B$3:B$502,SMALL(IF((Income!D$3:D$502="INR")*(Income!A$3:A$502=DATE(2026,12,14)),ROW(Income!A$3:A$502)-2),5)),"")&lt;&gt;"",IFERROR(INDEX(Income!B$3:B$502,SMALL(IF((Income!D$3:D$502="INR")*(Income!A$3:A$502=DATE(2026,12,14)),ROW(Income!A$3:A$502)-2),5)),""),""))</f>
        <v/>
      </c>
      <c r="E258" s="153">
        <f t="array" ref="E258">IF(IFERROR(-INDEX(Expenses!D$3:D$999,SMALL(IF((Expenses!E$3:E$999="INR")*(Expenses!A$3:A$999=DATE(2026,12,15)),ROW(Expenses!A$3:A$999)-2),5)),0)+IFERROR(INDEX(Income!C$3:C$502,SMALL(IF((Income!D$3:D$502="INR")*(Income!A$3:A$502=DATE(2026,12,15)),ROW(Income!A$3:A$502)-2),5)),0)=0,"",IFERROR(-INDEX(Expenses!D$3:D$999,SMALL(IF((Expenses!E$3:E$999="INR")*(Expenses!A$3:A$999=DATE(2026,12,15)),ROW(Expenses!A$3:A$999)-2),5)),0)+IFERROR(INDEX(Income!C$3:C$502,SMALL(IF((Income!D$3:D$502="INR")*(Income!A$3:A$502=DATE(2026,12,15)),ROW(Income!A$3:A$502)-2),5)),0))</f>
        <v/>
      </c>
      <c r="F258" s="126">
        <f t="array" ref="F258">IF(IFERROR(INDEX(Expenses!B$3:B$999,SMALL(IF((Expenses!E$3:E$999="INR")*(Expenses!A$3:A$999=DATE(2026,12,15)),ROW(Expenses!A$3:A$999)-2),5)),"")&lt;&gt;"",IFERROR(INDEX(Expenses!B$3:B$999,SMALL(IF((Expenses!E$3:E$999="INR")*(Expenses!A$3:A$999=DATE(2026,12,15)),ROW(Expenses!A$3:A$999)-2),5)),""),IF(IFERROR(INDEX(Income!B$3:B$502,SMALL(IF((Income!D$3:D$502="INR")*(Income!A$3:A$502=DATE(2026,12,15)),ROW(Income!A$3:A$502)-2),5)),"")&lt;&gt;"",IFERROR(INDEX(Income!B$3:B$502,SMALL(IF((Income!D$3:D$502="INR")*(Income!A$3:A$502=DATE(2026,12,15)),ROW(Income!A$3:A$502)-2),5)),""),""))</f>
        <v/>
      </c>
      <c r="G258" s="153">
        <f t="array" ref="G258">IF(IFERROR(-INDEX(Expenses!D$3:D$999,SMALL(IF((Expenses!E$3:E$999="INR")*(Expenses!A$3:A$999=DATE(2026,12,16)),ROW(Expenses!A$3:A$999)-2),5)),0)+IFERROR(INDEX(Income!C$3:C$502,SMALL(IF((Income!D$3:D$502="INR")*(Income!A$3:A$502=DATE(2026,12,16)),ROW(Income!A$3:A$502)-2),5)),0)=0,"",IFERROR(-INDEX(Expenses!D$3:D$999,SMALL(IF((Expenses!E$3:E$999="INR")*(Expenses!A$3:A$999=DATE(2026,12,16)),ROW(Expenses!A$3:A$999)-2),5)),0)+IFERROR(INDEX(Income!C$3:C$502,SMALL(IF((Income!D$3:D$502="INR")*(Income!A$3:A$502=DATE(2026,12,16)),ROW(Income!A$3:A$502)-2),5)),0))</f>
        <v/>
      </c>
      <c r="H258" s="126">
        <f t="array" ref="H258">IF(IFERROR(INDEX(Expenses!B$3:B$999,SMALL(IF((Expenses!E$3:E$999="INR")*(Expenses!A$3:A$999=DATE(2026,12,16)),ROW(Expenses!A$3:A$999)-2),5)),"")&lt;&gt;"",IFERROR(INDEX(Expenses!B$3:B$999,SMALL(IF((Expenses!E$3:E$999="INR")*(Expenses!A$3:A$999=DATE(2026,12,16)),ROW(Expenses!A$3:A$999)-2),5)),""),IF(IFERROR(INDEX(Income!B$3:B$502,SMALL(IF((Income!D$3:D$502="INR")*(Income!A$3:A$502=DATE(2026,12,16)),ROW(Income!A$3:A$502)-2),5)),"")&lt;&gt;"",IFERROR(INDEX(Income!B$3:B$502,SMALL(IF((Income!D$3:D$502="INR")*(Income!A$3:A$502=DATE(2026,12,16)),ROW(Income!A$3:A$502)-2),5)),""),""))</f>
        <v/>
      </c>
      <c r="I258" s="153">
        <f t="array" ref="I258">IF(IFERROR(-INDEX(Expenses!D$3:D$999,SMALL(IF((Expenses!E$3:E$999="INR")*(Expenses!A$3:A$999=DATE(2026,12,17)),ROW(Expenses!A$3:A$999)-2),5)),0)+IFERROR(INDEX(Income!C$3:C$502,SMALL(IF((Income!D$3:D$502="INR")*(Income!A$3:A$502=DATE(2026,12,17)),ROW(Income!A$3:A$502)-2),5)),0)=0,"",IFERROR(-INDEX(Expenses!D$3:D$999,SMALL(IF((Expenses!E$3:E$999="INR")*(Expenses!A$3:A$999=DATE(2026,12,17)),ROW(Expenses!A$3:A$999)-2),5)),0)+IFERROR(INDEX(Income!C$3:C$502,SMALL(IF((Income!D$3:D$502="INR")*(Income!A$3:A$502=DATE(2026,12,17)),ROW(Income!A$3:A$502)-2),5)),0))</f>
        <v/>
      </c>
      <c r="J258" s="126">
        <f t="array" ref="J258">IF(IFERROR(INDEX(Expenses!B$3:B$999,SMALL(IF((Expenses!E$3:E$999="INR")*(Expenses!A$3:A$999=DATE(2026,12,17)),ROW(Expenses!A$3:A$999)-2),5)),"")&lt;&gt;"",IFERROR(INDEX(Expenses!B$3:B$999,SMALL(IF((Expenses!E$3:E$999="INR")*(Expenses!A$3:A$999=DATE(2026,12,17)),ROW(Expenses!A$3:A$999)-2),5)),""),IF(IFERROR(INDEX(Income!B$3:B$502,SMALL(IF((Income!D$3:D$502="INR")*(Income!A$3:A$502=DATE(2026,12,17)),ROW(Income!A$3:A$502)-2),5)),"")&lt;&gt;"",IFERROR(INDEX(Income!B$3:B$502,SMALL(IF((Income!D$3:D$502="INR")*(Income!A$3:A$502=DATE(2026,12,17)),ROW(Income!A$3:A$502)-2),5)),""),""))</f>
        <v/>
      </c>
      <c r="K258" s="153">
        <f t="array" ref="K258">IF(IFERROR(-INDEX(Expenses!D$3:D$999,SMALL(IF((Expenses!E$3:E$999="INR")*(Expenses!A$3:A$999=DATE(2026,12,18)),ROW(Expenses!A$3:A$999)-2),5)),0)+IFERROR(INDEX(Income!C$3:C$502,SMALL(IF((Income!D$3:D$502="INR")*(Income!A$3:A$502=DATE(2026,12,18)),ROW(Income!A$3:A$502)-2),5)),0)=0,"",IFERROR(-INDEX(Expenses!D$3:D$999,SMALL(IF((Expenses!E$3:E$999="INR")*(Expenses!A$3:A$999=DATE(2026,12,18)),ROW(Expenses!A$3:A$999)-2),5)),0)+IFERROR(INDEX(Income!C$3:C$502,SMALL(IF((Income!D$3:D$502="INR")*(Income!A$3:A$502=DATE(2026,12,18)),ROW(Income!A$3:A$502)-2),5)),0))</f>
        <v/>
      </c>
      <c r="L258" s="126">
        <f t="array" ref="L258">IF(IFERROR(INDEX(Expenses!B$3:B$999,SMALL(IF((Expenses!E$3:E$999="INR")*(Expenses!A$3:A$999=DATE(2026,12,18)),ROW(Expenses!A$3:A$999)-2),5)),"")&lt;&gt;"",IFERROR(INDEX(Expenses!B$3:B$999,SMALL(IF((Expenses!E$3:E$999="INR")*(Expenses!A$3:A$999=DATE(2026,12,18)),ROW(Expenses!A$3:A$999)-2),5)),""),IF(IFERROR(INDEX(Income!B$3:B$502,SMALL(IF((Income!D$3:D$502="INR")*(Income!A$3:A$502=DATE(2026,12,18)),ROW(Income!A$3:A$502)-2),5)),"")&lt;&gt;"",IFERROR(INDEX(Income!B$3:B$502,SMALL(IF((Income!D$3:D$502="INR")*(Income!A$3:A$502=DATE(2026,12,18)),ROW(Income!A$3:A$502)-2),5)),""),""))</f>
        <v/>
      </c>
      <c r="M258" s="153">
        <f t="array" ref="M258">IF(IFERROR(-INDEX(Expenses!D$3:D$999,SMALL(IF((Expenses!E$3:E$999="INR")*(Expenses!A$3:A$999=DATE(2026,12,19)),ROW(Expenses!A$3:A$999)-2),5)),0)+IFERROR(INDEX(Income!C$3:C$502,SMALL(IF((Income!D$3:D$502="INR")*(Income!A$3:A$502=DATE(2026,12,19)),ROW(Income!A$3:A$502)-2),5)),0)=0,"",IFERROR(-INDEX(Expenses!D$3:D$999,SMALL(IF((Expenses!E$3:E$999="INR")*(Expenses!A$3:A$999=DATE(2026,12,19)),ROW(Expenses!A$3:A$999)-2),5)),0)+IFERROR(INDEX(Income!C$3:C$502,SMALL(IF((Income!D$3:D$502="INR")*(Income!A$3:A$502=DATE(2026,12,19)),ROW(Income!A$3:A$502)-2),5)),0))</f>
        <v/>
      </c>
      <c r="N258" s="126">
        <f t="array" ref="N258">IF(IFERROR(INDEX(Expenses!B$3:B$999,SMALL(IF((Expenses!E$3:E$999="INR")*(Expenses!A$3:A$999=DATE(2026,12,19)),ROW(Expenses!A$3:A$999)-2),5)),"")&lt;&gt;"",IFERROR(INDEX(Expenses!B$3:B$999,SMALL(IF((Expenses!E$3:E$999="INR")*(Expenses!A$3:A$999=DATE(2026,12,19)),ROW(Expenses!A$3:A$999)-2),5)),""),IF(IFERROR(INDEX(Income!B$3:B$502,SMALL(IF((Income!D$3:D$502="INR")*(Income!A$3:A$502=DATE(2026,12,19)),ROW(Income!A$3:A$502)-2),5)),"")&lt;&gt;"",IFERROR(INDEX(Income!B$3:B$502,SMALL(IF((Income!D$3:D$502="INR")*(Income!A$3:A$502=DATE(2026,12,19)),ROW(Income!A$3:A$502)-2),5)),""),""))</f>
        <v/>
      </c>
      <c r="O258" s="153">
        <f t="array" ref="O258">IF(IFERROR(-INDEX(Expenses!D$3:D$999,SMALL(IF((Expenses!E$3:E$999="INR")*(Expenses!A$3:A$999=DATE(2026,12,20)),ROW(Expenses!A$3:A$999)-2),5)),0)+IFERROR(INDEX(Income!C$3:C$502,SMALL(IF((Income!D$3:D$502="INR")*(Income!A$3:A$502=DATE(2026,12,20)),ROW(Income!A$3:A$502)-2),5)),0)=0,"",IFERROR(-INDEX(Expenses!D$3:D$999,SMALL(IF((Expenses!E$3:E$999="INR")*(Expenses!A$3:A$999=DATE(2026,12,20)),ROW(Expenses!A$3:A$999)-2),5)),0)+IFERROR(INDEX(Income!C$3:C$502,SMALL(IF((Income!D$3:D$502="INR")*(Income!A$3:A$502=DATE(2026,12,20)),ROW(Income!A$3:A$502)-2),5)),0))</f>
        <v/>
      </c>
      <c r="P258" s="126">
        <f t="array" ref="P258">IF(IFERROR(INDEX(Expenses!B$3:B$999,SMALL(IF((Expenses!E$3:E$999="INR")*(Expenses!A$3:A$999=DATE(2026,12,20)),ROW(Expenses!A$3:A$999)-2),5)),"")&lt;&gt;"",IFERROR(INDEX(Expenses!B$3:B$999,SMALL(IF((Expenses!E$3:E$999="INR")*(Expenses!A$3:A$999=DATE(2026,12,20)),ROW(Expenses!A$3:A$999)-2),5)),""),IF(IFERROR(INDEX(Income!B$3:B$502,SMALL(IF((Income!D$3:D$502="INR")*(Income!A$3:A$502=DATE(2026,12,20)),ROW(Income!A$3:A$502)-2),5)),"")&lt;&gt;"",IFERROR(INDEX(Income!B$3:B$502,SMALL(IF((Income!D$3:D$502="INR")*(Income!A$3:A$502=DATE(2026,12,20)),ROW(Income!A$3:A$502)-2),5)),""),""))</f>
        <v/>
      </c>
      <c r="Q258" s="9" t="n"/>
      <c r="R258" s="9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68">
      <c r="A259" s="151" t="n">
        <v>46377</v>
      </c>
      <c r="B259" s="103" t="n">
        <v>52</v>
      </c>
      <c r="C259" s="153">
        <f t="array" ref="C259">IF(IFERROR(-INDEX(Expenses!D$3:D$999,SMALL(IF((Expenses!E$3:E$999="INR")*(Expenses!A$3:A$999=DATE(2026,12,21)),ROW(Expenses!A$3:A$999)-2),1)),0)+IFERROR(INDEX(Income!C$3:C$502,SMALL(IF((Income!D$3:D$502="INR")*(Income!A$3:A$502=DATE(2026,12,21)),ROW(Income!A$3:A$502)-2),1)),0)=0,"",IFERROR(-INDEX(Expenses!D$3:D$999,SMALL(IF((Expenses!E$3:E$999="INR")*(Expenses!A$3:A$999=DATE(2026,12,21)),ROW(Expenses!A$3:A$999)-2),1)),0)+IFERROR(INDEX(Income!C$3:C$502,SMALL(IF((Income!D$3:D$502="INR")*(Income!A$3:A$502=DATE(2026,12,21)),ROW(Income!A$3:A$502)-2),1)),0))</f>
        <v/>
      </c>
      <c r="D259" s="126">
        <f t="array" ref="D259">IF(IFERROR(INDEX(Expenses!B$3:B$999,SMALL(IF((Expenses!E$3:E$999="INR")*(Expenses!A$3:A$999=DATE(2026,12,21)),ROW(Expenses!A$3:A$999)-2),1)),"")&lt;&gt;"",IFERROR(INDEX(Expenses!B$3:B$999,SMALL(IF((Expenses!E$3:E$999="INR")*(Expenses!A$3:A$999=DATE(2026,12,21)),ROW(Expenses!A$3:A$999)-2),1)),""),IF(IFERROR(INDEX(Income!B$3:B$502,SMALL(IF((Income!D$3:D$502="INR")*(Income!A$3:A$502=DATE(2026,12,21)),ROW(Income!A$3:A$502)-2),1)),"")&lt;&gt;"",IFERROR(INDEX(Income!B$3:B$502,SMALL(IF((Income!D$3:D$502="INR")*(Income!A$3:A$502=DATE(2026,12,21)),ROW(Income!A$3:A$502)-2),1)),""),""))</f>
        <v/>
      </c>
      <c r="E259" s="153">
        <f t="array" ref="E259">IF(IFERROR(-INDEX(Expenses!D$3:D$999,SMALL(IF((Expenses!E$3:E$999="INR")*(Expenses!A$3:A$999=DATE(2026,12,22)),ROW(Expenses!A$3:A$999)-2),1)),0)+IFERROR(INDEX(Income!C$3:C$502,SMALL(IF((Income!D$3:D$502="INR")*(Income!A$3:A$502=DATE(2026,12,22)),ROW(Income!A$3:A$502)-2),1)),0)=0,"",IFERROR(-INDEX(Expenses!D$3:D$999,SMALL(IF((Expenses!E$3:E$999="INR")*(Expenses!A$3:A$999=DATE(2026,12,22)),ROW(Expenses!A$3:A$999)-2),1)),0)+IFERROR(INDEX(Income!C$3:C$502,SMALL(IF((Income!D$3:D$502="INR")*(Income!A$3:A$502=DATE(2026,12,22)),ROW(Income!A$3:A$502)-2),1)),0))</f>
        <v/>
      </c>
      <c r="F259" s="126">
        <f t="array" ref="F259">IF(IFERROR(INDEX(Expenses!B$3:B$999,SMALL(IF((Expenses!E$3:E$999="INR")*(Expenses!A$3:A$999=DATE(2026,12,22)),ROW(Expenses!A$3:A$999)-2),1)),"")&lt;&gt;"",IFERROR(INDEX(Expenses!B$3:B$999,SMALL(IF((Expenses!E$3:E$999="INR")*(Expenses!A$3:A$999=DATE(2026,12,22)),ROW(Expenses!A$3:A$999)-2),1)),""),IF(IFERROR(INDEX(Income!B$3:B$502,SMALL(IF((Income!D$3:D$502="INR")*(Income!A$3:A$502=DATE(2026,12,22)),ROW(Income!A$3:A$502)-2),1)),"")&lt;&gt;"",IFERROR(INDEX(Income!B$3:B$502,SMALL(IF((Income!D$3:D$502="INR")*(Income!A$3:A$502=DATE(2026,12,22)),ROW(Income!A$3:A$502)-2),1)),""),""))</f>
        <v/>
      </c>
      <c r="G259" s="153">
        <f t="array" ref="G259">IF(IFERROR(-INDEX(Expenses!D$3:D$999,SMALL(IF((Expenses!E$3:E$999="INR")*(Expenses!A$3:A$999=DATE(2026,12,23)),ROW(Expenses!A$3:A$999)-2),1)),0)+IFERROR(INDEX(Income!C$3:C$502,SMALL(IF((Income!D$3:D$502="INR")*(Income!A$3:A$502=DATE(2026,12,23)),ROW(Income!A$3:A$502)-2),1)),0)=0,"",IFERROR(-INDEX(Expenses!D$3:D$999,SMALL(IF((Expenses!E$3:E$999="INR")*(Expenses!A$3:A$999=DATE(2026,12,23)),ROW(Expenses!A$3:A$999)-2),1)),0)+IFERROR(INDEX(Income!C$3:C$502,SMALL(IF((Income!D$3:D$502="INR")*(Income!A$3:A$502=DATE(2026,12,23)),ROW(Income!A$3:A$502)-2),1)),0))</f>
        <v/>
      </c>
      <c r="H259" s="126">
        <f t="array" ref="H259">IF(IFERROR(INDEX(Expenses!B$3:B$999,SMALL(IF((Expenses!E$3:E$999="INR")*(Expenses!A$3:A$999=DATE(2026,12,23)),ROW(Expenses!A$3:A$999)-2),1)),"")&lt;&gt;"",IFERROR(INDEX(Expenses!B$3:B$999,SMALL(IF((Expenses!E$3:E$999="INR")*(Expenses!A$3:A$999=DATE(2026,12,23)),ROW(Expenses!A$3:A$999)-2),1)),""),IF(IFERROR(INDEX(Income!B$3:B$502,SMALL(IF((Income!D$3:D$502="INR")*(Income!A$3:A$502=DATE(2026,12,23)),ROW(Income!A$3:A$502)-2),1)),"")&lt;&gt;"",IFERROR(INDEX(Income!B$3:B$502,SMALL(IF((Income!D$3:D$502="INR")*(Income!A$3:A$502=DATE(2026,12,23)),ROW(Income!A$3:A$502)-2),1)),""),""))</f>
        <v/>
      </c>
      <c r="I259" s="153">
        <f t="array" ref="I259">IF(IFERROR(-INDEX(Expenses!D$3:D$999,SMALL(IF((Expenses!E$3:E$999="INR")*(Expenses!A$3:A$999=DATE(2026,12,24)),ROW(Expenses!A$3:A$999)-2),1)),0)+IFERROR(INDEX(Income!C$3:C$502,SMALL(IF((Income!D$3:D$502="INR")*(Income!A$3:A$502=DATE(2026,12,24)),ROW(Income!A$3:A$502)-2),1)),0)=0,"",IFERROR(-INDEX(Expenses!D$3:D$999,SMALL(IF((Expenses!E$3:E$999="INR")*(Expenses!A$3:A$999=DATE(2026,12,24)),ROW(Expenses!A$3:A$999)-2),1)),0)+IFERROR(INDEX(Income!C$3:C$502,SMALL(IF((Income!D$3:D$502="INR")*(Income!A$3:A$502=DATE(2026,12,24)),ROW(Income!A$3:A$502)-2),1)),0))</f>
        <v/>
      </c>
      <c r="J259" s="126">
        <f t="array" ref="J259">IF(IFERROR(INDEX(Expenses!B$3:B$999,SMALL(IF((Expenses!E$3:E$999="INR")*(Expenses!A$3:A$999=DATE(2026,12,24)),ROW(Expenses!A$3:A$999)-2),1)),"")&lt;&gt;"",IFERROR(INDEX(Expenses!B$3:B$999,SMALL(IF((Expenses!E$3:E$999="INR")*(Expenses!A$3:A$999=DATE(2026,12,24)),ROW(Expenses!A$3:A$999)-2),1)),""),IF(IFERROR(INDEX(Income!B$3:B$502,SMALL(IF((Income!D$3:D$502="INR")*(Income!A$3:A$502=DATE(2026,12,24)),ROW(Income!A$3:A$502)-2),1)),"")&lt;&gt;"",IFERROR(INDEX(Income!B$3:B$502,SMALL(IF((Income!D$3:D$502="INR")*(Income!A$3:A$502=DATE(2026,12,24)),ROW(Income!A$3:A$502)-2),1)),""),""))</f>
        <v/>
      </c>
      <c r="K259" s="153">
        <f t="array" ref="K259">IF(IFERROR(-INDEX(Expenses!D$3:D$999,SMALL(IF((Expenses!E$3:E$999="INR")*(Expenses!A$3:A$999=DATE(2026,12,25)),ROW(Expenses!A$3:A$999)-2),1)),0)+IFERROR(INDEX(Income!C$3:C$502,SMALL(IF((Income!D$3:D$502="INR")*(Income!A$3:A$502=DATE(2026,12,25)),ROW(Income!A$3:A$502)-2),1)),0)=0,"",IFERROR(-INDEX(Expenses!D$3:D$999,SMALL(IF((Expenses!E$3:E$999="INR")*(Expenses!A$3:A$999=DATE(2026,12,25)),ROW(Expenses!A$3:A$999)-2),1)),0)+IFERROR(INDEX(Income!C$3:C$502,SMALL(IF((Income!D$3:D$502="INR")*(Income!A$3:A$502=DATE(2026,12,25)),ROW(Income!A$3:A$502)-2),1)),0))</f>
        <v/>
      </c>
      <c r="L259" s="126">
        <f t="array" ref="L259">IF(IFERROR(INDEX(Expenses!B$3:B$999,SMALL(IF((Expenses!E$3:E$999="INR")*(Expenses!A$3:A$999=DATE(2026,12,25)),ROW(Expenses!A$3:A$999)-2),1)),"")&lt;&gt;"",IFERROR(INDEX(Expenses!B$3:B$999,SMALL(IF((Expenses!E$3:E$999="INR")*(Expenses!A$3:A$999=DATE(2026,12,25)),ROW(Expenses!A$3:A$999)-2),1)),""),IF(IFERROR(INDEX(Income!B$3:B$502,SMALL(IF((Income!D$3:D$502="INR")*(Income!A$3:A$502=DATE(2026,12,25)),ROW(Income!A$3:A$502)-2),1)),"")&lt;&gt;"",IFERROR(INDEX(Income!B$3:B$502,SMALL(IF((Income!D$3:D$502="INR")*(Income!A$3:A$502=DATE(2026,12,25)),ROW(Income!A$3:A$502)-2),1)),""),""))</f>
        <v/>
      </c>
      <c r="M259" s="153">
        <f t="array" ref="M259">IF(IFERROR(-INDEX(Expenses!D$3:D$999,SMALL(IF((Expenses!E$3:E$999="INR")*(Expenses!A$3:A$999=DATE(2026,12,26)),ROW(Expenses!A$3:A$999)-2),1)),0)+IFERROR(INDEX(Income!C$3:C$502,SMALL(IF((Income!D$3:D$502="INR")*(Income!A$3:A$502=DATE(2026,12,26)),ROW(Income!A$3:A$502)-2),1)),0)=0,"",IFERROR(-INDEX(Expenses!D$3:D$999,SMALL(IF((Expenses!E$3:E$999="INR")*(Expenses!A$3:A$999=DATE(2026,12,26)),ROW(Expenses!A$3:A$999)-2),1)),0)+IFERROR(INDEX(Income!C$3:C$502,SMALL(IF((Income!D$3:D$502="INR")*(Income!A$3:A$502=DATE(2026,12,26)),ROW(Income!A$3:A$502)-2),1)),0))</f>
        <v/>
      </c>
      <c r="N259" s="126">
        <f t="array" ref="N259">IF(IFERROR(INDEX(Expenses!B$3:B$999,SMALL(IF((Expenses!E$3:E$999="INR")*(Expenses!A$3:A$999=DATE(2026,12,26)),ROW(Expenses!A$3:A$999)-2),1)),"")&lt;&gt;"",IFERROR(INDEX(Expenses!B$3:B$999,SMALL(IF((Expenses!E$3:E$999="INR")*(Expenses!A$3:A$999=DATE(2026,12,26)),ROW(Expenses!A$3:A$999)-2),1)),""),IF(IFERROR(INDEX(Income!B$3:B$502,SMALL(IF((Income!D$3:D$502="INR")*(Income!A$3:A$502=DATE(2026,12,26)),ROW(Income!A$3:A$502)-2),1)),"")&lt;&gt;"",IFERROR(INDEX(Income!B$3:B$502,SMALL(IF((Income!D$3:D$502="INR")*(Income!A$3:A$502=DATE(2026,12,26)),ROW(Income!A$3:A$502)-2),1)),""),""))</f>
        <v/>
      </c>
      <c r="O259" s="153">
        <f t="array" ref="O259">IF(IFERROR(-INDEX(Expenses!D$3:D$999,SMALL(IF((Expenses!E$3:E$999="INR")*(Expenses!A$3:A$999=DATE(2026,12,27)),ROW(Expenses!A$3:A$999)-2),1)),0)+IFERROR(INDEX(Income!C$3:C$502,SMALL(IF((Income!D$3:D$502="INR")*(Income!A$3:A$502=DATE(2026,12,27)),ROW(Income!A$3:A$502)-2),1)),0)=0,"",IFERROR(-INDEX(Expenses!D$3:D$999,SMALL(IF((Expenses!E$3:E$999="INR")*(Expenses!A$3:A$999=DATE(2026,12,27)),ROW(Expenses!A$3:A$999)-2),1)),0)+IFERROR(INDEX(Income!C$3:C$502,SMALL(IF((Income!D$3:D$502="INR")*(Income!A$3:A$502=DATE(2026,12,27)),ROW(Income!A$3:A$502)-2),1)),0))</f>
        <v/>
      </c>
      <c r="P259" s="126">
        <f t="array" ref="P259">IF(IFERROR(INDEX(Expenses!B$3:B$999,SMALL(IF((Expenses!E$3:E$999="INR")*(Expenses!A$3:A$999=DATE(2026,12,27)),ROW(Expenses!A$3:A$999)-2),1)),"")&lt;&gt;"",IFERROR(INDEX(Expenses!B$3:B$999,SMALL(IF((Expenses!E$3:E$999="INR")*(Expenses!A$3:A$999=DATE(2026,12,27)),ROW(Expenses!A$3:A$999)-2),1)),""),IF(IFERROR(INDEX(Income!B$3:B$502,SMALL(IF((Income!D$3:D$502="INR")*(Income!A$3:A$502=DATE(2026,12,27)),ROW(Income!A$3:A$502)-2),1)),"")&lt;&gt;"",IFERROR(INDEX(Income!B$3:B$502,SMALL(IF((Income!D$3:D$502="INR")*(Income!A$3:A$502=DATE(2026,12,27)),ROW(Income!A$3:A$502)-2),1)),""),""))</f>
        <v/>
      </c>
      <c r="Q259" s="103" t="n">
        <v>52</v>
      </c>
      <c r="R259" s="142">
        <f>SUM(C259:C263)+SUM(E259:E263)+SUM(G259:G263)+SUM(I259:I263)+SUM(K259:K263)+SUM(M259:M263)+SUM(O259:O263)</f>
        <v/>
      </c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68">
      <c r="A260" s="9" t="n"/>
      <c r="B260" s="9" t="n"/>
      <c r="C260" s="153">
        <f t="array" ref="C260">IF(IFERROR(-INDEX(Expenses!D$3:D$999,SMALL(IF((Expenses!E$3:E$999="INR")*(Expenses!A$3:A$999=DATE(2026,12,21)),ROW(Expenses!A$3:A$999)-2),2)),0)+IFERROR(INDEX(Income!C$3:C$502,SMALL(IF((Income!D$3:D$502="INR")*(Income!A$3:A$502=DATE(2026,12,21)),ROW(Income!A$3:A$502)-2),2)),0)=0,"",IFERROR(-INDEX(Expenses!D$3:D$999,SMALL(IF((Expenses!E$3:E$999="INR")*(Expenses!A$3:A$999=DATE(2026,12,21)),ROW(Expenses!A$3:A$999)-2),2)),0)+IFERROR(INDEX(Income!C$3:C$502,SMALL(IF((Income!D$3:D$502="INR")*(Income!A$3:A$502=DATE(2026,12,21)),ROW(Income!A$3:A$502)-2),2)),0))</f>
        <v/>
      </c>
      <c r="D260" s="126">
        <f t="array" ref="D260">IF(IFERROR(INDEX(Expenses!B$3:B$999,SMALL(IF((Expenses!E$3:E$999="INR")*(Expenses!A$3:A$999=DATE(2026,12,21)),ROW(Expenses!A$3:A$999)-2),2)),"")&lt;&gt;"",IFERROR(INDEX(Expenses!B$3:B$999,SMALL(IF((Expenses!E$3:E$999="INR")*(Expenses!A$3:A$999=DATE(2026,12,21)),ROW(Expenses!A$3:A$999)-2),2)),""),IF(IFERROR(INDEX(Income!B$3:B$502,SMALL(IF((Income!D$3:D$502="INR")*(Income!A$3:A$502=DATE(2026,12,21)),ROW(Income!A$3:A$502)-2),2)),"")&lt;&gt;"",IFERROR(INDEX(Income!B$3:B$502,SMALL(IF((Income!D$3:D$502="INR")*(Income!A$3:A$502=DATE(2026,12,21)),ROW(Income!A$3:A$502)-2),2)),""),""))</f>
        <v/>
      </c>
      <c r="E260" s="153">
        <f t="array" ref="E260">IF(IFERROR(-INDEX(Expenses!D$3:D$999,SMALL(IF((Expenses!E$3:E$999="INR")*(Expenses!A$3:A$999=DATE(2026,12,22)),ROW(Expenses!A$3:A$999)-2),2)),0)+IFERROR(INDEX(Income!C$3:C$502,SMALL(IF((Income!D$3:D$502="INR")*(Income!A$3:A$502=DATE(2026,12,22)),ROW(Income!A$3:A$502)-2),2)),0)=0,"",IFERROR(-INDEX(Expenses!D$3:D$999,SMALL(IF((Expenses!E$3:E$999="INR")*(Expenses!A$3:A$999=DATE(2026,12,22)),ROW(Expenses!A$3:A$999)-2),2)),0)+IFERROR(INDEX(Income!C$3:C$502,SMALL(IF((Income!D$3:D$502="INR")*(Income!A$3:A$502=DATE(2026,12,22)),ROW(Income!A$3:A$502)-2),2)),0))</f>
        <v/>
      </c>
      <c r="F260" s="126">
        <f t="array" ref="F260">IF(IFERROR(INDEX(Expenses!B$3:B$999,SMALL(IF((Expenses!E$3:E$999="INR")*(Expenses!A$3:A$999=DATE(2026,12,22)),ROW(Expenses!A$3:A$999)-2),2)),"")&lt;&gt;"",IFERROR(INDEX(Expenses!B$3:B$999,SMALL(IF((Expenses!E$3:E$999="INR")*(Expenses!A$3:A$999=DATE(2026,12,22)),ROW(Expenses!A$3:A$999)-2),2)),""),IF(IFERROR(INDEX(Income!B$3:B$502,SMALL(IF((Income!D$3:D$502="INR")*(Income!A$3:A$502=DATE(2026,12,22)),ROW(Income!A$3:A$502)-2),2)),"")&lt;&gt;"",IFERROR(INDEX(Income!B$3:B$502,SMALL(IF((Income!D$3:D$502="INR")*(Income!A$3:A$502=DATE(2026,12,22)),ROW(Income!A$3:A$502)-2),2)),""),""))</f>
        <v/>
      </c>
      <c r="G260" s="153">
        <f t="array" ref="G260">IF(IFERROR(-INDEX(Expenses!D$3:D$999,SMALL(IF((Expenses!E$3:E$999="INR")*(Expenses!A$3:A$999=DATE(2026,12,23)),ROW(Expenses!A$3:A$999)-2),2)),0)+IFERROR(INDEX(Income!C$3:C$502,SMALL(IF((Income!D$3:D$502="INR")*(Income!A$3:A$502=DATE(2026,12,23)),ROW(Income!A$3:A$502)-2),2)),0)=0,"",IFERROR(-INDEX(Expenses!D$3:D$999,SMALL(IF((Expenses!E$3:E$999="INR")*(Expenses!A$3:A$999=DATE(2026,12,23)),ROW(Expenses!A$3:A$999)-2),2)),0)+IFERROR(INDEX(Income!C$3:C$502,SMALL(IF((Income!D$3:D$502="INR")*(Income!A$3:A$502=DATE(2026,12,23)),ROW(Income!A$3:A$502)-2),2)),0))</f>
        <v/>
      </c>
      <c r="H260" s="126">
        <f t="array" ref="H260">IF(IFERROR(INDEX(Expenses!B$3:B$999,SMALL(IF((Expenses!E$3:E$999="INR")*(Expenses!A$3:A$999=DATE(2026,12,23)),ROW(Expenses!A$3:A$999)-2),2)),"")&lt;&gt;"",IFERROR(INDEX(Expenses!B$3:B$999,SMALL(IF((Expenses!E$3:E$999="INR")*(Expenses!A$3:A$999=DATE(2026,12,23)),ROW(Expenses!A$3:A$999)-2),2)),""),IF(IFERROR(INDEX(Income!B$3:B$502,SMALL(IF((Income!D$3:D$502="INR")*(Income!A$3:A$502=DATE(2026,12,23)),ROW(Income!A$3:A$502)-2),2)),"")&lt;&gt;"",IFERROR(INDEX(Income!B$3:B$502,SMALL(IF((Income!D$3:D$502="INR")*(Income!A$3:A$502=DATE(2026,12,23)),ROW(Income!A$3:A$502)-2),2)),""),""))</f>
        <v/>
      </c>
      <c r="I260" s="153">
        <f t="array" ref="I260">IF(IFERROR(-INDEX(Expenses!D$3:D$999,SMALL(IF((Expenses!E$3:E$999="INR")*(Expenses!A$3:A$999=DATE(2026,12,24)),ROW(Expenses!A$3:A$999)-2),2)),0)+IFERROR(INDEX(Income!C$3:C$502,SMALL(IF((Income!D$3:D$502="INR")*(Income!A$3:A$502=DATE(2026,12,24)),ROW(Income!A$3:A$502)-2),2)),0)=0,"",IFERROR(-INDEX(Expenses!D$3:D$999,SMALL(IF((Expenses!E$3:E$999="INR")*(Expenses!A$3:A$999=DATE(2026,12,24)),ROW(Expenses!A$3:A$999)-2),2)),0)+IFERROR(INDEX(Income!C$3:C$502,SMALL(IF((Income!D$3:D$502="INR")*(Income!A$3:A$502=DATE(2026,12,24)),ROW(Income!A$3:A$502)-2),2)),0))</f>
        <v/>
      </c>
      <c r="J260" s="126">
        <f t="array" ref="J260">IF(IFERROR(INDEX(Expenses!B$3:B$999,SMALL(IF((Expenses!E$3:E$999="INR")*(Expenses!A$3:A$999=DATE(2026,12,24)),ROW(Expenses!A$3:A$999)-2),2)),"")&lt;&gt;"",IFERROR(INDEX(Expenses!B$3:B$999,SMALL(IF((Expenses!E$3:E$999="INR")*(Expenses!A$3:A$999=DATE(2026,12,24)),ROW(Expenses!A$3:A$999)-2),2)),""),IF(IFERROR(INDEX(Income!B$3:B$502,SMALL(IF((Income!D$3:D$502="INR")*(Income!A$3:A$502=DATE(2026,12,24)),ROW(Income!A$3:A$502)-2),2)),"")&lt;&gt;"",IFERROR(INDEX(Income!B$3:B$502,SMALL(IF((Income!D$3:D$502="INR")*(Income!A$3:A$502=DATE(2026,12,24)),ROW(Income!A$3:A$502)-2),2)),""),""))</f>
        <v/>
      </c>
      <c r="K260" s="153">
        <f t="array" ref="K260">IF(IFERROR(-INDEX(Expenses!D$3:D$999,SMALL(IF((Expenses!E$3:E$999="INR")*(Expenses!A$3:A$999=DATE(2026,12,25)),ROW(Expenses!A$3:A$999)-2),2)),0)+IFERROR(INDEX(Income!C$3:C$502,SMALL(IF((Income!D$3:D$502="INR")*(Income!A$3:A$502=DATE(2026,12,25)),ROW(Income!A$3:A$502)-2),2)),0)=0,"",IFERROR(-INDEX(Expenses!D$3:D$999,SMALL(IF((Expenses!E$3:E$999="INR")*(Expenses!A$3:A$999=DATE(2026,12,25)),ROW(Expenses!A$3:A$999)-2),2)),0)+IFERROR(INDEX(Income!C$3:C$502,SMALL(IF((Income!D$3:D$502="INR")*(Income!A$3:A$502=DATE(2026,12,25)),ROW(Income!A$3:A$502)-2),2)),0))</f>
        <v/>
      </c>
      <c r="L260" s="126">
        <f t="array" ref="L260">IF(IFERROR(INDEX(Expenses!B$3:B$999,SMALL(IF((Expenses!E$3:E$999="INR")*(Expenses!A$3:A$999=DATE(2026,12,25)),ROW(Expenses!A$3:A$999)-2),2)),"")&lt;&gt;"",IFERROR(INDEX(Expenses!B$3:B$999,SMALL(IF((Expenses!E$3:E$999="INR")*(Expenses!A$3:A$999=DATE(2026,12,25)),ROW(Expenses!A$3:A$999)-2),2)),""),IF(IFERROR(INDEX(Income!B$3:B$502,SMALL(IF((Income!D$3:D$502="INR")*(Income!A$3:A$502=DATE(2026,12,25)),ROW(Income!A$3:A$502)-2),2)),"")&lt;&gt;"",IFERROR(INDEX(Income!B$3:B$502,SMALL(IF((Income!D$3:D$502="INR")*(Income!A$3:A$502=DATE(2026,12,25)),ROW(Income!A$3:A$502)-2),2)),""),""))</f>
        <v/>
      </c>
      <c r="M260" s="153">
        <f t="array" ref="M260">IF(IFERROR(-INDEX(Expenses!D$3:D$999,SMALL(IF((Expenses!E$3:E$999="INR")*(Expenses!A$3:A$999=DATE(2026,12,26)),ROW(Expenses!A$3:A$999)-2),2)),0)+IFERROR(INDEX(Income!C$3:C$502,SMALL(IF((Income!D$3:D$502="INR")*(Income!A$3:A$502=DATE(2026,12,26)),ROW(Income!A$3:A$502)-2),2)),0)=0,"",IFERROR(-INDEX(Expenses!D$3:D$999,SMALL(IF((Expenses!E$3:E$999="INR")*(Expenses!A$3:A$999=DATE(2026,12,26)),ROW(Expenses!A$3:A$999)-2),2)),0)+IFERROR(INDEX(Income!C$3:C$502,SMALL(IF((Income!D$3:D$502="INR")*(Income!A$3:A$502=DATE(2026,12,26)),ROW(Income!A$3:A$502)-2),2)),0))</f>
        <v/>
      </c>
      <c r="N260" s="126">
        <f t="array" ref="N260">IF(IFERROR(INDEX(Expenses!B$3:B$999,SMALL(IF((Expenses!E$3:E$999="INR")*(Expenses!A$3:A$999=DATE(2026,12,26)),ROW(Expenses!A$3:A$999)-2),2)),"")&lt;&gt;"",IFERROR(INDEX(Expenses!B$3:B$999,SMALL(IF((Expenses!E$3:E$999="INR")*(Expenses!A$3:A$999=DATE(2026,12,26)),ROW(Expenses!A$3:A$999)-2),2)),""),IF(IFERROR(INDEX(Income!B$3:B$502,SMALL(IF((Income!D$3:D$502="INR")*(Income!A$3:A$502=DATE(2026,12,26)),ROW(Income!A$3:A$502)-2),2)),"")&lt;&gt;"",IFERROR(INDEX(Income!B$3:B$502,SMALL(IF((Income!D$3:D$502="INR")*(Income!A$3:A$502=DATE(2026,12,26)),ROW(Income!A$3:A$502)-2),2)),""),""))</f>
        <v/>
      </c>
      <c r="O260" s="153">
        <f t="array" ref="O260">IF(IFERROR(-INDEX(Expenses!D$3:D$999,SMALL(IF((Expenses!E$3:E$999="INR")*(Expenses!A$3:A$999=DATE(2026,12,27)),ROW(Expenses!A$3:A$999)-2),2)),0)+IFERROR(INDEX(Income!C$3:C$502,SMALL(IF((Income!D$3:D$502="INR")*(Income!A$3:A$502=DATE(2026,12,27)),ROW(Income!A$3:A$502)-2),2)),0)=0,"",IFERROR(-INDEX(Expenses!D$3:D$999,SMALL(IF((Expenses!E$3:E$999="INR")*(Expenses!A$3:A$999=DATE(2026,12,27)),ROW(Expenses!A$3:A$999)-2),2)),0)+IFERROR(INDEX(Income!C$3:C$502,SMALL(IF((Income!D$3:D$502="INR")*(Income!A$3:A$502=DATE(2026,12,27)),ROW(Income!A$3:A$502)-2),2)),0))</f>
        <v/>
      </c>
      <c r="P260" s="126">
        <f t="array" ref="P260">IF(IFERROR(INDEX(Expenses!B$3:B$999,SMALL(IF((Expenses!E$3:E$999="INR")*(Expenses!A$3:A$999=DATE(2026,12,27)),ROW(Expenses!A$3:A$999)-2),2)),"")&lt;&gt;"",IFERROR(INDEX(Expenses!B$3:B$999,SMALL(IF((Expenses!E$3:E$999="INR")*(Expenses!A$3:A$999=DATE(2026,12,27)),ROW(Expenses!A$3:A$999)-2),2)),""),IF(IFERROR(INDEX(Income!B$3:B$502,SMALL(IF((Income!D$3:D$502="INR")*(Income!A$3:A$502=DATE(2026,12,27)),ROW(Income!A$3:A$502)-2),2)),"")&lt;&gt;"",IFERROR(INDEX(Income!B$3:B$502,SMALL(IF((Income!D$3:D$502="INR")*(Income!A$3:A$502=DATE(2026,12,27)),ROW(Income!A$3:A$502)-2),2)),""),""))</f>
        <v/>
      </c>
      <c r="Q260" s="9" t="n"/>
      <c r="R260" s="9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68">
      <c r="A261" s="9" t="n"/>
      <c r="B261" s="9" t="n"/>
      <c r="C261" s="153">
        <f t="array" ref="C261">IF(IFERROR(-INDEX(Expenses!D$3:D$999,SMALL(IF((Expenses!E$3:E$999="INR")*(Expenses!A$3:A$999=DATE(2026,12,21)),ROW(Expenses!A$3:A$999)-2),3)),0)+IFERROR(INDEX(Income!C$3:C$502,SMALL(IF((Income!D$3:D$502="INR")*(Income!A$3:A$502=DATE(2026,12,21)),ROW(Income!A$3:A$502)-2),3)),0)=0,"",IFERROR(-INDEX(Expenses!D$3:D$999,SMALL(IF((Expenses!E$3:E$999="INR")*(Expenses!A$3:A$999=DATE(2026,12,21)),ROW(Expenses!A$3:A$999)-2),3)),0)+IFERROR(INDEX(Income!C$3:C$502,SMALL(IF((Income!D$3:D$502="INR")*(Income!A$3:A$502=DATE(2026,12,21)),ROW(Income!A$3:A$502)-2),3)),0))</f>
        <v/>
      </c>
      <c r="D261" s="126">
        <f t="array" ref="D261">IF(IFERROR(INDEX(Expenses!B$3:B$999,SMALL(IF((Expenses!E$3:E$999="INR")*(Expenses!A$3:A$999=DATE(2026,12,21)),ROW(Expenses!A$3:A$999)-2),3)),"")&lt;&gt;"",IFERROR(INDEX(Expenses!B$3:B$999,SMALL(IF((Expenses!E$3:E$999="INR")*(Expenses!A$3:A$999=DATE(2026,12,21)),ROW(Expenses!A$3:A$999)-2),3)),""),IF(IFERROR(INDEX(Income!B$3:B$502,SMALL(IF((Income!D$3:D$502="INR")*(Income!A$3:A$502=DATE(2026,12,21)),ROW(Income!A$3:A$502)-2),3)),"")&lt;&gt;"",IFERROR(INDEX(Income!B$3:B$502,SMALL(IF((Income!D$3:D$502="INR")*(Income!A$3:A$502=DATE(2026,12,21)),ROW(Income!A$3:A$502)-2),3)),""),""))</f>
        <v/>
      </c>
      <c r="E261" s="153">
        <f t="array" ref="E261">IF(IFERROR(-INDEX(Expenses!D$3:D$999,SMALL(IF((Expenses!E$3:E$999="INR")*(Expenses!A$3:A$999=DATE(2026,12,22)),ROW(Expenses!A$3:A$999)-2),3)),0)+IFERROR(INDEX(Income!C$3:C$502,SMALL(IF((Income!D$3:D$502="INR")*(Income!A$3:A$502=DATE(2026,12,22)),ROW(Income!A$3:A$502)-2),3)),0)=0,"",IFERROR(-INDEX(Expenses!D$3:D$999,SMALL(IF((Expenses!E$3:E$999="INR")*(Expenses!A$3:A$999=DATE(2026,12,22)),ROW(Expenses!A$3:A$999)-2),3)),0)+IFERROR(INDEX(Income!C$3:C$502,SMALL(IF((Income!D$3:D$502="INR")*(Income!A$3:A$502=DATE(2026,12,22)),ROW(Income!A$3:A$502)-2),3)),0))</f>
        <v/>
      </c>
      <c r="F261" s="126">
        <f t="array" ref="F261">IF(IFERROR(INDEX(Expenses!B$3:B$999,SMALL(IF((Expenses!E$3:E$999="INR")*(Expenses!A$3:A$999=DATE(2026,12,22)),ROW(Expenses!A$3:A$999)-2),3)),"")&lt;&gt;"",IFERROR(INDEX(Expenses!B$3:B$999,SMALL(IF((Expenses!E$3:E$999="INR")*(Expenses!A$3:A$999=DATE(2026,12,22)),ROW(Expenses!A$3:A$999)-2),3)),""),IF(IFERROR(INDEX(Income!B$3:B$502,SMALL(IF((Income!D$3:D$502="INR")*(Income!A$3:A$502=DATE(2026,12,22)),ROW(Income!A$3:A$502)-2),3)),"")&lt;&gt;"",IFERROR(INDEX(Income!B$3:B$502,SMALL(IF((Income!D$3:D$502="INR")*(Income!A$3:A$502=DATE(2026,12,22)),ROW(Income!A$3:A$502)-2),3)),""),""))</f>
        <v/>
      </c>
      <c r="G261" s="153">
        <f t="array" ref="G261">IF(IFERROR(-INDEX(Expenses!D$3:D$999,SMALL(IF((Expenses!E$3:E$999="INR")*(Expenses!A$3:A$999=DATE(2026,12,23)),ROW(Expenses!A$3:A$999)-2),3)),0)+IFERROR(INDEX(Income!C$3:C$502,SMALL(IF((Income!D$3:D$502="INR")*(Income!A$3:A$502=DATE(2026,12,23)),ROW(Income!A$3:A$502)-2),3)),0)=0,"",IFERROR(-INDEX(Expenses!D$3:D$999,SMALL(IF((Expenses!E$3:E$999="INR")*(Expenses!A$3:A$999=DATE(2026,12,23)),ROW(Expenses!A$3:A$999)-2),3)),0)+IFERROR(INDEX(Income!C$3:C$502,SMALL(IF((Income!D$3:D$502="INR")*(Income!A$3:A$502=DATE(2026,12,23)),ROW(Income!A$3:A$502)-2),3)),0))</f>
        <v/>
      </c>
      <c r="H261" s="126">
        <f t="array" ref="H261">IF(IFERROR(INDEX(Expenses!B$3:B$999,SMALL(IF((Expenses!E$3:E$999="INR")*(Expenses!A$3:A$999=DATE(2026,12,23)),ROW(Expenses!A$3:A$999)-2),3)),"")&lt;&gt;"",IFERROR(INDEX(Expenses!B$3:B$999,SMALL(IF((Expenses!E$3:E$999="INR")*(Expenses!A$3:A$999=DATE(2026,12,23)),ROW(Expenses!A$3:A$999)-2),3)),""),IF(IFERROR(INDEX(Income!B$3:B$502,SMALL(IF((Income!D$3:D$502="INR")*(Income!A$3:A$502=DATE(2026,12,23)),ROW(Income!A$3:A$502)-2),3)),"")&lt;&gt;"",IFERROR(INDEX(Income!B$3:B$502,SMALL(IF((Income!D$3:D$502="INR")*(Income!A$3:A$502=DATE(2026,12,23)),ROW(Income!A$3:A$502)-2),3)),""),""))</f>
        <v/>
      </c>
      <c r="I261" s="153">
        <f t="array" ref="I261">IF(IFERROR(-INDEX(Expenses!D$3:D$999,SMALL(IF((Expenses!E$3:E$999="INR")*(Expenses!A$3:A$999=DATE(2026,12,24)),ROW(Expenses!A$3:A$999)-2),3)),0)+IFERROR(INDEX(Income!C$3:C$502,SMALL(IF((Income!D$3:D$502="INR")*(Income!A$3:A$502=DATE(2026,12,24)),ROW(Income!A$3:A$502)-2),3)),0)=0,"",IFERROR(-INDEX(Expenses!D$3:D$999,SMALL(IF((Expenses!E$3:E$999="INR")*(Expenses!A$3:A$999=DATE(2026,12,24)),ROW(Expenses!A$3:A$999)-2),3)),0)+IFERROR(INDEX(Income!C$3:C$502,SMALL(IF((Income!D$3:D$502="INR")*(Income!A$3:A$502=DATE(2026,12,24)),ROW(Income!A$3:A$502)-2),3)),0))</f>
        <v/>
      </c>
      <c r="J261" s="126">
        <f t="array" ref="J261">IF(IFERROR(INDEX(Expenses!B$3:B$999,SMALL(IF((Expenses!E$3:E$999="INR")*(Expenses!A$3:A$999=DATE(2026,12,24)),ROW(Expenses!A$3:A$999)-2),3)),"")&lt;&gt;"",IFERROR(INDEX(Expenses!B$3:B$999,SMALL(IF((Expenses!E$3:E$999="INR")*(Expenses!A$3:A$999=DATE(2026,12,24)),ROW(Expenses!A$3:A$999)-2),3)),""),IF(IFERROR(INDEX(Income!B$3:B$502,SMALL(IF((Income!D$3:D$502="INR")*(Income!A$3:A$502=DATE(2026,12,24)),ROW(Income!A$3:A$502)-2),3)),"")&lt;&gt;"",IFERROR(INDEX(Income!B$3:B$502,SMALL(IF((Income!D$3:D$502="INR")*(Income!A$3:A$502=DATE(2026,12,24)),ROW(Income!A$3:A$502)-2),3)),""),""))</f>
        <v/>
      </c>
      <c r="K261" s="153">
        <f t="array" ref="K261">IF(IFERROR(-INDEX(Expenses!D$3:D$999,SMALL(IF((Expenses!E$3:E$999="INR")*(Expenses!A$3:A$999=DATE(2026,12,25)),ROW(Expenses!A$3:A$999)-2),3)),0)+IFERROR(INDEX(Income!C$3:C$502,SMALL(IF((Income!D$3:D$502="INR")*(Income!A$3:A$502=DATE(2026,12,25)),ROW(Income!A$3:A$502)-2),3)),0)=0,"",IFERROR(-INDEX(Expenses!D$3:D$999,SMALL(IF((Expenses!E$3:E$999="INR")*(Expenses!A$3:A$999=DATE(2026,12,25)),ROW(Expenses!A$3:A$999)-2),3)),0)+IFERROR(INDEX(Income!C$3:C$502,SMALL(IF((Income!D$3:D$502="INR")*(Income!A$3:A$502=DATE(2026,12,25)),ROW(Income!A$3:A$502)-2),3)),0))</f>
        <v/>
      </c>
      <c r="L261" s="126">
        <f t="array" ref="L261">IF(IFERROR(INDEX(Expenses!B$3:B$999,SMALL(IF((Expenses!E$3:E$999="INR")*(Expenses!A$3:A$999=DATE(2026,12,25)),ROW(Expenses!A$3:A$999)-2),3)),"")&lt;&gt;"",IFERROR(INDEX(Expenses!B$3:B$999,SMALL(IF((Expenses!E$3:E$999="INR")*(Expenses!A$3:A$999=DATE(2026,12,25)),ROW(Expenses!A$3:A$999)-2),3)),""),IF(IFERROR(INDEX(Income!B$3:B$502,SMALL(IF((Income!D$3:D$502="INR")*(Income!A$3:A$502=DATE(2026,12,25)),ROW(Income!A$3:A$502)-2),3)),"")&lt;&gt;"",IFERROR(INDEX(Income!B$3:B$502,SMALL(IF((Income!D$3:D$502="INR")*(Income!A$3:A$502=DATE(2026,12,25)),ROW(Income!A$3:A$502)-2),3)),""),""))</f>
        <v/>
      </c>
      <c r="M261" s="153">
        <f t="array" ref="M261">IF(IFERROR(-INDEX(Expenses!D$3:D$999,SMALL(IF((Expenses!E$3:E$999="INR")*(Expenses!A$3:A$999=DATE(2026,12,26)),ROW(Expenses!A$3:A$999)-2),3)),0)+IFERROR(INDEX(Income!C$3:C$502,SMALL(IF((Income!D$3:D$502="INR")*(Income!A$3:A$502=DATE(2026,12,26)),ROW(Income!A$3:A$502)-2),3)),0)=0,"",IFERROR(-INDEX(Expenses!D$3:D$999,SMALL(IF((Expenses!E$3:E$999="INR")*(Expenses!A$3:A$999=DATE(2026,12,26)),ROW(Expenses!A$3:A$999)-2),3)),0)+IFERROR(INDEX(Income!C$3:C$502,SMALL(IF((Income!D$3:D$502="INR")*(Income!A$3:A$502=DATE(2026,12,26)),ROW(Income!A$3:A$502)-2),3)),0))</f>
        <v/>
      </c>
      <c r="N261" s="126">
        <f t="array" ref="N261">IF(IFERROR(INDEX(Expenses!B$3:B$999,SMALL(IF((Expenses!E$3:E$999="INR")*(Expenses!A$3:A$999=DATE(2026,12,26)),ROW(Expenses!A$3:A$999)-2),3)),"")&lt;&gt;"",IFERROR(INDEX(Expenses!B$3:B$999,SMALL(IF((Expenses!E$3:E$999="INR")*(Expenses!A$3:A$999=DATE(2026,12,26)),ROW(Expenses!A$3:A$999)-2),3)),""),IF(IFERROR(INDEX(Income!B$3:B$502,SMALL(IF((Income!D$3:D$502="INR")*(Income!A$3:A$502=DATE(2026,12,26)),ROW(Income!A$3:A$502)-2),3)),"")&lt;&gt;"",IFERROR(INDEX(Income!B$3:B$502,SMALL(IF((Income!D$3:D$502="INR")*(Income!A$3:A$502=DATE(2026,12,26)),ROW(Income!A$3:A$502)-2),3)),""),""))</f>
        <v/>
      </c>
      <c r="O261" s="153">
        <f t="array" ref="O261">IF(IFERROR(-INDEX(Expenses!D$3:D$999,SMALL(IF((Expenses!E$3:E$999="INR")*(Expenses!A$3:A$999=DATE(2026,12,27)),ROW(Expenses!A$3:A$999)-2),3)),0)+IFERROR(INDEX(Income!C$3:C$502,SMALL(IF((Income!D$3:D$502="INR")*(Income!A$3:A$502=DATE(2026,12,27)),ROW(Income!A$3:A$502)-2),3)),0)=0,"",IFERROR(-INDEX(Expenses!D$3:D$999,SMALL(IF((Expenses!E$3:E$999="INR")*(Expenses!A$3:A$999=DATE(2026,12,27)),ROW(Expenses!A$3:A$999)-2),3)),0)+IFERROR(INDEX(Income!C$3:C$502,SMALL(IF((Income!D$3:D$502="INR")*(Income!A$3:A$502=DATE(2026,12,27)),ROW(Income!A$3:A$502)-2),3)),0))</f>
        <v/>
      </c>
      <c r="P261" s="126">
        <f t="array" ref="P261">IF(IFERROR(INDEX(Expenses!B$3:B$999,SMALL(IF((Expenses!E$3:E$999="INR")*(Expenses!A$3:A$999=DATE(2026,12,27)),ROW(Expenses!A$3:A$999)-2),3)),"")&lt;&gt;"",IFERROR(INDEX(Expenses!B$3:B$999,SMALL(IF((Expenses!E$3:E$999="INR")*(Expenses!A$3:A$999=DATE(2026,12,27)),ROW(Expenses!A$3:A$999)-2),3)),""),IF(IFERROR(INDEX(Income!B$3:B$502,SMALL(IF((Income!D$3:D$502="INR")*(Income!A$3:A$502=DATE(2026,12,27)),ROW(Income!A$3:A$502)-2),3)),"")&lt;&gt;"",IFERROR(INDEX(Income!B$3:B$502,SMALL(IF((Income!D$3:D$502="INR")*(Income!A$3:A$502=DATE(2026,12,27)),ROW(Income!A$3:A$502)-2),3)),""),""))</f>
        <v/>
      </c>
      <c r="Q261" s="9" t="n"/>
      <c r="R261" s="9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68">
      <c r="A262" s="9" t="n"/>
      <c r="B262" s="9" t="n"/>
      <c r="C262" s="153">
        <f t="array" ref="C262">IF(IFERROR(-INDEX(Expenses!D$3:D$999,SMALL(IF((Expenses!E$3:E$999="INR")*(Expenses!A$3:A$999=DATE(2026,12,21)),ROW(Expenses!A$3:A$999)-2),4)),0)+IFERROR(INDEX(Income!C$3:C$502,SMALL(IF((Income!D$3:D$502="INR")*(Income!A$3:A$502=DATE(2026,12,21)),ROW(Income!A$3:A$502)-2),4)),0)=0,"",IFERROR(-INDEX(Expenses!D$3:D$999,SMALL(IF((Expenses!E$3:E$999="INR")*(Expenses!A$3:A$999=DATE(2026,12,21)),ROW(Expenses!A$3:A$999)-2),4)),0)+IFERROR(INDEX(Income!C$3:C$502,SMALL(IF((Income!D$3:D$502="INR")*(Income!A$3:A$502=DATE(2026,12,21)),ROW(Income!A$3:A$502)-2),4)),0))</f>
        <v/>
      </c>
      <c r="D262" s="126">
        <f t="array" ref="D262">IF(IFERROR(INDEX(Expenses!B$3:B$999,SMALL(IF((Expenses!E$3:E$999="INR")*(Expenses!A$3:A$999=DATE(2026,12,21)),ROW(Expenses!A$3:A$999)-2),4)),"")&lt;&gt;"",IFERROR(INDEX(Expenses!B$3:B$999,SMALL(IF((Expenses!E$3:E$999="INR")*(Expenses!A$3:A$999=DATE(2026,12,21)),ROW(Expenses!A$3:A$999)-2),4)),""),IF(IFERROR(INDEX(Income!B$3:B$502,SMALL(IF((Income!D$3:D$502="INR")*(Income!A$3:A$502=DATE(2026,12,21)),ROW(Income!A$3:A$502)-2),4)),"")&lt;&gt;"",IFERROR(INDEX(Income!B$3:B$502,SMALL(IF((Income!D$3:D$502="INR")*(Income!A$3:A$502=DATE(2026,12,21)),ROW(Income!A$3:A$502)-2),4)),""),""))</f>
        <v/>
      </c>
      <c r="E262" s="153">
        <f t="array" ref="E262">IF(IFERROR(-INDEX(Expenses!D$3:D$999,SMALL(IF((Expenses!E$3:E$999="INR")*(Expenses!A$3:A$999=DATE(2026,12,22)),ROW(Expenses!A$3:A$999)-2),4)),0)+IFERROR(INDEX(Income!C$3:C$502,SMALL(IF((Income!D$3:D$502="INR")*(Income!A$3:A$502=DATE(2026,12,22)),ROW(Income!A$3:A$502)-2),4)),0)=0,"",IFERROR(-INDEX(Expenses!D$3:D$999,SMALL(IF((Expenses!E$3:E$999="INR")*(Expenses!A$3:A$999=DATE(2026,12,22)),ROW(Expenses!A$3:A$999)-2),4)),0)+IFERROR(INDEX(Income!C$3:C$502,SMALL(IF((Income!D$3:D$502="INR")*(Income!A$3:A$502=DATE(2026,12,22)),ROW(Income!A$3:A$502)-2),4)),0))</f>
        <v/>
      </c>
      <c r="F262" s="126">
        <f t="array" ref="F262">IF(IFERROR(INDEX(Expenses!B$3:B$999,SMALL(IF((Expenses!E$3:E$999="INR")*(Expenses!A$3:A$999=DATE(2026,12,22)),ROW(Expenses!A$3:A$999)-2),4)),"")&lt;&gt;"",IFERROR(INDEX(Expenses!B$3:B$999,SMALL(IF((Expenses!E$3:E$999="INR")*(Expenses!A$3:A$999=DATE(2026,12,22)),ROW(Expenses!A$3:A$999)-2),4)),""),IF(IFERROR(INDEX(Income!B$3:B$502,SMALL(IF((Income!D$3:D$502="INR")*(Income!A$3:A$502=DATE(2026,12,22)),ROW(Income!A$3:A$502)-2),4)),"")&lt;&gt;"",IFERROR(INDEX(Income!B$3:B$502,SMALL(IF((Income!D$3:D$502="INR")*(Income!A$3:A$502=DATE(2026,12,22)),ROW(Income!A$3:A$502)-2),4)),""),""))</f>
        <v/>
      </c>
      <c r="G262" s="153">
        <f t="array" ref="G262">IF(IFERROR(-INDEX(Expenses!D$3:D$999,SMALL(IF((Expenses!E$3:E$999="INR")*(Expenses!A$3:A$999=DATE(2026,12,23)),ROW(Expenses!A$3:A$999)-2),4)),0)+IFERROR(INDEX(Income!C$3:C$502,SMALL(IF((Income!D$3:D$502="INR")*(Income!A$3:A$502=DATE(2026,12,23)),ROW(Income!A$3:A$502)-2),4)),0)=0,"",IFERROR(-INDEX(Expenses!D$3:D$999,SMALL(IF((Expenses!E$3:E$999="INR")*(Expenses!A$3:A$999=DATE(2026,12,23)),ROW(Expenses!A$3:A$999)-2),4)),0)+IFERROR(INDEX(Income!C$3:C$502,SMALL(IF((Income!D$3:D$502="INR")*(Income!A$3:A$502=DATE(2026,12,23)),ROW(Income!A$3:A$502)-2),4)),0))</f>
        <v/>
      </c>
      <c r="H262" s="126">
        <f t="array" ref="H262">IF(IFERROR(INDEX(Expenses!B$3:B$999,SMALL(IF((Expenses!E$3:E$999="INR")*(Expenses!A$3:A$999=DATE(2026,12,23)),ROW(Expenses!A$3:A$999)-2),4)),"")&lt;&gt;"",IFERROR(INDEX(Expenses!B$3:B$999,SMALL(IF((Expenses!E$3:E$999="INR")*(Expenses!A$3:A$999=DATE(2026,12,23)),ROW(Expenses!A$3:A$999)-2),4)),""),IF(IFERROR(INDEX(Income!B$3:B$502,SMALL(IF((Income!D$3:D$502="INR")*(Income!A$3:A$502=DATE(2026,12,23)),ROW(Income!A$3:A$502)-2),4)),"")&lt;&gt;"",IFERROR(INDEX(Income!B$3:B$502,SMALL(IF((Income!D$3:D$502="INR")*(Income!A$3:A$502=DATE(2026,12,23)),ROW(Income!A$3:A$502)-2),4)),""),""))</f>
        <v/>
      </c>
      <c r="I262" s="153">
        <f t="array" ref="I262">IF(IFERROR(-INDEX(Expenses!D$3:D$999,SMALL(IF((Expenses!E$3:E$999="INR")*(Expenses!A$3:A$999=DATE(2026,12,24)),ROW(Expenses!A$3:A$999)-2),4)),0)+IFERROR(INDEX(Income!C$3:C$502,SMALL(IF((Income!D$3:D$502="INR")*(Income!A$3:A$502=DATE(2026,12,24)),ROW(Income!A$3:A$502)-2),4)),0)=0,"",IFERROR(-INDEX(Expenses!D$3:D$999,SMALL(IF((Expenses!E$3:E$999="INR")*(Expenses!A$3:A$999=DATE(2026,12,24)),ROW(Expenses!A$3:A$999)-2),4)),0)+IFERROR(INDEX(Income!C$3:C$502,SMALL(IF((Income!D$3:D$502="INR")*(Income!A$3:A$502=DATE(2026,12,24)),ROW(Income!A$3:A$502)-2),4)),0))</f>
        <v/>
      </c>
      <c r="J262" s="126">
        <f t="array" ref="J262">IF(IFERROR(INDEX(Expenses!B$3:B$999,SMALL(IF((Expenses!E$3:E$999="INR")*(Expenses!A$3:A$999=DATE(2026,12,24)),ROW(Expenses!A$3:A$999)-2),4)),"")&lt;&gt;"",IFERROR(INDEX(Expenses!B$3:B$999,SMALL(IF((Expenses!E$3:E$999="INR")*(Expenses!A$3:A$999=DATE(2026,12,24)),ROW(Expenses!A$3:A$999)-2),4)),""),IF(IFERROR(INDEX(Income!B$3:B$502,SMALL(IF((Income!D$3:D$502="INR")*(Income!A$3:A$502=DATE(2026,12,24)),ROW(Income!A$3:A$502)-2),4)),"")&lt;&gt;"",IFERROR(INDEX(Income!B$3:B$502,SMALL(IF((Income!D$3:D$502="INR")*(Income!A$3:A$502=DATE(2026,12,24)),ROW(Income!A$3:A$502)-2),4)),""),""))</f>
        <v/>
      </c>
      <c r="K262" s="153">
        <f t="array" ref="K262">IF(IFERROR(-INDEX(Expenses!D$3:D$999,SMALL(IF((Expenses!E$3:E$999="INR")*(Expenses!A$3:A$999=DATE(2026,12,25)),ROW(Expenses!A$3:A$999)-2),4)),0)+IFERROR(INDEX(Income!C$3:C$502,SMALL(IF((Income!D$3:D$502="INR")*(Income!A$3:A$502=DATE(2026,12,25)),ROW(Income!A$3:A$502)-2),4)),0)=0,"",IFERROR(-INDEX(Expenses!D$3:D$999,SMALL(IF((Expenses!E$3:E$999="INR")*(Expenses!A$3:A$999=DATE(2026,12,25)),ROW(Expenses!A$3:A$999)-2),4)),0)+IFERROR(INDEX(Income!C$3:C$502,SMALL(IF((Income!D$3:D$502="INR")*(Income!A$3:A$502=DATE(2026,12,25)),ROW(Income!A$3:A$502)-2),4)),0))</f>
        <v/>
      </c>
      <c r="L262" s="126">
        <f t="array" ref="L262">IF(IFERROR(INDEX(Expenses!B$3:B$999,SMALL(IF((Expenses!E$3:E$999="INR")*(Expenses!A$3:A$999=DATE(2026,12,25)),ROW(Expenses!A$3:A$999)-2),4)),"")&lt;&gt;"",IFERROR(INDEX(Expenses!B$3:B$999,SMALL(IF((Expenses!E$3:E$999="INR")*(Expenses!A$3:A$999=DATE(2026,12,25)),ROW(Expenses!A$3:A$999)-2),4)),""),IF(IFERROR(INDEX(Income!B$3:B$502,SMALL(IF((Income!D$3:D$502="INR")*(Income!A$3:A$502=DATE(2026,12,25)),ROW(Income!A$3:A$502)-2),4)),"")&lt;&gt;"",IFERROR(INDEX(Income!B$3:B$502,SMALL(IF((Income!D$3:D$502="INR")*(Income!A$3:A$502=DATE(2026,12,25)),ROW(Income!A$3:A$502)-2),4)),""),""))</f>
        <v/>
      </c>
      <c r="M262" s="153">
        <f t="array" ref="M262">IF(IFERROR(-INDEX(Expenses!D$3:D$999,SMALL(IF((Expenses!E$3:E$999="INR")*(Expenses!A$3:A$999=DATE(2026,12,26)),ROW(Expenses!A$3:A$999)-2),4)),0)+IFERROR(INDEX(Income!C$3:C$502,SMALL(IF((Income!D$3:D$502="INR")*(Income!A$3:A$502=DATE(2026,12,26)),ROW(Income!A$3:A$502)-2),4)),0)=0,"",IFERROR(-INDEX(Expenses!D$3:D$999,SMALL(IF((Expenses!E$3:E$999="INR")*(Expenses!A$3:A$999=DATE(2026,12,26)),ROW(Expenses!A$3:A$999)-2),4)),0)+IFERROR(INDEX(Income!C$3:C$502,SMALL(IF((Income!D$3:D$502="INR")*(Income!A$3:A$502=DATE(2026,12,26)),ROW(Income!A$3:A$502)-2),4)),0))</f>
        <v/>
      </c>
      <c r="N262" s="126">
        <f t="array" ref="N262">IF(IFERROR(INDEX(Expenses!B$3:B$999,SMALL(IF((Expenses!E$3:E$999="INR")*(Expenses!A$3:A$999=DATE(2026,12,26)),ROW(Expenses!A$3:A$999)-2),4)),"")&lt;&gt;"",IFERROR(INDEX(Expenses!B$3:B$999,SMALL(IF((Expenses!E$3:E$999="INR")*(Expenses!A$3:A$999=DATE(2026,12,26)),ROW(Expenses!A$3:A$999)-2),4)),""),IF(IFERROR(INDEX(Income!B$3:B$502,SMALL(IF((Income!D$3:D$502="INR")*(Income!A$3:A$502=DATE(2026,12,26)),ROW(Income!A$3:A$502)-2),4)),"")&lt;&gt;"",IFERROR(INDEX(Income!B$3:B$502,SMALL(IF((Income!D$3:D$502="INR")*(Income!A$3:A$502=DATE(2026,12,26)),ROW(Income!A$3:A$502)-2),4)),""),""))</f>
        <v/>
      </c>
      <c r="O262" s="153">
        <f t="array" ref="O262">IF(IFERROR(-INDEX(Expenses!D$3:D$999,SMALL(IF((Expenses!E$3:E$999="INR")*(Expenses!A$3:A$999=DATE(2026,12,27)),ROW(Expenses!A$3:A$999)-2),4)),0)+IFERROR(INDEX(Income!C$3:C$502,SMALL(IF((Income!D$3:D$502="INR")*(Income!A$3:A$502=DATE(2026,12,27)),ROW(Income!A$3:A$502)-2),4)),0)=0,"",IFERROR(-INDEX(Expenses!D$3:D$999,SMALL(IF((Expenses!E$3:E$999="INR")*(Expenses!A$3:A$999=DATE(2026,12,27)),ROW(Expenses!A$3:A$999)-2),4)),0)+IFERROR(INDEX(Income!C$3:C$502,SMALL(IF((Income!D$3:D$502="INR")*(Income!A$3:A$502=DATE(2026,12,27)),ROW(Income!A$3:A$502)-2),4)),0))</f>
        <v/>
      </c>
      <c r="P262" s="126">
        <f t="array" ref="P262">IF(IFERROR(INDEX(Expenses!B$3:B$999,SMALL(IF((Expenses!E$3:E$999="INR")*(Expenses!A$3:A$999=DATE(2026,12,27)),ROW(Expenses!A$3:A$999)-2),4)),"")&lt;&gt;"",IFERROR(INDEX(Expenses!B$3:B$999,SMALL(IF((Expenses!E$3:E$999="INR")*(Expenses!A$3:A$999=DATE(2026,12,27)),ROW(Expenses!A$3:A$999)-2),4)),""),IF(IFERROR(INDEX(Income!B$3:B$502,SMALL(IF((Income!D$3:D$502="INR")*(Income!A$3:A$502=DATE(2026,12,27)),ROW(Income!A$3:A$502)-2),4)),"")&lt;&gt;"",IFERROR(INDEX(Income!B$3:B$502,SMALL(IF((Income!D$3:D$502="INR")*(Income!A$3:A$502=DATE(2026,12,27)),ROW(Income!A$3:A$502)-2),4)),""),""))</f>
        <v/>
      </c>
      <c r="Q262" s="9" t="n"/>
      <c r="R262" s="9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68">
      <c r="A263" s="9" t="n"/>
      <c r="B263" s="9" t="n"/>
      <c r="C263" s="153">
        <f t="array" ref="C263">IF(IFERROR(-INDEX(Expenses!D$3:D$999,SMALL(IF((Expenses!E$3:E$999="INR")*(Expenses!A$3:A$999=DATE(2026,12,21)),ROW(Expenses!A$3:A$999)-2),5)),0)+IFERROR(INDEX(Income!C$3:C$502,SMALL(IF((Income!D$3:D$502="INR")*(Income!A$3:A$502=DATE(2026,12,21)),ROW(Income!A$3:A$502)-2),5)),0)=0,"",IFERROR(-INDEX(Expenses!D$3:D$999,SMALL(IF((Expenses!E$3:E$999="INR")*(Expenses!A$3:A$999=DATE(2026,12,21)),ROW(Expenses!A$3:A$999)-2),5)),0)+IFERROR(INDEX(Income!C$3:C$502,SMALL(IF((Income!D$3:D$502="INR")*(Income!A$3:A$502=DATE(2026,12,21)),ROW(Income!A$3:A$502)-2),5)),0))</f>
        <v/>
      </c>
      <c r="D263" s="126">
        <f t="array" ref="D263">IF(IFERROR(INDEX(Expenses!B$3:B$999,SMALL(IF((Expenses!E$3:E$999="INR")*(Expenses!A$3:A$999=DATE(2026,12,21)),ROW(Expenses!A$3:A$999)-2),5)),"")&lt;&gt;"",IFERROR(INDEX(Expenses!B$3:B$999,SMALL(IF((Expenses!E$3:E$999="INR")*(Expenses!A$3:A$999=DATE(2026,12,21)),ROW(Expenses!A$3:A$999)-2),5)),""),IF(IFERROR(INDEX(Income!B$3:B$502,SMALL(IF((Income!D$3:D$502="INR")*(Income!A$3:A$502=DATE(2026,12,21)),ROW(Income!A$3:A$502)-2),5)),"")&lt;&gt;"",IFERROR(INDEX(Income!B$3:B$502,SMALL(IF((Income!D$3:D$502="INR")*(Income!A$3:A$502=DATE(2026,12,21)),ROW(Income!A$3:A$502)-2),5)),""),""))</f>
        <v/>
      </c>
      <c r="E263" s="153">
        <f t="array" ref="E263">IF(IFERROR(-INDEX(Expenses!D$3:D$999,SMALL(IF((Expenses!E$3:E$999="INR")*(Expenses!A$3:A$999=DATE(2026,12,22)),ROW(Expenses!A$3:A$999)-2),5)),0)+IFERROR(INDEX(Income!C$3:C$502,SMALL(IF((Income!D$3:D$502="INR")*(Income!A$3:A$502=DATE(2026,12,22)),ROW(Income!A$3:A$502)-2),5)),0)=0,"",IFERROR(-INDEX(Expenses!D$3:D$999,SMALL(IF((Expenses!E$3:E$999="INR")*(Expenses!A$3:A$999=DATE(2026,12,22)),ROW(Expenses!A$3:A$999)-2),5)),0)+IFERROR(INDEX(Income!C$3:C$502,SMALL(IF((Income!D$3:D$502="INR")*(Income!A$3:A$502=DATE(2026,12,22)),ROW(Income!A$3:A$502)-2),5)),0))</f>
        <v/>
      </c>
      <c r="F263" s="126">
        <f t="array" ref="F263">IF(IFERROR(INDEX(Expenses!B$3:B$999,SMALL(IF((Expenses!E$3:E$999="INR")*(Expenses!A$3:A$999=DATE(2026,12,22)),ROW(Expenses!A$3:A$999)-2),5)),"")&lt;&gt;"",IFERROR(INDEX(Expenses!B$3:B$999,SMALL(IF((Expenses!E$3:E$999="INR")*(Expenses!A$3:A$999=DATE(2026,12,22)),ROW(Expenses!A$3:A$999)-2),5)),""),IF(IFERROR(INDEX(Income!B$3:B$502,SMALL(IF((Income!D$3:D$502="INR")*(Income!A$3:A$502=DATE(2026,12,22)),ROW(Income!A$3:A$502)-2),5)),"")&lt;&gt;"",IFERROR(INDEX(Income!B$3:B$502,SMALL(IF((Income!D$3:D$502="INR")*(Income!A$3:A$502=DATE(2026,12,22)),ROW(Income!A$3:A$502)-2),5)),""),""))</f>
        <v/>
      </c>
      <c r="G263" s="153">
        <f t="array" ref="G263">IF(IFERROR(-INDEX(Expenses!D$3:D$999,SMALL(IF((Expenses!E$3:E$999="INR")*(Expenses!A$3:A$999=DATE(2026,12,23)),ROW(Expenses!A$3:A$999)-2),5)),0)+IFERROR(INDEX(Income!C$3:C$502,SMALL(IF((Income!D$3:D$502="INR")*(Income!A$3:A$502=DATE(2026,12,23)),ROW(Income!A$3:A$502)-2),5)),0)=0,"",IFERROR(-INDEX(Expenses!D$3:D$999,SMALL(IF((Expenses!E$3:E$999="INR")*(Expenses!A$3:A$999=DATE(2026,12,23)),ROW(Expenses!A$3:A$999)-2),5)),0)+IFERROR(INDEX(Income!C$3:C$502,SMALL(IF((Income!D$3:D$502="INR")*(Income!A$3:A$502=DATE(2026,12,23)),ROW(Income!A$3:A$502)-2),5)),0))</f>
        <v/>
      </c>
      <c r="H263" s="126">
        <f t="array" ref="H263">IF(IFERROR(INDEX(Expenses!B$3:B$999,SMALL(IF((Expenses!E$3:E$999="INR")*(Expenses!A$3:A$999=DATE(2026,12,23)),ROW(Expenses!A$3:A$999)-2),5)),"")&lt;&gt;"",IFERROR(INDEX(Expenses!B$3:B$999,SMALL(IF((Expenses!E$3:E$999="INR")*(Expenses!A$3:A$999=DATE(2026,12,23)),ROW(Expenses!A$3:A$999)-2),5)),""),IF(IFERROR(INDEX(Income!B$3:B$502,SMALL(IF((Income!D$3:D$502="INR")*(Income!A$3:A$502=DATE(2026,12,23)),ROW(Income!A$3:A$502)-2),5)),"")&lt;&gt;"",IFERROR(INDEX(Income!B$3:B$502,SMALL(IF((Income!D$3:D$502="INR")*(Income!A$3:A$502=DATE(2026,12,23)),ROW(Income!A$3:A$502)-2),5)),""),""))</f>
        <v/>
      </c>
      <c r="I263" s="153">
        <f t="array" ref="I263">IF(IFERROR(-INDEX(Expenses!D$3:D$999,SMALL(IF((Expenses!E$3:E$999="INR")*(Expenses!A$3:A$999=DATE(2026,12,24)),ROW(Expenses!A$3:A$999)-2),5)),0)+IFERROR(INDEX(Income!C$3:C$502,SMALL(IF((Income!D$3:D$502="INR")*(Income!A$3:A$502=DATE(2026,12,24)),ROW(Income!A$3:A$502)-2),5)),0)=0,"",IFERROR(-INDEX(Expenses!D$3:D$999,SMALL(IF((Expenses!E$3:E$999="INR")*(Expenses!A$3:A$999=DATE(2026,12,24)),ROW(Expenses!A$3:A$999)-2),5)),0)+IFERROR(INDEX(Income!C$3:C$502,SMALL(IF((Income!D$3:D$502="INR")*(Income!A$3:A$502=DATE(2026,12,24)),ROW(Income!A$3:A$502)-2),5)),0))</f>
        <v/>
      </c>
      <c r="J263" s="126">
        <f t="array" ref="J263">IF(IFERROR(INDEX(Expenses!B$3:B$999,SMALL(IF((Expenses!E$3:E$999="INR")*(Expenses!A$3:A$999=DATE(2026,12,24)),ROW(Expenses!A$3:A$999)-2),5)),"")&lt;&gt;"",IFERROR(INDEX(Expenses!B$3:B$999,SMALL(IF((Expenses!E$3:E$999="INR")*(Expenses!A$3:A$999=DATE(2026,12,24)),ROW(Expenses!A$3:A$999)-2),5)),""),IF(IFERROR(INDEX(Income!B$3:B$502,SMALL(IF((Income!D$3:D$502="INR")*(Income!A$3:A$502=DATE(2026,12,24)),ROW(Income!A$3:A$502)-2),5)),"")&lt;&gt;"",IFERROR(INDEX(Income!B$3:B$502,SMALL(IF((Income!D$3:D$502="INR")*(Income!A$3:A$502=DATE(2026,12,24)),ROW(Income!A$3:A$502)-2),5)),""),""))</f>
        <v/>
      </c>
      <c r="K263" s="153">
        <f t="array" ref="K263">IF(IFERROR(-INDEX(Expenses!D$3:D$999,SMALL(IF((Expenses!E$3:E$999="INR")*(Expenses!A$3:A$999=DATE(2026,12,25)),ROW(Expenses!A$3:A$999)-2),5)),0)+IFERROR(INDEX(Income!C$3:C$502,SMALL(IF((Income!D$3:D$502="INR")*(Income!A$3:A$502=DATE(2026,12,25)),ROW(Income!A$3:A$502)-2),5)),0)=0,"",IFERROR(-INDEX(Expenses!D$3:D$999,SMALL(IF((Expenses!E$3:E$999="INR")*(Expenses!A$3:A$999=DATE(2026,12,25)),ROW(Expenses!A$3:A$999)-2),5)),0)+IFERROR(INDEX(Income!C$3:C$502,SMALL(IF((Income!D$3:D$502="INR")*(Income!A$3:A$502=DATE(2026,12,25)),ROW(Income!A$3:A$502)-2),5)),0))</f>
        <v/>
      </c>
      <c r="L263" s="126">
        <f t="array" ref="L263">IF(IFERROR(INDEX(Expenses!B$3:B$999,SMALL(IF((Expenses!E$3:E$999="INR")*(Expenses!A$3:A$999=DATE(2026,12,25)),ROW(Expenses!A$3:A$999)-2),5)),"")&lt;&gt;"",IFERROR(INDEX(Expenses!B$3:B$999,SMALL(IF((Expenses!E$3:E$999="INR")*(Expenses!A$3:A$999=DATE(2026,12,25)),ROW(Expenses!A$3:A$999)-2),5)),""),IF(IFERROR(INDEX(Income!B$3:B$502,SMALL(IF((Income!D$3:D$502="INR")*(Income!A$3:A$502=DATE(2026,12,25)),ROW(Income!A$3:A$502)-2),5)),"")&lt;&gt;"",IFERROR(INDEX(Income!B$3:B$502,SMALL(IF((Income!D$3:D$502="INR")*(Income!A$3:A$502=DATE(2026,12,25)),ROW(Income!A$3:A$502)-2),5)),""),""))</f>
        <v/>
      </c>
      <c r="M263" s="153">
        <f t="array" ref="M263">IF(IFERROR(-INDEX(Expenses!D$3:D$999,SMALL(IF((Expenses!E$3:E$999="INR")*(Expenses!A$3:A$999=DATE(2026,12,26)),ROW(Expenses!A$3:A$999)-2),5)),0)+IFERROR(INDEX(Income!C$3:C$502,SMALL(IF((Income!D$3:D$502="INR")*(Income!A$3:A$502=DATE(2026,12,26)),ROW(Income!A$3:A$502)-2),5)),0)=0,"",IFERROR(-INDEX(Expenses!D$3:D$999,SMALL(IF((Expenses!E$3:E$999="INR")*(Expenses!A$3:A$999=DATE(2026,12,26)),ROW(Expenses!A$3:A$999)-2),5)),0)+IFERROR(INDEX(Income!C$3:C$502,SMALL(IF((Income!D$3:D$502="INR")*(Income!A$3:A$502=DATE(2026,12,26)),ROW(Income!A$3:A$502)-2),5)),0))</f>
        <v/>
      </c>
      <c r="N263" s="126">
        <f t="array" ref="N263">IF(IFERROR(INDEX(Expenses!B$3:B$999,SMALL(IF((Expenses!E$3:E$999="INR")*(Expenses!A$3:A$999=DATE(2026,12,26)),ROW(Expenses!A$3:A$999)-2),5)),"")&lt;&gt;"",IFERROR(INDEX(Expenses!B$3:B$999,SMALL(IF((Expenses!E$3:E$999="INR")*(Expenses!A$3:A$999=DATE(2026,12,26)),ROW(Expenses!A$3:A$999)-2),5)),""),IF(IFERROR(INDEX(Income!B$3:B$502,SMALL(IF((Income!D$3:D$502="INR")*(Income!A$3:A$502=DATE(2026,12,26)),ROW(Income!A$3:A$502)-2),5)),"")&lt;&gt;"",IFERROR(INDEX(Income!B$3:B$502,SMALL(IF((Income!D$3:D$502="INR")*(Income!A$3:A$502=DATE(2026,12,26)),ROW(Income!A$3:A$502)-2),5)),""),""))</f>
        <v/>
      </c>
      <c r="O263" s="153">
        <f t="array" ref="O263">IF(IFERROR(-INDEX(Expenses!D$3:D$999,SMALL(IF((Expenses!E$3:E$999="INR")*(Expenses!A$3:A$999=DATE(2026,12,27)),ROW(Expenses!A$3:A$999)-2),5)),0)+IFERROR(INDEX(Income!C$3:C$502,SMALL(IF((Income!D$3:D$502="INR")*(Income!A$3:A$502=DATE(2026,12,27)),ROW(Income!A$3:A$502)-2),5)),0)=0,"",IFERROR(-INDEX(Expenses!D$3:D$999,SMALL(IF((Expenses!E$3:E$999="INR")*(Expenses!A$3:A$999=DATE(2026,12,27)),ROW(Expenses!A$3:A$999)-2),5)),0)+IFERROR(INDEX(Income!C$3:C$502,SMALL(IF((Income!D$3:D$502="INR")*(Income!A$3:A$502=DATE(2026,12,27)),ROW(Income!A$3:A$502)-2),5)),0))</f>
        <v/>
      </c>
      <c r="P263" s="126">
        <f t="array" ref="P263">IF(IFERROR(INDEX(Expenses!B$3:B$999,SMALL(IF((Expenses!E$3:E$999="INR")*(Expenses!A$3:A$999=DATE(2026,12,27)),ROW(Expenses!A$3:A$999)-2),5)),"")&lt;&gt;"",IFERROR(INDEX(Expenses!B$3:B$999,SMALL(IF((Expenses!E$3:E$999="INR")*(Expenses!A$3:A$999=DATE(2026,12,27)),ROW(Expenses!A$3:A$999)-2),5)),""),IF(IFERROR(INDEX(Income!B$3:B$502,SMALL(IF((Income!D$3:D$502="INR")*(Income!A$3:A$502=DATE(2026,12,27)),ROW(Income!A$3:A$502)-2),5)),"")&lt;&gt;"",IFERROR(INDEX(Income!B$3:B$502,SMALL(IF((Income!D$3:D$502="INR")*(Income!A$3:A$502=DATE(2026,12,27)),ROW(Income!A$3:A$502)-2),5)),""),""))</f>
        <v/>
      </c>
      <c r="Q263" s="9" t="n"/>
      <c r="R263" s="9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68">
      <c r="A264" s="151" t="n">
        <v>46384</v>
      </c>
      <c r="B264" s="103" t="n">
        <v>53</v>
      </c>
      <c r="C264" s="153">
        <f t="array" ref="C264">IF(IFERROR(-INDEX(Expenses!D$3:D$999,SMALL(IF((Expenses!E$3:E$999="INR")*(Expenses!A$3:A$999=DATE(2026,12,28)),ROW(Expenses!A$3:A$999)-2),1)),0)+IFERROR(INDEX(Income!C$3:C$502,SMALL(IF((Income!D$3:D$502="INR")*(Income!A$3:A$502=DATE(2026,12,28)),ROW(Income!A$3:A$502)-2),1)),0)=0,"",IFERROR(-INDEX(Expenses!D$3:D$999,SMALL(IF((Expenses!E$3:E$999="INR")*(Expenses!A$3:A$999=DATE(2026,12,28)),ROW(Expenses!A$3:A$999)-2),1)),0)+IFERROR(INDEX(Income!C$3:C$502,SMALL(IF((Income!D$3:D$502="INR")*(Income!A$3:A$502=DATE(2026,12,28)),ROW(Income!A$3:A$502)-2),1)),0))</f>
        <v/>
      </c>
      <c r="D264" s="126">
        <f t="array" ref="D264">IF(IFERROR(INDEX(Expenses!B$3:B$999,SMALL(IF((Expenses!E$3:E$999="INR")*(Expenses!A$3:A$999=DATE(2026,12,28)),ROW(Expenses!A$3:A$999)-2),1)),"")&lt;&gt;"",IFERROR(INDEX(Expenses!B$3:B$999,SMALL(IF((Expenses!E$3:E$999="INR")*(Expenses!A$3:A$999=DATE(2026,12,28)),ROW(Expenses!A$3:A$999)-2),1)),""),IF(IFERROR(INDEX(Income!B$3:B$502,SMALL(IF((Income!D$3:D$502="INR")*(Income!A$3:A$502=DATE(2026,12,28)),ROW(Income!A$3:A$502)-2),1)),"")&lt;&gt;"",IFERROR(INDEX(Income!B$3:B$502,SMALL(IF((Income!D$3:D$502="INR")*(Income!A$3:A$502=DATE(2026,12,28)),ROW(Income!A$3:A$502)-2),1)),""),""))</f>
        <v/>
      </c>
      <c r="E264" s="153">
        <f t="array" ref="E264">IF(IFERROR(-INDEX(Expenses!D$3:D$999,SMALL(IF((Expenses!E$3:E$999="INR")*(Expenses!A$3:A$999=DATE(2026,12,29)),ROW(Expenses!A$3:A$999)-2),1)),0)+IFERROR(INDEX(Income!C$3:C$502,SMALL(IF((Income!D$3:D$502="INR")*(Income!A$3:A$502=DATE(2026,12,29)),ROW(Income!A$3:A$502)-2),1)),0)=0,"",IFERROR(-INDEX(Expenses!D$3:D$999,SMALL(IF((Expenses!E$3:E$999="INR")*(Expenses!A$3:A$999=DATE(2026,12,29)),ROW(Expenses!A$3:A$999)-2),1)),0)+IFERROR(INDEX(Income!C$3:C$502,SMALL(IF((Income!D$3:D$502="INR")*(Income!A$3:A$502=DATE(2026,12,29)),ROW(Income!A$3:A$502)-2),1)),0))</f>
        <v/>
      </c>
      <c r="F264" s="126">
        <f t="array" ref="F264">IF(IFERROR(INDEX(Expenses!B$3:B$999,SMALL(IF((Expenses!E$3:E$999="INR")*(Expenses!A$3:A$999=DATE(2026,12,29)),ROW(Expenses!A$3:A$999)-2),1)),"")&lt;&gt;"",IFERROR(INDEX(Expenses!B$3:B$999,SMALL(IF((Expenses!E$3:E$999="INR")*(Expenses!A$3:A$999=DATE(2026,12,29)),ROW(Expenses!A$3:A$999)-2),1)),""),IF(IFERROR(INDEX(Income!B$3:B$502,SMALL(IF((Income!D$3:D$502="INR")*(Income!A$3:A$502=DATE(2026,12,29)),ROW(Income!A$3:A$502)-2),1)),"")&lt;&gt;"",IFERROR(INDEX(Income!B$3:B$502,SMALL(IF((Income!D$3:D$502="INR")*(Income!A$3:A$502=DATE(2026,12,29)),ROW(Income!A$3:A$502)-2),1)),""),""))</f>
        <v/>
      </c>
      <c r="G264" s="153">
        <f t="array" ref="G264">IF(IFERROR(-INDEX(Expenses!D$3:D$999,SMALL(IF((Expenses!E$3:E$999="INR")*(Expenses!A$3:A$999=DATE(2026,12,30)),ROW(Expenses!A$3:A$999)-2),1)),0)+IFERROR(INDEX(Income!C$3:C$502,SMALL(IF((Income!D$3:D$502="INR")*(Income!A$3:A$502=DATE(2026,12,30)),ROW(Income!A$3:A$502)-2),1)),0)=0,"",IFERROR(-INDEX(Expenses!D$3:D$999,SMALL(IF((Expenses!E$3:E$999="INR")*(Expenses!A$3:A$999=DATE(2026,12,30)),ROW(Expenses!A$3:A$999)-2),1)),0)+IFERROR(INDEX(Income!C$3:C$502,SMALL(IF((Income!D$3:D$502="INR")*(Income!A$3:A$502=DATE(2026,12,30)),ROW(Income!A$3:A$502)-2),1)),0))</f>
        <v/>
      </c>
      <c r="H264" s="126">
        <f t="array" ref="H264">IF(IFERROR(INDEX(Expenses!B$3:B$999,SMALL(IF((Expenses!E$3:E$999="INR")*(Expenses!A$3:A$999=DATE(2026,12,30)),ROW(Expenses!A$3:A$999)-2),1)),"")&lt;&gt;"",IFERROR(INDEX(Expenses!B$3:B$999,SMALL(IF((Expenses!E$3:E$999="INR")*(Expenses!A$3:A$999=DATE(2026,12,30)),ROW(Expenses!A$3:A$999)-2),1)),""),IF(IFERROR(INDEX(Income!B$3:B$502,SMALL(IF((Income!D$3:D$502="INR")*(Income!A$3:A$502=DATE(2026,12,30)),ROW(Income!A$3:A$502)-2),1)),"")&lt;&gt;"",IFERROR(INDEX(Income!B$3:B$502,SMALL(IF((Income!D$3:D$502="INR")*(Income!A$3:A$502=DATE(2026,12,30)),ROW(Income!A$3:A$502)-2),1)),""),""))</f>
        <v/>
      </c>
      <c r="I264" s="153">
        <f t="array" ref="I264">IF(IFERROR(-INDEX(Expenses!D$3:D$999,SMALL(IF((Expenses!E$3:E$999="INR")*(Expenses!A$3:A$999=DATE(2026,12,31)),ROW(Expenses!A$3:A$999)-2),1)),0)+IFERROR(INDEX(Income!C$3:C$502,SMALL(IF((Income!D$3:D$502="INR")*(Income!A$3:A$502=DATE(2026,12,31)),ROW(Income!A$3:A$502)-2),1)),0)=0,"",IFERROR(-INDEX(Expenses!D$3:D$999,SMALL(IF((Expenses!E$3:E$999="INR")*(Expenses!A$3:A$999=DATE(2026,12,31)),ROW(Expenses!A$3:A$999)-2),1)),0)+IFERROR(INDEX(Income!C$3:C$502,SMALL(IF((Income!D$3:D$502="INR")*(Income!A$3:A$502=DATE(2026,12,31)),ROW(Income!A$3:A$502)-2),1)),0))</f>
        <v/>
      </c>
      <c r="J264" s="126">
        <f t="array" ref="J264">IF(IFERROR(INDEX(Expenses!B$3:B$999,SMALL(IF((Expenses!E$3:E$999="INR")*(Expenses!A$3:A$999=DATE(2026,12,31)),ROW(Expenses!A$3:A$999)-2),1)),"")&lt;&gt;"",IFERROR(INDEX(Expenses!B$3:B$999,SMALL(IF((Expenses!E$3:E$999="INR")*(Expenses!A$3:A$999=DATE(2026,12,31)),ROW(Expenses!A$3:A$999)-2),1)),""),IF(IFERROR(INDEX(Income!B$3:B$502,SMALL(IF((Income!D$3:D$502="INR")*(Income!A$3:A$502=DATE(2026,12,31)),ROW(Income!A$3:A$502)-2),1)),"")&lt;&gt;"",IFERROR(INDEX(Income!B$3:B$502,SMALL(IF((Income!D$3:D$502="INR")*(Income!A$3:A$502=DATE(2026,12,31)),ROW(Income!A$3:A$502)-2),1)),""),""))</f>
        <v/>
      </c>
      <c r="K264" s="153">
        <f t="array" ref="K264">IF(IFERROR(-INDEX(Expenses!D$3:D$999,SMALL(IF((Expenses!E$3:E$999="INR")*(Expenses!A$3:A$999=DATE(2027,1,1)),ROW(Expenses!A$3:A$999)-2),1)),0)+IFERROR(INDEX(Income!C$3:C$502,SMALL(IF((Income!D$3:D$502="INR")*(Income!A$3:A$502=DATE(2027,1,1)),ROW(Income!A$3:A$502)-2),1)),0)=0,"",IFERROR(-INDEX(Expenses!D$3:D$999,SMALL(IF((Expenses!E$3:E$999="INR")*(Expenses!A$3:A$999=DATE(2027,1,1)),ROW(Expenses!A$3:A$999)-2),1)),0)+IFERROR(INDEX(Income!C$3:C$502,SMALL(IF((Income!D$3:D$502="INR")*(Income!A$3:A$502=DATE(2027,1,1)),ROW(Income!A$3:A$502)-2),1)),0))</f>
        <v/>
      </c>
      <c r="L264" s="126">
        <f t="array" ref="L264">IF(IFERROR(INDEX(Expenses!B$3:B$999,SMALL(IF((Expenses!E$3:E$999="INR")*(Expenses!A$3:A$999=DATE(2027,1,1)),ROW(Expenses!A$3:A$999)-2),1)),"")&lt;&gt;"",IFERROR(INDEX(Expenses!B$3:B$999,SMALL(IF((Expenses!E$3:E$999="INR")*(Expenses!A$3:A$999=DATE(2027,1,1)),ROW(Expenses!A$3:A$999)-2),1)),""),IF(IFERROR(INDEX(Income!B$3:B$502,SMALL(IF((Income!D$3:D$502="INR")*(Income!A$3:A$502=DATE(2027,1,1)),ROW(Income!A$3:A$502)-2),1)),"")&lt;&gt;"",IFERROR(INDEX(Income!B$3:B$502,SMALL(IF((Income!D$3:D$502="INR")*(Income!A$3:A$502=DATE(2027,1,1)),ROW(Income!A$3:A$502)-2),1)),""),""))</f>
        <v/>
      </c>
      <c r="M264" s="153">
        <f t="array" ref="M264">IF(IFERROR(-INDEX(Expenses!D$3:D$999,SMALL(IF((Expenses!E$3:E$999="INR")*(Expenses!A$3:A$999=DATE(2027,1,2)),ROW(Expenses!A$3:A$999)-2),1)),0)+IFERROR(INDEX(Income!C$3:C$502,SMALL(IF((Income!D$3:D$502="INR")*(Income!A$3:A$502=DATE(2027,1,2)),ROW(Income!A$3:A$502)-2),1)),0)=0,"",IFERROR(-INDEX(Expenses!D$3:D$999,SMALL(IF((Expenses!E$3:E$999="INR")*(Expenses!A$3:A$999=DATE(2027,1,2)),ROW(Expenses!A$3:A$999)-2),1)),0)+IFERROR(INDEX(Income!C$3:C$502,SMALL(IF((Income!D$3:D$502="INR")*(Income!A$3:A$502=DATE(2027,1,2)),ROW(Income!A$3:A$502)-2),1)),0))</f>
        <v/>
      </c>
      <c r="N264" s="126">
        <f t="array" ref="N264">IF(IFERROR(INDEX(Expenses!B$3:B$999,SMALL(IF((Expenses!E$3:E$999="INR")*(Expenses!A$3:A$999=DATE(2027,1,2)),ROW(Expenses!A$3:A$999)-2),1)),"")&lt;&gt;"",IFERROR(INDEX(Expenses!B$3:B$999,SMALL(IF((Expenses!E$3:E$999="INR")*(Expenses!A$3:A$999=DATE(2027,1,2)),ROW(Expenses!A$3:A$999)-2),1)),""),IF(IFERROR(INDEX(Income!B$3:B$502,SMALL(IF((Income!D$3:D$502="INR")*(Income!A$3:A$502=DATE(2027,1,2)),ROW(Income!A$3:A$502)-2),1)),"")&lt;&gt;"",IFERROR(INDEX(Income!B$3:B$502,SMALL(IF((Income!D$3:D$502="INR")*(Income!A$3:A$502=DATE(2027,1,2)),ROW(Income!A$3:A$502)-2),1)),""),""))</f>
        <v/>
      </c>
      <c r="O264" s="153">
        <f t="array" ref="O264">IF(IFERROR(-INDEX(Expenses!D$3:D$999,SMALL(IF((Expenses!E$3:E$999="INR")*(Expenses!A$3:A$999=DATE(2027,1,3)),ROW(Expenses!A$3:A$999)-2),1)),0)+IFERROR(INDEX(Income!C$3:C$502,SMALL(IF((Income!D$3:D$502="INR")*(Income!A$3:A$502=DATE(2027,1,3)),ROW(Income!A$3:A$502)-2),1)),0)=0,"",IFERROR(-INDEX(Expenses!D$3:D$999,SMALL(IF((Expenses!E$3:E$999="INR")*(Expenses!A$3:A$999=DATE(2027,1,3)),ROW(Expenses!A$3:A$999)-2),1)),0)+IFERROR(INDEX(Income!C$3:C$502,SMALL(IF((Income!D$3:D$502="INR")*(Income!A$3:A$502=DATE(2027,1,3)),ROW(Income!A$3:A$502)-2),1)),0))</f>
        <v/>
      </c>
      <c r="P264" s="126">
        <f t="array" ref="P264">IF(IFERROR(INDEX(Expenses!B$3:B$999,SMALL(IF((Expenses!E$3:E$999="INR")*(Expenses!A$3:A$999=DATE(2027,1,3)),ROW(Expenses!A$3:A$999)-2),1)),"")&lt;&gt;"",IFERROR(INDEX(Expenses!B$3:B$999,SMALL(IF((Expenses!E$3:E$999="INR")*(Expenses!A$3:A$999=DATE(2027,1,3)),ROW(Expenses!A$3:A$999)-2),1)),""),IF(IFERROR(INDEX(Income!B$3:B$502,SMALL(IF((Income!D$3:D$502="INR")*(Income!A$3:A$502=DATE(2027,1,3)),ROW(Income!A$3:A$502)-2),1)),"")&lt;&gt;"",IFERROR(INDEX(Income!B$3:B$502,SMALL(IF((Income!D$3:D$502="INR")*(Income!A$3:A$502=DATE(2027,1,3)),ROW(Income!A$3:A$502)-2),1)),""),""))</f>
        <v/>
      </c>
      <c r="Q264" s="103" t="n">
        <v>53</v>
      </c>
      <c r="R264" s="142">
        <f>SUM(C264:C268)+SUM(E264:E268)+SUM(G264:G268)+SUM(I264:I268)+SUM(K264:K268)+SUM(M264:M268)+SUM(O264:O268)</f>
        <v/>
      </c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68">
      <c r="A265" s="9" t="n"/>
      <c r="B265" s="9" t="n"/>
      <c r="C265" s="153">
        <f t="array" ref="C265">IF(IFERROR(-INDEX(Expenses!D$3:D$999,SMALL(IF((Expenses!E$3:E$999="INR")*(Expenses!A$3:A$999=DATE(2026,12,28)),ROW(Expenses!A$3:A$999)-2),2)),0)+IFERROR(INDEX(Income!C$3:C$502,SMALL(IF((Income!D$3:D$502="INR")*(Income!A$3:A$502=DATE(2026,12,28)),ROW(Income!A$3:A$502)-2),2)),0)=0,"",IFERROR(-INDEX(Expenses!D$3:D$999,SMALL(IF((Expenses!E$3:E$999="INR")*(Expenses!A$3:A$999=DATE(2026,12,28)),ROW(Expenses!A$3:A$999)-2),2)),0)+IFERROR(INDEX(Income!C$3:C$502,SMALL(IF((Income!D$3:D$502="INR")*(Income!A$3:A$502=DATE(2026,12,28)),ROW(Income!A$3:A$502)-2),2)),0))</f>
        <v/>
      </c>
      <c r="D265" s="126">
        <f t="array" ref="D265">IF(IFERROR(INDEX(Expenses!B$3:B$999,SMALL(IF((Expenses!E$3:E$999="INR")*(Expenses!A$3:A$999=DATE(2026,12,28)),ROW(Expenses!A$3:A$999)-2),2)),"")&lt;&gt;"",IFERROR(INDEX(Expenses!B$3:B$999,SMALL(IF((Expenses!E$3:E$999="INR")*(Expenses!A$3:A$999=DATE(2026,12,28)),ROW(Expenses!A$3:A$999)-2),2)),""),IF(IFERROR(INDEX(Income!B$3:B$502,SMALL(IF((Income!D$3:D$502="INR")*(Income!A$3:A$502=DATE(2026,12,28)),ROW(Income!A$3:A$502)-2),2)),"")&lt;&gt;"",IFERROR(INDEX(Income!B$3:B$502,SMALL(IF((Income!D$3:D$502="INR")*(Income!A$3:A$502=DATE(2026,12,28)),ROW(Income!A$3:A$502)-2),2)),""),""))</f>
        <v/>
      </c>
      <c r="E265" s="153">
        <f t="array" ref="E265">IF(IFERROR(-INDEX(Expenses!D$3:D$999,SMALL(IF((Expenses!E$3:E$999="INR")*(Expenses!A$3:A$999=DATE(2026,12,29)),ROW(Expenses!A$3:A$999)-2),2)),0)+IFERROR(INDEX(Income!C$3:C$502,SMALL(IF((Income!D$3:D$502="INR")*(Income!A$3:A$502=DATE(2026,12,29)),ROW(Income!A$3:A$502)-2),2)),0)=0,"",IFERROR(-INDEX(Expenses!D$3:D$999,SMALL(IF((Expenses!E$3:E$999="INR")*(Expenses!A$3:A$999=DATE(2026,12,29)),ROW(Expenses!A$3:A$999)-2),2)),0)+IFERROR(INDEX(Income!C$3:C$502,SMALL(IF((Income!D$3:D$502="INR")*(Income!A$3:A$502=DATE(2026,12,29)),ROW(Income!A$3:A$502)-2),2)),0))</f>
        <v/>
      </c>
      <c r="F265" s="126">
        <f t="array" ref="F265">IF(IFERROR(INDEX(Expenses!B$3:B$999,SMALL(IF((Expenses!E$3:E$999="INR")*(Expenses!A$3:A$999=DATE(2026,12,29)),ROW(Expenses!A$3:A$999)-2),2)),"")&lt;&gt;"",IFERROR(INDEX(Expenses!B$3:B$999,SMALL(IF((Expenses!E$3:E$999="INR")*(Expenses!A$3:A$999=DATE(2026,12,29)),ROW(Expenses!A$3:A$999)-2),2)),""),IF(IFERROR(INDEX(Income!B$3:B$502,SMALL(IF((Income!D$3:D$502="INR")*(Income!A$3:A$502=DATE(2026,12,29)),ROW(Income!A$3:A$502)-2),2)),"")&lt;&gt;"",IFERROR(INDEX(Income!B$3:B$502,SMALL(IF((Income!D$3:D$502="INR")*(Income!A$3:A$502=DATE(2026,12,29)),ROW(Income!A$3:A$502)-2),2)),""),""))</f>
        <v/>
      </c>
      <c r="G265" s="153">
        <f t="array" ref="G265">IF(IFERROR(-INDEX(Expenses!D$3:D$999,SMALL(IF((Expenses!E$3:E$999="INR")*(Expenses!A$3:A$999=DATE(2026,12,30)),ROW(Expenses!A$3:A$999)-2),2)),0)+IFERROR(INDEX(Income!C$3:C$502,SMALL(IF((Income!D$3:D$502="INR")*(Income!A$3:A$502=DATE(2026,12,30)),ROW(Income!A$3:A$502)-2),2)),0)=0,"",IFERROR(-INDEX(Expenses!D$3:D$999,SMALL(IF((Expenses!E$3:E$999="INR")*(Expenses!A$3:A$999=DATE(2026,12,30)),ROW(Expenses!A$3:A$999)-2),2)),0)+IFERROR(INDEX(Income!C$3:C$502,SMALL(IF((Income!D$3:D$502="INR")*(Income!A$3:A$502=DATE(2026,12,30)),ROW(Income!A$3:A$502)-2),2)),0))</f>
        <v/>
      </c>
      <c r="H265" s="126">
        <f t="array" ref="H265">IF(IFERROR(INDEX(Expenses!B$3:B$999,SMALL(IF((Expenses!E$3:E$999="INR")*(Expenses!A$3:A$999=DATE(2026,12,30)),ROW(Expenses!A$3:A$999)-2),2)),"")&lt;&gt;"",IFERROR(INDEX(Expenses!B$3:B$999,SMALL(IF((Expenses!E$3:E$999="INR")*(Expenses!A$3:A$999=DATE(2026,12,30)),ROW(Expenses!A$3:A$999)-2),2)),""),IF(IFERROR(INDEX(Income!B$3:B$502,SMALL(IF((Income!D$3:D$502="INR")*(Income!A$3:A$502=DATE(2026,12,30)),ROW(Income!A$3:A$502)-2),2)),"")&lt;&gt;"",IFERROR(INDEX(Income!B$3:B$502,SMALL(IF((Income!D$3:D$502="INR")*(Income!A$3:A$502=DATE(2026,12,30)),ROW(Income!A$3:A$502)-2),2)),""),""))</f>
        <v/>
      </c>
      <c r="I265" s="153">
        <f t="array" ref="I265">IF(IFERROR(-INDEX(Expenses!D$3:D$999,SMALL(IF((Expenses!E$3:E$999="INR")*(Expenses!A$3:A$999=DATE(2026,12,31)),ROW(Expenses!A$3:A$999)-2),2)),0)+IFERROR(INDEX(Income!C$3:C$502,SMALL(IF((Income!D$3:D$502="INR")*(Income!A$3:A$502=DATE(2026,12,31)),ROW(Income!A$3:A$502)-2),2)),0)=0,"",IFERROR(-INDEX(Expenses!D$3:D$999,SMALL(IF((Expenses!E$3:E$999="INR")*(Expenses!A$3:A$999=DATE(2026,12,31)),ROW(Expenses!A$3:A$999)-2),2)),0)+IFERROR(INDEX(Income!C$3:C$502,SMALL(IF((Income!D$3:D$502="INR")*(Income!A$3:A$502=DATE(2026,12,31)),ROW(Income!A$3:A$502)-2),2)),0))</f>
        <v/>
      </c>
      <c r="J265" s="126">
        <f t="array" ref="J265">IF(IFERROR(INDEX(Expenses!B$3:B$999,SMALL(IF((Expenses!E$3:E$999="INR")*(Expenses!A$3:A$999=DATE(2026,12,31)),ROW(Expenses!A$3:A$999)-2),2)),"")&lt;&gt;"",IFERROR(INDEX(Expenses!B$3:B$999,SMALL(IF((Expenses!E$3:E$999="INR")*(Expenses!A$3:A$999=DATE(2026,12,31)),ROW(Expenses!A$3:A$999)-2),2)),""),IF(IFERROR(INDEX(Income!B$3:B$502,SMALL(IF((Income!D$3:D$502="INR")*(Income!A$3:A$502=DATE(2026,12,31)),ROW(Income!A$3:A$502)-2),2)),"")&lt;&gt;"",IFERROR(INDEX(Income!B$3:B$502,SMALL(IF((Income!D$3:D$502="INR")*(Income!A$3:A$502=DATE(2026,12,31)),ROW(Income!A$3:A$502)-2),2)),""),""))</f>
        <v/>
      </c>
      <c r="K265" s="153">
        <f t="array" ref="K265">IF(IFERROR(-INDEX(Expenses!D$3:D$999,SMALL(IF((Expenses!E$3:E$999="INR")*(Expenses!A$3:A$999=DATE(2027,1,1)),ROW(Expenses!A$3:A$999)-2),2)),0)+IFERROR(INDEX(Income!C$3:C$502,SMALL(IF((Income!D$3:D$502="INR")*(Income!A$3:A$502=DATE(2027,1,1)),ROW(Income!A$3:A$502)-2),2)),0)=0,"",IFERROR(-INDEX(Expenses!D$3:D$999,SMALL(IF((Expenses!E$3:E$999="INR")*(Expenses!A$3:A$999=DATE(2027,1,1)),ROW(Expenses!A$3:A$999)-2),2)),0)+IFERROR(INDEX(Income!C$3:C$502,SMALL(IF((Income!D$3:D$502="INR")*(Income!A$3:A$502=DATE(2027,1,1)),ROW(Income!A$3:A$502)-2),2)),0))</f>
        <v/>
      </c>
      <c r="L265" s="126">
        <f t="array" ref="L265">IF(IFERROR(INDEX(Expenses!B$3:B$999,SMALL(IF((Expenses!E$3:E$999="INR")*(Expenses!A$3:A$999=DATE(2027,1,1)),ROW(Expenses!A$3:A$999)-2),2)),"")&lt;&gt;"",IFERROR(INDEX(Expenses!B$3:B$999,SMALL(IF((Expenses!E$3:E$999="INR")*(Expenses!A$3:A$999=DATE(2027,1,1)),ROW(Expenses!A$3:A$999)-2),2)),""),IF(IFERROR(INDEX(Income!B$3:B$502,SMALL(IF((Income!D$3:D$502="INR")*(Income!A$3:A$502=DATE(2027,1,1)),ROW(Income!A$3:A$502)-2),2)),"")&lt;&gt;"",IFERROR(INDEX(Income!B$3:B$502,SMALL(IF((Income!D$3:D$502="INR")*(Income!A$3:A$502=DATE(2027,1,1)),ROW(Income!A$3:A$502)-2),2)),""),""))</f>
        <v/>
      </c>
      <c r="M265" s="153">
        <f t="array" ref="M265">IF(IFERROR(-INDEX(Expenses!D$3:D$999,SMALL(IF((Expenses!E$3:E$999="INR")*(Expenses!A$3:A$999=DATE(2027,1,2)),ROW(Expenses!A$3:A$999)-2),2)),0)+IFERROR(INDEX(Income!C$3:C$502,SMALL(IF((Income!D$3:D$502="INR")*(Income!A$3:A$502=DATE(2027,1,2)),ROW(Income!A$3:A$502)-2),2)),0)=0,"",IFERROR(-INDEX(Expenses!D$3:D$999,SMALL(IF((Expenses!E$3:E$999="INR")*(Expenses!A$3:A$999=DATE(2027,1,2)),ROW(Expenses!A$3:A$999)-2),2)),0)+IFERROR(INDEX(Income!C$3:C$502,SMALL(IF((Income!D$3:D$502="INR")*(Income!A$3:A$502=DATE(2027,1,2)),ROW(Income!A$3:A$502)-2),2)),0))</f>
        <v/>
      </c>
      <c r="N265" s="126">
        <f t="array" ref="N265">IF(IFERROR(INDEX(Expenses!B$3:B$999,SMALL(IF((Expenses!E$3:E$999="INR")*(Expenses!A$3:A$999=DATE(2027,1,2)),ROW(Expenses!A$3:A$999)-2),2)),"")&lt;&gt;"",IFERROR(INDEX(Expenses!B$3:B$999,SMALL(IF((Expenses!E$3:E$999="INR")*(Expenses!A$3:A$999=DATE(2027,1,2)),ROW(Expenses!A$3:A$999)-2),2)),""),IF(IFERROR(INDEX(Income!B$3:B$502,SMALL(IF((Income!D$3:D$502="INR")*(Income!A$3:A$502=DATE(2027,1,2)),ROW(Income!A$3:A$502)-2),2)),"")&lt;&gt;"",IFERROR(INDEX(Income!B$3:B$502,SMALL(IF((Income!D$3:D$502="INR")*(Income!A$3:A$502=DATE(2027,1,2)),ROW(Income!A$3:A$502)-2),2)),""),""))</f>
        <v/>
      </c>
      <c r="O265" s="153">
        <f t="array" ref="O265">IF(IFERROR(-INDEX(Expenses!D$3:D$999,SMALL(IF((Expenses!E$3:E$999="INR")*(Expenses!A$3:A$999=DATE(2027,1,3)),ROW(Expenses!A$3:A$999)-2),2)),0)+IFERROR(INDEX(Income!C$3:C$502,SMALL(IF((Income!D$3:D$502="INR")*(Income!A$3:A$502=DATE(2027,1,3)),ROW(Income!A$3:A$502)-2),2)),0)=0,"",IFERROR(-INDEX(Expenses!D$3:D$999,SMALL(IF((Expenses!E$3:E$999="INR")*(Expenses!A$3:A$999=DATE(2027,1,3)),ROW(Expenses!A$3:A$999)-2),2)),0)+IFERROR(INDEX(Income!C$3:C$502,SMALL(IF((Income!D$3:D$502="INR")*(Income!A$3:A$502=DATE(2027,1,3)),ROW(Income!A$3:A$502)-2),2)),0))</f>
        <v/>
      </c>
      <c r="P265" s="126">
        <f t="array" ref="P265">IF(IFERROR(INDEX(Expenses!B$3:B$999,SMALL(IF((Expenses!E$3:E$999="INR")*(Expenses!A$3:A$999=DATE(2027,1,3)),ROW(Expenses!A$3:A$999)-2),2)),"")&lt;&gt;"",IFERROR(INDEX(Expenses!B$3:B$999,SMALL(IF((Expenses!E$3:E$999="INR")*(Expenses!A$3:A$999=DATE(2027,1,3)),ROW(Expenses!A$3:A$999)-2),2)),""),IF(IFERROR(INDEX(Income!B$3:B$502,SMALL(IF((Income!D$3:D$502="INR")*(Income!A$3:A$502=DATE(2027,1,3)),ROW(Income!A$3:A$502)-2),2)),"")&lt;&gt;"",IFERROR(INDEX(Income!B$3:B$502,SMALL(IF((Income!D$3:D$502="INR")*(Income!A$3:A$502=DATE(2027,1,3)),ROW(Income!A$3:A$502)-2),2)),""),""))</f>
        <v/>
      </c>
      <c r="Q265" s="9" t="n"/>
      <c r="R265" s="9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68">
      <c r="A266" s="9" t="n"/>
      <c r="B266" s="9" t="n"/>
      <c r="C266" s="153">
        <f t="array" ref="C266">IF(IFERROR(-INDEX(Expenses!D$3:D$999,SMALL(IF((Expenses!E$3:E$999="INR")*(Expenses!A$3:A$999=DATE(2026,12,28)),ROW(Expenses!A$3:A$999)-2),3)),0)+IFERROR(INDEX(Income!C$3:C$502,SMALL(IF((Income!D$3:D$502="INR")*(Income!A$3:A$502=DATE(2026,12,28)),ROW(Income!A$3:A$502)-2),3)),0)=0,"",IFERROR(-INDEX(Expenses!D$3:D$999,SMALL(IF((Expenses!E$3:E$999="INR")*(Expenses!A$3:A$999=DATE(2026,12,28)),ROW(Expenses!A$3:A$999)-2),3)),0)+IFERROR(INDEX(Income!C$3:C$502,SMALL(IF((Income!D$3:D$502="INR")*(Income!A$3:A$502=DATE(2026,12,28)),ROW(Income!A$3:A$502)-2),3)),0))</f>
        <v/>
      </c>
      <c r="D266" s="126">
        <f t="array" ref="D266">IF(IFERROR(INDEX(Expenses!B$3:B$999,SMALL(IF((Expenses!E$3:E$999="INR")*(Expenses!A$3:A$999=DATE(2026,12,28)),ROW(Expenses!A$3:A$999)-2),3)),"")&lt;&gt;"",IFERROR(INDEX(Expenses!B$3:B$999,SMALL(IF((Expenses!E$3:E$999="INR")*(Expenses!A$3:A$999=DATE(2026,12,28)),ROW(Expenses!A$3:A$999)-2),3)),""),IF(IFERROR(INDEX(Income!B$3:B$502,SMALL(IF((Income!D$3:D$502="INR")*(Income!A$3:A$502=DATE(2026,12,28)),ROW(Income!A$3:A$502)-2),3)),"")&lt;&gt;"",IFERROR(INDEX(Income!B$3:B$502,SMALL(IF((Income!D$3:D$502="INR")*(Income!A$3:A$502=DATE(2026,12,28)),ROW(Income!A$3:A$502)-2),3)),""),""))</f>
        <v/>
      </c>
      <c r="E266" s="153">
        <f t="array" ref="E266">IF(IFERROR(-INDEX(Expenses!D$3:D$999,SMALL(IF((Expenses!E$3:E$999="INR")*(Expenses!A$3:A$999=DATE(2026,12,29)),ROW(Expenses!A$3:A$999)-2),3)),0)+IFERROR(INDEX(Income!C$3:C$502,SMALL(IF((Income!D$3:D$502="INR")*(Income!A$3:A$502=DATE(2026,12,29)),ROW(Income!A$3:A$502)-2),3)),0)=0,"",IFERROR(-INDEX(Expenses!D$3:D$999,SMALL(IF((Expenses!E$3:E$999="INR")*(Expenses!A$3:A$999=DATE(2026,12,29)),ROW(Expenses!A$3:A$999)-2),3)),0)+IFERROR(INDEX(Income!C$3:C$502,SMALL(IF((Income!D$3:D$502="INR")*(Income!A$3:A$502=DATE(2026,12,29)),ROW(Income!A$3:A$502)-2),3)),0))</f>
        <v/>
      </c>
      <c r="F266" s="126">
        <f t="array" ref="F266">IF(IFERROR(INDEX(Expenses!B$3:B$999,SMALL(IF((Expenses!E$3:E$999="INR")*(Expenses!A$3:A$999=DATE(2026,12,29)),ROW(Expenses!A$3:A$999)-2),3)),"")&lt;&gt;"",IFERROR(INDEX(Expenses!B$3:B$999,SMALL(IF((Expenses!E$3:E$999="INR")*(Expenses!A$3:A$999=DATE(2026,12,29)),ROW(Expenses!A$3:A$999)-2),3)),""),IF(IFERROR(INDEX(Income!B$3:B$502,SMALL(IF((Income!D$3:D$502="INR")*(Income!A$3:A$502=DATE(2026,12,29)),ROW(Income!A$3:A$502)-2),3)),"")&lt;&gt;"",IFERROR(INDEX(Income!B$3:B$502,SMALL(IF((Income!D$3:D$502="INR")*(Income!A$3:A$502=DATE(2026,12,29)),ROW(Income!A$3:A$502)-2),3)),""),""))</f>
        <v/>
      </c>
      <c r="G266" s="153">
        <f t="array" ref="G266">IF(IFERROR(-INDEX(Expenses!D$3:D$999,SMALL(IF((Expenses!E$3:E$999="INR")*(Expenses!A$3:A$999=DATE(2026,12,30)),ROW(Expenses!A$3:A$999)-2),3)),0)+IFERROR(INDEX(Income!C$3:C$502,SMALL(IF((Income!D$3:D$502="INR")*(Income!A$3:A$502=DATE(2026,12,30)),ROW(Income!A$3:A$502)-2),3)),0)=0,"",IFERROR(-INDEX(Expenses!D$3:D$999,SMALL(IF((Expenses!E$3:E$999="INR")*(Expenses!A$3:A$999=DATE(2026,12,30)),ROW(Expenses!A$3:A$999)-2),3)),0)+IFERROR(INDEX(Income!C$3:C$502,SMALL(IF((Income!D$3:D$502="INR")*(Income!A$3:A$502=DATE(2026,12,30)),ROW(Income!A$3:A$502)-2),3)),0))</f>
        <v/>
      </c>
      <c r="H266" s="126">
        <f t="array" ref="H266">IF(IFERROR(INDEX(Expenses!B$3:B$999,SMALL(IF((Expenses!E$3:E$999="INR")*(Expenses!A$3:A$999=DATE(2026,12,30)),ROW(Expenses!A$3:A$999)-2),3)),"")&lt;&gt;"",IFERROR(INDEX(Expenses!B$3:B$999,SMALL(IF((Expenses!E$3:E$999="INR")*(Expenses!A$3:A$999=DATE(2026,12,30)),ROW(Expenses!A$3:A$999)-2),3)),""),IF(IFERROR(INDEX(Income!B$3:B$502,SMALL(IF((Income!D$3:D$502="INR")*(Income!A$3:A$502=DATE(2026,12,30)),ROW(Income!A$3:A$502)-2),3)),"")&lt;&gt;"",IFERROR(INDEX(Income!B$3:B$502,SMALL(IF((Income!D$3:D$502="INR")*(Income!A$3:A$502=DATE(2026,12,30)),ROW(Income!A$3:A$502)-2),3)),""),""))</f>
        <v/>
      </c>
      <c r="I266" s="153">
        <f t="array" ref="I266">IF(IFERROR(-INDEX(Expenses!D$3:D$999,SMALL(IF((Expenses!E$3:E$999="INR")*(Expenses!A$3:A$999=DATE(2026,12,31)),ROW(Expenses!A$3:A$999)-2),3)),0)+IFERROR(INDEX(Income!C$3:C$502,SMALL(IF((Income!D$3:D$502="INR")*(Income!A$3:A$502=DATE(2026,12,31)),ROW(Income!A$3:A$502)-2),3)),0)=0,"",IFERROR(-INDEX(Expenses!D$3:D$999,SMALL(IF((Expenses!E$3:E$999="INR")*(Expenses!A$3:A$999=DATE(2026,12,31)),ROW(Expenses!A$3:A$999)-2),3)),0)+IFERROR(INDEX(Income!C$3:C$502,SMALL(IF((Income!D$3:D$502="INR")*(Income!A$3:A$502=DATE(2026,12,31)),ROW(Income!A$3:A$502)-2),3)),0))</f>
        <v/>
      </c>
      <c r="J266" s="126">
        <f t="array" ref="J266">IF(IFERROR(INDEX(Expenses!B$3:B$999,SMALL(IF((Expenses!E$3:E$999="INR")*(Expenses!A$3:A$999=DATE(2026,12,31)),ROW(Expenses!A$3:A$999)-2),3)),"")&lt;&gt;"",IFERROR(INDEX(Expenses!B$3:B$999,SMALL(IF((Expenses!E$3:E$999="INR")*(Expenses!A$3:A$999=DATE(2026,12,31)),ROW(Expenses!A$3:A$999)-2),3)),""),IF(IFERROR(INDEX(Income!B$3:B$502,SMALL(IF((Income!D$3:D$502="INR")*(Income!A$3:A$502=DATE(2026,12,31)),ROW(Income!A$3:A$502)-2),3)),"")&lt;&gt;"",IFERROR(INDEX(Income!B$3:B$502,SMALL(IF((Income!D$3:D$502="INR")*(Income!A$3:A$502=DATE(2026,12,31)),ROW(Income!A$3:A$502)-2),3)),""),""))</f>
        <v/>
      </c>
      <c r="K266" s="153">
        <f t="array" ref="K266">IF(IFERROR(-INDEX(Expenses!D$3:D$999,SMALL(IF((Expenses!E$3:E$999="INR")*(Expenses!A$3:A$999=DATE(2027,1,1)),ROW(Expenses!A$3:A$999)-2),3)),0)+IFERROR(INDEX(Income!C$3:C$502,SMALL(IF((Income!D$3:D$502="INR")*(Income!A$3:A$502=DATE(2027,1,1)),ROW(Income!A$3:A$502)-2),3)),0)=0,"",IFERROR(-INDEX(Expenses!D$3:D$999,SMALL(IF((Expenses!E$3:E$999="INR")*(Expenses!A$3:A$999=DATE(2027,1,1)),ROW(Expenses!A$3:A$999)-2),3)),0)+IFERROR(INDEX(Income!C$3:C$502,SMALL(IF((Income!D$3:D$502="INR")*(Income!A$3:A$502=DATE(2027,1,1)),ROW(Income!A$3:A$502)-2),3)),0))</f>
        <v/>
      </c>
      <c r="L266" s="126">
        <f t="array" ref="L266">IF(IFERROR(INDEX(Expenses!B$3:B$999,SMALL(IF((Expenses!E$3:E$999="INR")*(Expenses!A$3:A$999=DATE(2027,1,1)),ROW(Expenses!A$3:A$999)-2),3)),"")&lt;&gt;"",IFERROR(INDEX(Expenses!B$3:B$999,SMALL(IF((Expenses!E$3:E$999="INR")*(Expenses!A$3:A$999=DATE(2027,1,1)),ROW(Expenses!A$3:A$999)-2),3)),""),IF(IFERROR(INDEX(Income!B$3:B$502,SMALL(IF((Income!D$3:D$502="INR")*(Income!A$3:A$502=DATE(2027,1,1)),ROW(Income!A$3:A$502)-2),3)),"")&lt;&gt;"",IFERROR(INDEX(Income!B$3:B$502,SMALL(IF((Income!D$3:D$502="INR")*(Income!A$3:A$502=DATE(2027,1,1)),ROW(Income!A$3:A$502)-2),3)),""),""))</f>
        <v/>
      </c>
      <c r="M266" s="153">
        <f t="array" ref="M266">IF(IFERROR(-INDEX(Expenses!D$3:D$999,SMALL(IF((Expenses!E$3:E$999="INR")*(Expenses!A$3:A$999=DATE(2027,1,2)),ROW(Expenses!A$3:A$999)-2),3)),0)+IFERROR(INDEX(Income!C$3:C$502,SMALL(IF((Income!D$3:D$502="INR")*(Income!A$3:A$502=DATE(2027,1,2)),ROW(Income!A$3:A$502)-2),3)),0)=0,"",IFERROR(-INDEX(Expenses!D$3:D$999,SMALL(IF((Expenses!E$3:E$999="INR")*(Expenses!A$3:A$999=DATE(2027,1,2)),ROW(Expenses!A$3:A$999)-2),3)),0)+IFERROR(INDEX(Income!C$3:C$502,SMALL(IF((Income!D$3:D$502="INR")*(Income!A$3:A$502=DATE(2027,1,2)),ROW(Income!A$3:A$502)-2),3)),0))</f>
        <v/>
      </c>
      <c r="N266" s="126">
        <f t="array" ref="N266">IF(IFERROR(INDEX(Expenses!B$3:B$999,SMALL(IF((Expenses!E$3:E$999="INR")*(Expenses!A$3:A$999=DATE(2027,1,2)),ROW(Expenses!A$3:A$999)-2),3)),"")&lt;&gt;"",IFERROR(INDEX(Expenses!B$3:B$999,SMALL(IF((Expenses!E$3:E$999="INR")*(Expenses!A$3:A$999=DATE(2027,1,2)),ROW(Expenses!A$3:A$999)-2),3)),""),IF(IFERROR(INDEX(Income!B$3:B$502,SMALL(IF((Income!D$3:D$502="INR")*(Income!A$3:A$502=DATE(2027,1,2)),ROW(Income!A$3:A$502)-2),3)),"")&lt;&gt;"",IFERROR(INDEX(Income!B$3:B$502,SMALL(IF((Income!D$3:D$502="INR")*(Income!A$3:A$502=DATE(2027,1,2)),ROW(Income!A$3:A$502)-2),3)),""),""))</f>
        <v/>
      </c>
      <c r="O266" s="153">
        <f t="array" ref="O266">IF(IFERROR(-INDEX(Expenses!D$3:D$999,SMALL(IF((Expenses!E$3:E$999="INR")*(Expenses!A$3:A$999=DATE(2027,1,3)),ROW(Expenses!A$3:A$999)-2),3)),0)+IFERROR(INDEX(Income!C$3:C$502,SMALL(IF((Income!D$3:D$502="INR")*(Income!A$3:A$502=DATE(2027,1,3)),ROW(Income!A$3:A$502)-2),3)),0)=0,"",IFERROR(-INDEX(Expenses!D$3:D$999,SMALL(IF((Expenses!E$3:E$999="INR")*(Expenses!A$3:A$999=DATE(2027,1,3)),ROW(Expenses!A$3:A$999)-2),3)),0)+IFERROR(INDEX(Income!C$3:C$502,SMALL(IF((Income!D$3:D$502="INR")*(Income!A$3:A$502=DATE(2027,1,3)),ROW(Income!A$3:A$502)-2),3)),0))</f>
        <v/>
      </c>
      <c r="P266" s="126">
        <f t="array" ref="P266">IF(IFERROR(INDEX(Expenses!B$3:B$999,SMALL(IF((Expenses!E$3:E$999="INR")*(Expenses!A$3:A$999=DATE(2027,1,3)),ROW(Expenses!A$3:A$999)-2),3)),"")&lt;&gt;"",IFERROR(INDEX(Expenses!B$3:B$999,SMALL(IF((Expenses!E$3:E$999="INR")*(Expenses!A$3:A$999=DATE(2027,1,3)),ROW(Expenses!A$3:A$999)-2),3)),""),IF(IFERROR(INDEX(Income!B$3:B$502,SMALL(IF((Income!D$3:D$502="INR")*(Income!A$3:A$502=DATE(2027,1,3)),ROW(Income!A$3:A$502)-2),3)),"")&lt;&gt;"",IFERROR(INDEX(Income!B$3:B$502,SMALL(IF((Income!D$3:D$502="INR")*(Income!A$3:A$502=DATE(2027,1,3)),ROW(Income!A$3:A$502)-2),3)),""),""))</f>
        <v/>
      </c>
      <c r="Q266" s="9" t="n"/>
      <c r="R266" s="9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68">
      <c r="A267" s="9" t="n"/>
      <c r="B267" s="9" t="n"/>
      <c r="C267" s="153">
        <f t="array" ref="C267">IF(IFERROR(-INDEX(Expenses!D$3:D$999,SMALL(IF((Expenses!E$3:E$999="INR")*(Expenses!A$3:A$999=DATE(2026,12,28)),ROW(Expenses!A$3:A$999)-2),4)),0)+IFERROR(INDEX(Income!C$3:C$502,SMALL(IF((Income!D$3:D$502="INR")*(Income!A$3:A$502=DATE(2026,12,28)),ROW(Income!A$3:A$502)-2),4)),0)=0,"",IFERROR(-INDEX(Expenses!D$3:D$999,SMALL(IF((Expenses!E$3:E$999="INR")*(Expenses!A$3:A$999=DATE(2026,12,28)),ROW(Expenses!A$3:A$999)-2),4)),0)+IFERROR(INDEX(Income!C$3:C$502,SMALL(IF((Income!D$3:D$502="INR")*(Income!A$3:A$502=DATE(2026,12,28)),ROW(Income!A$3:A$502)-2),4)),0))</f>
        <v/>
      </c>
      <c r="D267" s="126">
        <f t="array" ref="D267">IF(IFERROR(INDEX(Expenses!B$3:B$999,SMALL(IF((Expenses!E$3:E$999="INR")*(Expenses!A$3:A$999=DATE(2026,12,28)),ROW(Expenses!A$3:A$999)-2),4)),"")&lt;&gt;"",IFERROR(INDEX(Expenses!B$3:B$999,SMALL(IF((Expenses!E$3:E$999="INR")*(Expenses!A$3:A$999=DATE(2026,12,28)),ROW(Expenses!A$3:A$999)-2),4)),""),IF(IFERROR(INDEX(Income!B$3:B$502,SMALL(IF((Income!D$3:D$502="INR")*(Income!A$3:A$502=DATE(2026,12,28)),ROW(Income!A$3:A$502)-2),4)),"")&lt;&gt;"",IFERROR(INDEX(Income!B$3:B$502,SMALL(IF((Income!D$3:D$502="INR")*(Income!A$3:A$502=DATE(2026,12,28)),ROW(Income!A$3:A$502)-2),4)),""),""))</f>
        <v/>
      </c>
      <c r="E267" s="153">
        <f t="array" ref="E267">IF(IFERROR(-INDEX(Expenses!D$3:D$999,SMALL(IF((Expenses!E$3:E$999="INR")*(Expenses!A$3:A$999=DATE(2026,12,29)),ROW(Expenses!A$3:A$999)-2),4)),0)+IFERROR(INDEX(Income!C$3:C$502,SMALL(IF((Income!D$3:D$502="INR")*(Income!A$3:A$502=DATE(2026,12,29)),ROW(Income!A$3:A$502)-2),4)),0)=0,"",IFERROR(-INDEX(Expenses!D$3:D$999,SMALL(IF((Expenses!E$3:E$999="INR")*(Expenses!A$3:A$999=DATE(2026,12,29)),ROW(Expenses!A$3:A$999)-2),4)),0)+IFERROR(INDEX(Income!C$3:C$502,SMALL(IF((Income!D$3:D$502="INR")*(Income!A$3:A$502=DATE(2026,12,29)),ROW(Income!A$3:A$502)-2),4)),0))</f>
        <v/>
      </c>
      <c r="F267" s="126">
        <f t="array" ref="F267">IF(IFERROR(INDEX(Expenses!B$3:B$999,SMALL(IF((Expenses!E$3:E$999="INR")*(Expenses!A$3:A$999=DATE(2026,12,29)),ROW(Expenses!A$3:A$999)-2),4)),"")&lt;&gt;"",IFERROR(INDEX(Expenses!B$3:B$999,SMALL(IF((Expenses!E$3:E$999="INR")*(Expenses!A$3:A$999=DATE(2026,12,29)),ROW(Expenses!A$3:A$999)-2),4)),""),IF(IFERROR(INDEX(Income!B$3:B$502,SMALL(IF((Income!D$3:D$502="INR")*(Income!A$3:A$502=DATE(2026,12,29)),ROW(Income!A$3:A$502)-2),4)),"")&lt;&gt;"",IFERROR(INDEX(Income!B$3:B$502,SMALL(IF((Income!D$3:D$502="INR")*(Income!A$3:A$502=DATE(2026,12,29)),ROW(Income!A$3:A$502)-2),4)),""),""))</f>
        <v/>
      </c>
      <c r="G267" s="153">
        <f t="array" ref="G267">IF(IFERROR(-INDEX(Expenses!D$3:D$999,SMALL(IF((Expenses!E$3:E$999="INR")*(Expenses!A$3:A$999=DATE(2026,12,30)),ROW(Expenses!A$3:A$999)-2),4)),0)+IFERROR(INDEX(Income!C$3:C$502,SMALL(IF((Income!D$3:D$502="INR")*(Income!A$3:A$502=DATE(2026,12,30)),ROW(Income!A$3:A$502)-2),4)),0)=0,"",IFERROR(-INDEX(Expenses!D$3:D$999,SMALL(IF((Expenses!E$3:E$999="INR")*(Expenses!A$3:A$999=DATE(2026,12,30)),ROW(Expenses!A$3:A$999)-2),4)),0)+IFERROR(INDEX(Income!C$3:C$502,SMALL(IF((Income!D$3:D$502="INR")*(Income!A$3:A$502=DATE(2026,12,30)),ROW(Income!A$3:A$502)-2),4)),0))</f>
        <v/>
      </c>
      <c r="H267" s="126">
        <f t="array" ref="H267">IF(IFERROR(INDEX(Expenses!B$3:B$999,SMALL(IF((Expenses!E$3:E$999="INR")*(Expenses!A$3:A$999=DATE(2026,12,30)),ROW(Expenses!A$3:A$999)-2),4)),"")&lt;&gt;"",IFERROR(INDEX(Expenses!B$3:B$999,SMALL(IF((Expenses!E$3:E$999="INR")*(Expenses!A$3:A$999=DATE(2026,12,30)),ROW(Expenses!A$3:A$999)-2),4)),""),IF(IFERROR(INDEX(Income!B$3:B$502,SMALL(IF((Income!D$3:D$502="INR")*(Income!A$3:A$502=DATE(2026,12,30)),ROW(Income!A$3:A$502)-2),4)),"")&lt;&gt;"",IFERROR(INDEX(Income!B$3:B$502,SMALL(IF((Income!D$3:D$502="INR")*(Income!A$3:A$502=DATE(2026,12,30)),ROW(Income!A$3:A$502)-2),4)),""),""))</f>
        <v/>
      </c>
      <c r="I267" s="153">
        <f t="array" ref="I267">IF(IFERROR(-INDEX(Expenses!D$3:D$999,SMALL(IF((Expenses!E$3:E$999="INR")*(Expenses!A$3:A$999=DATE(2026,12,31)),ROW(Expenses!A$3:A$999)-2),4)),0)+IFERROR(INDEX(Income!C$3:C$502,SMALL(IF((Income!D$3:D$502="INR")*(Income!A$3:A$502=DATE(2026,12,31)),ROW(Income!A$3:A$502)-2),4)),0)=0,"",IFERROR(-INDEX(Expenses!D$3:D$999,SMALL(IF((Expenses!E$3:E$999="INR")*(Expenses!A$3:A$999=DATE(2026,12,31)),ROW(Expenses!A$3:A$999)-2),4)),0)+IFERROR(INDEX(Income!C$3:C$502,SMALL(IF((Income!D$3:D$502="INR")*(Income!A$3:A$502=DATE(2026,12,31)),ROW(Income!A$3:A$502)-2),4)),0))</f>
        <v/>
      </c>
      <c r="J267" s="126">
        <f t="array" ref="J267">IF(IFERROR(INDEX(Expenses!B$3:B$999,SMALL(IF((Expenses!E$3:E$999="INR")*(Expenses!A$3:A$999=DATE(2026,12,31)),ROW(Expenses!A$3:A$999)-2),4)),"")&lt;&gt;"",IFERROR(INDEX(Expenses!B$3:B$999,SMALL(IF((Expenses!E$3:E$999="INR")*(Expenses!A$3:A$999=DATE(2026,12,31)),ROW(Expenses!A$3:A$999)-2),4)),""),IF(IFERROR(INDEX(Income!B$3:B$502,SMALL(IF((Income!D$3:D$502="INR")*(Income!A$3:A$502=DATE(2026,12,31)),ROW(Income!A$3:A$502)-2),4)),"")&lt;&gt;"",IFERROR(INDEX(Income!B$3:B$502,SMALL(IF((Income!D$3:D$502="INR")*(Income!A$3:A$502=DATE(2026,12,31)),ROW(Income!A$3:A$502)-2),4)),""),""))</f>
        <v/>
      </c>
      <c r="K267" s="153">
        <f t="array" ref="K267">IF(IFERROR(-INDEX(Expenses!D$3:D$999,SMALL(IF((Expenses!E$3:E$999="INR")*(Expenses!A$3:A$999=DATE(2027,1,1)),ROW(Expenses!A$3:A$999)-2),4)),0)+IFERROR(INDEX(Income!C$3:C$502,SMALL(IF((Income!D$3:D$502="INR")*(Income!A$3:A$502=DATE(2027,1,1)),ROW(Income!A$3:A$502)-2),4)),0)=0,"",IFERROR(-INDEX(Expenses!D$3:D$999,SMALL(IF((Expenses!E$3:E$999="INR")*(Expenses!A$3:A$999=DATE(2027,1,1)),ROW(Expenses!A$3:A$999)-2),4)),0)+IFERROR(INDEX(Income!C$3:C$502,SMALL(IF((Income!D$3:D$502="INR")*(Income!A$3:A$502=DATE(2027,1,1)),ROW(Income!A$3:A$502)-2),4)),0))</f>
        <v/>
      </c>
      <c r="L267" s="126">
        <f t="array" ref="L267">IF(IFERROR(INDEX(Expenses!B$3:B$999,SMALL(IF((Expenses!E$3:E$999="INR")*(Expenses!A$3:A$999=DATE(2027,1,1)),ROW(Expenses!A$3:A$999)-2),4)),"")&lt;&gt;"",IFERROR(INDEX(Expenses!B$3:B$999,SMALL(IF((Expenses!E$3:E$999="INR")*(Expenses!A$3:A$999=DATE(2027,1,1)),ROW(Expenses!A$3:A$999)-2),4)),""),IF(IFERROR(INDEX(Income!B$3:B$502,SMALL(IF((Income!D$3:D$502="INR")*(Income!A$3:A$502=DATE(2027,1,1)),ROW(Income!A$3:A$502)-2),4)),"")&lt;&gt;"",IFERROR(INDEX(Income!B$3:B$502,SMALL(IF((Income!D$3:D$502="INR")*(Income!A$3:A$502=DATE(2027,1,1)),ROW(Income!A$3:A$502)-2),4)),""),""))</f>
        <v/>
      </c>
      <c r="M267" s="153">
        <f t="array" ref="M267">IF(IFERROR(-INDEX(Expenses!D$3:D$999,SMALL(IF((Expenses!E$3:E$999="INR")*(Expenses!A$3:A$999=DATE(2027,1,2)),ROW(Expenses!A$3:A$999)-2),4)),0)+IFERROR(INDEX(Income!C$3:C$502,SMALL(IF((Income!D$3:D$502="INR")*(Income!A$3:A$502=DATE(2027,1,2)),ROW(Income!A$3:A$502)-2),4)),0)=0,"",IFERROR(-INDEX(Expenses!D$3:D$999,SMALL(IF((Expenses!E$3:E$999="INR")*(Expenses!A$3:A$999=DATE(2027,1,2)),ROW(Expenses!A$3:A$999)-2),4)),0)+IFERROR(INDEX(Income!C$3:C$502,SMALL(IF((Income!D$3:D$502="INR")*(Income!A$3:A$502=DATE(2027,1,2)),ROW(Income!A$3:A$502)-2),4)),0))</f>
        <v/>
      </c>
      <c r="N267" s="126">
        <f t="array" ref="N267">IF(IFERROR(INDEX(Expenses!B$3:B$999,SMALL(IF((Expenses!E$3:E$999="INR")*(Expenses!A$3:A$999=DATE(2027,1,2)),ROW(Expenses!A$3:A$999)-2),4)),"")&lt;&gt;"",IFERROR(INDEX(Expenses!B$3:B$999,SMALL(IF((Expenses!E$3:E$999="INR")*(Expenses!A$3:A$999=DATE(2027,1,2)),ROW(Expenses!A$3:A$999)-2),4)),""),IF(IFERROR(INDEX(Income!B$3:B$502,SMALL(IF((Income!D$3:D$502="INR")*(Income!A$3:A$502=DATE(2027,1,2)),ROW(Income!A$3:A$502)-2),4)),"")&lt;&gt;"",IFERROR(INDEX(Income!B$3:B$502,SMALL(IF((Income!D$3:D$502="INR")*(Income!A$3:A$502=DATE(2027,1,2)),ROW(Income!A$3:A$502)-2),4)),""),""))</f>
        <v/>
      </c>
      <c r="O267" s="153">
        <f t="array" ref="O267">IF(IFERROR(-INDEX(Expenses!D$3:D$999,SMALL(IF((Expenses!E$3:E$999="INR")*(Expenses!A$3:A$999=DATE(2027,1,3)),ROW(Expenses!A$3:A$999)-2),4)),0)+IFERROR(INDEX(Income!C$3:C$502,SMALL(IF((Income!D$3:D$502="INR")*(Income!A$3:A$502=DATE(2027,1,3)),ROW(Income!A$3:A$502)-2),4)),0)=0,"",IFERROR(-INDEX(Expenses!D$3:D$999,SMALL(IF((Expenses!E$3:E$999="INR")*(Expenses!A$3:A$999=DATE(2027,1,3)),ROW(Expenses!A$3:A$999)-2),4)),0)+IFERROR(INDEX(Income!C$3:C$502,SMALL(IF((Income!D$3:D$502="INR")*(Income!A$3:A$502=DATE(2027,1,3)),ROW(Income!A$3:A$502)-2),4)),0))</f>
        <v/>
      </c>
      <c r="P267" s="126">
        <f t="array" ref="P267">IF(IFERROR(INDEX(Expenses!B$3:B$999,SMALL(IF((Expenses!E$3:E$999="INR")*(Expenses!A$3:A$999=DATE(2027,1,3)),ROW(Expenses!A$3:A$999)-2),4)),"")&lt;&gt;"",IFERROR(INDEX(Expenses!B$3:B$999,SMALL(IF((Expenses!E$3:E$999="INR")*(Expenses!A$3:A$999=DATE(2027,1,3)),ROW(Expenses!A$3:A$999)-2),4)),""),IF(IFERROR(INDEX(Income!B$3:B$502,SMALL(IF((Income!D$3:D$502="INR")*(Income!A$3:A$502=DATE(2027,1,3)),ROW(Income!A$3:A$502)-2),4)),"")&lt;&gt;"",IFERROR(INDEX(Income!B$3:B$502,SMALL(IF((Income!D$3:D$502="INR")*(Income!A$3:A$502=DATE(2027,1,3)),ROW(Income!A$3:A$502)-2),4)),""),""))</f>
        <v/>
      </c>
      <c r="Q267" s="9" t="n"/>
      <c r="R267" s="9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68">
      <c r="A268" s="9" t="n"/>
      <c r="B268" s="9" t="n"/>
      <c r="C268" s="153">
        <f t="array" ref="C268">IF(IFERROR(-INDEX(Expenses!D$3:D$999,SMALL(IF((Expenses!E$3:E$999="INR")*(Expenses!A$3:A$999=DATE(2026,12,28)),ROW(Expenses!A$3:A$999)-2),5)),0)+IFERROR(INDEX(Income!C$3:C$502,SMALL(IF((Income!D$3:D$502="INR")*(Income!A$3:A$502=DATE(2026,12,28)),ROW(Income!A$3:A$502)-2),5)),0)=0,"",IFERROR(-INDEX(Expenses!D$3:D$999,SMALL(IF((Expenses!E$3:E$999="INR")*(Expenses!A$3:A$999=DATE(2026,12,28)),ROW(Expenses!A$3:A$999)-2),5)),0)+IFERROR(INDEX(Income!C$3:C$502,SMALL(IF((Income!D$3:D$502="INR")*(Income!A$3:A$502=DATE(2026,12,28)),ROW(Income!A$3:A$502)-2),5)),0))</f>
        <v/>
      </c>
      <c r="D268" s="126">
        <f t="array" ref="D268">IF(IFERROR(INDEX(Expenses!B$3:B$999,SMALL(IF((Expenses!E$3:E$999="INR")*(Expenses!A$3:A$999=DATE(2026,12,28)),ROW(Expenses!A$3:A$999)-2),5)),"")&lt;&gt;"",IFERROR(INDEX(Expenses!B$3:B$999,SMALL(IF((Expenses!E$3:E$999="INR")*(Expenses!A$3:A$999=DATE(2026,12,28)),ROW(Expenses!A$3:A$999)-2),5)),""),IF(IFERROR(INDEX(Income!B$3:B$502,SMALL(IF((Income!D$3:D$502="INR")*(Income!A$3:A$502=DATE(2026,12,28)),ROW(Income!A$3:A$502)-2),5)),"")&lt;&gt;"",IFERROR(INDEX(Income!B$3:B$502,SMALL(IF((Income!D$3:D$502="INR")*(Income!A$3:A$502=DATE(2026,12,28)),ROW(Income!A$3:A$502)-2),5)),""),""))</f>
        <v/>
      </c>
      <c r="E268" s="153">
        <f t="array" ref="E268">IF(IFERROR(-INDEX(Expenses!D$3:D$999,SMALL(IF((Expenses!E$3:E$999="INR")*(Expenses!A$3:A$999=DATE(2026,12,29)),ROW(Expenses!A$3:A$999)-2),5)),0)+IFERROR(INDEX(Income!C$3:C$502,SMALL(IF((Income!D$3:D$502="INR")*(Income!A$3:A$502=DATE(2026,12,29)),ROW(Income!A$3:A$502)-2),5)),0)=0,"",IFERROR(-INDEX(Expenses!D$3:D$999,SMALL(IF((Expenses!E$3:E$999="INR")*(Expenses!A$3:A$999=DATE(2026,12,29)),ROW(Expenses!A$3:A$999)-2),5)),0)+IFERROR(INDEX(Income!C$3:C$502,SMALL(IF((Income!D$3:D$502="INR")*(Income!A$3:A$502=DATE(2026,12,29)),ROW(Income!A$3:A$502)-2),5)),0))</f>
        <v/>
      </c>
      <c r="F268" s="126">
        <f t="array" ref="F268">IF(IFERROR(INDEX(Expenses!B$3:B$999,SMALL(IF((Expenses!E$3:E$999="INR")*(Expenses!A$3:A$999=DATE(2026,12,29)),ROW(Expenses!A$3:A$999)-2),5)),"")&lt;&gt;"",IFERROR(INDEX(Expenses!B$3:B$999,SMALL(IF((Expenses!E$3:E$999="INR")*(Expenses!A$3:A$999=DATE(2026,12,29)),ROW(Expenses!A$3:A$999)-2),5)),""),IF(IFERROR(INDEX(Income!B$3:B$502,SMALL(IF((Income!D$3:D$502="INR")*(Income!A$3:A$502=DATE(2026,12,29)),ROW(Income!A$3:A$502)-2),5)),"")&lt;&gt;"",IFERROR(INDEX(Income!B$3:B$502,SMALL(IF((Income!D$3:D$502="INR")*(Income!A$3:A$502=DATE(2026,12,29)),ROW(Income!A$3:A$502)-2),5)),""),""))</f>
        <v/>
      </c>
      <c r="G268" s="153">
        <f t="array" ref="G268">IF(IFERROR(-INDEX(Expenses!D$3:D$999,SMALL(IF((Expenses!E$3:E$999="INR")*(Expenses!A$3:A$999=DATE(2026,12,30)),ROW(Expenses!A$3:A$999)-2),5)),0)+IFERROR(INDEX(Income!C$3:C$502,SMALL(IF((Income!D$3:D$502="INR")*(Income!A$3:A$502=DATE(2026,12,30)),ROW(Income!A$3:A$502)-2),5)),0)=0,"",IFERROR(-INDEX(Expenses!D$3:D$999,SMALL(IF((Expenses!E$3:E$999="INR")*(Expenses!A$3:A$999=DATE(2026,12,30)),ROW(Expenses!A$3:A$999)-2),5)),0)+IFERROR(INDEX(Income!C$3:C$502,SMALL(IF((Income!D$3:D$502="INR")*(Income!A$3:A$502=DATE(2026,12,30)),ROW(Income!A$3:A$502)-2),5)),0))</f>
        <v/>
      </c>
      <c r="H268" s="126">
        <f t="array" ref="H268">IF(IFERROR(INDEX(Expenses!B$3:B$999,SMALL(IF((Expenses!E$3:E$999="INR")*(Expenses!A$3:A$999=DATE(2026,12,30)),ROW(Expenses!A$3:A$999)-2),5)),"")&lt;&gt;"",IFERROR(INDEX(Expenses!B$3:B$999,SMALL(IF((Expenses!E$3:E$999="INR")*(Expenses!A$3:A$999=DATE(2026,12,30)),ROW(Expenses!A$3:A$999)-2),5)),""),IF(IFERROR(INDEX(Income!B$3:B$502,SMALL(IF((Income!D$3:D$502="INR")*(Income!A$3:A$502=DATE(2026,12,30)),ROW(Income!A$3:A$502)-2),5)),"")&lt;&gt;"",IFERROR(INDEX(Income!B$3:B$502,SMALL(IF((Income!D$3:D$502="INR")*(Income!A$3:A$502=DATE(2026,12,30)),ROW(Income!A$3:A$502)-2),5)),""),""))</f>
        <v/>
      </c>
      <c r="I268" s="153">
        <f t="array" ref="I268">IF(IFERROR(-INDEX(Expenses!D$3:D$999,SMALL(IF((Expenses!E$3:E$999="INR")*(Expenses!A$3:A$999=DATE(2026,12,31)),ROW(Expenses!A$3:A$999)-2),5)),0)+IFERROR(INDEX(Income!C$3:C$502,SMALL(IF((Income!D$3:D$502="INR")*(Income!A$3:A$502=DATE(2026,12,31)),ROW(Income!A$3:A$502)-2),5)),0)=0,"",IFERROR(-INDEX(Expenses!D$3:D$999,SMALL(IF((Expenses!E$3:E$999="INR")*(Expenses!A$3:A$999=DATE(2026,12,31)),ROW(Expenses!A$3:A$999)-2),5)),0)+IFERROR(INDEX(Income!C$3:C$502,SMALL(IF((Income!D$3:D$502="INR")*(Income!A$3:A$502=DATE(2026,12,31)),ROW(Income!A$3:A$502)-2),5)),0))</f>
        <v/>
      </c>
      <c r="J268" s="126">
        <f t="array" ref="J268">IF(IFERROR(INDEX(Expenses!B$3:B$999,SMALL(IF((Expenses!E$3:E$999="INR")*(Expenses!A$3:A$999=DATE(2026,12,31)),ROW(Expenses!A$3:A$999)-2),5)),"")&lt;&gt;"",IFERROR(INDEX(Expenses!B$3:B$999,SMALL(IF((Expenses!E$3:E$999="INR")*(Expenses!A$3:A$999=DATE(2026,12,31)),ROW(Expenses!A$3:A$999)-2),5)),""),IF(IFERROR(INDEX(Income!B$3:B$502,SMALL(IF((Income!D$3:D$502="INR")*(Income!A$3:A$502=DATE(2026,12,31)),ROW(Income!A$3:A$502)-2),5)),"")&lt;&gt;"",IFERROR(INDEX(Income!B$3:B$502,SMALL(IF((Income!D$3:D$502="INR")*(Income!A$3:A$502=DATE(2026,12,31)),ROW(Income!A$3:A$502)-2),5)),""),""))</f>
        <v/>
      </c>
      <c r="K268" s="153">
        <f t="array" ref="K268">IF(IFERROR(-INDEX(Expenses!D$3:D$999,SMALL(IF((Expenses!E$3:E$999="INR")*(Expenses!A$3:A$999=DATE(2027,1,1)),ROW(Expenses!A$3:A$999)-2),5)),0)+IFERROR(INDEX(Income!C$3:C$502,SMALL(IF((Income!D$3:D$502="INR")*(Income!A$3:A$502=DATE(2027,1,1)),ROW(Income!A$3:A$502)-2),5)),0)=0,"",IFERROR(-INDEX(Expenses!D$3:D$999,SMALL(IF((Expenses!E$3:E$999="INR")*(Expenses!A$3:A$999=DATE(2027,1,1)),ROW(Expenses!A$3:A$999)-2),5)),0)+IFERROR(INDEX(Income!C$3:C$502,SMALL(IF((Income!D$3:D$502="INR")*(Income!A$3:A$502=DATE(2027,1,1)),ROW(Income!A$3:A$502)-2),5)),0))</f>
        <v/>
      </c>
      <c r="L268" s="126">
        <f t="array" ref="L268">IF(IFERROR(INDEX(Expenses!B$3:B$999,SMALL(IF((Expenses!E$3:E$999="INR")*(Expenses!A$3:A$999=DATE(2027,1,1)),ROW(Expenses!A$3:A$999)-2),5)),"")&lt;&gt;"",IFERROR(INDEX(Expenses!B$3:B$999,SMALL(IF((Expenses!E$3:E$999="INR")*(Expenses!A$3:A$999=DATE(2027,1,1)),ROW(Expenses!A$3:A$999)-2),5)),""),IF(IFERROR(INDEX(Income!B$3:B$502,SMALL(IF((Income!D$3:D$502="INR")*(Income!A$3:A$502=DATE(2027,1,1)),ROW(Income!A$3:A$502)-2),5)),"")&lt;&gt;"",IFERROR(INDEX(Income!B$3:B$502,SMALL(IF((Income!D$3:D$502="INR")*(Income!A$3:A$502=DATE(2027,1,1)),ROW(Income!A$3:A$502)-2),5)),""),""))</f>
        <v/>
      </c>
      <c r="M268" s="153">
        <f t="array" ref="M268">IF(IFERROR(-INDEX(Expenses!D$3:D$999,SMALL(IF((Expenses!E$3:E$999="INR")*(Expenses!A$3:A$999=DATE(2027,1,2)),ROW(Expenses!A$3:A$999)-2),5)),0)+IFERROR(INDEX(Income!C$3:C$502,SMALL(IF((Income!D$3:D$502="INR")*(Income!A$3:A$502=DATE(2027,1,2)),ROW(Income!A$3:A$502)-2),5)),0)=0,"",IFERROR(-INDEX(Expenses!D$3:D$999,SMALL(IF((Expenses!E$3:E$999="INR")*(Expenses!A$3:A$999=DATE(2027,1,2)),ROW(Expenses!A$3:A$999)-2),5)),0)+IFERROR(INDEX(Income!C$3:C$502,SMALL(IF((Income!D$3:D$502="INR")*(Income!A$3:A$502=DATE(2027,1,2)),ROW(Income!A$3:A$502)-2),5)),0))</f>
        <v/>
      </c>
      <c r="N268" s="126">
        <f t="array" ref="N268">IF(IFERROR(INDEX(Expenses!B$3:B$999,SMALL(IF((Expenses!E$3:E$999="INR")*(Expenses!A$3:A$999=DATE(2027,1,2)),ROW(Expenses!A$3:A$999)-2),5)),"")&lt;&gt;"",IFERROR(INDEX(Expenses!B$3:B$999,SMALL(IF((Expenses!E$3:E$999="INR")*(Expenses!A$3:A$999=DATE(2027,1,2)),ROW(Expenses!A$3:A$999)-2),5)),""),IF(IFERROR(INDEX(Income!B$3:B$502,SMALL(IF((Income!D$3:D$502="INR")*(Income!A$3:A$502=DATE(2027,1,2)),ROW(Income!A$3:A$502)-2),5)),"")&lt;&gt;"",IFERROR(INDEX(Income!B$3:B$502,SMALL(IF((Income!D$3:D$502="INR")*(Income!A$3:A$502=DATE(2027,1,2)),ROW(Income!A$3:A$502)-2),5)),""),""))</f>
        <v/>
      </c>
      <c r="O268" s="153">
        <f t="array" ref="O268">IF(IFERROR(-INDEX(Expenses!D$3:D$999,SMALL(IF((Expenses!E$3:E$999="INR")*(Expenses!A$3:A$999=DATE(2027,1,3)),ROW(Expenses!A$3:A$999)-2),5)),0)+IFERROR(INDEX(Income!C$3:C$502,SMALL(IF((Income!D$3:D$502="INR")*(Income!A$3:A$502=DATE(2027,1,3)),ROW(Income!A$3:A$502)-2),5)),0)=0,"",IFERROR(-INDEX(Expenses!D$3:D$999,SMALL(IF((Expenses!E$3:E$999="INR")*(Expenses!A$3:A$999=DATE(2027,1,3)),ROW(Expenses!A$3:A$999)-2),5)),0)+IFERROR(INDEX(Income!C$3:C$502,SMALL(IF((Income!D$3:D$502="INR")*(Income!A$3:A$502=DATE(2027,1,3)),ROW(Income!A$3:A$502)-2),5)),0))</f>
        <v/>
      </c>
      <c r="P268" s="126">
        <f t="array" ref="P268">IF(IFERROR(INDEX(Expenses!B$3:B$999,SMALL(IF((Expenses!E$3:E$999="INR")*(Expenses!A$3:A$999=DATE(2027,1,3)),ROW(Expenses!A$3:A$999)-2),5)),"")&lt;&gt;"",IFERROR(INDEX(Expenses!B$3:B$999,SMALL(IF((Expenses!E$3:E$999="INR")*(Expenses!A$3:A$999=DATE(2027,1,3)),ROW(Expenses!A$3:A$999)-2),5)),""),IF(IFERROR(INDEX(Income!B$3:B$502,SMALL(IF((Income!D$3:D$502="INR")*(Income!A$3:A$502=DATE(2027,1,3)),ROW(Income!A$3:A$502)-2),5)),"")&lt;&gt;"",IFERROR(INDEX(Income!B$3:B$502,SMALL(IF((Income!D$3:D$502="INR")*(Income!A$3:A$502=DATE(2027,1,3)),ROW(Income!A$3:A$502)-2),5)),""),""))</f>
        <v/>
      </c>
      <c r="Q268" s="9" t="n"/>
      <c r="R268" s="9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6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6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6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6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6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6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6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6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6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6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6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6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6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6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6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6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6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6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6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6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6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6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6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6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6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6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6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6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6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6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6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6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6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6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6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6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6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6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6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6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6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6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6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6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6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6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6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6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6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6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6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6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6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6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6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6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6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6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6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6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6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6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6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6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6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6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6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6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6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6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6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6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6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6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6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6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6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6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6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6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6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6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6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6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6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6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6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6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6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6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6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6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6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6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6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6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6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6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6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6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6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6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6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6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6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6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6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6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6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6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6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6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6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6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6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6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6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6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6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6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6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6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6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6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6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6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6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6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6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6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6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6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6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6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6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6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6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6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6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6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6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6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6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6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6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6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6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6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6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6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6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6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6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6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6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6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6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6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6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6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6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6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6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6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6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6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6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6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6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6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6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6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6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6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6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6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6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6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6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6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6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6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6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6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6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6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6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6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6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6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6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6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6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6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6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6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6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6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6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6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6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6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6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6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6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6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6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6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6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6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6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6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6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6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6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6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6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6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6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6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6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6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6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6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6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6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6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6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6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6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6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6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6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6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6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6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6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6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6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6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6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6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6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6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6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6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6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6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6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6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6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6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6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6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6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6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6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6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6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6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6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6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6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6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6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6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6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6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6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6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6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6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6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6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6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6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6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6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6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6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6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6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6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6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6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6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6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6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6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6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6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6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6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6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6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6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6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6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6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6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6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6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6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6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6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6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6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6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6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6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6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6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6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6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6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6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6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6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6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6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6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6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6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6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6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6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6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6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6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6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6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6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6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6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6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6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6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6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6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6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6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6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6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6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6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6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6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6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6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6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6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6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6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6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6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6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6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6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6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6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6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6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6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6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6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6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6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6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6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6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6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6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6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6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6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6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6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6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6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6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6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6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6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6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6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6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6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6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6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6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6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6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6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6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6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6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6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6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6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6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6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6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6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6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6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6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6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6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6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6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6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6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6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6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6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6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6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6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6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6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6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6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6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6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6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6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6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6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6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6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6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6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6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6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6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6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6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6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6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6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6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6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6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6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6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6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6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6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6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6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6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6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6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6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6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6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6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6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6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6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6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6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6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6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6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6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6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6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6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6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6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6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6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6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6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6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6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6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6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6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6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6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6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6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6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6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6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6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6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6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6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6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6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6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6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6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6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6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6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6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6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6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6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6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6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6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6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6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6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6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6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6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6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6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6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6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6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6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6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6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6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6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6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6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6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6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6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6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6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6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6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6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6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6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6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6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6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6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6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6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6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6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6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6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6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6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6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6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6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6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6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6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6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6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6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6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6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6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6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6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6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6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6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6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6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6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6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6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6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6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6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6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6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6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6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6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6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6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6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6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6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6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6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6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6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6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6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6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6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6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6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6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6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6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6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6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6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6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6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6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6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6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6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6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6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6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6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6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6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6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6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6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6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6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6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6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6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6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6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6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6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6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6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6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6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6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6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6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6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6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6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6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6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6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6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6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6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6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6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6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6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6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6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6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6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6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6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6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6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6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6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6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6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6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6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6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6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6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6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6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6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6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6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6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6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6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6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6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6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6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6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6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6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6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6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6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6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6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6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6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6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6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6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6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6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6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6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6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6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6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6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6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6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6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6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6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6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6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6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6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6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6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6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6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6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6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6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6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6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6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6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6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6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6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6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6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6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6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6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6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6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6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6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6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6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8">
    <mergeCell ref="O2:P2"/>
    <mergeCell ref="M2:N2"/>
    <mergeCell ref="C2:D2"/>
    <mergeCell ref="G2:H2"/>
    <mergeCell ref="E2:F2"/>
    <mergeCell ref="K2:L2"/>
    <mergeCell ref="I2:J2"/>
    <mergeCell ref="A1:R1"/>
  </mergeCells>
  <conditionalFormatting sqref="C4:C1000">
    <cfRule type="cellIs" priority="1" operator="lessThan" dxfId="7">
      <formula>0</formula>
    </cfRule>
    <cfRule type="cellIs" priority="2" operator="greaterThan" dxfId="6">
      <formula>0</formula>
    </cfRule>
  </conditionalFormatting>
  <conditionalFormatting sqref="E4:E1000">
    <cfRule type="cellIs" priority="3" operator="lessThan" dxfId="7">
      <formula>0</formula>
    </cfRule>
    <cfRule type="cellIs" priority="4" operator="greaterThan" dxfId="6">
      <formula>0</formula>
    </cfRule>
  </conditionalFormatting>
  <conditionalFormatting sqref="G4:G1000">
    <cfRule type="cellIs" priority="5" operator="lessThan" dxfId="7">
      <formula>0</formula>
    </cfRule>
    <cfRule type="cellIs" priority="6" operator="greaterThan" dxfId="6">
      <formula>0</formula>
    </cfRule>
  </conditionalFormatting>
  <conditionalFormatting sqref="I4:I1000">
    <cfRule type="cellIs" priority="7" operator="lessThan" dxfId="7">
      <formula>0</formula>
    </cfRule>
    <cfRule type="cellIs" priority="8" operator="greaterThan" dxfId="6">
      <formula>0</formula>
    </cfRule>
  </conditionalFormatting>
  <conditionalFormatting sqref="K4:K1000">
    <cfRule type="cellIs" priority="9" operator="lessThan" dxfId="7">
      <formula>0</formula>
    </cfRule>
    <cfRule type="cellIs" priority="10" operator="greaterThan" dxfId="6">
      <formula>0</formula>
    </cfRule>
  </conditionalFormatting>
  <conditionalFormatting sqref="M4:M1000">
    <cfRule type="cellIs" priority="11" operator="lessThan" dxfId="7">
      <formula>0</formula>
    </cfRule>
    <cfRule type="cellIs" priority="12" operator="greaterThan" dxfId="6">
      <formula>0</formula>
    </cfRule>
  </conditionalFormatting>
  <conditionalFormatting sqref="O4:O1000">
    <cfRule type="cellIs" priority="13" operator="lessThan" dxfId="7">
      <formula>0</formula>
    </cfRule>
    <cfRule type="cellIs" priority="14" operator="greaterThan" dxfId="6">
      <formula>0</formula>
    </cfRule>
  </conditionalFormatting>
  <conditionalFormatting sqref="R4:R1000">
    <cfRule type="cellIs" priority="15" operator="lessThan" dxfId="7">
      <formula>0</formula>
    </cfRule>
    <cfRule type="cellIs" priority="16" operator="greaterThanOrEqual" dxfId="6">
      <formula>0</formula>
    </cfRule>
  </conditionalFormatting>
  <pageMargins left="0.75" right="0.75" top="1" bottom="1" header="0" footer="0"/>
  <pageSetup orientation="portrait" paperSize="9"/>
</worksheet>
</file>

<file path=xl/worksheets/sheet15.xml><?xml version="1.0" encoding="utf-8"?>
<worksheet xmlns="http://schemas.openxmlformats.org/spreadsheetml/2006/main">
  <sheetPr>
    <tabColor rgb="FFC0000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5" customWidth="1" style="168" min="1" max="1"/>
    <col width="18" customWidth="1" style="168" min="2" max="2"/>
    <col width="20" customWidth="1" style="168" min="3" max="3"/>
    <col width="12.71" customWidth="1" style="168" min="4" max="4"/>
    <col width="16" customWidth="1" style="168" min="5" max="5"/>
    <col width="14" customWidth="1" style="168" min="6" max="11"/>
    <col width="16" customWidth="1" style="168" min="12" max="12"/>
  </cols>
  <sheetData>
    <row r="1">
      <c r="A1" s="101" t="inlineStr">
        <is>
          <t>DEBT &amp; LOAN TRACKER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16" t="inlineStr">
        <is>
          <t>Debt Name</t>
        </is>
      </c>
      <c r="B2" s="116" t="inlineStr">
        <is>
          <t>Type</t>
        </is>
      </c>
      <c r="C2" s="116" t="inlineStr">
        <is>
          <t>Lender/Provider</t>
        </is>
      </c>
      <c r="D2" s="116" t="inlineStr">
        <is>
          <t>Currency</t>
        </is>
      </c>
      <c r="E2" s="116" t="inlineStr">
        <is>
          <t>Total Amount</t>
        </is>
      </c>
      <c r="F2" s="116" t="inlineStr">
        <is>
          <t>Interest Rate (%)</t>
        </is>
      </c>
      <c r="G2" s="116" t="inlineStr">
        <is>
          <t>Monthly EMI</t>
        </is>
      </c>
      <c r="H2" s="116" t="inlineStr">
        <is>
          <t>Start Date</t>
        </is>
      </c>
      <c r="I2" s="116" t="inlineStr">
        <is>
          <t>End Date</t>
        </is>
      </c>
      <c r="J2" s="116" t="inlineStr">
        <is>
          <t>Months Remaining</t>
        </is>
      </c>
      <c r="K2" s="116" t="inlineStr">
        <is>
          <t>Total Paid</t>
        </is>
      </c>
      <c r="L2" s="116" t="inlineStr">
        <is>
          <t>Remaining Balance</t>
        </is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26" t="inlineStr">
        <is>
          <t>Iphone EMI</t>
        </is>
      </c>
      <c r="B3" s="126" t="inlineStr">
        <is>
          <t>EMI</t>
        </is>
      </c>
      <c r="C3" s="126" t="inlineStr">
        <is>
          <t xml:space="preserve"> Apple Inc</t>
        </is>
      </c>
      <c r="D3" s="126" t="inlineStr">
        <is>
          <t>INR</t>
        </is>
      </c>
      <c r="E3" s="127" t="n">
        <v>82900</v>
      </c>
      <c r="F3" s="154" t="n">
        <v>0</v>
      </c>
      <c r="G3" s="127">
        <f>E3/3</f>
        <v/>
      </c>
      <c r="H3" s="125" t="n">
        <v>46116</v>
      </c>
      <c r="I3" s="125" t="n">
        <v>46207</v>
      </c>
      <c r="J3" s="118" t="n">
        <v>3</v>
      </c>
      <c r="K3" s="130">
        <f>IF(H3="","",G3*MAX(0,DATEDIF(H3,TODAY(),"M")))</f>
        <v/>
      </c>
      <c r="L3" s="131">
        <f>IF(E3="","",E3-K3)</f>
        <v/>
      </c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26" t="n"/>
      <c r="B4" s="126" t="n"/>
      <c r="C4" s="126" t="n"/>
      <c r="D4" s="126" t="n"/>
      <c r="E4" s="127" t="n"/>
      <c r="F4" s="154" t="n"/>
      <c r="G4" s="127" t="n"/>
      <c r="H4" s="125" t="n"/>
      <c r="I4" s="125" t="n"/>
      <c r="J4" s="118">
        <f>IF(I4="","",MAX(0,DATEDIF(TODAY(),I4,"M")))</f>
        <v/>
      </c>
      <c r="K4" s="130">
        <f>IF(H4="","",G4*MAX(0,DATEDIF(H4,TODAY(),"M")))</f>
        <v/>
      </c>
      <c r="L4" s="131">
        <f>IF(E4="","",E4-K4)</f>
        <v/>
      </c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26" t="n"/>
      <c r="B5" s="126" t="n"/>
      <c r="C5" s="126" t="n"/>
      <c r="D5" s="126" t="n"/>
      <c r="E5" s="127" t="n"/>
      <c r="F5" s="154" t="n"/>
      <c r="G5" s="127" t="n"/>
      <c r="H5" s="125" t="n"/>
      <c r="I5" s="125" t="n"/>
      <c r="J5" s="118">
        <f>IF(I5="","",MAX(0,DATEDIF(TODAY(),I5,"M")))</f>
        <v/>
      </c>
      <c r="K5" s="130">
        <f>IF(H5="","",G5*MAX(0,DATEDIF(H5,TODAY(),"M")))</f>
        <v/>
      </c>
      <c r="L5" s="131">
        <f>IF(E5="","",E5-K5)</f>
        <v/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26" t="n"/>
      <c r="B6" s="126" t="n"/>
      <c r="C6" s="126" t="n"/>
      <c r="D6" s="126" t="n"/>
      <c r="E6" s="127" t="n"/>
      <c r="F6" s="154" t="n"/>
      <c r="G6" s="127" t="n"/>
      <c r="H6" s="125" t="n"/>
      <c r="I6" s="125" t="n"/>
      <c r="J6" s="118">
        <f>IF(I6="","",MAX(0,DATEDIF(TODAY(),I6,"M")))</f>
        <v/>
      </c>
      <c r="K6" s="130">
        <f>IF(H6="","",G6*MAX(0,DATEDIF(H6,TODAY(),"M")))</f>
        <v/>
      </c>
      <c r="L6" s="131">
        <f>IF(E6="","",E6-K6)</f>
        <v/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126" t="n"/>
      <c r="B7" s="126" t="n"/>
      <c r="C7" s="126" t="n"/>
      <c r="D7" s="126" t="n"/>
      <c r="E7" s="127" t="n"/>
      <c r="F7" s="154" t="n"/>
      <c r="G7" s="127" t="n"/>
      <c r="H7" s="125" t="n"/>
      <c r="I7" s="125" t="n"/>
      <c r="J7" s="118">
        <f>IF(I7="","",MAX(0,DATEDIF(TODAY(),I7,"M")))</f>
        <v/>
      </c>
      <c r="K7" s="130">
        <f>IF(H7="","",G7*MAX(0,DATEDIF(H7,TODAY(),"M")))</f>
        <v/>
      </c>
      <c r="L7" s="131">
        <f>IF(E7="","",E7-K7)</f>
        <v/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26" t="n"/>
      <c r="B8" s="126" t="n"/>
      <c r="C8" s="126" t="n"/>
      <c r="D8" s="126" t="n"/>
      <c r="E8" s="127" t="n"/>
      <c r="F8" s="154" t="n"/>
      <c r="G8" s="127" t="n"/>
      <c r="H8" s="125" t="n"/>
      <c r="I8" s="125" t="n"/>
      <c r="J8" s="118">
        <f>IF(I8="","",MAX(0,DATEDIF(TODAY(),I8,"M")))</f>
        <v/>
      </c>
      <c r="K8" s="130">
        <f>IF(H8="","",G8*MAX(0,DATEDIF(H8,TODAY(),"M")))</f>
        <v/>
      </c>
      <c r="L8" s="131">
        <f>IF(E8="","",E8-K8)</f>
        <v/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26" t="n"/>
      <c r="B9" s="126" t="n"/>
      <c r="C9" s="126" t="n"/>
      <c r="D9" s="126" t="n"/>
      <c r="E9" s="127" t="n"/>
      <c r="F9" s="154" t="n"/>
      <c r="G9" s="127" t="n"/>
      <c r="H9" s="125" t="n"/>
      <c r="I9" s="125" t="n"/>
      <c r="J9" s="118">
        <f>IF(I9="","",MAX(0,DATEDIF(TODAY(),I9,"M")))</f>
        <v/>
      </c>
      <c r="K9" s="130">
        <f>IF(H9="","",G9*MAX(0,DATEDIF(H9,TODAY(),"M")))</f>
        <v/>
      </c>
      <c r="L9" s="131">
        <f>IF(E9="","",E9-K9)</f>
        <v/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126" t="n"/>
      <c r="B10" s="126" t="n"/>
      <c r="C10" s="126" t="n"/>
      <c r="D10" s="126" t="n"/>
      <c r="E10" s="127" t="n"/>
      <c r="F10" s="154" t="n"/>
      <c r="G10" s="127" t="n"/>
      <c r="H10" s="125" t="n"/>
      <c r="I10" s="125" t="n"/>
      <c r="J10" s="118">
        <f>IF(I10="","",MAX(0,DATEDIF(TODAY(),I10,"M")))</f>
        <v/>
      </c>
      <c r="K10" s="130">
        <f>IF(H10="","",G10*MAX(0,DATEDIF(H10,TODAY(),"M")))</f>
        <v/>
      </c>
      <c r="L10" s="131">
        <f>IF(E10="","",E10-K10)</f>
        <v/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126" t="n"/>
      <c r="B11" s="126" t="n"/>
      <c r="C11" s="126" t="n"/>
      <c r="D11" s="126" t="n"/>
      <c r="E11" s="127" t="n"/>
      <c r="F11" s="154" t="n"/>
      <c r="G11" s="127" t="n"/>
      <c r="H11" s="125" t="n"/>
      <c r="I11" s="125" t="n"/>
      <c r="J11" s="118">
        <f>IF(I11="","",MAX(0,DATEDIF(TODAY(),I11,"M")))</f>
        <v/>
      </c>
      <c r="K11" s="130">
        <f>IF(H11="","",G11*MAX(0,DATEDIF(H11,TODAY(),"M")))</f>
        <v/>
      </c>
      <c r="L11" s="131">
        <f>IF(E11="","",E11-K11)</f>
        <v/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26" t="n"/>
      <c r="B12" s="126" t="n"/>
      <c r="C12" s="126" t="n"/>
      <c r="D12" s="126" t="n"/>
      <c r="E12" s="127" t="n"/>
      <c r="F12" s="154" t="n"/>
      <c r="G12" s="127" t="n"/>
      <c r="H12" s="125" t="n"/>
      <c r="I12" s="125" t="n"/>
      <c r="J12" s="118">
        <f>IF(I12="","",MAX(0,DATEDIF(TODAY(),I12,"M")))</f>
        <v/>
      </c>
      <c r="K12" s="130">
        <f>IF(H12="","",G12*MAX(0,DATEDIF(H12,TODAY(),"M")))</f>
        <v/>
      </c>
      <c r="L12" s="131">
        <f>IF(E12="","",E12-K12)</f>
        <v/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126" t="n"/>
      <c r="B13" s="126" t="n"/>
      <c r="C13" s="126" t="n"/>
      <c r="D13" s="126" t="n"/>
      <c r="E13" s="127" t="n"/>
      <c r="F13" s="154" t="n"/>
      <c r="G13" s="127" t="n"/>
      <c r="H13" s="125" t="n"/>
      <c r="I13" s="125" t="n"/>
      <c r="J13" s="118">
        <f>IF(I13="","",MAX(0,DATEDIF(TODAY(),I13,"M")))</f>
        <v/>
      </c>
      <c r="K13" s="130">
        <f>IF(H13="","",G13*MAX(0,DATEDIF(H13,TODAY(),"M")))</f>
        <v/>
      </c>
      <c r="L13" s="131">
        <f>IF(E13="","",E13-K13)</f>
        <v/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126" t="n"/>
      <c r="B14" s="126" t="n"/>
      <c r="C14" s="126" t="n"/>
      <c r="D14" s="126" t="n"/>
      <c r="E14" s="127" t="n"/>
      <c r="F14" s="154" t="n"/>
      <c r="G14" s="127" t="n"/>
      <c r="H14" s="125" t="n"/>
      <c r="I14" s="125" t="n"/>
      <c r="J14" s="118">
        <f>IF(I14="","",MAX(0,DATEDIF(TODAY(),I14,"M")))</f>
        <v/>
      </c>
      <c r="K14" s="130">
        <f>IF(H14="","",G14*MAX(0,DATEDIF(H14,TODAY(),"M")))</f>
        <v/>
      </c>
      <c r="L14" s="131">
        <f>IF(E14="","",E14-K14)</f>
        <v/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126" t="n"/>
      <c r="B15" s="126" t="n"/>
      <c r="C15" s="126" t="n"/>
      <c r="D15" s="126" t="n"/>
      <c r="E15" s="127" t="n"/>
      <c r="F15" s="154" t="n"/>
      <c r="G15" s="127" t="n"/>
      <c r="H15" s="125" t="n"/>
      <c r="I15" s="125" t="n"/>
      <c r="J15" s="118">
        <f>IF(I15="","",MAX(0,DATEDIF(TODAY(),I15,"M")))</f>
        <v/>
      </c>
      <c r="K15" s="130">
        <f>IF(H15="","",G15*MAX(0,DATEDIF(H15,TODAY(),"M")))</f>
        <v/>
      </c>
      <c r="L15" s="131">
        <f>IF(E15="","",E15-K15)</f>
        <v/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126" t="n"/>
      <c r="B16" s="126" t="n"/>
      <c r="C16" s="126" t="n"/>
      <c r="D16" s="126" t="n"/>
      <c r="E16" s="127" t="n"/>
      <c r="F16" s="154" t="n"/>
      <c r="G16" s="127" t="n"/>
      <c r="H16" s="125" t="n"/>
      <c r="I16" s="125" t="n"/>
      <c r="J16" s="118">
        <f>IF(I16="","",MAX(0,DATEDIF(TODAY(),I16,"M")))</f>
        <v/>
      </c>
      <c r="K16" s="130">
        <f>IF(H16="","",G16*MAX(0,DATEDIF(H16,TODAY(),"M")))</f>
        <v/>
      </c>
      <c r="L16" s="131">
        <f>IF(E16="","",E16-K16)</f>
        <v/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126" t="n"/>
      <c r="B17" s="126" t="n"/>
      <c r="C17" s="126" t="n"/>
      <c r="D17" s="126" t="n"/>
      <c r="E17" s="127" t="n"/>
      <c r="F17" s="154" t="n"/>
      <c r="G17" s="127" t="n"/>
      <c r="H17" s="125" t="n"/>
      <c r="I17" s="125" t="n"/>
      <c r="J17" s="118">
        <f>IF(I17="","",MAX(0,DATEDIF(TODAY(),I17,"M")))</f>
        <v/>
      </c>
      <c r="K17" s="130">
        <f>IF(H17="","",G17*MAX(0,DATEDIF(H17,TODAY(),"M")))</f>
        <v/>
      </c>
      <c r="L17" s="131">
        <f>IF(E17="","",E17-K17)</f>
        <v/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126" t="n"/>
      <c r="B18" s="126" t="n"/>
      <c r="C18" s="126" t="n"/>
      <c r="D18" s="126" t="n"/>
      <c r="E18" s="127" t="n"/>
      <c r="F18" s="154" t="n"/>
      <c r="G18" s="127" t="n"/>
      <c r="H18" s="125" t="n"/>
      <c r="I18" s="125" t="n"/>
      <c r="J18" s="118">
        <f>IF(I18="","",MAX(0,DATEDIF(TODAY(),I18,"M")))</f>
        <v/>
      </c>
      <c r="K18" s="130">
        <f>IF(H18="","",G18*MAX(0,DATEDIF(H18,TODAY(),"M")))</f>
        <v/>
      </c>
      <c r="L18" s="131">
        <f>IF(E18="","",E18-K18)</f>
        <v/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126" t="n"/>
      <c r="B19" s="126" t="n"/>
      <c r="C19" s="126" t="n"/>
      <c r="D19" s="126" t="n"/>
      <c r="E19" s="127" t="n"/>
      <c r="F19" s="154" t="n"/>
      <c r="G19" s="127" t="n"/>
      <c r="H19" s="125" t="n"/>
      <c r="I19" s="125" t="n"/>
      <c r="J19" s="118">
        <f>IF(I19="","",MAX(0,DATEDIF(TODAY(),I19,"M")))</f>
        <v/>
      </c>
      <c r="K19" s="130">
        <f>IF(H19="","",G19*MAX(0,DATEDIF(H19,TODAY(),"M")))</f>
        <v/>
      </c>
      <c r="L19" s="131">
        <f>IF(E19="","",E19-K19)</f>
        <v/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126" t="n"/>
      <c r="B20" s="126" t="n"/>
      <c r="C20" s="126" t="n"/>
      <c r="D20" s="126" t="n"/>
      <c r="E20" s="127" t="n"/>
      <c r="F20" s="154" t="n"/>
      <c r="G20" s="127" t="n"/>
      <c r="H20" s="125" t="n"/>
      <c r="I20" s="125" t="n"/>
      <c r="J20" s="118">
        <f>IF(I20="","",MAX(0,DATEDIF(TODAY(),I20,"M")))</f>
        <v/>
      </c>
      <c r="K20" s="130">
        <f>IF(H20="","",G20*MAX(0,DATEDIF(H20,TODAY(),"M")))</f>
        <v/>
      </c>
      <c r="L20" s="131">
        <f>IF(E20="","",E20-K20)</f>
        <v/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68">
      <c r="A21" s="126" t="n"/>
      <c r="B21" s="126" t="n"/>
      <c r="C21" s="126" t="n"/>
      <c r="D21" s="126" t="n"/>
      <c r="E21" s="127" t="n"/>
      <c r="F21" s="154" t="n"/>
      <c r="G21" s="127" t="n"/>
      <c r="H21" s="125" t="n"/>
      <c r="I21" s="125" t="n"/>
      <c r="J21" s="118">
        <f>IF(I21="","",MAX(0,DATEDIF(TODAY(),I21,"M")))</f>
        <v/>
      </c>
      <c r="K21" s="130">
        <f>IF(H21="","",G21*MAX(0,DATEDIF(H21,TODAY(),"M")))</f>
        <v/>
      </c>
      <c r="L21" s="131">
        <f>IF(E21="","",E21-K21)</f>
        <v/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68">
      <c r="A22" s="126" t="n"/>
      <c r="B22" s="126" t="n"/>
      <c r="C22" s="126" t="n"/>
      <c r="D22" s="126" t="n"/>
      <c r="E22" s="127" t="n"/>
      <c r="F22" s="154" t="n"/>
      <c r="G22" s="127" t="n"/>
      <c r="H22" s="125" t="n"/>
      <c r="I22" s="125" t="n"/>
      <c r="J22" s="118">
        <f>IF(I22="","",MAX(0,DATEDIF(TODAY(),I22,"M")))</f>
        <v/>
      </c>
      <c r="K22" s="130">
        <f>IF(H22="","",G22*MAX(0,DATEDIF(H22,TODAY(),"M")))</f>
        <v/>
      </c>
      <c r="L22" s="131">
        <f>IF(E22="","",E22-K22)</f>
        <v/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68">
      <c r="A23" s="126" t="n"/>
      <c r="B23" s="126" t="n"/>
      <c r="C23" s="126" t="n"/>
      <c r="D23" s="126" t="n"/>
      <c r="E23" s="127" t="n"/>
      <c r="F23" s="154" t="n"/>
      <c r="G23" s="127" t="n"/>
      <c r="H23" s="125" t="n"/>
      <c r="I23" s="125" t="n"/>
      <c r="J23" s="118">
        <f>IF(I23="","",MAX(0,DATEDIF(TODAY(),I23,"M")))</f>
        <v/>
      </c>
      <c r="K23" s="130">
        <f>IF(H23="","",G23*MAX(0,DATEDIF(H23,TODAY(),"M")))</f>
        <v/>
      </c>
      <c r="L23" s="131">
        <f>IF(E23="","",E23-K23)</f>
        <v/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68">
      <c r="A24" s="126" t="n"/>
      <c r="B24" s="126" t="n"/>
      <c r="C24" s="126" t="n"/>
      <c r="D24" s="126" t="n"/>
      <c r="E24" s="127" t="n"/>
      <c r="F24" s="154" t="n"/>
      <c r="G24" s="127" t="n"/>
      <c r="H24" s="125" t="n"/>
      <c r="I24" s="125" t="n"/>
      <c r="J24" s="118">
        <f>IF(I24="","",MAX(0,DATEDIF(TODAY(),I24,"M")))</f>
        <v/>
      </c>
      <c r="K24" s="130">
        <f>IF(H24="","",G24*MAX(0,DATEDIF(H24,TODAY(),"M")))</f>
        <v/>
      </c>
      <c r="L24" s="131">
        <f>IF(E24="","",E24-K24)</f>
        <v/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68">
      <c r="A25" s="126" t="n"/>
      <c r="B25" s="126" t="n"/>
      <c r="C25" s="126" t="n"/>
      <c r="D25" s="126" t="n"/>
      <c r="E25" s="127" t="n"/>
      <c r="F25" s="154" t="n"/>
      <c r="G25" s="127" t="n"/>
      <c r="H25" s="125" t="n"/>
      <c r="I25" s="125" t="n"/>
      <c r="J25" s="118">
        <f>IF(I25="","",MAX(0,DATEDIF(TODAY(),I25,"M")))</f>
        <v/>
      </c>
      <c r="K25" s="130">
        <f>IF(H25="","",G25*MAX(0,DATEDIF(H25,TODAY(),"M")))</f>
        <v/>
      </c>
      <c r="L25" s="131">
        <f>IF(E25="","",E25-K25)</f>
        <v/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68">
      <c r="A26" s="126" t="n"/>
      <c r="B26" s="126" t="n"/>
      <c r="C26" s="126" t="n"/>
      <c r="D26" s="126" t="n"/>
      <c r="E26" s="127" t="n"/>
      <c r="F26" s="154" t="n"/>
      <c r="G26" s="127" t="n"/>
      <c r="H26" s="125" t="n"/>
      <c r="I26" s="125" t="n"/>
      <c r="J26" s="118">
        <f>IF(I26="","",MAX(0,DATEDIF(TODAY(),I26,"M")))</f>
        <v/>
      </c>
      <c r="K26" s="130">
        <f>IF(H26="","",G26*MAX(0,DATEDIF(H26,TODAY(),"M")))</f>
        <v/>
      </c>
      <c r="L26" s="131">
        <f>IF(E26="","",E26-K26)</f>
        <v/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68">
      <c r="A27" s="126" t="n"/>
      <c r="B27" s="126" t="n"/>
      <c r="C27" s="126" t="n"/>
      <c r="D27" s="126" t="n"/>
      <c r="E27" s="127" t="n"/>
      <c r="F27" s="154" t="n"/>
      <c r="G27" s="127" t="n"/>
      <c r="H27" s="125" t="n"/>
      <c r="I27" s="125" t="n"/>
      <c r="J27" s="118">
        <f>IF(I27="","",MAX(0,DATEDIF(TODAY(),I27,"M")))</f>
        <v/>
      </c>
      <c r="K27" s="130">
        <f>IF(H27="","",G27*MAX(0,DATEDIF(H27,TODAY(),"M")))</f>
        <v/>
      </c>
      <c r="L27" s="131">
        <f>IF(E27="","",E27-K27)</f>
        <v/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68">
      <c r="A28" s="126" t="n"/>
      <c r="B28" s="126" t="n"/>
      <c r="C28" s="126" t="n"/>
      <c r="D28" s="126" t="n"/>
      <c r="E28" s="127" t="n"/>
      <c r="F28" s="154" t="n"/>
      <c r="G28" s="127" t="n"/>
      <c r="H28" s="125" t="n"/>
      <c r="I28" s="125" t="n"/>
      <c r="J28" s="118">
        <f>IF(I28="","",MAX(0,DATEDIF(TODAY(),I28,"M")))</f>
        <v/>
      </c>
      <c r="K28" s="130">
        <f>IF(H28="","",G28*MAX(0,DATEDIF(H28,TODAY(),"M")))</f>
        <v/>
      </c>
      <c r="L28" s="131">
        <f>IF(E28="","",E28-K28)</f>
        <v/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68">
      <c r="A29" s="126" t="n"/>
      <c r="B29" s="126" t="n"/>
      <c r="C29" s="126" t="n"/>
      <c r="D29" s="126" t="n"/>
      <c r="E29" s="127" t="n"/>
      <c r="F29" s="154" t="n"/>
      <c r="G29" s="127" t="n"/>
      <c r="H29" s="125" t="n"/>
      <c r="I29" s="125" t="n"/>
      <c r="J29" s="118">
        <f>IF(I29="","",MAX(0,DATEDIF(TODAY(),I29,"M")))</f>
        <v/>
      </c>
      <c r="K29" s="130">
        <f>IF(H29="","",G29*MAX(0,DATEDIF(H29,TODAY(),"M")))</f>
        <v/>
      </c>
      <c r="L29" s="131">
        <f>IF(E29="","",E29-K29)</f>
        <v/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68">
      <c r="A30" s="126" t="n"/>
      <c r="B30" s="126" t="n"/>
      <c r="C30" s="126" t="n"/>
      <c r="D30" s="126" t="n"/>
      <c r="E30" s="127" t="n"/>
      <c r="F30" s="154" t="n"/>
      <c r="G30" s="127" t="n"/>
      <c r="H30" s="125" t="n"/>
      <c r="I30" s="125" t="n"/>
      <c r="J30" s="118">
        <f>IF(I30="","",MAX(0,DATEDIF(TODAY(),I30,"M")))</f>
        <v/>
      </c>
      <c r="K30" s="130">
        <f>IF(H30="","",G30*MAX(0,DATEDIF(H30,TODAY(),"M")))</f>
        <v/>
      </c>
      <c r="L30" s="131">
        <f>IF(E30="","",E30-K30)</f>
        <v/>
      </c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68">
      <c r="A31" s="126" t="n"/>
      <c r="B31" s="126" t="n"/>
      <c r="C31" s="126" t="n"/>
      <c r="D31" s="126" t="n"/>
      <c r="E31" s="127" t="n"/>
      <c r="F31" s="154" t="n"/>
      <c r="G31" s="127" t="n"/>
      <c r="H31" s="125" t="n"/>
      <c r="I31" s="125" t="n"/>
      <c r="J31" s="118">
        <f>IF(I31="","",MAX(0,DATEDIF(TODAY(),I31,"M")))</f>
        <v/>
      </c>
      <c r="K31" s="130">
        <f>IF(H31="","",G31*MAX(0,DATEDIF(H31,TODAY(),"M")))</f>
        <v/>
      </c>
      <c r="L31" s="131">
        <f>IF(E31="","",E31-K31)</f>
        <v/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68">
      <c r="A32" s="126" t="n"/>
      <c r="B32" s="126" t="n"/>
      <c r="C32" s="126" t="n"/>
      <c r="D32" s="126" t="n"/>
      <c r="E32" s="127" t="n"/>
      <c r="F32" s="154" t="n"/>
      <c r="G32" s="127" t="n"/>
      <c r="H32" s="125" t="n"/>
      <c r="I32" s="125" t="n"/>
      <c r="J32" s="118">
        <f>IF(I32="","",MAX(0,DATEDIF(TODAY(),I32,"M")))</f>
        <v/>
      </c>
      <c r="K32" s="130">
        <f>IF(H32="","",G32*MAX(0,DATEDIF(H32,TODAY(),"M")))</f>
        <v/>
      </c>
      <c r="L32" s="131">
        <f>IF(E32="","",E32-K32)</f>
        <v/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68">
      <c r="A33" s="126" t="n"/>
      <c r="B33" s="126" t="n"/>
      <c r="C33" s="126" t="n"/>
      <c r="D33" s="126" t="n"/>
      <c r="E33" s="127" t="n"/>
      <c r="F33" s="154" t="n"/>
      <c r="G33" s="127" t="n"/>
      <c r="H33" s="125" t="n"/>
      <c r="I33" s="125" t="n"/>
      <c r="J33" s="118">
        <f>IF(I33="","",MAX(0,DATEDIF(TODAY(),I33,"M")))</f>
        <v/>
      </c>
      <c r="K33" s="130">
        <f>IF(H33="","",G33*MAX(0,DATEDIF(H33,TODAY(),"M")))</f>
        <v/>
      </c>
      <c r="L33" s="131">
        <f>IF(E33="","",E33-K33)</f>
        <v/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68">
      <c r="A34" s="126" t="n"/>
      <c r="B34" s="126" t="n"/>
      <c r="C34" s="126" t="n"/>
      <c r="D34" s="126" t="n"/>
      <c r="E34" s="127" t="n"/>
      <c r="F34" s="154" t="n"/>
      <c r="G34" s="127" t="n"/>
      <c r="H34" s="125" t="n"/>
      <c r="I34" s="125" t="n"/>
      <c r="J34" s="118">
        <f>IF(I34="","",MAX(0,DATEDIF(TODAY(),I34,"M")))</f>
        <v/>
      </c>
      <c r="K34" s="130">
        <f>IF(H34="","",G34*MAX(0,DATEDIF(H34,TODAY(),"M")))</f>
        <v/>
      </c>
      <c r="L34" s="131">
        <f>IF(E34="","",E34-K34)</f>
        <v/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68">
      <c r="A35" s="126" t="n"/>
      <c r="B35" s="126" t="n"/>
      <c r="C35" s="126" t="n"/>
      <c r="D35" s="126" t="n"/>
      <c r="E35" s="127" t="n"/>
      <c r="F35" s="154" t="n"/>
      <c r="G35" s="127" t="n"/>
      <c r="H35" s="125" t="n"/>
      <c r="I35" s="125" t="n"/>
      <c r="J35" s="118">
        <f>IF(I35="","",MAX(0,DATEDIF(TODAY(),I35,"M")))</f>
        <v/>
      </c>
      <c r="K35" s="130">
        <f>IF(H35="","",G35*MAX(0,DATEDIF(H35,TODAY(),"M")))</f>
        <v/>
      </c>
      <c r="L35" s="131">
        <f>IF(E35="","",E35-K35)</f>
        <v/>
      </c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68">
      <c r="A36" s="126" t="n"/>
      <c r="B36" s="126" t="n"/>
      <c r="C36" s="126" t="n"/>
      <c r="D36" s="126" t="n"/>
      <c r="E36" s="127" t="n"/>
      <c r="F36" s="154" t="n"/>
      <c r="G36" s="127" t="n"/>
      <c r="H36" s="125" t="n"/>
      <c r="I36" s="125" t="n"/>
      <c r="J36" s="118">
        <f>IF(I36="","",MAX(0,DATEDIF(TODAY(),I36,"M")))</f>
        <v/>
      </c>
      <c r="K36" s="130">
        <f>IF(H36="","",G36*MAX(0,DATEDIF(H36,TODAY(),"M")))</f>
        <v/>
      </c>
      <c r="L36" s="131">
        <f>IF(E36="","",E36-K36)</f>
        <v/>
      </c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68">
      <c r="A37" s="126" t="n"/>
      <c r="B37" s="126" t="n"/>
      <c r="C37" s="126" t="n"/>
      <c r="D37" s="126" t="n"/>
      <c r="E37" s="127" t="n"/>
      <c r="F37" s="154" t="n"/>
      <c r="G37" s="127" t="n"/>
      <c r="H37" s="125" t="n"/>
      <c r="I37" s="125" t="n"/>
      <c r="J37" s="118">
        <f>IF(I37="","",MAX(0,DATEDIF(TODAY(),I37,"M")))</f>
        <v/>
      </c>
      <c r="K37" s="130">
        <f>IF(H37="","",G37*MAX(0,DATEDIF(H37,TODAY(),"M")))</f>
        <v/>
      </c>
      <c r="L37" s="131">
        <f>IF(E37="","",E37-K37)</f>
        <v/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68">
      <c r="A38" s="126" t="n"/>
      <c r="B38" s="126" t="n"/>
      <c r="C38" s="126" t="n"/>
      <c r="D38" s="126" t="n"/>
      <c r="E38" s="127" t="n"/>
      <c r="F38" s="154" t="n"/>
      <c r="G38" s="127" t="n"/>
      <c r="H38" s="125" t="n"/>
      <c r="I38" s="125" t="n"/>
      <c r="J38" s="118">
        <f>IF(I38="","",MAX(0,DATEDIF(TODAY(),I38,"M")))</f>
        <v/>
      </c>
      <c r="K38" s="130">
        <f>IF(H38="","",G38*MAX(0,DATEDIF(H38,TODAY(),"M")))</f>
        <v/>
      </c>
      <c r="L38" s="131">
        <f>IF(E38="","",E38-K38)</f>
        <v/>
      </c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68">
      <c r="A39" s="126" t="n"/>
      <c r="B39" s="126" t="n"/>
      <c r="C39" s="126" t="n"/>
      <c r="D39" s="126" t="n"/>
      <c r="E39" s="127" t="n"/>
      <c r="F39" s="154" t="n"/>
      <c r="G39" s="127" t="n"/>
      <c r="H39" s="125" t="n"/>
      <c r="I39" s="125" t="n"/>
      <c r="J39" s="118">
        <f>IF(I39="","",MAX(0,DATEDIF(TODAY(),I39,"M")))</f>
        <v/>
      </c>
      <c r="K39" s="130">
        <f>IF(H39="","",G39*MAX(0,DATEDIF(H39,TODAY(),"M")))</f>
        <v/>
      </c>
      <c r="L39" s="131">
        <f>IF(E39="","",E39-K39)</f>
        <v/>
      </c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68">
      <c r="A40" s="126" t="n"/>
      <c r="B40" s="126" t="n"/>
      <c r="C40" s="126" t="n"/>
      <c r="D40" s="126" t="n"/>
      <c r="E40" s="127" t="n"/>
      <c r="F40" s="154" t="n"/>
      <c r="G40" s="127" t="n"/>
      <c r="H40" s="125" t="n"/>
      <c r="I40" s="125" t="n"/>
      <c r="J40" s="118">
        <f>IF(I40="","",MAX(0,DATEDIF(TODAY(),I40,"M")))</f>
        <v/>
      </c>
      <c r="K40" s="130">
        <f>IF(H40="","",G40*MAX(0,DATEDIF(H40,TODAY(),"M")))</f>
        <v/>
      </c>
      <c r="L40" s="131">
        <f>IF(E40="","",E40-K40)</f>
        <v/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68">
      <c r="A41" s="126" t="n"/>
      <c r="B41" s="126" t="n"/>
      <c r="C41" s="126" t="n"/>
      <c r="D41" s="126" t="n"/>
      <c r="E41" s="127" t="n"/>
      <c r="F41" s="154" t="n"/>
      <c r="G41" s="127" t="n"/>
      <c r="H41" s="125" t="n"/>
      <c r="I41" s="125" t="n"/>
      <c r="J41" s="118">
        <f>IF(I41="","",MAX(0,DATEDIF(TODAY(),I41,"M")))</f>
        <v/>
      </c>
      <c r="K41" s="130">
        <f>IF(H41="","",G41*MAX(0,DATEDIF(H41,TODAY(),"M")))</f>
        <v/>
      </c>
      <c r="L41" s="131">
        <f>IF(E41="","",E41-K41)</f>
        <v/>
      </c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68">
      <c r="A42" s="126" t="n"/>
      <c r="B42" s="126" t="n"/>
      <c r="C42" s="126" t="n"/>
      <c r="D42" s="126" t="n"/>
      <c r="E42" s="127" t="n"/>
      <c r="F42" s="154" t="n"/>
      <c r="G42" s="127" t="n"/>
      <c r="H42" s="125" t="n"/>
      <c r="I42" s="125" t="n"/>
      <c r="J42" s="118">
        <f>IF(I42="","",MAX(0,DATEDIF(TODAY(),I42,"M")))</f>
        <v/>
      </c>
      <c r="K42" s="130">
        <f>IF(H42="","",G42*MAX(0,DATEDIF(H42,TODAY(),"M")))</f>
        <v/>
      </c>
      <c r="L42" s="131">
        <f>IF(E42="","",E42-K42)</f>
        <v/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68">
      <c r="A43" s="126" t="n"/>
      <c r="B43" s="126" t="n"/>
      <c r="C43" s="126" t="n"/>
      <c r="D43" s="126" t="n"/>
      <c r="E43" s="127" t="n"/>
      <c r="F43" s="154" t="n"/>
      <c r="G43" s="127" t="n"/>
      <c r="H43" s="125" t="n"/>
      <c r="I43" s="125" t="n"/>
      <c r="J43" s="118">
        <f>IF(I43="","",MAX(0,DATEDIF(TODAY(),I43,"M")))</f>
        <v/>
      </c>
      <c r="K43" s="130">
        <f>IF(H43="","",G43*MAX(0,DATEDIF(H43,TODAY(),"M")))</f>
        <v/>
      </c>
      <c r="L43" s="131">
        <f>IF(E43="","",E43-K43)</f>
        <v/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68">
      <c r="A44" s="126" t="n"/>
      <c r="B44" s="126" t="n"/>
      <c r="C44" s="126" t="n"/>
      <c r="D44" s="126" t="n"/>
      <c r="E44" s="127" t="n"/>
      <c r="F44" s="154" t="n"/>
      <c r="G44" s="127" t="n"/>
      <c r="H44" s="125" t="n"/>
      <c r="I44" s="125" t="n"/>
      <c r="J44" s="118">
        <f>IF(I44="","",MAX(0,DATEDIF(TODAY(),I44,"M")))</f>
        <v/>
      </c>
      <c r="K44" s="130">
        <f>IF(H44="","",G44*MAX(0,DATEDIF(H44,TODAY(),"M")))</f>
        <v/>
      </c>
      <c r="L44" s="131">
        <f>IF(E44="","",E44-K44)</f>
        <v/>
      </c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68">
      <c r="A45" s="126" t="n"/>
      <c r="B45" s="126" t="n"/>
      <c r="C45" s="126" t="n"/>
      <c r="D45" s="126" t="n"/>
      <c r="E45" s="127" t="n"/>
      <c r="F45" s="154" t="n"/>
      <c r="G45" s="127" t="n"/>
      <c r="H45" s="125" t="n"/>
      <c r="I45" s="125" t="n"/>
      <c r="J45" s="118">
        <f>IF(I45="","",MAX(0,DATEDIF(TODAY(),I45,"M")))</f>
        <v/>
      </c>
      <c r="K45" s="130">
        <f>IF(H45="","",G45*MAX(0,DATEDIF(H45,TODAY(),"M")))</f>
        <v/>
      </c>
      <c r="L45" s="131">
        <f>IF(E45="","",E45-K45)</f>
        <v/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68">
      <c r="A46" s="126" t="n"/>
      <c r="B46" s="126" t="n"/>
      <c r="C46" s="126" t="n"/>
      <c r="D46" s="126" t="n"/>
      <c r="E46" s="127" t="n"/>
      <c r="F46" s="154" t="n"/>
      <c r="G46" s="127" t="n"/>
      <c r="H46" s="125" t="n"/>
      <c r="I46" s="125" t="n"/>
      <c r="J46" s="118">
        <f>IF(I46="","",MAX(0,DATEDIF(TODAY(),I46,"M")))</f>
        <v/>
      </c>
      <c r="K46" s="130">
        <f>IF(H46="","",G46*MAX(0,DATEDIF(H46,TODAY(),"M")))</f>
        <v/>
      </c>
      <c r="L46" s="131">
        <f>IF(E46="","",E46-K46)</f>
        <v/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68">
      <c r="A47" s="126" t="n"/>
      <c r="B47" s="126" t="n"/>
      <c r="C47" s="126" t="n"/>
      <c r="D47" s="126" t="n"/>
      <c r="E47" s="127" t="n"/>
      <c r="F47" s="154" t="n"/>
      <c r="G47" s="127" t="n"/>
      <c r="H47" s="125" t="n"/>
      <c r="I47" s="125" t="n"/>
      <c r="J47" s="118">
        <f>IF(I47="","",MAX(0,DATEDIF(TODAY(),I47,"M")))</f>
        <v/>
      </c>
      <c r="K47" s="130">
        <f>IF(H47="","",G47*MAX(0,DATEDIF(H47,TODAY(),"M")))</f>
        <v/>
      </c>
      <c r="L47" s="131">
        <f>IF(E47="","",E47-K47)</f>
        <v/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68">
      <c r="A48" s="126" t="n"/>
      <c r="B48" s="126" t="n"/>
      <c r="C48" s="126" t="n"/>
      <c r="D48" s="126" t="n"/>
      <c r="E48" s="127" t="n"/>
      <c r="F48" s="154" t="n"/>
      <c r="G48" s="127" t="n"/>
      <c r="H48" s="125" t="n"/>
      <c r="I48" s="125" t="n"/>
      <c r="J48" s="118">
        <f>IF(I48="","",MAX(0,DATEDIF(TODAY(),I48,"M")))</f>
        <v/>
      </c>
      <c r="K48" s="130">
        <f>IF(H48="","",G48*MAX(0,DATEDIF(H48,TODAY(),"M")))</f>
        <v/>
      </c>
      <c r="L48" s="131">
        <f>IF(E48="","",E48-K48)</f>
        <v/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68">
      <c r="A49" s="126" t="n"/>
      <c r="B49" s="126" t="n"/>
      <c r="C49" s="126" t="n"/>
      <c r="D49" s="126" t="n"/>
      <c r="E49" s="127" t="n"/>
      <c r="F49" s="154" t="n"/>
      <c r="G49" s="127" t="n"/>
      <c r="H49" s="125" t="n"/>
      <c r="I49" s="125" t="n"/>
      <c r="J49" s="118">
        <f>IF(I49="","",MAX(0,DATEDIF(TODAY(),I49,"M")))</f>
        <v/>
      </c>
      <c r="K49" s="130">
        <f>IF(H49="","",G49*MAX(0,DATEDIF(H49,TODAY(),"M")))</f>
        <v/>
      </c>
      <c r="L49" s="131">
        <f>IF(E49="","",E49-K49)</f>
        <v/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68">
      <c r="A50" s="126" t="n"/>
      <c r="B50" s="126" t="n"/>
      <c r="C50" s="126" t="n"/>
      <c r="D50" s="126" t="n"/>
      <c r="E50" s="127" t="n"/>
      <c r="F50" s="154" t="n"/>
      <c r="G50" s="127" t="n"/>
      <c r="H50" s="125" t="n"/>
      <c r="I50" s="125" t="n"/>
      <c r="J50" s="118">
        <f>IF(I50="","",MAX(0,DATEDIF(TODAY(),I50,"M")))</f>
        <v/>
      </c>
      <c r="K50" s="130">
        <f>IF(H50="","",G50*MAX(0,DATEDIF(H50,TODAY(),"M")))</f>
        <v/>
      </c>
      <c r="L50" s="131">
        <f>IF(E50="","",E50-K50)</f>
        <v/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68">
      <c r="A51" s="126" t="n"/>
      <c r="B51" s="126" t="n"/>
      <c r="C51" s="126" t="n"/>
      <c r="D51" s="126" t="n"/>
      <c r="E51" s="127" t="n"/>
      <c r="F51" s="154" t="n"/>
      <c r="G51" s="127" t="n"/>
      <c r="H51" s="125" t="n"/>
      <c r="I51" s="125" t="n"/>
      <c r="J51" s="118">
        <f>IF(I51="","",MAX(0,DATEDIF(TODAY(),I51,"M")))</f>
        <v/>
      </c>
      <c r="K51" s="130">
        <f>IF(H51="","",G51*MAX(0,DATEDIF(H51,TODAY(),"M")))</f>
        <v/>
      </c>
      <c r="L51" s="131">
        <f>IF(E51="","",E51-K51)</f>
        <v/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68">
      <c r="A52" s="126" t="n"/>
      <c r="B52" s="126" t="n"/>
      <c r="C52" s="126" t="n"/>
      <c r="D52" s="126" t="n"/>
      <c r="E52" s="127" t="n"/>
      <c r="F52" s="154" t="n"/>
      <c r="G52" s="127" t="n"/>
      <c r="H52" s="125" t="n"/>
      <c r="I52" s="125" t="n"/>
      <c r="J52" s="118">
        <f>IF(I52="","",MAX(0,DATEDIF(TODAY(),I52,"M")))</f>
        <v/>
      </c>
      <c r="K52" s="130">
        <f>IF(H52="","",G52*MAX(0,DATEDIF(H52,TODAY(),"M")))</f>
        <v/>
      </c>
      <c r="L52" s="131">
        <f>IF(E52="","",E52-K52)</f>
        <v/>
      </c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6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68">
      <c r="A54" s="136" t="inlineStr">
        <is>
          <t>TOTAL</t>
        </is>
      </c>
      <c r="B54" s="2" t="n"/>
      <c r="C54" s="2" t="n"/>
      <c r="D54" s="2" t="n"/>
      <c r="E54" s="155">
        <f>SUM(E3:E52)</f>
        <v/>
      </c>
      <c r="F54" s="2" t="n"/>
      <c r="G54" s="155">
        <f>SUM(G3:G52)</f>
        <v/>
      </c>
      <c r="H54" s="2" t="n"/>
      <c r="I54" s="2" t="n"/>
      <c r="J54" s="2" t="n"/>
      <c r="K54" s="155">
        <f>SUM(K3:K52)</f>
        <v/>
      </c>
      <c r="L54" s="155">
        <f>SUM(L3:L52)</f>
        <v/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6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6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6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6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6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6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6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6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6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6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6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6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6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6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6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6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6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6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6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6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6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6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6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6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6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6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6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6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6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6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6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6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6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6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6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6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6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6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6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6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6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6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6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6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6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6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6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6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6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6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6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6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6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6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6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6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6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6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6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6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6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6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6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6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6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6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6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6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6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6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6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6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6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6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6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6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6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6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6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6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6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6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6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6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6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6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6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6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6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6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6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6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6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6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6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6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6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6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6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6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6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6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6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6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6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6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6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6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6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6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6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6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6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6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6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6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6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6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6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6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6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6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6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6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6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6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6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6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6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6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6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6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6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6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6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6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6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6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6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6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6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6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6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6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6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6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6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6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6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6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6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6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6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6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6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6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6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6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6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6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6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6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6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6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6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6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6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6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6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6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6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6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6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6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6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6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6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6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6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6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6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6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6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6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6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6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6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6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6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6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6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6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6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6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6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6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6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6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6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6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6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6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6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6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6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6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6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6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6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6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6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6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6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6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6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6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6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6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6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6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6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6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6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6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6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6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6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6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6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6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6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6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6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6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6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6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6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6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6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6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6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6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6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6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6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6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6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6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6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6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6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6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6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6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6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6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6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6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6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6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6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6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6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6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6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6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6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6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6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6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6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6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6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6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6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6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6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6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6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6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6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6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6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6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6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6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6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6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6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6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6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6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6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6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6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6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6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6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6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6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6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6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6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6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6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6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6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6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6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6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6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6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6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6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6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6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6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6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6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6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6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6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6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6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6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6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6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6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6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6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6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6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6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6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6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6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6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6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6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6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6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6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6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6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6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6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6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6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6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6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6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6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6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6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6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6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6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6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6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6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6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6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6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6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6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6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6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6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6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6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6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6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6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6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6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6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6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6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6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6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6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6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6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6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6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6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6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6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6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6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6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6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6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6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6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6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6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6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6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6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6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6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6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6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6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6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6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6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6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6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6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6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6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6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6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6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6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6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6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6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6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6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6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6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6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6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6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6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6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6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6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6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6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6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6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6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6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6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6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6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6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6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6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6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6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6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6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6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6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6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6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6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6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6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6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6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6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6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6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6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6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6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6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6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6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6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6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6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6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6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6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6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6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6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6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6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6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6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6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6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6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6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6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6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6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6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6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6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6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6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6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6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6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6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6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6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6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6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6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6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6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6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6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6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6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6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6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6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6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6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6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6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6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6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6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6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6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6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6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6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6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6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6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6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6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6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6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6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6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6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6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6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6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6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6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6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6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6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6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6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6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6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6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6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6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6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6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6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6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6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6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6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6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6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6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6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6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6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6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6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6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6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6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6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6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6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6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6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6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6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6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6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6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6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6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6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6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6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6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6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6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6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6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6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6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6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6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6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6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6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6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6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6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6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6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6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6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6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6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6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6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6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6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6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6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6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6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6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6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6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6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6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6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6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6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6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6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6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6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6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6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6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6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6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6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6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6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6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6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6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6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6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6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6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6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6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6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6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6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6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6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6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6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6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6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6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6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6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6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6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6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6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6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6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6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6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6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6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6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6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6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6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6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6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6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6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6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6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6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6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6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6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6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6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6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6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6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6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6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6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6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6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6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6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6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6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6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6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6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6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6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6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6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6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6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6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6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6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6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6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6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6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6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6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6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6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6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6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6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6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6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6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6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6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6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6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6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6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6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6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6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6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6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6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6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6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6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6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6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6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6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6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6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6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6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6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6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6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6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6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6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6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6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6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6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6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6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6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6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6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6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6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6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6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6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6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6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6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6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6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6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6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6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6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6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6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6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6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6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6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6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6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6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6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6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6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6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6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6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6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6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6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6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6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6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6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6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6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6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6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6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6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6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6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6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6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6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6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6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6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6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6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6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6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6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6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6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6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6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6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6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6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6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6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6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6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6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6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6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6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6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6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6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6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6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6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6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6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6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6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6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6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6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6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6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6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6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6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6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6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6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6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6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6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6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6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6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6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6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6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6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6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6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6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6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6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6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6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6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6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6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6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6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6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6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6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6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6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6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6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6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6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6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6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6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6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6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6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6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6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6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6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6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6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6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6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6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6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6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6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6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6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6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6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6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6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6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6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6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6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6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6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6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6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6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6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6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6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6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6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6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6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6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6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6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6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6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6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6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6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6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6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6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6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6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6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6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6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6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6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6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6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6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6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6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6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">
    <mergeCell ref="A1:L1"/>
  </mergeCells>
  <dataValidations count="2">
    <dataValidation sqref="D3:D52" showDropDown="0" showInputMessage="0" showErrorMessage="0" allowBlank="1" type="list">
      <formula1>"GBP,INR"</formula1>
    </dataValidation>
    <dataValidation sqref="B3:B52" showDropDown="0" showInputMessage="0" showErrorMessage="0" allowBlank="1" type="list">
      <formula1>"Personal Loan,Car Loan,Student Loan,Mortgage,Buy Now Pay Later,EMI,Other"</formula1>
    </dataValidation>
  </dataValidations>
  <pageMargins left="0.75" right="0.75" top="1" bottom="1" header="0" footer="0"/>
  <pageSetup orientation="portrait" paperSize="9"/>
</worksheet>
</file>

<file path=xl/worksheets/sheet16.xml><?xml version="1.0" encoding="utf-8"?>
<worksheet xmlns="http://schemas.openxmlformats.org/spreadsheetml/2006/main">
  <sheetPr>
    <tabColor rgb="FF00B05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5" customWidth="1" style="168" min="1" max="1"/>
    <col width="16" customWidth="1" style="168" min="2" max="2"/>
    <col width="17.29" customWidth="1" style="168" min="3" max="3"/>
    <col width="14" customWidth="1" style="168" min="4" max="4"/>
    <col width="16" customWidth="1" style="168" min="5" max="5"/>
    <col width="14" customWidth="1" style="168" min="6" max="6"/>
    <col width="16" customWidth="1" style="168" min="7" max="7"/>
    <col width="12" customWidth="1" style="168" min="8" max="8"/>
  </cols>
  <sheetData>
    <row r="1">
      <c r="A1" s="101" t="inlineStr">
        <is>
          <t>SAVINGS GOALS TRACKER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56" t="inlineStr">
        <is>
          <t>Goal Name</t>
        </is>
      </c>
      <c r="B2" s="156" t="inlineStr">
        <is>
          <t>Target Amount</t>
        </is>
      </c>
      <c r="C2" s="156" t="inlineStr">
        <is>
          <t>Currency</t>
        </is>
      </c>
      <c r="D2" s="156" t="inlineStr">
        <is>
          <t>Deadline</t>
        </is>
      </c>
      <c r="E2" s="156" t="inlineStr">
        <is>
          <t>Current Savings</t>
        </is>
      </c>
      <c r="F2" s="156" t="inlineStr">
        <is>
          <t>Progress (%)</t>
        </is>
      </c>
      <c r="G2" s="156" t="inlineStr">
        <is>
          <t>Remaining</t>
        </is>
      </c>
      <c r="H2" s="156" t="inlineStr">
        <is>
          <t>On Track?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11" t="n"/>
      <c r="B3" s="117" t="n"/>
      <c r="C3" s="111" t="n"/>
      <c r="D3" s="113" t="n"/>
      <c r="E3" s="117" t="n"/>
      <c r="F3" s="157">
        <f>IF(B3=0,"",E3/B3)</f>
        <v/>
      </c>
      <c r="G3" s="130">
        <f>IF(B3="","",B3-E3)</f>
        <v/>
      </c>
      <c r="H3" s="118">
        <f>IF(D3="","",IF(D3&lt;TODAY(),IF(F3&gt;=1,"Achieved","Missed"),IF(F3&gt;=((TODAY()-DATE(2026,1,1))/(D3-DATE(2026,1,1))),"On Track","Behind")))</f>
        <v/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11" t="n"/>
      <c r="B4" s="117" t="n"/>
      <c r="C4" s="111" t="n"/>
      <c r="D4" s="113" t="n"/>
      <c r="E4" s="117" t="n"/>
      <c r="F4" s="157">
        <f>IF(B4=0,"",E4/B4)</f>
        <v/>
      </c>
      <c r="G4" s="130">
        <f>IF(B4="","",B4-E4)</f>
        <v/>
      </c>
      <c r="H4" s="118">
        <f>IF(D4="","",IF(D4&lt;TODAY(),IF(F4&gt;=1,"Achieved","Missed"),IF(F4&gt;=((TODAY()-DATE(2026,1,1))/(D4-DATE(2026,1,1))),"On Track","Behind")))</f>
        <v/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11" t="n"/>
      <c r="B5" s="117" t="n"/>
      <c r="C5" s="111" t="n"/>
      <c r="D5" s="113" t="n"/>
      <c r="E5" s="117" t="n"/>
      <c r="F5" s="157">
        <f>IF(B5=0,"",E5/B5)</f>
        <v/>
      </c>
      <c r="G5" s="130">
        <f>IF(B5="","",B5-E5)</f>
        <v/>
      </c>
      <c r="H5" s="118">
        <f>IF(D5="","",IF(D5&lt;TODAY(),IF(F5&gt;=1,"Achieved","Missed"),IF(F5&gt;=((TODAY()-DATE(2026,1,1))/(D5-DATE(2026,1,1))),"On Track","Behind")))</f>
        <v/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11" t="n"/>
      <c r="B6" s="117" t="n"/>
      <c r="C6" s="111" t="n"/>
      <c r="D6" s="113" t="n"/>
      <c r="E6" s="117" t="n"/>
      <c r="F6" s="157">
        <f>IF(B6=0,"",E6/B6)</f>
        <v/>
      </c>
      <c r="G6" s="130">
        <f>IF(B6="","",B6-E6)</f>
        <v/>
      </c>
      <c r="H6" s="118">
        <f>IF(D6="","",IF(D6&lt;TODAY(),IF(F6&gt;=1,"Achieved","Missed"),IF(F6&gt;=((TODAY()-DATE(2026,1,1))/(D6-DATE(2026,1,1))),"On Track","Behind")))</f>
        <v/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111" t="n"/>
      <c r="B7" s="117" t="n"/>
      <c r="C7" s="111" t="n"/>
      <c r="D7" s="113" t="n"/>
      <c r="E7" s="117" t="n"/>
      <c r="F7" s="157">
        <f>IF(B7=0,"",E7/B7)</f>
        <v/>
      </c>
      <c r="G7" s="130">
        <f>IF(B7="","",B7-E7)</f>
        <v/>
      </c>
      <c r="H7" s="118">
        <f>IF(D7="","",IF(D7&lt;TODAY(),IF(F7&gt;=1,"Achieved","Missed"),IF(F7&gt;=((TODAY()-DATE(2026,1,1))/(D7-DATE(2026,1,1))),"On Track","Behind")))</f>
        <v/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11" t="n"/>
      <c r="B8" s="117" t="n"/>
      <c r="C8" s="111" t="n"/>
      <c r="D8" s="113" t="n"/>
      <c r="E8" s="117" t="n"/>
      <c r="F8" s="157">
        <f>IF(B8=0,"",E8/B8)</f>
        <v/>
      </c>
      <c r="G8" s="130">
        <f>IF(B8="","",B8-E8)</f>
        <v/>
      </c>
      <c r="H8" s="118">
        <f>IF(D8="","",IF(D8&lt;TODAY(),IF(F8&gt;=1,"Achieved","Missed"),IF(F8&gt;=((TODAY()-DATE(2026,1,1))/(D8-DATE(2026,1,1))),"On Track","Behind")))</f>
        <v/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11" t="n"/>
      <c r="B9" s="117" t="n"/>
      <c r="C9" s="111" t="n"/>
      <c r="D9" s="113" t="n"/>
      <c r="E9" s="117" t="n"/>
      <c r="F9" s="157">
        <f>IF(B9=0,"",E9/B9)</f>
        <v/>
      </c>
      <c r="G9" s="130">
        <f>IF(B9="","",B9-E9)</f>
        <v/>
      </c>
      <c r="H9" s="118">
        <f>IF(D9="","",IF(D9&lt;TODAY(),IF(F9&gt;=1,"Achieved","Missed"),IF(F9&gt;=((TODAY()-DATE(2026,1,1))/(D9-DATE(2026,1,1))),"On Track","Behind")))</f>
        <v/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111" t="n"/>
      <c r="B10" s="117" t="n"/>
      <c r="C10" s="111" t="n"/>
      <c r="D10" s="113" t="n"/>
      <c r="E10" s="117" t="n"/>
      <c r="F10" s="157">
        <f>IF(B10=0,"",E10/B10)</f>
        <v/>
      </c>
      <c r="G10" s="130">
        <f>IF(B10="","",B10-E10)</f>
        <v/>
      </c>
      <c r="H10" s="118">
        <f>IF(D10="","",IF(D10&lt;TODAY(),IF(F10&gt;=1,"Achieved","Missed"),IF(F10&gt;=((TODAY()-DATE(2026,1,1))/(D10-DATE(2026,1,1))),"On Track","Behind")))</f>
        <v/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111" t="n"/>
      <c r="B11" s="117" t="n"/>
      <c r="C11" s="111" t="n"/>
      <c r="D11" s="113" t="n"/>
      <c r="E11" s="117" t="n"/>
      <c r="F11" s="157">
        <f>IF(B11=0,"",E11/B11)</f>
        <v/>
      </c>
      <c r="G11" s="130">
        <f>IF(B11="","",B11-E11)</f>
        <v/>
      </c>
      <c r="H11" s="118">
        <f>IF(D11="","",IF(D11&lt;TODAY(),IF(F11&gt;=1,"Achieved","Missed"),IF(F11&gt;=((TODAY()-DATE(2026,1,1))/(D11-DATE(2026,1,1))),"On Track","Behind")))</f>
        <v/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11" t="n"/>
      <c r="B12" s="117" t="n"/>
      <c r="C12" s="111" t="n"/>
      <c r="D12" s="113" t="n"/>
      <c r="E12" s="117" t="n"/>
      <c r="F12" s="157">
        <f>IF(B12=0,"",E12/B12)</f>
        <v/>
      </c>
      <c r="G12" s="130">
        <f>IF(B12="","",B12-E12)</f>
        <v/>
      </c>
      <c r="H12" s="118">
        <f>IF(D12="","",IF(D12&lt;TODAY(),IF(F12&gt;=1,"Achieved","Missed"),IF(F12&gt;=((TODAY()-DATE(2026,1,1))/(D12-DATE(2026,1,1))),"On Track","Behind")))</f>
        <v/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111" t="n"/>
      <c r="B13" s="117" t="n"/>
      <c r="C13" s="111" t="n"/>
      <c r="D13" s="113" t="n"/>
      <c r="E13" s="117" t="n"/>
      <c r="F13" s="157">
        <f>IF(B13=0,"",E13/B13)</f>
        <v/>
      </c>
      <c r="G13" s="130">
        <f>IF(B13="","",B13-E13)</f>
        <v/>
      </c>
      <c r="H13" s="118">
        <f>IF(D13="","",IF(D13&lt;TODAY(),IF(F13&gt;=1,"Achieved","Missed"),IF(F13&gt;=((TODAY()-DATE(2026,1,1))/(D13-DATE(2026,1,1))),"On Track","Behind")))</f>
        <v/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111" t="n"/>
      <c r="B14" s="117" t="n"/>
      <c r="C14" s="111" t="n"/>
      <c r="D14" s="113" t="n"/>
      <c r="E14" s="117" t="n"/>
      <c r="F14" s="157">
        <f>IF(B14=0,"",E14/B14)</f>
        <v/>
      </c>
      <c r="G14" s="130">
        <f>IF(B14="","",B14-E14)</f>
        <v/>
      </c>
      <c r="H14" s="118">
        <f>IF(D14="","",IF(D14&lt;TODAY(),IF(F14&gt;=1,"Achieved","Missed"),IF(F14&gt;=((TODAY()-DATE(2026,1,1))/(D14-DATE(2026,1,1))),"On Track","Behind")))</f>
        <v/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111" t="n"/>
      <c r="B15" s="117" t="n"/>
      <c r="C15" s="111" t="n"/>
      <c r="D15" s="113" t="n"/>
      <c r="E15" s="117" t="n"/>
      <c r="F15" s="157">
        <f>IF(B15=0,"",E15/B15)</f>
        <v/>
      </c>
      <c r="G15" s="130">
        <f>IF(B15="","",B15-E15)</f>
        <v/>
      </c>
      <c r="H15" s="118">
        <f>IF(D15="","",IF(D15&lt;TODAY(),IF(F15&gt;=1,"Achieved","Missed"),IF(F15&gt;=((TODAY()-DATE(2026,1,1))/(D15-DATE(2026,1,1))),"On Track","Behind")))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111" t="n"/>
      <c r="B16" s="117" t="n"/>
      <c r="C16" s="111" t="n"/>
      <c r="D16" s="113" t="n"/>
      <c r="E16" s="117" t="n"/>
      <c r="F16" s="157">
        <f>IF(B16=0,"",E16/B16)</f>
        <v/>
      </c>
      <c r="G16" s="130">
        <f>IF(B16="","",B16-E16)</f>
        <v/>
      </c>
      <c r="H16" s="118">
        <f>IF(D16="","",IF(D16&lt;TODAY(),IF(F16&gt;=1,"Achieved","Missed"),IF(F16&gt;=((TODAY()-DATE(2026,1,1))/(D16-DATE(2026,1,1))),"On Track","Behind")))</f>
        <v/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111" t="n"/>
      <c r="B17" s="117" t="n"/>
      <c r="C17" s="111" t="n"/>
      <c r="D17" s="113" t="n"/>
      <c r="E17" s="117" t="n"/>
      <c r="F17" s="157">
        <f>IF(B17=0,"",E17/B17)</f>
        <v/>
      </c>
      <c r="G17" s="130">
        <f>IF(B17="","",B17-E17)</f>
        <v/>
      </c>
      <c r="H17" s="118">
        <f>IF(D17="","",IF(D17&lt;TODAY(),IF(F17&gt;=1,"Achieved","Missed"),IF(F17&gt;=((TODAY()-DATE(2026,1,1))/(D17-DATE(2026,1,1))),"On Track","Behind")))</f>
        <v/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111" t="n"/>
      <c r="B18" s="117" t="n"/>
      <c r="C18" s="111" t="n"/>
      <c r="D18" s="113" t="n"/>
      <c r="E18" s="117" t="n"/>
      <c r="F18" s="157">
        <f>IF(B18=0,"",E18/B18)</f>
        <v/>
      </c>
      <c r="G18" s="130">
        <f>IF(B18="","",B18-E18)</f>
        <v/>
      </c>
      <c r="H18" s="118">
        <f>IF(D18="","",IF(D18&lt;TODAY(),IF(F18&gt;=1,"Achieved","Missed"),IF(F18&gt;=((TODAY()-DATE(2026,1,1))/(D18-DATE(2026,1,1))),"On Track","Behind")))</f>
        <v/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111" t="n"/>
      <c r="B19" s="117" t="n"/>
      <c r="C19" s="111" t="n"/>
      <c r="D19" s="113" t="n"/>
      <c r="E19" s="117" t="n"/>
      <c r="F19" s="157">
        <f>IF(B19=0,"",E19/B19)</f>
        <v/>
      </c>
      <c r="G19" s="130">
        <f>IF(B19="","",B19-E19)</f>
        <v/>
      </c>
      <c r="H19" s="118">
        <f>IF(D19="","",IF(D19&lt;TODAY(),IF(F19&gt;=1,"Achieved","Missed"),IF(F19&gt;=((TODAY()-DATE(2026,1,1))/(D19-DATE(2026,1,1))),"On Track","Behind")))</f>
        <v/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111" t="n"/>
      <c r="B20" s="117" t="n"/>
      <c r="C20" s="111" t="n"/>
      <c r="D20" s="113" t="n"/>
      <c r="E20" s="117" t="n"/>
      <c r="F20" s="157">
        <f>IF(B20=0,"",E20/B20)</f>
        <v/>
      </c>
      <c r="G20" s="130">
        <f>IF(B20="","",B20-E20)</f>
        <v/>
      </c>
      <c r="H20" s="118">
        <f>IF(D20="","",IF(D20&lt;TODAY(),IF(F20&gt;=1,"Achieved","Missed"),IF(F20&gt;=((TODAY()-DATE(2026,1,1))/(D20-DATE(2026,1,1))),"On Track","Behind")))</f>
        <v/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68">
      <c r="A21" s="111" t="n"/>
      <c r="B21" s="117" t="n"/>
      <c r="C21" s="111" t="n"/>
      <c r="D21" s="113" t="n"/>
      <c r="E21" s="117" t="n"/>
      <c r="F21" s="157">
        <f>IF(B21=0,"",E21/B21)</f>
        <v/>
      </c>
      <c r="G21" s="130">
        <f>IF(B21="","",B21-E21)</f>
        <v/>
      </c>
      <c r="H21" s="118">
        <f>IF(D21="","",IF(D21&lt;TODAY(),IF(F21&gt;=1,"Achieved","Missed"),IF(F21&gt;=((TODAY()-DATE(2026,1,1))/(D21-DATE(2026,1,1))),"On Track","Behind")))</f>
        <v/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68">
      <c r="A22" s="111" t="n"/>
      <c r="B22" s="117" t="n"/>
      <c r="C22" s="111" t="n"/>
      <c r="D22" s="113" t="n"/>
      <c r="E22" s="117" t="n"/>
      <c r="F22" s="157">
        <f>IF(B22=0,"",E22/B22)</f>
        <v/>
      </c>
      <c r="G22" s="130">
        <f>IF(B22="","",B22-E22)</f>
        <v/>
      </c>
      <c r="H22" s="118">
        <f>IF(D22="","",IF(D22&lt;TODAY(),IF(F22&gt;=1,"Achieved","Missed"),IF(F22&gt;=((TODAY()-DATE(2026,1,1))/(D22-DATE(2026,1,1))),"On Track","Behind")))</f>
        <v/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6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6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6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6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6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6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6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6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6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6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6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6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6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6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6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6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6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6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6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6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6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6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6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6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6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6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6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6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6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6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6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6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6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6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6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6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6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6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6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6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6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6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6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6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6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6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6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6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6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6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6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6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6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6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6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6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6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6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6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6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6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6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6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6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6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6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6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6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6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6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6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6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6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6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6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6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6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6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6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6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6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6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6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6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6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6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6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6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6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6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6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6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6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6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6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6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6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6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6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6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6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6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6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6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6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6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6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6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6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6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6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6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6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6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6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6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6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6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6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6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6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6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6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6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6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6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6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6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6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6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6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6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6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6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6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6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6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6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6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6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6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6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6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6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6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6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6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6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6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6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6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6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6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6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6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6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6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6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6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6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6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6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6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6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6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6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6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6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6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6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6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6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6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6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6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6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6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6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6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6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6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6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6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6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6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6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6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6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6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6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6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6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6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6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6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6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6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6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6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6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6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6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6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6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6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6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6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6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6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6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6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6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6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6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6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6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6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6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6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6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6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6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6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6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6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6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6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6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6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6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6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6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6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6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6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6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6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6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6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6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6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6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6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6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6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6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6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6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6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6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6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6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6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6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6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6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6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6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6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6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6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6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6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6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6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6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6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6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6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6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6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6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6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6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6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6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6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6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6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6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6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6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6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6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6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6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6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6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6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6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6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6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6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6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6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6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6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6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6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6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6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6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6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6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6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6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6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6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6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6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6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6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6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6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6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6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6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6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6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6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6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6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6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6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6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6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6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6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6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6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6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6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6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6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6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6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6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6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6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6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6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6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6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6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6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6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6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6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6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6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6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6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6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6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6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6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6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6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6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6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6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6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6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6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6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6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6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6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6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6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6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6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6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6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6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6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6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6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6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6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6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6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6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6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6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6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6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6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6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6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6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6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6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6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6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6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6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6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6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6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6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6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6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6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6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6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6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6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6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6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6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6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6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6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6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6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6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6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6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6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6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6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6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6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6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6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6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6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6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6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6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6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6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6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6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6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6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6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6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6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6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6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6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6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6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6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6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6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6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6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6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6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6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6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6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6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6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6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6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6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6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6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6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6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6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6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6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6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6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6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6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6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6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6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6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6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6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6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6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6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6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6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6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6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6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6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6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6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6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6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6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6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6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6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6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6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6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6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6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6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6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6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6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6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6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6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6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6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6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6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6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6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6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6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6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6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6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6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6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6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6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6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6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6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6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6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6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6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6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6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6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6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6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6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6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6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6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6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6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6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6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6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6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6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6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6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6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6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6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6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6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6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6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6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6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6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6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6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6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6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6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6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6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6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6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6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6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6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6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6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6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6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6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6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6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6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6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6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6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6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6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6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6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6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6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6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6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6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6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6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6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6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6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6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6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6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6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6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6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6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6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6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6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6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6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6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6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6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6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6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6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6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6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6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6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6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6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6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6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6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6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6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6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6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6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6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6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6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6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6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6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6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6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6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6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6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6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6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6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6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6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6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6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6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6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6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6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6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6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6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6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6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6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6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6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6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6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6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6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6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6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6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6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6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6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6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6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6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6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6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6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6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6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6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6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6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6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6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6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6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6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6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6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6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6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6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6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6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6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6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6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6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6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6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6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6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6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6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6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6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6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6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6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6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6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6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6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6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6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6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6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6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6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6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6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6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6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6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6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6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6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6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6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6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6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6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6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6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6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6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6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6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6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6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6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6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6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6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6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6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6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6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6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6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6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6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6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6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6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6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6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6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6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6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6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6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6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6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6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6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6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6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6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6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6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6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6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6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6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6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6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6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6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6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6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6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6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6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6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6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6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6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6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6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6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6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6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6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6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6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6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6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6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6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6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6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6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6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6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6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6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6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6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6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6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6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6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6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6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6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6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6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6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6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6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6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6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6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6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6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6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6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6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6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6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6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6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6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6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6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6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6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6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6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6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6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6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6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6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6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6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6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6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6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6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6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6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6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6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6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6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6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6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6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6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6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6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6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6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6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6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6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6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6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6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6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6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6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6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6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6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6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6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6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6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6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6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6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6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6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6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6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6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6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6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6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6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6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6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6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6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6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6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6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6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6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6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6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6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6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6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6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6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6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6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6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6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6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6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6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6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6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6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6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6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6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6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6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6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6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6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6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6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6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6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6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6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6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6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6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6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6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6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6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6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6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6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6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6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6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6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6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6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6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6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6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6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6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6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6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6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6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6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6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6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6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6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6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6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6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6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6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6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6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6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6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6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6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">
    <mergeCell ref="A1:H1"/>
  </mergeCells>
  <conditionalFormatting sqref="F3:F22">
    <cfRule type="cellIs" priority="1" operator="greaterThanOrEqual" dxfId="6">
      <formula>0.8</formula>
    </cfRule>
    <cfRule type="cellIs" priority="2" operator="lessThan" dxfId="7">
      <formula>0.5</formula>
    </cfRule>
  </conditionalFormatting>
  <dataValidations count="1">
    <dataValidation sqref="C3:C22" showDropDown="0" showInputMessage="0" showErrorMessage="0" allowBlank="1" type="list">
      <formula1>"GBP,INR"</formula1>
    </dataValidation>
  </dataValidations>
  <pageMargins left="0.75" right="0.75" top="1" bottom="1" header="0" footer="0"/>
  <pageSetup orientation="portrait" paperSize="9"/>
</worksheet>
</file>

<file path=xl/worksheets/sheet17.xml><?xml version="1.0" encoding="utf-8"?>
<worksheet xmlns="http://schemas.openxmlformats.org/spreadsheetml/2006/main">
  <sheetPr>
    <tabColor rgb="FFBF8F0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5" customWidth="1" style="168" min="1" max="1"/>
    <col width="18" customWidth="1" style="168" min="2" max="2"/>
    <col width="13" customWidth="1" style="168" min="3" max="3"/>
    <col width="16" customWidth="1" style="168" min="4" max="4"/>
    <col width="12" customWidth="1" style="168" min="5" max="16"/>
  </cols>
  <sheetData>
    <row r="1">
      <c r="A1" s="101" t="inlineStr">
        <is>
          <t>RECURRING EXPENSES FORECAST</t>
        </is>
      </c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58" t="inlineStr">
        <is>
          <t>Expense Name</t>
        </is>
      </c>
      <c r="B2" s="158" t="inlineStr">
        <is>
          <t>Category</t>
        </is>
      </c>
      <c r="C2" s="158" t="inlineStr">
        <is>
          <t>Currency</t>
        </is>
      </c>
      <c r="D2" s="158" t="inlineStr">
        <is>
          <t>Monthly Amount</t>
        </is>
      </c>
      <c r="E2" s="158" t="inlineStr">
        <is>
          <t>January</t>
        </is>
      </c>
      <c r="F2" s="158" t="inlineStr">
        <is>
          <t>February</t>
        </is>
      </c>
      <c r="G2" s="158" t="inlineStr">
        <is>
          <t>March</t>
        </is>
      </c>
      <c r="H2" s="158" t="inlineStr">
        <is>
          <t>April</t>
        </is>
      </c>
      <c r="I2" s="158" t="inlineStr">
        <is>
          <t>May</t>
        </is>
      </c>
      <c r="J2" s="158" t="inlineStr">
        <is>
          <t>June</t>
        </is>
      </c>
      <c r="K2" s="158" t="inlineStr">
        <is>
          <t>July</t>
        </is>
      </c>
      <c r="L2" s="158" t="inlineStr">
        <is>
          <t>August</t>
        </is>
      </c>
      <c r="M2" s="158" t="inlineStr">
        <is>
          <t>September</t>
        </is>
      </c>
      <c r="N2" s="158" t="inlineStr">
        <is>
          <t>October</t>
        </is>
      </c>
      <c r="O2" s="158" t="inlineStr">
        <is>
          <t>November</t>
        </is>
      </c>
      <c r="P2" s="158" t="inlineStr">
        <is>
          <t>December</t>
        </is>
      </c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11" t="inlineStr">
        <is>
          <t>Pret</t>
        </is>
      </c>
      <c r="B3" s="111" t="inlineStr">
        <is>
          <t>Subscriptions</t>
        </is>
      </c>
      <c r="C3" s="111" t="inlineStr">
        <is>
          <t>GBP</t>
        </is>
      </c>
      <c r="D3" s="117" t="n">
        <v>5</v>
      </c>
      <c r="E3" s="130">
        <f>IF(D3="","",D3)</f>
        <v/>
      </c>
      <c r="F3" s="130">
        <f>IF(D3="","",D3)</f>
        <v/>
      </c>
      <c r="G3" s="130">
        <f>IF(D3="","",D3)</f>
        <v/>
      </c>
      <c r="H3" s="130">
        <f>IF(D3="","",D3)</f>
        <v/>
      </c>
      <c r="I3" s="130">
        <f>IF(D3="","",D3)</f>
        <v/>
      </c>
      <c r="J3" s="130">
        <f>IF(D3="","",D3)</f>
        <v/>
      </c>
      <c r="K3" s="130">
        <f>IF(D3="","",D3)</f>
        <v/>
      </c>
      <c r="L3" s="130">
        <f>IF(D3="","",D3)</f>
        <v/>
      </c>
      <c r="M3" s="130">
        <f>IF(D3="","",D3)</f>
        <v/>
      </c>
      <c r="N3" s="130">
        <f>IF(D3="","",D3)</f>
        <v/>
      </c>
      <c r="O3" s="130">
        <f>IF(D3="","",D3)</f>
        <v/>
      </c>
      <c r="P3" s="130">
        <f>IF(D3="","",D3)</f>
        <v/>
      </c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11" t="inlineStr">
        <is>
          <t>Now</t>
        </is>
      </c>
      <c r="B4" s="111" t="inlineStr">
        <is>
          <t>Entertainment</t>
        </is>
      </c>
      <c r="C4" s="111" t="inlineStr">
        <is>
          <t>GBP</t>
        </is>
      </c>
      <c r="D4" s="117" t="n">
        <v>27.99</v>
      </c>
      <c r="E4" s="130" t="n"/>
      <c r="F4" s="130" t="n"/>
      <c r="G4" s="130">
        <f>IF(D4="","",D4)</f>
        <v/>
      </c>
      <c r="H4" s="130">
        <f>IF(D4="","",D4)</f>
        <v/>
      </c>
      <c r="I4" s="130">
        <f>IF(D4="","",D4)</f>
        <v/>
      </c>
      <c r="J4" s="130">
        <f>IF(D4="","",D4)</f>
        <v/>
      </c>
      <c r="K4" s="130">
        <f>IF(D4="","",D4)</f>
        <v/>
      </c>
      <c r="L4" s="130">
        <f>IF(D4="","",D4)</f>
        <v/>
      </c>
      <c r="M4" s="130">
        <f>IF(D4="","",D4)</f>
        <v/>
      </c>
      <c r="N4" s="130">
        <f>IF(D4="","",D4)</f>
        <v/>
      </c>
      <c r="O4" s="130">
        <f>IF(D4="","",D4)</f>
        <v/>
      </c>
      <c r="P4" s="130">
        <f>IF(D4="","",D4)</f>
        <v/>
      </c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11" t="inlineStr">
        <is>
          <t>Now Boost</t>
        </is>
      </c>
      <c r="B5" s="111" t="inlineStr">
        <is>
          <t>Entertainment</t>
        </is>
      </c>
      <c r="C5" s="111" t="inlineStr">
        <is>
          <t>GBP</t>
        </is>
      </c>
      <c r="D5" s="117" t="n">
        <v>6</v>
      </c>
      <c r="E5" s="130" t="n"/>
      <c r="F5" s="130" t="n"/>
      <c r="G5" s="130">
        <f>IF(D5="","",D5)</f>
        <v/>
      </c>
      <c r="H5" s="130">
        <f>IF(D5="","",D5)</f>
        <v/>
      </c>
      <c r="I5" s="130">
        <f>IF(D5="","",D5)</f>
        <v/>
      </c>
      <c r="J5" s="130">
        <f>IF(D5="","",D5)</f>
        <v/>
      </c>
      <c r="K5" s="130">
        <f>IF(D5="","",D5)</f>
        <v/>
      </c>
      <c r="L5" s="130">
        <f>IF(D5="","",D5)</f>
        <v/>
      </c>
      <c r="M5" s="130">
        <f>IF(D5="","",D5)</f>
        <v/>
      </c>
      <c r="N5" s="130">
        <f>IF(D5="","",D5)</f>
        <v/>
      </c>
      <c r="O5" s="130">
        <f>IF(D5="","",D5)</f>
        <v/>
      </c>
      <c r="P5" s="130">
        <f>IF(D5="","",D5)</f>
        <v/>
      </c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11" t="inlineStr">
        <is>
          <t>Cineworld</t>
        </is>
      </c>
      <c r="B6" s="111" t="inlineStr">
        <is>
          <t>Entertainment</t>
        </is>
      </c>
      <c r="C6" s="111" t="inlineStr">
        <is>
          <t>GBP</t>
        </is>
      </c>
      <c r="D6" s="117" t="n">
        <v>19.99</v>
      </c>
      <c r="E6" s="130">
        <f>IF(D6="","",D6)</f>
        <v/>
      </c>
      <c r="F6" s="130">
        <f>IF(D6="","",D6)</f>
        <v/>
      </c>
      <c r="G6" s="130">
        <f>IF(D6="","",D6)</f>
        <v/>
      </c>
      <c r="H6" s="130">
        <f>IF(D6="","",D6)</f>
        <v/>
      </c>
      <c r="I6" s="130">
        <f>IF(D6="","",D6)</f>
        <v/>
      </c>
      <c r="J6" s="130">
        <f>IF(D6="","",D6)</f>
        <v/>
      </c>
      <c r="K6" s="130">
        <f>IF(D6="","",D6)</f>
        <v/>
      </c>
      <c r="L6" s="130">
        <f>IF(D6="","",D6)</f>
        <v/>
      </c>
      <c r="M6" s="130">
        <f>IF(D6="","",D6)</f>
        <v/>
      </c>
      <c r="N6" s="130">
        <f>IF(D6="","",D6)</f>
        <v/>
      </c>
      <c r="O6" s="130">
        <f>IF(D6="","",D6)</f>
        <v/>
      </c>
      <c r="P6" s="130">
        <f>IF(D6="","",D6)</f>
        <v/>
      </c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111" t="inlineStr">
        <is>
          <t>EE</t>
        </is>
      </c>
      <c r="B7" s="111" t="inlineStr">
        <is>
          <t>Bills</t>
        </is>
      </c>
      <c r="C7" s="111" t="inlineStr">
        <is>
          <t>GBP</t>
        </is>
      </c>
      <c r="D7" s="117" t="n"/>
      <c r="E7" s="130" t="n">
        <v>31.43</v>
      </c>
      <c r="F7" s="130" t="n">
        <v>30.5</v>
      </c>
      <c r="G7" s="130" t="n">
        <v>47</v>
      </c>
      <c r="H7" s="130" t="n">
        <v>26.92</v>
      </c>
      <c r="I7" s="130">
        <f>IF(D7="","",D7)</f>
        <v/>
      </c>
      <c r="J7" s="130">
        <f>IF(D7="","",D7)</f>
        <v/>
      </c>
      <c r="K7" s="130">
        <f>IF(D7="","",D7)</f>
        <v/>
      </c>
      <c r="L7" s="130">
        <f>IF(D7="","",D7)</f>
        <v/>
      </c>
      <c r="M7" s="130">
        <f>IF(D7="","",D7)</f>
        <v/>
      </c>
      <c r="N7" s="130">
        <f>IF(D7="","",D7)</f>
        <v/>
      </c>
      <c r="O7" s="130">
        <f>IF(D7="","",D7)</f>
        <v/>
      </c>
      <c r="P7" s="130">
        <f>IF(D7="","",D7)</f>
        <v/>
      </c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11" t="n"/>
      <c r="B8" s="111" t="n"/>
      <c r="C8" s="111" t="n"/>
      <c r="D8" s="117" t="n"/>
      <c r="E8" s="130">
        <f>IF(D8="","",D8)</f>
        <v/>
      </c>
      <c r="F8" s="130">
        <f>IF(D8="","",D8)</f>
        <v/>
      </c>
      <c r="G8" s="130">
        <f>IF(D8="","",D8)</f>
        <v/>
      </c>
      <c r="H8" s="130">
        <f>IF(D8="","",D8)</f>
        <v/>
      </c>
      <c r="I8" s="130">
        <f>IF(D8="","",D8)</f>
        <v/>
      </c>
      <c r="J8" s="130">
        <f>IF(D8="","",D8)</f>
        <v/>
      </c>
      <c r="K8" s="130">
        <f>IF(D8="","",D8)</f>
        <v/>
      </c>
      <c r="L8" s="130">
        <f>IF(D8="","",D8)</f>
        <v/>
      </c>
      <c r="M8" s="130">
        <f>IF(D8="","",D8)</f>
        <v/>
      </c>
      <c r="N8" s="130">
        <f>IF(D8="","",D8)</f>
        <v/>
      </c>
      <c r="O8" s="130">
        <f>IF(D8="","",D8)</f>
        <v/>
      </c>
      <c r="P8" s="130">
        <f>IF(D8="","",D8)</f>
        <v/>
      </c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11" t="n"/>
      <c r="B9" s="111" t="n"/>
      <c r="C9" s="111" t="n"/>
      <c r="D9" s="117" t="n"/>
      <c r="E9" s="130">
        <f>IF(D9="","",D9)</f>
        <v/>
      </c>
      <c r="F9" s="130">
        <f>IF(D9="","",D9)</f>
        <v/>
      </c>
      <c r="G9" s="130">
        <f>IF(D9="","",D9)</f>
        <v/>
      </c>
      <c r="H9" s="130">
        <f>IF(D9="","",D9)</f>
        <v/>
      </c>
      <c r="I9" s="130">
        <f>IF(D9="","",D9)</f>
        <v/>
      </c>
      <c r="J9" s="130">
        <f>IF(D9="","",D9)</f>
        <v/>
      </c>
      <c r="K9" s="130">
        <f>IF(D9="","",D9)</f>
        <v/>
      </c>
      <c r="L9" s="130">
        <f>IF(D9="","",D9)</f>
        <v/>
      </c>
      <c r="M9" s="130">
        <f>IF(D9="","",D9)</f>
        <v/>
      </c>
      <c r="N9" s="130">
        <f>IF(D9="","",D9)</f>
        <v/>
      </c>
      <c r="O9" s="130">
        <f>IF(D9="","",D9)</f>
        <v/>
      </c>
      <c r="P9" s="130">
        <f>IF(D9="","",D9)</f>
        <v/>
      </c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111" t="n"/>
      <c r="B10" s="111" t="n"/>
      <c r="C10" s="111" t="n"/>
      <c r="D10" s="117" t="n"/>
      <c r="E10" s="130">
        <f>IF(D10="","",D10)</f>
        <v/>
      </c>
      <c r="F10" s="130">
        <f>IF(D10="","",D10)</f>
        <v/>
      </c>
      <c r="G10" s="130">
        <f>IF(D10="","",D10)</f>
        <v/>
      </c>
      <c r="H10" s="130">
        <f>IF(D10="","",D10)</f>
        <v/>
      </c>
      <c r="I10" s="130">
        <f>IF(D10="","",D10)</f>
        <v/>
      </c>
      <c r="J10" s="130">
        <f>IF(D10="","",D10)</f>
        <v/>
      </c>
      <c r="K10" s="130">
        <f>IF(D10="","",D10)</f>
        <v/>
      </c>
      <c r="L10" s="130">
        <f>IF(D10="","",D10)</f>
        <v/>
      </c>
      <c r="M10" s="130">
        <f>IF(D10="","",D10)</f>
        <v/>
      </c>
      <c r="N10" s="130">
        <f>IF(D10="","",D10)</f>
        <v/>
      </c>
      <c r="O10" s="130">
        <f>IF(D10="","",D10)</f>
        <v/>
      </c>
      <c r="P10" s="130">
        <f>IF(D10="","",D10)</f>
        <v/>
      </c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111" t="n"/>
      <c r="B11" s="111" t="n"/>
      <c r="C11" s="111" t="n"/>
      <c r="D11" s="117" t="n"/>
      <c r="E11" s="130">
        <f>IF(D11="","",D11)</f>
        <v/>
      </c>
      <c r="F11" s="130">
        <f>IF(D11="","",D11)</f>
        <v/>
      </c>
      <c r="G11" s="130">
        <f>IF(D11="","",D11)</f>
        <v/>
      </c>
      <c r="H11" s="130">
        <f>IF(D11="","",D11)</f>
        <v/>
      </c>
      <c r="I11" s="130">
        <f>IF(D11="","",D11)</f>
        <v/>
      </c>
      <c r="J11" s="130">
        <f>IF(D11="","",D11)</f>
        <v/>
      </c>
      <c r="K11" s="130">
        <f>IF(D11="","",D11)</f>
        <v/>
      </c>
      <c r="L11" s="130">
        <f>IF(D11="","",D11)</f>
        <v/>
      </c>
      <c r="M11" s="130">
        <f>IF(D11="","",D11)</f>
        <v/>
      </c>
      <c r="N11" s="130">
        <f>IF(D11="","",D11)</f>
        <v/>
      </c>
      <c r="O11" s="130">
        <f>IF(D11="","",D11)</f>
        <v/>
      </c>
      <c r="P11" s="130">
        <f>IF(D11="","",D11)</f>
        <v/>
      </c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11" t="n"/>
      <c r="B12" s="111" t="n"/>
      <c r="C12" s="111" t="n"/>
      <c r="D12" s="117" t="n"/>
      <c r="E12" s="130">
        <f>IF(D12="","",D12)</f>
        <v/>
      </c>
      <c r="F12" s="130">
        <f>IF(D12="","",D12)</f>
        <v/>
      </c>
      <c r="G12" s="130">
        <f>IF(D12="","",D12)</f>
        <v/>
      </c>
      <c r="H12" s="130">
        <f>IF(D12="","",D12)</f>
        <v/>
      </c>
      <c r="I12" s="130">
        <f>IF(D12="","",D12)</f>
        <v/>
      </c>
      <c r="J12" s="130">
        <f>IF(D12="","",D12)</f>
        <v/>
      </c>
      <c r="K12" s="130">
        <f>IF(D12="","",D12)</f>
        <v/>
      </c>
      <c r="L12" s="130">
        <f>IF(D12="","",D12)</f>
        <v/>
      </c>
      <c r="M12" s="130">
        <f>IF(D12="","",D12)</f>
        <v/>
      </c>
      <c r="N12" s="130">
        <f>IF(D12="","",D12)</f>
        <v/>
      </c>
      <c r="O12" s="130">
        <f>IF(D12="","",D12)</f>
        <v/>
      </c>
      <c r="P12" s="130">
        <f>IF(D12="","",D12)</f>
        <v/>
      </c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111" t="n"/>
      <c r="B13" s="111" t="n"/>
      <c r="C13" s="111" t="n"/>
      <c r="D13" s="117" t="n"/>
      <c r="E13" s="130">
        <f>IF(D13="","",D13)</f>
        <v/>
      </c>
      <c r="F13" s="130">
        <f>IF(D13="","",D13)</f>
        <v/>
      </c>
      <c r="G13" s="130">
        <f>IF(D13="","",D13)</f>
        <v/>
      </c>
      <c r="H13" s="130">
        <f>IF(D13="","",D13)</f>
        <v/>
      </c>
      <c r="I13" s="130">
        <f>IF(D13="","",D13)</f>
        <v/>
      </c>
      <c r="J13" s="130">
        <f>IF(D13="","",D13)</f>
        <v/>
      </c>
      <c r="K13" s="130">
        <f>IF(D13="","",D13)</f>
        <v/>
      </c>
      <c r="L13" s="130">
        <f>IF(D13="","",D13)</f>
        <v/>
      </c>
      <c r="M13" s="130">
        <f>IF(D13="","",D13)</f>
        <v/>
      </c>
      <c r="N13" s="130">
        <f>IF(D13="","",D13)</f>
        <v/>
      </c>
      <c r="O13" s="130">
        <f>IF(D13="","",D13)</f>
        <v/>
      </c>
      <c r="P13" s="130">
        <f>IF(D13="","",D13)</f>
        <v/>
      </c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111" t="n"/>
      <c r="B14" s="111" t="n"/>
      <c r="C14" s="111" t="n"/>
      <c r="D14" s="117" t="n"/>
      <c r="E14" s="130">
        <f>IF(D14="","",D14)</f>
        <v/>
      </c>
      <c r="F14" s="130">
        <f>IF(D14="","",D14)</f>
        <v/>
      </c>
      <c r="G14" s="130">
        <f>IF(D14="","",D14)</f>
        <v/>
      </c>
      <c r="H14" s="130">
        <f>IF(D14="","",D14)</f>
        <v/>
      </c>
      <c r="I14" s="130">
        <f>IF(D14="","",D14)</f>
        <v/>
      </c>
      <c r="J14" s="130">
        <f>IF(D14="","",D14)</f>
        <v/>
      </c>
      <c r="K14" s="130">
        <f>IF(D14="","",D14)</f>
        <v/>
      </c>
      <c r="L14" s="130">
        <f>IF(D14="","",D14)</f>
        <v/>
      </c>
      <c r="M14" s="130">
        <f>IF(D14="","",D14)</f>
        <v/>
      </c>
      <c r="N14" s="130">
        <f>IF(D14="","",D14)</f>
        <v/>
      </c>
      <c r="O14" s="130">
        <f>IF(D14="","",D14)</f>
        <v/>
      </c>
      <c r="P14" s="130">
        <f>IF(D14="","",D14)</f>
        <v/>
      </c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111" t="n"/>
      <c r="B15" s="111" t="n"/>
      <c r="C15" s="111" t="n"/>
      <c r="D15" s="117" t="n"/>
      <c r="E15" s="130">
        <f>IF(D15="","",D15)</f>
        <v/>
      </c>
      <c r="F15" s="130">
        <f>IF(D15="","",D15)</f>
        <v/>
      </c>
      <c r="G15" s="130">
        <f>IF(D15="","",D15)</f>
        <v/>
      </c>
      <c r="H15" s="130">
        <f>IF(D15="","",D15)</f>
        <v/>
      </c>
      <c r="I15" s="130">
        <f>IF(D15="","",D15)</f>
        <v/>
      </c>
      <c r="J15" s="130">
        <f>IF(D15="","",D15)</f>
        <v/>
      </c>
      <c r="K15" s="130">
        <f>IF(D15="","",D15)</f>
        <v/>
      </c>
      <c r="L15" s="130">
        <f>IF(D15="","",D15)</f>
        <v/>
      </c>
      <c r="M15" s="130">
        <f>IF(D15="","",D15)</f>
        <v/>
      </c>
      <c r="N15" s="130">
        <f>IF(D15="","",D15)</f>
        <v/>
      </c>
      <c r="O15" s="130">
        <f>IF(D15="","",D15)</f>
        <v/>
      </c>
      <c r="P15" s="130">
        <f>IF(D15="","",D15)</f>
        <v/>
      </c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111" t="n"/>
      <c r="B16" s="111" t="n"/>
      <c r="C16" s="111" t="n"/>
      <c r="D16" s="117" t="n"/>
      <c r="E16" s="130">
        <f>IF(D16="","",D16)</f>
        <v/>
      </c>
      <c r="F16" s="130">
        <f>IF(D16="","",D16)</f>
        <v/>
      </c>
      <c r="G16" s="130">
        <f>IF(D16="","",D16)</f>
        <v/>
      </c>
      <c r="H16" s="130">
        <f>IF(D16="","",D16)</f>
        <v/>
      </c>
      <c r="I16" s="130">
        <f>IF(D16="","",D16)</f>
        <v/>
      </c>
      <c r="J16" s="130">
        <f>IF(D16="","",D16)</f>
        <v/>
      </c>
      <c r="K16" s="130">
        <f>IF(D16="","",D16)</f>
        <v/>
      </c>
      <c r="L16" s="130">
        <f>IF(D16="","",D16)</f>
        <v/>
      </c>
      <c r="M16" s="130">
        <f>IF(D16="","",D16)</f>
        <v/>
      </c>
      <c r="N16" s="130">
        <f>IF(D16="","",D16)</f>
        <v/>
      </c>
      <c r="O16" s="130">
        <f>IF(D16="","",D16)</f>
        <v/>
      </c>
      <c r="P16" s="130">
        <f>IF(D16="","",D16)</f>
        <v/>
      </c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111" t="n"/>
      <c r="B17" s="111" t="n"/>
      <c r="C17" s="111" t="n"/>
      <c r="D17" s="117" t="n"/>
      <c r="E17" s="130">
        <f>IF(D17="","",D17)</f>
        <v/>
      </c>
      <c r="F17" s="130">
        <f>IF(D17="","",D17)</f>
        <v/>
      </c>
      <c r="G17" s="130">
        <f>IF(D17="","",D17)</f>
        <v/>
      </c>
      <c r="H17" s="130">
        <f>IF(D17="","",D17)</f>
        <v/>
      </c>
      <c r="I17" s="130">
        <f>IF(D17="","",D17)</f>
        <v/>
      </c>
      <c r="J17" s="130">
        <f>IF(D17="","",D17)</f>
        <v/>
      </c>
      <c r="K17" s="130">
        <f>IF(D17="","",D17)</f>
        <v/>
      </c>
      <c r="L17" s="130">
        <f>IF(D17="","",D17)</f>
        <v/>
      </c>
      <c r="M17" s="130">
        <f>IF(D17="","",D17)</f>
        <v/>
      </c>
      <c r="N17" s="130">
        <f>IF(D17="","",D17)</f>
        <v/>
      </c>
      <c r="O17" s="130">
        <f>IF(D17="","",D17)</f>
        <v/>
      </c>
      <c r="P17" s="130">
        <f>IF(D17="","",D17)</f>
        <v/>
      </c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111" t="n"/>
      <c r="B18" s="111" t="n"/>
      <c r="C18" s="111" t="n"/>
      <c r="D18" s="117" t="n"/>
      <c r="E18" s="130">
        <f>IF(D18="","",D18)</f>
        <v/>
      </c>
      <c r="F18" s="130">
        <f>IF(D18="","",D18)</f>
        <v/>
      </c>
      <c r="G18" s="130">
        <f>IF(D18="","",D18)</f>
        <v/>
      </c>
      <c r="H18" s="130">
        <f>IF(D18="","",D18)</f>
        <v/>
      </c>
      <c r="I18" s="130">
        <f>IF(D18="","",D18)</f>
        <v/>
      </c>
      <c r="J18" s="130">
        <f>IF(D18="","",D18)</f>
        <v/>
      </c>
      <c r="K18" s="130">
        <f>IF(D18="","",D18)</f>
        <v/>
      </c>
      <c r="L18" s="130">
        <f>IF(D18="","",D18)</f>
        <v/>
      </c>
      <c r="M18" s="130">
        <f>IF(D18="","",D18)</f>
        <v/>
      </c>
      <c r="N18" s="130">
        <f>IF(D18="","",D18)</f>
        <v/>
      </c>
      <c r="O18" s="130">
        <f>IF(D18="","",D18)</f>
        <v/>
      </c>
      <c r="P18" s="130">
        <f>IF(D18="","",D18)</f>
        <v/>
      </c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111" t="n"/>
      <c r="B19" s="111" t="n"/>
      <c r="C19" s="111" t="n"/>
      <c r="D19" s="117" t="n"/>
      <c r="E19" s="130">
        <f>IF(D19="","",D19)</f>
        <v/>
      </c>
      <c r="F19" s="130">
        <f>IF(D19="","",D19)</f>
        <v/>
      </c>
      <c r="G19" s="130">
        <f>IF(D19="","",D19)</f>
        <v/>
      </c>
      <c r="H19" s="130">
        <f>IF(D19="","",D19)</f>
        <v/>
      </c>
      <c r="I19" s="130">
        <f>IF(D19="","",D19)</f>
        <v/>
      </c>
      <c r="J19" s="130">
        <f>IF(D19="","",D19)</f>
        <v/>
      </c>
      <c r="K19" s="130">
        <f>IF(D19="","",D19)</f>
        <v/>
      </c>
      <c r="L19" s="130">
        <f>IF(D19="","",D19)</f>
        <v/>
      </c>
      <c r="M19" s="130">
        <f>IF(D19="","",D19)</f>
        <v/>
      </c>
      <c r="N19" s="130">
        <f>IF(D19="","",D19)</f>
        <v/>
      </c>
      <c r="O19" s="130">
        <f>IF(D19="","",D19)</f>
        <v/>
      </c>
      <c r="P19" s="130">
        <f>IF(D19="","",D19)</f>
        <v/>
      </c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111" t="n"/>
      <c r="B20" s="111" t="n"/>
      <c r="C20" s="111" t="n"/>
      <c r="D20" s="117" t="n"/>
      <c r="E20" s="130">
        <f>IF(D20="","",D20)</f>
        <v/>
      </c>
      <c r="F20" s="130">
        <f>IF(D20="","",D20)</f>
        <v/>
      </c>
      <c r="G20" s="130">
        <f>IF(D20="","",D20)</f>
        <v/>
      </c>
      <c r="H20" s="130">
        <f>IF(D20="","",D20)</f>
        <v/>
      </c>
      <c r="I20" s="130">
        <f>IF(D20="","",D20)</f>
        <v/>
      </c>
      <c r="J20" s="130">
        <f>IF(D20="","",D20)</f>
        <v/>
      </c>
      <c r="K20" s="130">
        <f>IF(D20="","",D20)</f>
        <v/>
      </c>
      <c r="L20" s="130">
        <f>IF(D20="","",D20)</f>
        <v/>
      </c>
      <c r="M20" s="130">
        <f>IF(D20="","",D20)</f>
        <v/>
      </c>
      <c r="N20" s="130">
        <f>IF(D20="","",D20)</f>
        <v/>
      </c>
      <c r="O20" s="130">
        <f>IF(D20="","",D20)</f>
        <v/>
      </c>
      <c r="P20" s="130">
        <f>IF(D20="","",D20)</f>
        <v/>
      </c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68">
      <c r="A21" s="111" t="n"/>
      <c r="B21" s="111" t="n"/>
      <c r="C21" s="111" t="n"/>
      <c r="D21" s="117" t="n"/>
      <c r="E21" s="130">
        <f>IF(D21="","",D21)</f>
        <v/>
      </c>
      <c r="F21" s="130">
        <f>IF(D21="","",D21)</f>
        <v/>
      </c>
      <c r="G21" s="130">
        <f>IF(D21="","",D21)</f>
        <v/>
      </c>
      <c r="H21" s="130">
        <f>IF(D21="","",D21)</f>
        <v/>
      </c>
      <c r="I21" s="130">
        <f>IF(D21="","",D21)</f>
        <v/>
      </c>
      <c r="J21" s="130">
        <f>IF(D21="","",D21)</f>
        <v/>
      </c>
      <c r="K21" s="130">
        <f>IF(D21="","",D21)</f>
        <v/>
      </c>
      <c r="L21" s="130">
        <f>IF(D21="","",D21)</f>
        <v/>
      </c>
      <c r="M21" s="130">
        <f>IF(D21="","",D21)</f>
        <v/>
      </c>
      <c r="N21" s="130">
        <f>IF(D21="","",D21)</f>
        <v/>
      </c>
      <c r="O21" s="130">
        <f>IF(D21="","",D21)</f>
        <v/>
      </c>
      <c r="P21" s="130">
        <f>IF(D21="","",D21)</f>
        <v/>
      </c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68">
      <c r="A22" s="111" t="n"/>
      <c r="B22" s="111" t="n"/>
      <c r="C22" s="111" t="n"/>
      <c r="D22" s="117" t="n"/>
      <c r="E22" s="130">
        <f>IF(D22="","",D22)</f>
        <v/>
      </c>
      <c r="F22" s="130">
        <f>IF(D22="","",D22)</f>
        <v/>
      </c>
      <c r="G22" s="130">
        <f>IF(D22="","",D22)</f>
        <v/>
      </c>
      <c r="H22" s="130">
        <f>IF(D22="","",D22)</f>
        <v/>
      </c>
      <c r="I22" s="130">
        <f>IF(D22="","",D22)</f>
        <v/>
      </c>
      <c r="J22" s="130">
        <f>IF(D22="","",D22)</f>
        <v/>
      </c>
      <c r="K22" s="130">
        <f>IF(D22="","",D22)</f>
        <v/>
      </c>
      <c r="L22" s="130">
        <f>IF(D22="","",D22)</f>
        <v/>
      </c>
      <c r="M22" s="130">
        <f>IF(D22="","",D22)</f>
        <v/>
      </c>
      <c r="N22" s="130">
        <f>IF(D22="","",D22)</f>
        <v/>
      </c>
      <c r="O22" s="130">
        <f>IF(D22="","",D22)</f>
        <v/>
      </c>
      <c r="P22" s="130">
        <f>IF(D22="","",D22)</f>
        <v/>
      </c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68">
      <c r="A23" s="111" t="n"/>
      <c r="B23" s="111" t="n"/>
      <c r="C23" s="111" t="n"/>
      <c r="D23" s="117" t="n"/>
      <c r="E23" s="130">
        <f>IF(D23="","",D23)</f>
        <v/>
      </c>
      <c r="F23" s="130">
        <f>IF(D23="","",D23)</f>
        <v/>
      </c>
      <c r="G23" s="130">
        <f>IF(D23="","",D23)</f>
        <v/>
      </c>
      <c r="H23" s="130">
        <f>IF(D23="","",D23)</f>
        <v/>
      </c>
      <c r="I23" s="130">
        <f>IF(D23="","",D23)</f>
        <v/>
      </c>
      <c r="J23" s="130">
        <f>IF(D23="","",D23)</f>
        <v/>
      </c>
      <c r="K23" s="130">
        <f>IF(D23="","",D23)</f>
        <v/>
      </c>
      <c r="L23" s="130">
        <f>IF(D23="","",D23)</f>
        <v/>
      </c>
      <c r="M23" s="130">
        <f>IF(D23="","",D23)</f>
        <v/>
      </c>
      <c r="N23" s="130">
        <f>IF(D23="","",D23)</f>
        <v/>
      </c>
      <c r="O23" s="130">
        <f>IF(D23="","",D23)</f>
        <v/>
      </c>
      <c r="P23" s="130">
        <f>IF(D23="","",D23)</f>
        <v/>
      </c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68">
      <c r="A24" s="111" t="n"/>
      <c r="B24" s="111" t="n"/>
      <c r="C24" s="111" t="n"/>
      <c r="D24" s="117" t="n"/>
      <c r="E24" s="130">
        <f>IF(D24="","",D24)</f>
        <v/>
      </c>
      <c r="F24" s="130">
        <f>IF(D24="","",D24)</f>
        <v/>
      </c>
      <c r="G24" s="130">
        <f>IF(D24="","",D24)</f>
        <v/>
      </c>
      <c r="H24" s="130">
        <f>IF(D24="","",D24)</f>
        <v/>
      </c>
      <c r="I24" s="130">
        <f>IF(D24="","",D24)</f>
        <v/>
      </c>
      <c r="J24" s="130">
        <f>IF(D24="","",D24)</f>
        <v/>
      </c>
      <c r="K24" s="130">
        <f>IF(D24="","",D24)</f>
        <v/>
      </c>
      <c r="L24" s="130">
        <f>IF(D24="","",D24)</f>
        <v/>
      </c>
      <c r="M24" s="130">
        <f>IF(D24="","",D24)</f>
        <v/>
      </c>
      <c r="N24" s="130">
        <f>IF(D24="","",D24)</f>
        <v/>
      </c>
      <c r="O24" s="130">
        <f>IF(D24="","",D24)</f>
        <v/>
      </c>
      <c r="P24" s="130">
        <f>IF(D24="","",D24)</f>
        <v/>
      </c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68">
      <c r="A25" s="111" t="n"/>
      <c r="B25" s="111" t="n"/>
      <c r="C25" s="111" t="n"/>
      <c r="D25" s="117" t="n"/>
      <c r="E25" s="130">
        <f>IF(D25="","",D25)</f>
        <v/>
      </c>
      <c r="F25" s="130">
        <f>IF(D25="","",D25)</f>
        <v/>
      </c>
      <c r="G25" s="130">
        <f>IF(D25="","",D25)</f>
        <v/>
      </c>
      <c r="H25" s="130">
        <f>IF(D25="","",D25)</f>
        <v/>
      </c>
      <c r="I25" s="130">
        <f>IF(D25="","",D25)</f>
        <v/>
      </c>
      <c r="J25" s="130">
        <f>IF(D25="","",D25)</f>
        <v/>
      </c>
      <c r="K25" s="130">
        <f>IF(D25="","",D25)</f>
        <v/>
      </c>
      <c r="L25" s="130">
        <f>IF(D25="","",D25)</f>
        <v/>
      </c>
      <c r="M25" s="130">
        <f>IF(D25="","",D25)</f>
        <v/>
      </c>
      <c r="N25" s="130">
        <f>IF(D25="","",D25)</f>
        <v/>
      </c>
      <c r="O25" s="130">
        <f>IF(D25="","",D25)</f>
        <v/>
      </c>
      <c r="P25" s="130">
        <f>IF(D25="","",D25)</f>
        <v/>
      </c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68">
      <c r="A26" s="111" t="n"/>
      <c r="B26" s="111" t="n"/>
      <c r="C26" s="111" t="n"/>
      <c r="D26" s="117" t="n"/>
      <c r="E26" s="130">
        <f>IF(D26="","",D26)</f>
        <v/>
      </c>
      <c r="F26" s="130">
        <f>IF(D26="","",D26)</f>
        <v/>
      </c>
      <c r="G26" s="130">
        <f>IF(D26="","",D26)</f>
        <v/>
      </c>
      <c r="H26" s="130">
        <f>IF(D26="","",D26)</f>
        <v/>
      </c>
      <c r="I26" s="130">
        <f>IF(D26="","",D26)</f>
        <v/>
      </c>
      <c r="J26" s="130">
        <f>IF(D26="","",D26)</f>
        <v/>
      </c>
      <c r="K26" s="130">
        <f>IF(D26="","",D26)</f>
        <v/>
      </c>
      <c r="L26" s="130">
        <f>IF(D26="","",D26)</f>
        <v/>
      </c>
      <c r="M26" s="130">
        <f>IF(D26="","",D26)</f>
        <v/>
      </c>
      <c r="N26" s="130">
        <f>IF(D26="","",D26)</f>
        <v/>
      </c>
      <c r="O26" s="130">
        <f>IF(D26="","",D26)</f>
        <v/>
      </c>
      <c r="P26" s="130">
        <f>IF(D26="","",D26)</f>
        <v/>
      </c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68">
      <c r="A27" s="111" t="n"/>
      <c r="B27" s="111" t="n"/>
      <c r="C27" s="111" t="n"/>
      <c r="D27" s="117" t="n"/>
      <c r="E27" s="130">
        <f>IF(D27="","",D27)</f>
        <v/>
      </c>
      <c r="F27" s="130">
        <f>IF(D27="","",D27)</f>
        <v/>
      </c>
      <c r="G27" s="130">
        <f>IF(D27="","",D27)</f>
        <v/>
      </c>
      <c r="H27" s="130">
        <f>IF(D27="","",D27)</f>
        <v/>
      </c>
      <c r="I27" s="130">
        <f>IF(D27="","",D27)</f>
        <v/>
      </c>
      <c r="J27" s="130">
        <f>IF(D27="","",D27)</f>
        <v/>
      </c>
      <c r="K27" s="130">
        <f>IF(D27="","",D27)</f>
        <v/>
      </c>
      <c r="L27" s="130">
        <f>IF(D27="","",D27)</f>
        <v/>
      </c>
      <c r="M27" s="130">
        <f>IF(D27="","",D27)</f>
        <v/>
      </c>
      <c r="N27" s="130">
        <f>IF(D27="","",D27)</f>
        <v/>
      </c>
      <c r="O27" s="130">
        <f>IF(D27="","",D27)</f>
        <v/>
      </c>
      <c r="P27" s="130">
        <f>IF(D27="","",D27)</f>
        <v/>
      </c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68">
      <c r="A28" s="111" t="n"/>
      <c r="B28" s="111" t="n"/>
      <c r="C28" s="111" t="n"/>
      <c r="D28" s="117" t="n"/>
      <c r="E28" s="130">
        <f>IF(D28="","",D28)</f>
        <v/>
      </c>
      <c r="F28" s="130">
        <f>IF(D28="","",D28)</f>
        <v/>
      </c>
      <c r="G28" s="130">
        <f>IF(D28="","",D28)</f>
        <v/>
      </c>
      <c r="H28" s="130">
        <f>IF(D28="","",D28)</f>
        <v/>
      </c>
      <c r="I28" s="130">
        <f>IF(D28="","",D28)</f>
        <v/>
      </c>
      <c r="J28" s="130">
        <f>IF(D28="","",D28)</f>
        <v/>
      </c>
      <c r="K28" s="130">
        <f>IF(D28="","",D28)</f>
        <v/>
      </c>
      <c r="L28" s="130">
        <f>IF(D28="","",D28)</f>
        <v/>
      </c>
      <c r="M28" s="130">
        <f>IF(D28="","",D28)</f>
        <v/>
      </c>
      <c r="N28" s="130">
        <f>IF(D28="","",D28)</f>
        <v/>
      </c>
      <c r="O28" s="130">
        <f>IF(D28="","",D28)</f>
        <v/>
      </c>
      <c r="P28" s="130">
        <f>IF(D28="","",D28)</f>
        <v/>
      </c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68">
      <c r="A29" s="111" t="n"/>
      <c r="B29" s="111" t="n"/>
      <c r="C29" s="111" t="n"/>
      <c r="D29" s="117" t="n"/>
      <c r="E29" s="130">
        <f>IF(D29="","",D29)</f>
        <v/>
      </c>
      <c r="F29" s="130">
        <f>IF(D29="","",D29)</f>
        <v/>
      </c>
      <c r="G29" s="130">
        <f>IF(D29="","",D29)</f>
        <v/>
      </c>
      <c r="H29" s="130">
        <f>IF(D29="","",D29)</f>
        <v/>
      </c>
      <c r="I29" s="130">
        <f>IF(D29="","",D29)</f>
        <v/>
      </c>
      <c r="J29" s="130">
        <f>IF(D29="","",D29)</f>
        <v/>
      </c>
      <c r="K29" s="130">
        <f>IF(D29="","",D29)</f>
        <v/>
      </c>
      <c r="L29" s="130">
        <f>IF(D29="","",D29)</f>
        <v/>
      </c>
      <c r="M29" s="130">
        <f>IF(D29="","",D29)</f>
        <v/>
      </c>
      <c r="N29" s="130">
        <f>IF(D29="","",D29)</f>
        <v/>
      </c>
      <c r="O29" s="130">
        <f>IF(D29="","",D29)</f>
        <v/>
      </c>
      <c r="P29" s="130">
        <f>IF(D29="","",D29)</f>
        <v/>
      </c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68">
      <c r="A30" s="111" t="n"/>
      <c r="B30" s="111" t="n"/>
      <c r="C30" s="111" t="n"/>
      <c r="D30" s="117" t="n"/>
      <c r="E30" s="130">
        <f>IF(D30="","",D30)</f>
        <v/>
      </c>
      <c r="F30" s="130">
        <f>IF(D30="","",D30)</f>
        <v/>
      </c>
      <c r="G30" s="130">
        <f>IF(D30="","",D30)</f>
        <v/>
      </c>
      <c r="H30" s="130">
        <f>IF(D30="","",D30)</f>
        <v/>
      </c>
      <c r="I30" s="130">
        <f>IF(D30="","",D30)</f>
        <v/>
      </c>
      <c r="J30" s="130">
        <f>IF(D30="","",D30)</f>
        <v/>
      </c>
      <c r="K30" s="130">
        <f>IF(D30="","",D30)</f>
        <v/>
      </c>
      <c r="L30" s="130">
        <f>IF(D30="","",D30)</f>
        <v/>
      </c>
      <c r="M30" s="130">
        <f>IF(D30="","",D30)</f>
        <v/>
      </c>
      <c r="N30" s="130">
        <f>IF(D30="","",D30)</f>
        <v/>
      </c>
      <c r="O30" s="130">
        <f>IF(D30="","",D30)</f>
        <v/>
      </c>
      <c r="P30" s="130">
        <f>IF(D30="","",D30)</f>
        <v/>
      </c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68">
      <c r="A31" s="111" t="n"/>
      <c r="B31" s="111" t="n"/>
      <c r="C31" s="111" t="n"/>
      <c r="D31" s="117" t="n"/>
      <c r="E31" s="130">
        <f>IF(D31="","",D31)</f>
        <v/>
      </c>
      <c r="F31" s="130">
        <f>IF(D31="","",D31)</f>
        <v/>
      </c>
      <c r="G31" s="130">
        <f>IF(D31="","",D31)</f>
        <v/>
      </c>
      <c r="H31" s="130">
        <f>IF(D31="","",D31)</f>
        <v/>
      </c>
      <c r="I31" s="130">
        <f>IF(D31="","",D31)</f>
        <v/>
      </c>
      <c r="J31" s="130">
        <f>IF(D31="","",D31)</f>
        <v/>
      </c>
      <c r="K31" s="130">
        <f>IF(D31="","",D31)</f>
        <v/>
      </c>
      <c r="L31" s="130">
        <f>IF(D31="","",D31)</f>
        <v/>
      </c>
      <c r="M31" s="130">
        <f>IF(D31="","",D31)</f>
        <v/>
      </c>
      <c r="N31" s="130">
        <f>IF(D31="","",D31)</f>
        <v/>
      </c>
      <c r="O31" s="130">
        <f>IF(D31="","",D31)</f>
        <v/>
      </c>
      <c r="P31" s="130">
        <f>IF(D31="","",D31)</f>
        <v/>
      </c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68">
      <c r="A32" s="111" t="n"/>
      <c r="B32" s="111" t="n"/>
      <c r="C32" s="111" t="n"/>
      <c r="D32" s="117" t="n"/>
      <c r="E32" s="130">
        <f>IF(D32="","",D32)</f>
        <v/>
      </c>
      <c r="F32" s="130">
        <f>IF(D32="","",D32)</f>
        <v/>
      </c>
      <c r="G32" s="130">
        <f>IF(D32="","",D32)</f>
        <v/>
      </c>
      <c r="H32" s="130">
        <f>IF(D32="","",D32)</f>
        <v/>
      </c>
      <c r="I32" s="130">
        <f>IF(D32="","",D32)</f>
        <v/>
      </c>
      <c r="J32" s="130">
        <f>IF(D32="","",D32)</f>
        <v/>
      </c>
      <c r="K32" s="130">
        <f>IF(D32="","",D32)</f>
        <v/>
      </c>
      <c r="L32" s="130">
        <f>IF(D32="","",D32)</f>
        <v/>
      </c>
      <c r="M32" s="130">
        <f>IF(D32="","",D32)</f>
        <v/>
      </c>
      <c r="N32" s="130">
        <f>IF(D32="","",D32)</f>
        <v/>
      </c>
      <c r="O32" s="130">
        <f>IF(D32="","",D32)</f>
        <v/>
      </c>
      <c r="P32" s="130">
        <f>IF(D32="","",D32)</f>
        <v/>
      </c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68">
      <c r="A33" s="111" t="n"/>
      <c r="B33" s="111" t="n"/>
      <c r="C33" s="111" t="n"/>
      <c r="D33" s="117" t="n"/>
      <c r="E33" s="130">
        <f>IF(D33="","",D33)</f>
        <v/>
      </c>
      <c r="F33" s="130">
        <f>IF(D33="","",D33)</f>
        <v/>
      </c>
      <c r="G33" s="130">
        <f>IF(D33="","",D33)</f>
        <v/>
      </c>
      <c r="H33" s="130">
        <f>IF(D33="","",D33)</f>
        <v/>
      </c>
      <c r="I33" s="130">
        <f>IF(D33="","",D33)</f>
        <v/>
      </c>
      <c r="J33" s="130">
        <f>IF(D33="","",D33)</f>
        <v/>
      </c>
      <c r="K33" s="130">
        <f>IF(D33="","",D33)</f>
        <v/>
      </c>
      <c r="L33" s="130">
        <f>IF(D33="","",D33)</f>
        <v/>
      </c>
      <c r="M33" s="130">
        <f>IF(D33="","",D33)</f>
        <v/>
      </c>
      <c r="N33" s="130">
        <f>IF(D33="","",D33)</f>
        <v/>
      </c>
      <c r="O33" s="130">
        <f>IF(D33="","",D33)</f>
        <v/>
      </c>
      <c r="P33" s="130">
        <f>IF(D33="","",D33)</f>
        <v/>
      </c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68">
      <c r="A34" s="111" t="n"/>
      <c r="B34" s="111" t="n"/>
      <c r="C34" s="111" t="n"/>
      <c r="D34" s="117" t="n"/>
      <c r="E34" s="130">
        <f>IF(D34="","",D34)</f>
        <v/>
      </c>
      <c r="F34" s="130">
        <f>IF(D34="","",D34)</f>
        <v/>
      </c>
      <c r="G34" s="130">
        <f>IF(D34="","",D34)</f>
        <v/>
      </c>
      <c r="H34" s="130">
        <f>IF(D34="","",D34)</f>
        <v/>
      </c>
      <c r="I34" s="130">
        <f>IF(D34="","",D34)</f>
        <v/>
      </c>
      <c r="J34" s="130">
        <f>IF(D34="","",D34)</f>
        <v/>
      </c>
      <c r="K34" s="130">
        <f>IF(D34="","",D34)</f>
        <v/>
      </c>
      <c r="L34" s="130">
        <f>IF(D34="","",D34)</f>
        <v/>
      </c>
      <c r="M34" s="130">
        <f>IF(D34="","",D34)</f>
        <v/>
      </c>
      <c r="N34" s="130">
        <f>IF(D34="","",D34)</f>
        <v/>
      </c>
      <c r="O34" s="130">
        <f>IF(D34="","",D34)</f>
        <v/>
      </c>
      <c r="P34" s="130">
        <f>IF(D34="","",D34)</f>
        <v/>
      </c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68">
      <c r="A35" s="111" t="n"/>
      <c r="B35" s="111" t="n"/>
      <c r="C35" s="111" t="n"/>
      <c r="D35" s="117" t="n"/>
      <c r="E35" s="130">
        <f>IF(D35="","",D35)</f>
        <v/>
      </c>
      <c r="F35" s="130">
        <f>IF(D35="","",D35)</f>
        <v/>
      </c>
      <c r="G35" s="130">
        <f>IF(D35="","",D35)</f>
        <v/>
      </c>
      <c r="H35" s="130">
        <f>IF(D35="","",D35)</f>
        <v/>
      </c>
      <c r="I35" s="130">
        <f>IF(D35="","",D35)</f>
        <v/>
      </c>
      <c r="J35" s="130">
        <f>IF(D35="","",D35)</f>
        <v/>
      </c>
      <c r="K35" s="130">
        <f>IF(D35="","",D35)</f>
        <v/>
      </c>
      <c r="L35" s="130">
        <f>IF(D35="","",D35)</f>
        <v/>
      </c>
      <c r="M35" s="130">
        <f>IF(D35="","",D35)</f>
        <v/>
      </c>
      <c r="N35" s="130">
        <f>IF(D35="","",D35)</f>
        <v/>
      </c>
      <c r="O35" s="130">
        <f>IF(D35="","",D35)</f>
        <v/>
      </c>
      <c r="P35" s="130">
        <f>IF(D35="","",D35)</f>
        <v/>
      </c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68">
      <c r="A36" s="111" t="n"/>
      <c r="B36" s="111" t="n"/>
      <c r="C36" s="111" t="n"/>
      <c r="D36" s="117" t="n"/>
      <c r="E36" s="130">
        <f>IF(D36="","",D36)</f>
        <v/>
      </c>
      <c r="F36" s="130">
        <f>IF(D36="","",D36)</f>
        <v/>
      </c>
      <c r="G36" s="130">
        <f>IF(D36="","",D36)</f>
        <v/>
      </c>
      <c r="H36" s="130">
        <f>IF(D36="","",D36)</f>
        <v/>
      </c>
      <c r="I36" s="130">
        <f>IF(D36="","",D36)</f>
        <v/>
      </c>
      <c r="J36" s="130">
        <f>IF(D36="","",D36)</f>
        <v/>
      </c>
      <c r="K36" s="130">
        <f>IF(D36="","",D36)</f>
        <v/>
      </c>
      <c r="L36" s="130">
        <f>IF(D36="","",D36)</f>
        <v/>
      </c>
      <c r="M36" s="130">
        <f>IF(D36="","",D36)</f>
        <v/>
      </c>
      <c r="N36" s="130">
        <f>IF(D36="","",D36)</f>
        <v/>
      </c>
      <c r="O36" s="130">
        <f>IF(D36="","",D36)</f>
        <v/>
      </c>
      <c r="P36" s="130">
        <f>IF(D36="","",D36)</f>
        <v/>
      </c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68">
      <c r="A37" s="111" t="n"/>
      <c r="B37" s="111" t="n"/>
      <c r="C37" s="111" t="n"/>
      <c r="D37" s="117" t="n"/>
      <c r="E37" s="130">
        <f>IF(D37="","",D37)</f>
        <v/>
      </c>
      <c r="F37" s="130">
        <f>IF(D37="","",D37)</f>
        <v/>
      </c>
      <c r="G37" s="130">
        <f>IF(D37="","",D37)</f>
        <v/>
      </c>
      <c r="H37" s="130">
        <f>IF(D37="","",D37)</f>
        <v/>
      </c>
      <c r="I37" s="130">
        <f>IF(D37="","",D37)</f>
        <v/>
      </c>
      <c r="J37" s="130">
        <f>IF(D37="","",D37)</f>
        <v/>
      </c>
      <c r="K37" s="130">
        <f>IF(D37="","",D37)</f>
        <v/>
      </c>
      <c r="L37" s="130">
        <f>IF(D37="","",D37)</f>
        <v/>
      </c>
      <c r="M37" s="130">
        <f>IF(D37="","",D37)</f>
        <v/>
      </c>
      <c r="N37" s="130">
        <f>IF(D37="","",D37)</f>
        <v/>
      </c>
      <c r="O37" s="130">
        <f>IF(D37="","",D37)</f>
        <v/>
      </c>
      <c r="P37" s="130">
        <f>IF(D37="","",D37)</f>
        <v/>
      </c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68">
      <c r="A38" s="111" t="n"/>
      <c r="B38" s="111" t="n"/>
      <c r="C38" s="111" t="n"/>
      <c r="D38" s="117" t="n"/>
      <c r="E38" s="130">
        <f>IF(D38="","",D38)</f>
        <v/>
      </c>
      <c r="F38" s="130">
        <f>IF(D38="","",D38)</f>
        <v/>
      </c>
      <c r="G38" s="130">
        <f>IF(D38="","",D38)</f>
        <v/>
      </c>
      <c r="H38" s="130">
        <f>IF(D38="","",D38)</f>
        <v/>
      </c>
      <c r="I38" s="130">
        <f>IF(D38="","",D38)</f>
        <v/>
      </c>
      <c r="J38" s="130">
        <f>IF(D38="","",D38)</f>
        <v/>
      </c>
      <c r="K38" s="130">
        <f>IF(D38="","",D38)</f>
        <v/>
      </c>
      <c r="L38" s="130">
        <f>IF(D38="","",D38)</f>
        <v/>
      </c>
      <c r="M38" s="130">
        <f>IF(D38="","",D38)</f>
        <v/>
      </c>
      <c r="N38" s="130">
        <f>IF(D38="","",D38)</f>
        <v/>
      </c>
      <c r="O38" s="130">
        <f>IF(D38="","",D38)</f>
        <v/>
      </c>
      <c r="P38" s="130">
        <f>IF(D38="","",D38)</f>
        <v/>
      </c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68">
      <c r="A39" s="111" t="n"/>
      <c r="B39" s="111" t="n"/>
      <c r="C39" s="111" t="n"/>
      <c r="D39" s="117" t="n"/>
      <c r="E39" s="130">
        <f>IF(D39="","",D39)</f>
        <v/>
      </c>
      <c r="F39" s="130">
        <f>IF(D39="","",D39)</f>
        <v/>
      </c>
      <c r="G39" s="130">
        <f>IF(D39="","",D39)</f>
        <v/>
      </c>
      <c r="H39" s="130">
        <f>IF(D39="","",D39)</f>
        <v/>
      </c>
      <c r="I39" s="130">
        <f>IF(D39="","",D39)</f>
        <v/>
      </c>
      <c r="J39" s="130">
        <f>IF(D39="","",D39)</f>
        <v/>
      </c>
      <c r="K39" s="130">
        <f>IF(D39="","",D39)</f>
        <v/>
      </c>
      <c r="L39" s="130">
        <f>IF(D39="","",D39)</f>
        <v/>
      </c>
      <c r="M39" s="130">
        <f>IF(D39="","",D39)</f>
        <v/>
      </c>
      <c r="N39" s="130">
        <f>IF(D39="","",D39)</f>
        <v/>
      </c>
      <c r="O39" s="130">
        <f>IF(D39="","",D39)</f>
        <v/>
      </c>
      <c r="P39" s="130">
        <f>IF(D39="","",D39)</f>
        <v/>
      </c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68">
      <c r="A40" s="111" t="n"/>
      <c r="B40" s="111" t="n"/>
      <c r="C40" s="111" t="n"/>
      <c r="D40" s="117" t="n"/>
      <c r="E40" s="130">
        <f>IF(D40="","",D40)</f>
        <v/>
      </c>
      <c r="F40" s="130">
        <f>IF(D40="","",D40)</f>
        <v/>
      </c>
      <c r="G40" s="130">
        <f>IF(D40="","",D40)</f>
        <v/>
      </c>
      <c r="H40" s="130">
        <f>IF(D40="","",D40)</f>
        <v/>
      </c>
      <c r="I40" s="130">
        <f>IF(D40="","",D40)</f>
        <v/>
      </c>
      <c r="J40" s="130">
        <f>IF(D40="","",D40)</f>
        <v/>
      </c>
      <c r="K40" s="130">
        <f>IF(D40="","",D40)</f>
        <v/>
      </c>
      <c r="L40" s="130">
        <f>IF(D40="","",D40)</f>
        <v/>
      </c>
      <c r="M40" s="130">
        <f>IF(D40="","",D40)</f>
        <v/>
      </c>
      <c r="N40" s="130">
        <f>IF(D40="","",D40)</f>
        <v/>
      </c>
      <c r="O40" s="130">
        <f>IF(D40="","",D40)</f>
        <v/>
      </c>
      <c r="P40" s="130">
        <f>IF(D40="","",D40)</f>
        <v/>
      </c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68">
      <c r="A41" s="111" t="n"/>
      <c r="B41" s="111" t="n"/>
      <c r="C41" s="111" t="n"/>
      <c r="D41" s="117" t="n"/>
      <c r="E41" s="130">
        <f>IF(D41="","",D41)</f>
        <v/>
      </c>
      <c r="F41" s="130">
        <f>IF(D41="","",D41)</f>
        <v/>
      </c>
      <c r="G41" s="130">
        <f>IF(D41="","",D41)</f>
        <v/>
      </c>
      <c r="H41" s="130">
        <f>IF(D41="","",D41)</f>
        <v/>
      </c>
      <c r="I41" s="130">
        <f>IF(D41="","",D41)</f>
        <v/>
      </c>
      <c r="J41" s="130">
        <f>IF(D41="","",D41)</f>
        <v/>
      </c>
      <c r="K41" s="130">
        <f>IF(D41="","",D41)</f>
        <v/>
      </c>
      <c r="L41" s="130">
        <f>IF(D41="","",D41)</f>
        <v/>
      </c>
      <c r="M41" s="130">
        <f>IF(D41="","",D41)</f>
        <v/>
      </c>
      <c r="N41" s="130">
        <f>IF(D41="","",D41)</f>
        <v/>
      </c>
      <c r="O41" s="130">
        <f>IF(D41="","",D41)</f>
        <v/>
      </c>
      <c r="P41" s="130">
        <f>IF(D41="","",D41)</f>
        <v/>
      </c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68">
      <c r="A42" s="111" t="n"/>
      <c r="B42" s="111" t="n"/>
      <c r="C42" s="111" t="n"/>
      <c r="D42" s="117" t="n"/>
      <c r="E42" s="130">
        <f>IF(D42="","",D42)</f>
        <v/>
      </c>
      <c r="F42" s="130">
        <f>IF(D42="","",D42)</f>
        <v/>
      </c>
      <c r="G42" s="130">
        <f>IF(D42="","",D42)</f>
        <v/>
      </c>
      <c r="H42" s="130">
        <f>IF(D42="","",D42)</f>
        <v/>
      </c>
      <c r="I42" s="130">
        <f>IF(D42="","",D42)</f>
        <v/>
      </c>
      <c r="J42" s="130">
        <f>IF(D42="","",D42)</f>
        <v/>
      </c>
      <c r="K42" s="130">
        <f>IF(D42="","",D42)</f>
        <v/>
      </c>
      <c r="L42" s="130">
        <f>IF(D42="","",D42)</f>
        <v/>
      </c>
      <c r="M42" s="130">
        <f>IF(D42="","",D42)</f>
        <v/>
      </c>
      <c r="N42" s="130">
        <f>IF(D42="","",D42)</f>
        <v/>
      </c>
      <c r="O42" s="130">
        <f>IF(D42="","",D42)</f>
        <v/>
      </c>
      <c r="P42" s="130">
        <f>IF(D42="","",D42)</f>
        <v/>
      </c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68">
      <c r="A43" s="111" t="n"/>
      <c r="B43" s="111" t="n"/>
      <c r="C43" s="111" t="n"/>
      <c r="D43" s="117" t="n"/>
      <c r="E43" s="130">
        <f>IF(D43="","",D43)</f>
        <v/>
      </c>
      <c r="F43" s="130">
        <f>IF(D43="","",D43)</f>
        <v/>
      </c>
      <c r="G43" s="130">
        <f>IF(D43="","",D43)</f>
        <v/>
      </c>
      <c r="H43" s="130">
        <f>IF(D43="","",D43)</f>
        <v/>
      </c>
      <c r="I43" s="130">
        <f>IF(D43="","",D43)</f>
        <v/>
      </c>
      <c r="J43" s="130">
        <f>IF(D43="","",D43)</f>
        <v/>
      </c>
      <c r="K43" s="130">
        <f>IF(D43="","",D43)</f>
        <v/>
      </c>
      <c r="L43" s="130">
        <f>IF(D43="","",D43)</f>
        <v/>
      </c>
      <c r="M43" s="130">
        <f>IF(D43="","",D43)</f>
        <v/>
      </c>
      <c r="N43" s="130">
        <f>IF(D43="","",D43)</f>
        <v/>
      </c>
      <c r="O43" s="130">
        <f>IF(D43="","",D43)</f>
        <v/>
      </c>
      <c r="P43" s="130">
        <f>IF(D43="","",D43)</f>
        <v/>
      </c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68">
      <c r="A44" s="111" t="n"/>
      <c r="B44" s="111" t="n"/>
      <c r="C44" s="111" t="n"/>
      <c r="D44" s="117" t="n"/>
      <c r="E44" s="130">
        <f>IF(D44="","",D44)</f>
        <v/>
      </c>
      <c r="F44" s="130">
        <f>IF(D44="","",D44)</f>
        <v/>
      </c>
      <c r="G44" s="130">
        <f>IF(D44="","",D44)</f>
        <v/>
      </c>
      <c r="H44" s="130">
        <f>IF(D44="","",D44)</f>
        <v/>
      </c>
      <c r="I44" s="130">
        <f>IF(D44="","",D44)</f>
        <v/>
      </c>
      <c r="J44" s="130">
        <f>IF(D44="","",D44)</f>
        <v/>
      </c>
      <c r="K44" s="130">
        <f>IF(D44="","",D44)</f>
        <v/>
      </c>
      <c r="L44" s="130">
        <f>IF(D44="","",D44)</f>
        <v/>
      </c>
      <c r="M44" s="130">
        <f>IF(D44="","",D44)</f>
        <v/>
      </c>
      <c r="N44" s="130">
        <f>IF(D44="","",D44)</f>
        <v/>
      </c>
      <c r="O44" s="130">
        <f>IF(D44="","",D44)</f>
        <v/>
      </c>
      <c r="P44" s="130">
        <f>IF(D44="","",D44)</f>
        <v/>
      </c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68">
      <c r="A45" s="111" t="n"/>
      <c r="B45" s="111" t="n"/>
      <c r="C45" s="111" t="n"/>
      <c r="D45" s="117" t="n"/>
      <c r="E45" s="130">
        <f>IF(D45="","",D45)</f>
        <v/>
      </c>
      <c r="F45" s="130">
        <f>IF(D45="","",D45)</f>
        <v/>
      </c>
      <c r="G45" s="130">
        <f>IF(D45="","",D45)</f>
        <v/>
      </c>
      <c r="H45" s="130">
        <f>IF(D45="","",D45)</f>
        <v/>
      </c>
      <c r="I45" s="130">
        <f>IF(D45="","",D45)</f>
        <v/>
      </c>
      <c r="J45" s="130">
        <f>IF(D45="","",D45)</f>
        <v/>
      </c>
      <c r="K45" s="130">
        <f>IF(D45="","",D45)</f>
        <v/>
      </c>
      <c r="L45" s="130">
        <f>IF(D45="","",D45)</f>
        <v/>
      </c>
      <c r="M45" s="130">
        <f>IF(D45="","",D45)</f>
        <v/>
      </c>
      <c r="N45" s="130">
        <f>IF(D45="","",D45)</f>
        <v/>
      </c>
      <c r="O45" s="130">
        <f>IF(D45="","",D45)</f>
        <v/>
      </c>
      <c r="P45" s="130">
        <f>IF(D45="","",D45)</f>
        <v/>
      </c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68">
      <c r="A46" s="111" t="n"/>
      <c r="B46" s="111" t="n"/>
      <c r="C46" s="111" t="n"/>
      <c r="D46" s="117" t="n"/>
      <c r="E46" s="130">
        <f>IF(D46="","",D46)</f>
        <v/>
      </c>
      <c r="F46" s="130">
        <f>IF(D46="","",D46)</f>
        <v/>
      </c>
      <c r="G46" s="130">
        <f>IF(D46="","",D46)</f>
        <v/>
      </c>
      <c r="H46" s="130">
        <f>IF(D46="","",D46)</f>
        <v/>
      </c>
      <c r="I46" s="130">
        <f>IF(D46="","",D46)</f>
        <v/>
      </c>
      <c r="J46" s="130">
        <f>IF(D46="","",D46)</f>
        <v/>
      </c>
      <c r="K46" s="130">
        <f>IF(D46="","",D46)</f>
        <v/>
      </c>
      <c r="L46" s="130">
        <f>IF(D46="","",D46)</f>
        <v/>
      </c>
      <c r="M46" s="130">
        <f>IF(D46="","",D46)</f>
        <v/>
      </c>
      <c r="N46" s="130">
        <f>IF(D46="","",D46)</f>
        <v/>
      </c>
      <c r="O46" s="130">
        <f>IF(D46="","",D46)</f>
        <v/>
      </c>
      <c r="P46" s="130">
        <f>IF(D46="","",D46)</f>
        <v/>
      </c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68">
      <c r="A47" s="111" t="n"/>
      <c r="B47" s="111" t="n"/>
      <c r="C47" s="111" t="n"/>
      <c r="D47" s="117" t="n"/>
      <c r="E47" s="130">
        <f>IF(D47="","",D47)</f>
        <v/>
      </c>
      <c r="F47" s="130">
        <f>IF(D47="","",D47)</f>
        <v/>
      </c>
      <c r="G47" s="130">
        <f>IF(D47="","",D47)</f>
        <v/>
      </c>
      <c r="H47" s="130">
        <f>IF(D47="","",D47)</f>
        <v/>
      </c>
      <c r="I47" s="130">
        <f>IF(D47="","",D47)</f>
        <v/>
      </c>
      <c r="J47" s="130">
        <f>IF(D47="","",D47)</f>
        <v/>
      </c>
      <c r="K47" s="130">
        <f>IF(D47="","",D47)</f>
        <v/>
      </c>
      <c r="L47" s="130">
        <f>IF(D47="","",D47)</f>
        <v/>
      </c>
      <c r="M47" s="130">
        <f>IF(D47="","",D47)</f>
        <v/>
      </c>
      <c r="N47" s="130">
        <f>IF(D47="","",D47)</f>
        <v/>
      </c>
      <c r="O47" s="130">
        <f>IF(D47="","",D47)</f>
        <v/>
      </c>
      <c r="P47" s="130">
        <f>IF(D47="","",D47)</f>
        <v/>
      </c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68">
      <c r="A48" s="111" t="n"/>
      <c r="B48" s="111" t="n"/>
      <c r="C48" s="111" t="n"/>
      <c r="D48" s="117" t="n"/>
      <c r="E48" s="130">
        <f>IF(D48="","",D48)</f>
        <v/>
      </c>
      <c r="F48" s="130">
        <f>IF(D48="","",D48)</f>
        <v/>
      </c>
      <c r="G48" s="130">
        <f>IF(D48="","",D48)</f>
        <v/>
      </c>
      <c r="H48" s="130">
        <f>IF(D48="","",D48)</f>
        <v/>
      </c>
      <c r="I48" s="130">
        <f>IF(D48="","",D48)</f>
        <v/>
      </c>
      <c r="J48" s="130">
        <f>IF(D48="","",D48)</f>
        <v/>
      </c>
      <c r="K48" s="130">
        <f>IF(D48="","",D48)</f>
        <v/>
      </c>
      <c r="L48" s="130">
        <f>IF(D48="","",D48)</f>
        <v/>
      </c>
      <c r="M48" s="130">
        <f>IF(D48="","",D48)</f>
        <v/>
      </c>
      <c r="N48" s="130">
        <f>IF(D48="","",D48)</f>
        <v/>
      </c>
      <c r="O48" s="130">
        <f>IF(D48="","",D48)</f>
        <v/>
      </c>
      <c r="P48" s="130">
        <f>IF(D48="","",D48)</f>
        <v/>
      </c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68">
      <c r="A49" s="111" t="n"/>
      <c r="B49" s="111" t="n"/>
      <c r="C49" s="111" t="n"/>
      <c r="D49" s="117" t="n"/>
      <c r="E49" s="130">
        <f>IF(D49="","",D49)</f>
        <v/>
      </c>
      <c r="F49" s="130">
        <f>IF(D49="","",D49)</f>
        <v/>
      </c>
      <c r="G49" s="130">
        <f>IF(D49="","",D49)</f>
        <v/>
      </c>
      <c r="H49" s="130">
        <f>IF(D49="","",D49)</f>
        <v/>
      </c>
      <c r="I49" s="130">
        <f>IF(D49="","",D49)</f>
        <v/>
      </c>
      <c r="J49" s="130">
        <f>IF(D49="","",D49)</f>
        <v/>
      </c>
      <c r="K49" s="130">
        <f>IF(D49="","",D49)</f>
        <v/>
      </c>
      <c r="L49" s="130">
        <f>IF(D49="","",D49)</f>
        <v/>
      </c>
      <c r="M49" s="130">
        <f>IF(D49="","",D49)</f>
        <v/>
      </c>
      <c r="N49" s="130">
        <f>IF(D49="","",D49)</f>
        <v/>
      </c>
      <c r="O49" s="130">
        <f>IF(D49="","",D49)</f>
        <v/>
      </c>
      <c r="P49" s="130">
        <f>IF(D49="","",D49)</f>
        <v/>
      </c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68">
      <c r="A50" s="111" t="n"/>
      <c r="B50" s="111" t="n"/>
      <c r="C50" s="111" t="n"/>
      <c r="D50" s="117" t="n"/>
      <c r="E50" s="130">
        <f>IF(D50="","",D50)</f>
        <v/>
      </c>
      <c r="F50" s="130">
        <f>IF(D50="","",D50)</f>
        <v/>
      </c>
      <c r="G50" s="130">
        <f>IF(D50="","",D50)</f>
        <v/>
      </c>
      <c r="H50" s="130">
        <f>IF(D50="","",D50)</f>
        <v/>
      </c>
      <c r="I50" s="130">
        <f>IF(D50="","",D50)</f>
        <v/>
      </c>
      <c r="J50" s="130">
        <f>IF(D50="","",D50)</f>
        <v/>
      </c>
      <c r="K50" s="130">
        <f>IF(D50="","",D50)</f>
        <v/>
      </c>
      <c r="L50" s="130">
        <f>IF(D50="","",D50)</f>
        <v/>
      </c>
      <c r="M50" s="130">
        <f>IF(D50="","",D50)</f>
        <v/>
      </c>
      <c r="N50" s="130">
        <f>IF(D50="","",D50)</f>
        <v/>
      </c>
      <c r="O50" s="130">
        <f>IF(D50="","",D50)</f>
        <v/>
      </c>
      <c r="P50" s="130">
        <f>IF(D50="","",D50)</f>
        <v/>
      </c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68">
      <c r="A51" s="111" t="n"/>
      <c r="B51" s="111" t="n"/>
      <c r="C51" s="111" t="n"/>
      <c r="D51" s="117" t="n"/>
      <c r="E51" s="130">
        <f>IF(D51="","",D51)</f>
        <v/>
      </c>
      <c r="F51" s="130">
        <f>IF(D51="","",D51)</f>
        <v/>
      </c>
      <c r="G51" s="130">
        <f>IF(D51="","",D51)</f>
        <v/>
      </c>
      <c r="H51" s="130">
        <f>IF(D51="","",D51)</f>
        <v/>
      </c>
      <c r="I51" s="130">
        <f>IF(D51="","",D51)</f>
        <v/>
      </c>
      <c r="J51" s="130">
        <f>IF(D51="","",D51)</f>
        <v/>
      </c>
      <c r="K51" s="130">
        <f>IF(D51="","",D51)</f>
        <v/>
      </c>
      <c r="L51" s="130">
        <f>IF(D51="","",D51)</f>
        <v/>
      </c>
      <c r="M51" s="130">
        <f>IF(D51="","",D51)</f>
        <v/>
      </c>
      <c r="N51" s="130">
        <f>IF(D51="","",D51)</f>
        <v/>
      </c>
      <c r="O51" s="130">
        <f>IF(D51="","",D51)</f>
        <v/>
      </c>
      <c r="P51" s="130">
        <f>IF(D51="","",D51)</f>
        <v/>
      </c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68">
      <c r="A52" s="111" t="n"/>
      <c r="B52" s="111" t="n"/>
      <c r="C52" s="111" t="n"/>
      <c r="D52" s="117" t="n"/>
      <c r="E52" s="130">
        <f>IF(D52="","",D52)</f>
        <v/>
      </c>
      <c r="F52" s="130">
        <f>IF(D52="","",D52)</f>
        <v/>
      </c>
      <c r="G52" s="130">
        <f>IF(D52="","",D52)</f>
        <v/>
      </c>
      <c r="H52" s="130">
        <f>IF(D52="","",D52)</f>
        <v/>
      </c>
      <c r="I52" s="130">
        <f>IF(D52="","",D52)</f>
        <v/>
      </c>
      <c r="J52" s="130">
        <f>IF(D52="","",D52)</f>
        <v/>
      </c>
      <c r="K52" s="130">
        <f>IF(D52="","",D52)</f>
        <v/>
      </c>
      <c r="L52" s="130">
        <f>IF(D52="","",D52)</f>
        <v/>
      </c>
      <c r="M52" s="130">
        <f>IF(D52="","",D52)</f>
        <v/>
      </c>
      <c r="N52" s="130">
        <f>IF(D52="","",D52)</f>
        <v/>
      </c>
      <c r="O52" s="130">
        <f>IF(D52="","",D52)</f>
        <v/>
      </c>
      <c r="P52" s="130">
        <f>IF(D52="","",D52)</f>
        <v/>
      </c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6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68">
      <c r="A54" s="136" t="inlineStr">
        <is>
          <t>MONTHLY TOTAL</t>
        </is>
      </c>
      <c r="B54" s="2" t="n"/>
      <c r="C54" s="2" t="n"/>
      <c r="D54" s="155">
        <f>SUM(D3:D52)</f>
        <v/>
      </c>
      <c r="E54" s="155">
        <f>SUM(E3:E52)</f>
        <v/>
      </c>
      <c r="F54" s="155">
        <f>SUM(F3:F52)</f>
        <v/>
      </c>
      <c r="G54" s="155">
        <f>SUM(G3:G52)</f>
        <v/>
      </c>
      <c r="H54" s="155">
        <f>SUM(H3:H52)</f>
        <v/>
      </c>
      <c r="I54" s="155">
        <f>SUM(I3:I52)</f>
        <v/>
      </c>
      <c r="J54" s="155">
        <f>SUM(J3:J52)</f>
        <v/>
      </c>
      <c r="K54" s="155">
        <f>SUM(K3:K52)</f>
        <v/>
      </c>
      <c r="L54" s="155">
        <f>SUM(L3:L52)</f>
        <v/>
      </c>
      <c r="M54" s="155">
        <f>SUM(M3:M52)</f>
        <v/>
      </c>
      <c r="N54" s="155">
        <f>SUM(N3:N52)</f>
        <v/>
      </c>
      <c r="O54" s="155">
        <f>SUM(O3:O52)</f>
        <v/>
      </c>
      <c r="P54" s="155">
        <f>SUM(P3:P52)</f>
        <v/>
      </c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68">
      <c r="A55" s="159" t="inlineStr">
        <is>
          <t>ANNUAL TOTAL</t>
        </is>
      </c>
      <c r="B55" s="2" t="n"/>
      <c r="C55" s="2" t="n"/>
      <c r="D55" s="160">
        <f>SUM(E54:P54)</f>
        <v/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6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6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6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6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6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6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6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6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6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6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6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6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6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6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6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6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6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6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6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6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6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6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6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6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6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6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6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6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6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6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6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6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6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6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6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6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6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6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6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6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6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6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6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6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6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6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6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6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6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6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6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6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6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6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6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6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6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6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6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6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6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6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6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6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6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6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6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6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6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6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6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6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6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6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6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6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6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6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6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6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6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6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6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6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6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6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6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6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6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6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6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6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6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6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6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6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6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6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6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6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6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6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6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6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6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6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6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6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6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6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6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6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6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6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6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6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6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6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6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6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6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6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6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6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6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6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6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6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6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6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6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6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6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6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6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6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6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6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6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6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6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6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6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6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6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6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6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6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6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6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6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6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6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6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6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6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6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6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6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6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6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6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6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6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6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6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6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6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6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6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6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6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6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6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6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6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6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6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6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6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6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6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6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6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6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6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6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6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6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6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6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6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6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6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6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6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6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6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6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6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6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6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6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6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6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6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6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6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6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6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6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6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6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6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6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6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6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6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6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6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6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6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6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6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6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6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6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6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6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6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6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6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6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6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6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6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6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6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6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6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6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6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6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6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6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6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6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6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6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6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6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6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6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6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6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6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6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6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6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6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6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6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6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6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6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6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6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6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6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6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6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6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6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6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6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6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6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6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6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6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6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6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6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6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6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6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6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6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6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6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6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6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6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6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6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6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6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6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6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6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6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6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6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6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6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6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6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6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6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6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6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6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6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6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6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6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6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6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6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6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6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6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6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6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6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6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6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6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6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6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6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6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6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6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6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6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6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6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6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6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6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6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6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6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6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6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6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6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6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6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6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6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6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6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6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6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6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6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6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6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6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6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6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6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6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6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6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6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6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6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6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6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6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6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6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6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6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6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6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6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6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6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6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6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6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6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6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6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6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6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6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6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6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6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6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6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6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6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6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6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6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6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6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6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6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6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6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6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6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6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6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6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6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6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6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6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6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6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6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6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6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6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6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6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6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6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6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6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6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6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6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6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6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6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6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6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6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6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6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6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6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6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6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6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6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6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6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6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6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6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6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6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6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6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6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6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6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6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6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6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6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6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6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6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6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6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6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6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6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6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6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6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6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6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6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6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6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6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6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6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6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6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6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6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6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6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6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6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6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6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6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6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6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6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6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6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6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6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6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6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6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6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6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6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6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6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6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6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6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6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6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6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6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6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6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6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6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6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6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6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6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6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6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6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6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6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6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6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6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6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6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6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6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6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6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6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6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6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6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6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6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6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6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6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6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6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6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6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6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6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6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6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6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6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6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6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6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6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6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6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6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6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6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6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6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6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6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6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6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6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6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6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6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6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6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6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6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6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6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6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6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6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6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6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6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6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6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6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6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6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6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6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6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6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6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6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6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6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6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6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6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6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6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6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6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6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6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6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6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6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6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6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6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6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6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6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6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6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6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6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6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6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6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6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6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6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6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6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6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6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6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6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6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6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6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6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6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6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6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6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6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6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6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6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6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6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6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6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6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6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6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6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6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6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6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6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6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6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6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6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6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6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6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6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6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6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6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6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6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6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6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6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6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6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6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6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6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6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6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6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6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6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6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6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6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6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6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6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6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6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6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6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6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6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6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6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6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6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6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6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6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6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6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6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6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6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6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6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6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6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6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6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6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6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6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6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6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6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6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6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6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6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6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6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6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6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6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6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6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6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6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6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6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6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6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6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6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6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6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6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6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6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6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6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6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6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6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6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6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6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6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6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6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6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6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6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6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6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6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6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6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6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6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6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6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6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6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6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6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6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6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6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6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6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6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6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6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6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6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6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6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6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6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6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6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6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6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6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6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6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6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6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6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6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6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6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6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6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6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6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6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6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6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6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6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6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6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6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6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6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6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6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6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6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6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6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6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6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6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6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6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6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6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6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6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6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6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6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6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6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6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6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6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6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6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6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6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6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6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6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6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6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6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6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6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6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6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6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6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6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6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6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6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6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6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6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6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6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6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6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6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6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6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6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6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6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6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6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6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6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6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6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6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6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6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6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6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6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6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6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6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6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6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6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6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6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6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6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6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6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6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6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6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6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6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6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6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6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6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6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6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6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6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6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6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6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6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6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6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6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6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6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6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6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6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6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6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6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6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6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6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6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6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6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6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6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6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6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6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6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6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6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6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6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6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">
    <mergeCell ref="A1:P1"/>
  </mergeCells>
  <dataValidations count="2">
    <dataValidation sqref="C3:C52" showDropDown="0" showInputMessage="0" showErrorMessage="0" allowBlank="1" type="list">
      <formula1>"GBP,INR"</formula1>
    </dataValidation>
    <dataValidation sqref="B3:B52" showDropDown="0" showInputMessage="0" showErrorMessage="0" allowBlank="1" type="list">
      <formula1>"Rent,Transport,Travel,Shopping,Electronics,Subscriptions,Bills,Entertainment,Food and Drinks,Groceries,Others,Gifts,Donations,Investments"</formula1>
    </dataValidation>
  </dataValidations>
  <pageMargins left="0.75" right="0.75" top="1" bottom="1" header="0" footer="0"/>
  <pageSetup orientation="portrait" paperSize="9"/>
</worksheet>
</file>

<file path=xl/worksheets/sheet18.xml><?xml version="1.0" encoding="utf-8"?>
<worksheet xmlns="http://schemas.openxmlformats.org/spreadsheetml/2006/main">
  <sheetPr>
    <tabColor rgb="FF5B9BD5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0" customWidth="1" style="168" min="1" max="1"/>
    <col width="16" customWidth="1" style="168" min="2" max="4"/>
    <col width="12" customWidth="1" style="168" min="5" max="5"/>
    <col width="16" customWidth="1" style="168" min="6" max="8"/>
    <col width="12" customWidth="1" style="168" min="9" max="9"/>
  </cols>
  <sheetData>
    <row r="1">
      <c r="A1" s="101" t="inlineStr">
        <is>
          <t>YEAR-ON-YEAR COMPARISON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07" t="inlineStr">
        <is>
          <t>Instructions: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08" t="inlineStr">
        <is>
          <t>This sheet compares current year vs previous year.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08" t="inlineStr">
        <is>
          <t>Enter previous year totals manually in the blue cells. Current year pulls automatically.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61" t="inlineStr">
        <is>
          <t>Category</t>
        </is>
      </c>
      <c r="B6" s="161" t="inlineStr">
        <is>
          <t>2025 (GBP)</t>
        </is>
      </c>
      <c r="C6" s="161" t="inlineStr">
        <is>
          <t>2026 (GBP)</t>
        </is>
      </c>
      <c r="D6" s="161" t="inlineStr">
        <is>
          <t>Change (GBP)</t>
        </is>
      </c>
      <c r="E6" s="161" t="inlineStr">
        <is>
          <t>Change (%)</t>
        </is>
      </c>
      <c r="F6" s="161" t="inlineStr">
        <is>
          <t>2025 (INR)</t>
        </is>
      </c>
      <c r="G6" s="161" t="inlineStr">
        <is>
          <t>2026 (INR)</t>
        </is>
      </c>
      <c r="H6" s="161" t="inlineStr">
        <is>
          <t>Change (INR)</t>
        </is>
      </c>
      <c r="I6" s="161" t="inlineStr">
        <is>
          <t>Change (%)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103" t="inlineStr">
        <is>
          <t>Rent</t>
        </is>
      </c>
      <c r="B7" s="138" t="n"/>
      <c r="C7" s="20">
        <f>SUMPRODUCT((Expenses!C$3:C$999="Rent")*(Expenses!E$3:E$999="GBP")*(YEAR(Expenses!A$3:A$999)=2026)*(Expenses!A$3:A$999&lt;&gt;"")*Expenses!D$3:D$999)</f>
        <v/>
      </c>
      <c r="D7" s="162">
        <f>C7-B7</f>
        <v/>
      </c>
      <c r="E7" s="163">
        <f>IF(B7=0,"",D7/B7)</f>
        <v/>
      </c>
      <c r="F7" s="144" t="n"/>
      <c r="G7" s="141">
        <f>SUMPRODUCT((Expenses!C$3:C$999="Rent")*(Expenses!E$3:E$999="INR")*(YEAR(Expenses!A$3:A$999)=2026)*(Expenses!A$3:A$999&lt;&gt;"")*Expenses!D$3:D$999)</f>
        <v/>
      </c>
      <c r="H7" s="164">
        <f>G7-F7</f>
        <v/>
      </c>
      <c r="I7" s="163">
        <f>IF(F7=0,"",H7/F7)</f>
        <v/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03" t="inlineStr">
        <is>
          <t>Transport</t>
        </is>
      </c>
      <c r="B8" s="138" t="n"/>
      <c r="C8" s="20">
        <f>SUMPRODUCT((Expenses!C$3:C$999="Transport")*(Expenses!E$3:E$999="GBP")*(YEAR(Expenses!A$3:A$999)=2026)*(Expenses!A$3:A$999&lt;&gt;"")*Expenses!D$3:D$999)</f>
        <v/>
      </c>
      <c r="D8" s="162">
        <f>C8-B8</f>
        <v/>
      </c>
      <c r="E8" s="163">
        <f>IF(B8=0,"",D8/B8)</f>
        <v/>
      </c>
      <c r="F8" s="144" t="n"/>
      <c r="G8" s="141">
        <f>SUMPRODUCT((Expenses!C$3:C$999="Transport")*(Expenses!E$3:E$999="INR")*(YEAR(Expenses!A$3:A$999)=2026)*(Expenses!A$3:A$999&lt;&gt;"")*Expenses!D$3:D$999)</f>
        <v/>
      </c>
      <c r="H8" s="164">
        <f>G8-F8</f>
        <v/>
      </c>
      <c r="I8" s="163">
        <f>IF(F8=0,"",H8/F8)</f>
        <v/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03" t="inlineStr">
        <is>
          <t>Travel</t>
        </is>
      </c>
      <c r="B9" s="138" t="n"/>
      <c r="C9" s="20">
        <f>SUMPRODUCT((Expenses!C$3:C$999="Travel")*(Expenses!E$3:E$999="GBP")*(YEAR(Expenses!A$3:A$999)=2026)*(Expenses!A$3:A$999&lt;&gt;"")*Expenses!D$3:D$999)</f>
        <v/>
      </c>
      <c r="D9" s="162">
        <f>C9-B9</f>
        <v/>
      </c>
      <c r="E9" s="163">
        <f>IF(B9=0,"",D9/B9)</f>
        <v/>
      </c>
      <c r="F9" s="144" t="n"/>
      <c r="G9" s="141">
        <f>SUMPRODUCT((Expenses!C$3:C$999="Travel")*(Expenses!E$3:E$999="INR")*(YEAR(Expenses!A$3:A$999)=2026)*(Expenses!A$3:A$999&lt;&gt;"")*Expenses!D$3:D$999)</f>
        <v/>
      </c>
      <c r="H9" s="164">
        <f>G9-F9</f>
        <v/>
      </c>
      <c r="I9" s="163">
        <f>IF(F9=0,"",H9/F9)</f>
        <v/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103" t="inlineStr">
        <is>
          <t>Shopping</t>
        </is>
      </c>
      <c r="B10" s="138" t="n"/>
      <c r="C10" s="20">
        <f>SUMPRODUCT((Expenses!C$3:C$999="Shopping")*(Expenses!E$3:E$999="GBP")*(YEAR(Expenses!A$3:A$999)=2026)*(Expenses!A$3:A$999&lt;&gt;"")*Expenses!D$3:D$999)</f>
        <v/>
      </c>
      <c r="D10" s="162">
        <f>C10-B10</f>
        <v/>
      </c>
      <c r="E10" s="163">
        <f>IF(B10=0,"",D10/B10)</f>
        <v/>
      </c>
      <c r="F10" s="144" t="n"/>
      <c r="G10" s="141">
        <f>SUMPRODUCT((Expenses!C$3:C$999="Shopping")*(Expenses!E$3:E$999="INR")*(YEAR(Expenses!A$3:A$999)=2026)*(Expenses!A$3:A$999&lt;&gt;"")*Expenses!D$3:D$999)</f>
        <v/>
      </c>
      <c r="H10" s="164">
        <f>G10-F10</f>
        <v/>
      </c>
      <c r="I10" s="163">
        <f>IF(F10=0,"",H10/F10)</f>
        <v/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103" t="inlineStr">
        <is>
          <t>Electronics</t>
        </is>
      </c>
      <c r="B11" s="138" t="n"/>
      <c r="C11" s="20">
        <f>SUMPRODUCT((Expenses!C$3:C$999="Electronics")*(Expenses!E$3:E$999="GBP")*(YEAR(Expenses!A$3:A$999)=2026)*(Expenses!A$3:A$999&lt;&gt;"")*Expenses!D$3:D$999)</f>
        <v/>
      </c>
      <c r="D11" s="162">
        <f>C11-B11</f>
        <v/>
      </c>
      <c r="E11" s="163">
        <f>IF(B11=0,"",D11/B11)</f>
        <v/>
      </c>
      <c r="F11" s="144" t="n"/>
      <c r="G11" s="141">
        <f>SUMPRODUCT((Expenses!C$3:C$999="Electronics")*(Expenses!E$3:E$999="INR")*(YEAR(Expenses!A$3:A$999)=2026)*(Expenses!A$3:A$999&lt;&gt;"")*Expenses!D$3:D$999)</f>
        <v/>
      </c>
      <c r="H11" s="164">
        <f>G11-F11</f>
        <v/>
      </c>
      <c r="I11" s="163">
        <f>IF(F11=0,"",H11/F11)</f>
        <v/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03" t="inlineStr">
        <is>
          <t>Subscriptions</t>
        </is>
      </c>
      <c r="B12" s="138" t="n"/>
      <c r="C12" s="20">
        <f>SUMPRODUCT((Expenses!C$3:C$999="Subscriptions")*(Expenses!E$3:E$999="GBP")*(YEAR(Expenses!A$3:A$999)=2026)*(Expenses!A$3:A$999&lt;&gt;"")*Expenses!D$3:D$999)</f>
        <v/>
      </c>
      <c r="D12" s="162">
        <f>C12-B12</f>
        <v/>
      </c>
      <c r="E12" s="163">
        <f>IF(B12=0,"",D12/B12)</f>
        <v/>
      </c>
      <c r="F12" s="144" t="n"/>
      <c r="G12" s="141">
        <f>SUMPRODUCT((Expenses!C$3:C$999="Subscriptions")*(Expenses!E$3:E$999="INR")*(YEAR(Expenses!A$3:A$999)=2026)*(Expenses!A$3:A$999&lt;&gt;"")*Expenses!D$3:D$999)</f>
        <v/>
      </c>
      <c r="H12" s="164">
        <f>G12-F12</f>
        <v/>
      </c>
      <c r="I12" s="163">
        <f>IF(F12=0,"",H12/F12)</f>
        <v/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103" t="inlineStr">
        <is>
          <t>Bills</t>
        </is>
      </c>
      <c r="B13" s="138" t="n"/>
      <c r="C13" s="20">
        <f>SUMPRODUCT((Expenses!C$3:C$999="Bills")*(Expenses!E$3:E$999="GBP")*(YEAR(Expenses!A$3:A$999)=2026)*(Expenses!A$3:A$999&lt;&gt;"")*Expenses!D$3:D$999)</f>
        <v/>
      </c>
      <c r="D13" s="162">
        <f>C13-B13</f>
        <v/>
      </c>
      <c r="E13" s="163">
        <f>IF(B13=0,"",D13/B13)</f>
        <v/>
      </c>
      <c r="F13" s="144" t="n"/>
      <c r="G13" s="141">
        <f>SUMPRODUCT((Expenses!C$3:C$999="Bills")*(Expenses!E$3:E$999="INR")*(YEAR(Expenses!A$3:A$999)=2026)*(Expenses!A$3:A$999&lt;&gt;"")*Expenses!D$3:D$999)</f>
        <v/>
      </c>
      <c r="H13" s="164">
        <f>G13-F13</f>
        <v/>
      </c>
      <c r="I13" s="163">
        <f>IF(F13=0,"",H13/F13)</f>
        <v/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103" t="inlineStr">
        <is>
          <t>Entertainment</t>
        </is>
      </c>
      <c r="B14" s="138" t="n"/>
      <c r="C14" s="20">
        <f>SUMPRODUCT((Expenses!C$3:C$999="Entertainment")*(Expenses!E$3:E$999="GBP")*(YEAR(Expenses!A$3:A$999)=2026)*(Expenses!A$3:A$999&lt;&gt;"")*Expenses!D$3:D$999)</f>
        <v/>
      </c>
      <c r="D14" s="162">
        <f>C14-B14</f>
        <v/>
      </c>
      <c r="E14" s="163">
        <f>IF(B14=0,"",D14/B14)</f>
        <v/>
      </c>
      <c r="F14" s="144" t="n"/>
      <c r="G14" s="141">
        <f>SUMPRODUCT((Expenses!C$3:C$999="Entertainment")*(Expenses!E$3:E$999="INR")*(YEAR(Expenses!A$3:A$999)=2026)*(Expenses!A$3:A$999&lt;&gt;"")*Expenses!D$3:D$999)</f>
        <v/>
      </c>
      <c r="H14" s="164">
        <f>G14-F14</f>
        <v/>
      </c>
      <c r="I14" s="163">
        <f>IF(F14=0,"",H14/F14)</f>
        <v/>
      </c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103" t="inlineStr">
        <is>
          <t>Food and Drinks</t>
        </is>
      </c>
      <c r="B15" s="138" t="n"/>
      <c r="C15" s="20">
        <f>SUMPRODUCT((Expenses!C$3:C$999="Food and Drinks")*(Expenses!E$3:E$999="GBP")*(YEAR(Expenses!A$3:A$999)=2026)*(Expenses!A$3:A$999&lt;&gt;"")*Expenses!D$3:D$999)</f>
        <v/>
      </c>
      <c r="D15" s="162">
        <f>C15-B15</f>
        <v/>
      </c>
      <c r="E15" s="163">
        <f>IF(B15=0,"",D15/B15)</f>
        <v/>
      </c>
      <c r="F15" s="144" t="n"/>
      <c r="G15" s="141">
        <f>SUMPRODUCT((Expenses!C$3:C$999="Food and Drinks")*(Expenses!E$3:E$999="INR")*(YEAR(Expenses!A$3:A$999)=2026)*(Expenses!A$3:A$999&lt;&gt;"")*Expenses!D$3:D$999)</f>
        <v/>
      </c>
      <c r="H15" s="164">
        <f>G15-F15</f>
        <v/>
      </c>
      <c r="I15" s="163">
        <f>IF(F15=0,"",H15/F15)</f>
        <v/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103" t="inlineStr">
        <is>
          <t>Groceries</t>
        </is>
      </c>
      <c r="B16" s="138" t="n"/>
      <c r="C16" s="20">
        <f>SUMPRODUCT((Expenses!C$3:C$999="Groceries")*(Expenses!E$3:E$999="GBP")*(YEAR(Expenses!A$3:A$999)=2026)*(Expenses!A$3:A$999&lt;&gt;"")*Expenses!D$3:D$999)</f>
        <v/>
      </c>
      <c r="D16" s="162">
        <f>C16-B16</f>
        <v/>
      </c>
      <c r="E16" s="163">
        <f>IF(B16=0,"",D16/B16)</f>
        <v/>
      </c>
      <c r="F16" s="144" t="n"/>
      <c r="G16" s="141">
        <f>SUMPRODUCT((Expenses!C$3:C$999="Groceries")*(Expenses!E$3:E$999="INR")*(YEAR(Expenses!A$3:A$999)=2026)*(Expenses!A$3:A$999&lt;&gt;"")*Expenses!D$3:D$999)</f>
        <v/>
      </c>
      <c r="H16" s="164">
        <f>G16-F16</f>
        <v/>
      </c>
      <c r="I16" s="163">
        <f>IF(F16=0,"",H16/F16)</f>
        <v/>
      </c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103" t="inlineStr">
        <is>
          <t>Others</t>
        </is>
      </c>
      <c r="B17" s="138" t="n"/>
      <c r="C17" s="20">
        <f>SUMPRODUCT((Expenses!C$3:C$999="Others")*(Expenses!E$3:E$999="GBP")*(YEAR(Expenses!A$3:A$999)=2026)*(Expenses!A$3:A$999&lt;&gt;"")*Expenses!D$3:D$999)</f>
        <v/>
      </c>
      <c r="D17" s="162">
        <f>C17-B17</f>
        <v/>
      </c>
      <c r="E17" s="163">
        <f>IF(B17=0,"",D17/B17)</f>
        <v/>
      </c>
      <c r="F17" s="144" t="n"/>
      <c r="G17" s="141">
        <f>SUMPRODUCT((Expenses!C$3:C$999="Others")*(Expenses!E$3:E$999="INR")*(YEAR(Expenses!A$3:A$999)=2026)*(Expenses!A$3:A$999&lt;&gt;"")*Expenses!D$3:D$999)</f>
        <v/>
      </c>
      <c r="H17" s="164">
        <f>G17-F17</f>
        <v/>
      </c>
      <c r="I17" s="163">
        <f>IF(F17=0,"",H17/F17)</f>
        <v/>
      </c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103" t="inlineStr">
        <is>
          <t>Gifts</t>
        </is>
      </c>
      <c r="B18" s="138" t="n"/>
      <c r="C18" s="20">
        <f>SUMPRODUCT((Expenses!C$3:C$999="Gifts")*(Expenses!E$3:E$999="GBP")*(YEAR(Expenses!A$3:A$999)=2026)*(Expenses!A$3:A$999&lt;&gt;"")*Expenses!D$3:D$999)</f>
        <v/>
      </c>
      <c r="D18" s="162">
        <f>C18-B18</f>
        <v/>
      </c>
      <c r="E18" s="163">
        <f>IF(B18=0,"",D18/B18)</f>
        <v/>
      </c>
      <c r="F18" s="144" t="n"/>
      <c r="G18" s="141">
        <f>SUMPRODUCT((Expenses!C$3:C$999="Gifts")*(Expenses!E$3:E$999="INR")*(YEAR(Expenses!A$3:A$999)=2026)*(Expenses!A$3:A$999&lt;&gt;"")*Expenses!D$3:D$999)</f>
        <v/>
      </c>
      <c r="H18" s="164">
        <f>G18-F18</f>
        <v/>
      </c>
      <c r="I18" s="163">
        <f>IF(F18=0,"",H18/F18)</f>
        <v/>
      </c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103" t="inlineStr">
        <is>
          <t>Donations</t>
        </is>
      </c>
      <c r="B19" s="138" t="n"/>
      <c r="C19" s="20">
        <f>SUMPRODUCT((Expenses!C$3:C$999="Donations")*(Expenses!E$3:E$999="GBP")*(YEAR(Expenses!A$3:A$999)=2026)*(Expenses!A$3:A$999&lt;&gt;"")*Expenses!D$3:D$999)</f>
        <v/>
      </c>
      <c r="D19" s="162">
        <f>C19-B19</f>
        <v/>
      </c>
      <c r="E19" s="163">
        <f>IF(B19=0,"",D19/B19)</f>
        <v/>
      </c>
      <c r="F19" s="144" t="n"/>
      <c r="G19" s="141">
        <f>SUMPRODUCT((Expenses!C$3:C$999="Donations")*(Expenses!E$3:E$999="INR")*(YEAR(Expenses!A$3:A$999)=2026)*(Expenses!A$3:A$999&lt;&gt;"")*Expenses!D$3:D$999)</f>
        <v/>
      </c>
      <c r="H19" s="164">
        <f>G19-F19</f>
        <v/>
      </c>
      <c r="I19" s="163">
        <f>IF(F19=0,"",H19/F19)</f>
        <v/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103" t="inlineStr">
        <is>
          <t>Investments</t>
        </is>
      </c>
      <c r="B20" s="138" t="n"/>
      <c r="C20" s="20">
        <f>SUMPRODUCT((Expenses!C$3:C$999="Investments")*(Expenses!E$3:E$999="GBP")*(YEAR(Expenses!A$3:A$999)=2026)*(Expenses!A$3:A$999&lt;&gt;"")*Expenses!D$3:D$999)</f>
        <v/>
      </c>
      <c r="D20" s="162">
        <f>C20-B20</f>
        <v/>
      </c>
      <c r="E20" s="163">
        <f>IF(B20=0,"",D20/B20)</f>
        <v/>
      </c>
      <c r="F20" s="144" t="n"/>
      <c r="G20" s="141">
        <f>SUMPRODUCT((Expenses!C$3:C$999="Investments")*(Expenses!E$3:E$999="INR")*(YEAR(Expenses!A$3:A$999)=2026)*(Expenses!A$3:A$999&lt;&gt;"")*Expenses!D$3:D$999)</f>
        <v/>
      </c>
      <c r="H20" s="164">
        <f>G20-F20</f>
        <v/>
      </c>
      <c r="I20" s="163">
        <f>IF(F20=0,"",H20/F20)</f>
        <v/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6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6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6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6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6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6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6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6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6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6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6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6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6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6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6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6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6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6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6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6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6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6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6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6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6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6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6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6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6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6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6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6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6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6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6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6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6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6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6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6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6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6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6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6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6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6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6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6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6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6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6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6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6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6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6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6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6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6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6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6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6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6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6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6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6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6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6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6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6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6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6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6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6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6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6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6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6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6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6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6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6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6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6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6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6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6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6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6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6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6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6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6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6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6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6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6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6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6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6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6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6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6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6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6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6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6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6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6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6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6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6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6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6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6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6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6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6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6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6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6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6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6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6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6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6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6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6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6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6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6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6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6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6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6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6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6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6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6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6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6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6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6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6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6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6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6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6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6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6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6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6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6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6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6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6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6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6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6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6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6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6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6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6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6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6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6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6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6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6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6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6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6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6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6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6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6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6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6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6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6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6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6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6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6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6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6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6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6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6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6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6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6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6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6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6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6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6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6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6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6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6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6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6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6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6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6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6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6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6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6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6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6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6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6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6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6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6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6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6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6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6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6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6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6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6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6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6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6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6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6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6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6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6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6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6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6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6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6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6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6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6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6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6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6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6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6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6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6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6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6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6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6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6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6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6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6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6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6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6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6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6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6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6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6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6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6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6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6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6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6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6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6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6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6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6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6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6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6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6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6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6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6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6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6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6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6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6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6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6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6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6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6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6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6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6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6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6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6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6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6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6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6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6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6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6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6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6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6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6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6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6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6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6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6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6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6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6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6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6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6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6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6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6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6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6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6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6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6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6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6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6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6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6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6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6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6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6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6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6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6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6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6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6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6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6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6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6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6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6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6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6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6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6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6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6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6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6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6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6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6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6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6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6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6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6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6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6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6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6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6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6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6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6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6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6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6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6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6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6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6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6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6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6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6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6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6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6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6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6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6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6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6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6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6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6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6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6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6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6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6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6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6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6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6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6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6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6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6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6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6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6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6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6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6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6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6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6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6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6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6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6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6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6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6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6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6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6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6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6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6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6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6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6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6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6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6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6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6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6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6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6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6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6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6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6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6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6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6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6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6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6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6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6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6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6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6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6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6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6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6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6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6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6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6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6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6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6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6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6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6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6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6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6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6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6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6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6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6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6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6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6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6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6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6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6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6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6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6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6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6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6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6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6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6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6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6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6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6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6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6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6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6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6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6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6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6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6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6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6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6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6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6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6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6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6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6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6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6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6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6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6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6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6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6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6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6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6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6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6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6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6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6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6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6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6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6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6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6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6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6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6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6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6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6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6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6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6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6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6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6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6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6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6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6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6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6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6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6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6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6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6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6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6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6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6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6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6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6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6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6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6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6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6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6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6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6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6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6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6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6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6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6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6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6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6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6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6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6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6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6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6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6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6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6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6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6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6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6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6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6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6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6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6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6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6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6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6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6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6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6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6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6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6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6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6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6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6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6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6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6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6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6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6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6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6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6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6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6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6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6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6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6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6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6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6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6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6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6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6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6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6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6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6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6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6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6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6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6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6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6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6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6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6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6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6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6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6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6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6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6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6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6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6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6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6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6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6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6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6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6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6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6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6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6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6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6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6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6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6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6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6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6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6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6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6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6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6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6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6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6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6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6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6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6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6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6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6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6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6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6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6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6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6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6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6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6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6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6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6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6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6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6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6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6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6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6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6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6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6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6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6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6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6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6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6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6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6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6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6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6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6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6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6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6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6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6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6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6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6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6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6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6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6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6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6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6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6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6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6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6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6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6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6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6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6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6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6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6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6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6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6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6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6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6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6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6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6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6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6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6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6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6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6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6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6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6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6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6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6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6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6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6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6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6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6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6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6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6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6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6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6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6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6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6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6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6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6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6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6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6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6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6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6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6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6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6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6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6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6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6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6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6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6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6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6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6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6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6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6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6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6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6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6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6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6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6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6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6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6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6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6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6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6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6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6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6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6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6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6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6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6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6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6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6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6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6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6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6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6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6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6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6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6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6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6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6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6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6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6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6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6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6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6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6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6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6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6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6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6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6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6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6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6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6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6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6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6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6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6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6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6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6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6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6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6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6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6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6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6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6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6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6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6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6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6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6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6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6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6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6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6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6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6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6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6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6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6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6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6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6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6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6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6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6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6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6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6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6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6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6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6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6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6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6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6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6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6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6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6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6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6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6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6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6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6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6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6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6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6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6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6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6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6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6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6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6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6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6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6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6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6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6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6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6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6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6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6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6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6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6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6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6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6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6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6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6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6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6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6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6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">
    <mergeCell ref="A1:F1"/>
  </mergeCells>
  <conditionalFormatting sqref="D7:D20">
    <cfRule type="cellIs" priority="1" operator="greaterThan" dxfId="7">
      <formula>0</formula>
    </cfRule>
    <cfRule type="cellIs" priority="2" operator="lessThan" dxfId="6">
      <formula>0</formula>
    </cfRule>
  </conditionalFormatting>
  <conditionalFormatting sqref="E7:E20">
    <cfRule type="cellIs" priority="3" operator="greaterThan" dxfId="7">
      <formula>0</formula>
    </cfRule>
    <cfRule type="cellIs" priority="4" operator="lessThan" dxfId="6">
      <formula>0</formula>
    </cfRule>
  </conditionalFormatting>
  <conditionalFormatting sqref="H7:H20">
    <cfRule type="cellIs" priority="5" operator="greaterThan" dxfId="7">
      <formula>0</formula>
    </cfRule>
    <cfRule type="cellIs" priority="6" operator="lessThan" dxfId="6">
      <formula>0</formula>
    </cfRule>
  </conditionalFormatting>
  <conditionalFormatting sqref="I7:I20">
    <cfRule type="cellIs" priority="7" operator="greaterThan" dxfId="7">
      <formula>0</formula>
    </cfRule>
    <cfRule type="cellIs" priority="8" operator="lessThan" dxfId="6">
      <formula>0</formula>
    </cfRule>
  </conditionalFormatting>
  <pageMargins left="0.75" right="0.75" top="1" bottom="1" header="0" footer="0"/>
  <pageSetup orientation="portrait" paperSize="9"/>
</worksheet>
</file>

<file path=xl/worksheets/sheet19.xml><?xml version="1.0" encoding="utf-8"?>
<worksheet xmlns="http://schemas.openxmlformats.org/spreadsheetml/2006/main">
  <sheetPr>
    <tabColor rgb="FF00808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168" min="1" max="3"/>
    <col width="16" customWidth="1" style="168" min="4" max="4"/>
    <col width="14" customWidth="1" style="168" min="5" max="5"/>
    <col width="16" customWidth="1" style="168" min="6" max="6"/>
    <col width="14" customWidth="1" style="168" min="7" max="7"/>
    <col width="20" customWidth="1" style="168" min="8" max="8"/>
    <col width="25" customWidth="1" style="168" min="9" max="9"/>
  </cols>
  <sheetData>
    <row r="1">
      <c r="A1" s="101" t="inlineStr">
        <is>
          <t>CURRENCY CONVERSION LOG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65" t="inlineStr">
        <is>
          <t>Date</t>
        </is>
      </c>
      <c r="B2" s="165" t="inlineStr">
        <is>
          <t>From Currency</t>
        </is>
      </c>
      <c r="C2" s="165" t="inlineStr">
        <is>
          <t>To Currency</t>
        </is>
      </c>
      <c r="D2" s="165" t="inlineStr">
        <is>
          <t>Amount Sent</t>
        </is>
      </c>
      <c r="E2" s="165" t="inlineStr">
        <is>
          <t>Exchange Rate</t>
        </is>
      </c>
      <c r="F2" s="165" t="inlineStr">
        <is>
          <t>Amount Received</t>
        </is>
      </c>
      <c r="G2" s="165" t="inlineStr">
        <is>
          <t>Fee/Charges</t>
        </is>
      </c>
      <c r="H2" s="165" t="inlineStr">
        <is>
          <t>Provider/Service</t>
        </is>
      </c>
      <c r="I2" s="165" t="inlineStr">
        <is>
          <t>Notes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13" t="n"/>
      <c r="B3" s="111" t="n"/>
      <c r="C3" s="111" t="n"/>
      <c r="D3" s="117" t="n"/>
      <c r="E3" s="166" t="n"/>
      <c r="F3" s="130">
        <f>IF(D3="","",D3*E3)</f>
        <v/>
      </c>
      <c r="G3" s="117" t="n"/>
      <c r="H3" s="111" t="n"/>
      <c r="I3" s="111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13" t="n"/>
      <c r="B4" s="111" t="n"/>
      <c r="C4" s="111" t="n"/>
      <c r="D4" s="117" t="n"/>
      <c r="E4" s="166" t="n"/>
      <c r="F4" s="130">
        <f>IF(D4="","",D4*E4)</f>
        <v/>
      </c>
      <c r="G4" s="117" t="n"/>
      <c r="H4" s="111" t="n"/>
      <c r="I4" s="111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13" t="n"/>
      <c r="B5" s="111" t="n"/>
      <c r="C5" s="111" t="n"/>
      <c r="D5" s="117" t="n"/>
      <c r="E5" s="166" t="n"/>
      <c r="F5" s="130">
        <f>IF(D5="","",D5*E5)</f>
        <v/>
      </c>
      <c r="G5" s="117" t="n"/>
      <c r="H5" s="111" t="n"/>
      <c r="I5" s="111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13" t="n"/>
      <c r="B6" s="111" t="n"/>
      <c r="C6" s="111" t="n"/>
      <c r="D6" s="117" t="n"/>
      <c r="E6" s="166" t="n"/>
      <c r="F6" s="130">
        <f>IF(D6="","",D6*E6)</f>
        <v/>
      </c>
      <c r="G6" s="117" t="n"/>
      <c r="H6" s="111" t="n"/>
      <c r="I6" s="111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113" t="n"/>
      <c r="B7" s="111" t="n"/>
      <c r="C7" s="111" t="n"/>
      <c r="D7" s="117" t="n"/>
      <c r="E7" s="166" t="n"/>
      <c r="F7" s="130">
        <f>IF(D7="","",D7*E7)</f>
        <v/>
      </c>
      <c r="G7" s="117" t="n"/>
      <c r="H7" s="111" t="n"/>
      <c r="I7" s="111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13" t="n"/>
      <c r="B8" s="111" t="n"/>
      <c r="C8" s="111" t="n"/>
      <c r="D8" s="117" t="n"/>
      <c r="E8" s="166" t="n"/>
      <c r="F8" s="130">
        <f>IF(D8="","",D8*E8)</f>
        <v/>
      </c>
      <c r="G8" s="117" t="n"/>
      <c r="H8" s="111" t="n"/>
      <c r="I8" s="111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13" t="n"/>
      <c r="B9" s="111" t="n"/>
      <c r="C9" s="111" t="n"/>
      <c r="D9" s="117" t="n"/>
      <c r="E9" s="166" t="n"/>
      <c r="F9" s="130">
        <f>IF(D9="","",D9*E9)</f>
        <v/>
      </c>
      <c r="G9" s="117" t="n"/>
      <c r="H9" s="111" t="n"/>
      <c r="I9" s="111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113" t="n"/>
      <c r="B10" s="111" t="n"/>
      <c r="C10" s="111" t="n"/>
      <c r="D10" s="117" t="n"/>
      <c r="E10" s="166" t="n"/>
      <c r="F10" s="130">
        <f>IF(D10="","",D10*E10)</f>
        <v/>
      </c>
      <c r="G10" s="117" t="n"/>
      <c r="H10" s="111" t="n"/>
      <c r="I10" s="111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113" t="n"/>
      <c r="B11" s="111" t="n"/>
      <c r="C11" s="111" t="n"/>
      <c r="D11" s="117" t="n"/>
      <c r="E11" s="166" t="n"/>
      <c r="F11" s="130">
        <f>IF(D11="","",D11*E11)</f>
        <v/>
      </c>
      <c r="G11" s="117" t="n"/>
      <c r="H11" s="111" t="n"/>
      <c r="I11" s="111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13" t="n"/>
      <c r="B12" s="111" t="n"/>
      <c r="C12" s="111" t="n"/>
      <c r="D12" s="117" t="n"/>
      <c r="E12" s="166" t="n"/>
      <c r="F12" s="130">
        <f>IF(D12="","",D12*E12)</f>
        <v/>
      </c>
      <c r="G12" s="117" t="n"/>
      <c r="H12" s="111" t="n"/>
      <c r="I12" s="111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113" t="n"/>
      <c r="B13" s="111" t="n"/>
      <c r="C13" s="111" t="n"/>
      <c r="D13" s="117" t="n"/>
      <c r="E13" s="166" t="n"/>
      <c r="F13" s="130">
        <f>IF(D13="","",D13*E13)</f>
        <v/>
      </c>
      <c r="G13" s="117" t="n"/>
      <c r="H13" s="111" t="n"/>
      <c r="I13" s="111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113" t="n"/>
      <c r="B14" s="111" t="n"/>
      <c r="C14" s="111" t="n"/>
      <c r="D14" s="117" t="n"/>
      <c r="E14" s="166" t="n"/>
      <c r="F14" s="130">
        <f>IF(D14="","",D14*E14)</f>
        <v/>
      </c>
      <c r="G14" s="117" t="n"/>
      <c r="H14" s="111" t="n"/>
      <c r="I14" s="111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113" t="n"/>
      <c r="B15" s="111" t="n"/>
      <c r="C15" s="111" t="n"/>
      <c r="D15" s="117" t="n"/>
      <c r="E15" s="166" t="n"/>
      <c r="F15" s="130">
        <f>IF(D15="","",D15*E15)</f>
        <v/>
      </c>
      <c r="G15" s="117" t="n"/>
      <c r="H15" s="111" t="n"/>
      <c r="I15" s="111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113" t="n"/>
      <c r="B16" s="111" t="n"/>
      <c r="C16" s="111" t="n"/>
      <c r="D16" s="117" t="n"/>
      <c r="E16" s="166" t="n"/>
      <c r="F16" s="130">
        <f>IF(D16="","",D16*E16)</f>
        <v/>
      </c>
      <c r="G16" s="117" t="n"/>
      <c r="H16" s="111" t="n"/>
      <c r="I16" s="111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113" t="n"/>
      <c r="B17" s="111" t="n"/>
      <c r="C17" s="111" t="n"/>
      <c r="D17" s="117" t="n"/>
      <c r="E17" s="166" t="n"/>
      <c r="F17" s="130">
        <f>IF(D17="","",D17*E17)</f>
        <v/>
      </c>
      <c r="G17" s="117" t="n"/>
      <c r="H17" s="111" t="n"/>
      <c r="I17" s="111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113" t="n"/>
      <c r="B18" s="111" t="n"/>
      <c r="C18" s="111" t="n"/>
      <c r="D18" s="117" t="n"/>
      <c r="E18" s="166" t="n"/>
      <c r="F18" s="130">
        <f>IF(D18="","",D18*E18)</f>
        <v/>
      </c>
      <c r="G18" s="117" t="n"/>
      <c r="H18" s="111" t="n"/>
      <c r="I18" s="111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113" t="n"/>
      <c r="B19" s="111" t="n"/>
      <c r="C19" s="111" t="n"/>
      <c r="D19" s="117" t="n"/>
      <c r="E19" s="166" t="n"/>
      <c r="F19" s="130">
        <f>IF(D19="","",D19*E19)</f>
        <v/>
      </c>
      <c r="G19" s="117" t="n"/>
      <c r="H19" s="111" t="n"/>
      <c r="I19" s="111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113" t="n"/>
      <c r="B20" s="111" t="n"/>
      <c r="C20" s="111" t="n"/>
      <c r="D20" s="117" t="n"/>
      <c r="E20" s="166" t="n"/>
      <c r="F20" s="130">
        <f>IF(D20="","",D20*E20)</f>
        <v/>
      </c>
      <c r="G20" s="117" t="n"/>
      <c r="H20" s="111" t="n"/>
      <c r="I20" s="111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68">
      <c r="A21" s="113" t="n"/>
      <c r="B21" s="111" t="n"/>
      <c r="C21" s="111" t="n"/>
      <c r="D21" s="117" t="n"/>
      <c r="E21" s="166" t="n"/>
      <c r="F21" s="130">
        <f>IF(D21="","",D21*E21)</f>
        <v/>
      </c>
      <c r="G21" s="117" t="n"/>
      <c r="H21" s="111" t="n"/>
      <c r="I21" s="111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68">
      <c r="A22" s="113" t="n"/>
      <c r="B22" s="111" t="n"/>
      <c r="C22" s="111" t="n"/>
      <c r="D22" s="117" t="n"/>
      <c r="E22" s="166" t="n"/>
      <c r="F22" s="130">
        <f>IF(D22="","",D22*E22)</f>
        <v/>
      </c>
      <c r="G22" s="117" t="n"/>
      <c r="H22" s="111" t="n"/>
      <c r="I22" s="111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68">
      <c r="A23" s="113" t="n"/>
      <c r="B23" s="111" t="n"/>
      <c r="C23" s="111" t="n"/>
      <c r="D23" s="117" t="n"/>
      <c r="E23" s="166" t="n"/>
      <c r="F23" s="130">
        <f>IF(D23="","",D23*E23)</f>
        <v/>
      </c>
      <c r="G23" s="117" t="n"/>
      <c r="H23" s="111" t="n"/>
      <c r="I23" s="111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68">
      <c r="A24" s="113" t="n"/>
      <c r="B24" s="111" t="n"/>
      <c r="C24" s="111" t="n"/>
      <c r="D24" s="117" t="n"/>
      <c r="E24" s="166" t="n"/>
      <c r="F24" s="130">
        <f>IF(D24="","",D24*E24)</f>
        <v/>
      </c>
      <c r="G24" s="117" t="n"/>
      <c r="H24" s="111" t="n"/>
      <c r="I24" s="111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68">
      <c r="A25" s="113" t="n"/>
      <c r="B25" s="111" t="n"/>
      <c r="C25" s="111" t="n"/>
      <c r="D25" s="117" t="n"/>
      <c r="E25" s="166" t="n"/>
      <c r="F25" s="130">
        <f>IF(D25="","",D25*E25)</f>
        <v/>
      </c>
      <c r="G25" s="117" t="n"/>
      <c r="H25" s="111" t="n"/>
      <c r="I25" s="111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68">
      <c r="A26" s="113" t="n"/>
      <c r="B26" s="111" t="n"/>
      <c r="C26" s="111" t="n"/>
      <c r="D26" s="117" t="n"/>
      <c r="E26" s="166" t="n"/>
      <c r="F26" s="130">
        <f>IF(D26="","",D26*E26)</f>
        <v/>
      </c>
      <c r="G26" s="117" t="n"/>
      <c r="H26" s="111" t="n"/>
      <c r="I26" s="111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68">
      <c r="A27" s="113" t="n"/>
      <c r="B27" s="111" t="n"/>
      <c r="C27" s="111" t="n"/>
      <c r="D27" s="117" t="n"/>
      <c r="E27" s="166" t="n"/>
      <c r="F27" s="130">
        <f>IF(D27="","",D27*E27)</f>
        <v/>
      </c>
      <c r="G27" s="117" t="n"/>
      <c r="H27" s="111" t="n"/>
      <c r="I27" s="111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68">
      <c r="A28" s="113" t="n"/>
      <c r="B28" s="111" t="n"/>
      <c r="C28" s="111" t="n"/>
      <c r="D28" s="117" t="n"/>
      <c r="E28" s="166" t="n"/>
      <c r="F28" s="130">
        <f>IF(D28="","",D28*E28)</f>
        <v/>
      </c>
      <c r="G28" s="117" t="n"/>
      <c r="H28" s="111" t="n"/>
      <c r="I28" s="111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68">
      <c r="A29" s="113" t="n"/>
      <c r="B29" s="111" t="n"/>
      <c r="C29" s="111" t="n"/>
      <c r="D29" s="117" t="n"/>
      <c r="E29" s="166" t="n"/>
      <c r="F29" s="130">
        <f>IF(D29="","",D29*E29)</f>
        <v/>
      </c>
      <c r="G29" s="117" t="n"/>
      <c r="H29" s="111" t="n"/>
      <c r="I29" s="111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68">
      <c r="A30" s="113" t="n"/>
      <c r="B30" s="111" t="n"/>
      <c r="C30" s="111" t="n"/>
      <c r="D30" s="117" t="n"/>
      <c r="E30" s="166" t="n"/>
      <c r="F30" s="130">
        <f>IF(D30="","",D30*E30)</f>
        <v/>
      </c>
      <c r="G30" s="117" t="n"/>
      <c r="H30" s="111" t="n"/>
      <c r="I30" s="111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68">
      <c r="A31" s="113" t="n"/>
      <c r="B31" s="111" t="n"/>
      <c r="C31" s="111" t="n"/>
      <c r="D31" s="117" t="n"/>
      <c r="E31" s="166" t="n"/>
      <c r="F31" s="130">
        <f>IF(D31="","",D31*E31)</f>
        <v/>
      </c>
      <c r="G31" s="117" t="n"/>
      <c r="H31" s="111" t="n"/>
      <c r="I31" s="111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68">
      <c r="A32" s="113" t="n"/>
      <c r="B32" s="111" t="n"/>
      <c r="C32" s="111" t="n"/>
      <c r="D32" s="117" t="n"/>
      <c r="E32" s="166" t="n"/>
      <c r="F32" s="130">
        <f>IF(D32="","",D32*E32)</f>
        <v/>
      </c>
      <c r="G32" s="117" t="n"/>
      <c r="H32" s="111" t="n"/>
      <c r="I32" s="111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68">
      <c r="A33" s="113" t="n"/>
      <c r="B33" s="111" t="n"/>
      <c r="C33" s="111" t="n"/>
      <c r="D33" s="117" t="n"/>
      <c r="E33" s="166" t="n"/>
      <c r="F33" s="130">
        <f>IF(D33="","",D33*E33)</f>
        <v/>
      </c>
      <c r="G33" s="117" t="n"/>
      <c r="H33" s="111" t="n"/>
      <c r="I33" s="111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68">
      <c r="A34" s="113" t="n"/>
      <c r="B34" s="111" t="n"/>
      <c r="C34" s="111" t="n"/>
      <c r="D34" s="117" t="n"/>
      <c r="E34" s="166" t="n"/>
      <c r="F34" s="130">
        <f>IF(D34="","",D34*E34)</f>
        <v/>
      </c>
      <c r="G34" s="117" t="n"/>
      <c r="H34" s="111" t="n"/>
      <c r="I34" s="111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68">
      <c r="A35" s="113" t="n"/>
      <c r="B35" s="111" t="n"/>
      <c r="C35" s="111" t="n"/>
      <c r="D35" s="117" t="n"/>
      <c r="E35" s="166" t="n"/>
      <c r="F35" s="130">
        <f>IF(D35="","",D35*E35)</f>
        <v/>
      </c>
      <c r="G35" s="117" t="n"/>
      <c r="H35" s="111" t="n"/>
      <c r="I35" s="111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68">
      <c r="A36" s="113" t="n"/>
      <c r="B36" s="111" t="n"/>
      <c r="C36" s="111" t="n"/>
      <c r="D36" s="117" t="n"/>
      <c r="E36" s="166" t="n"/>
      <c r="F36" s="130">
        <f>IF(D36="","",D36*E36)</f>
        <v/>
      </c>
      <c r="G36" s="117" t="n"/>
      <c r="H36" s="111" t="n"/>
      <c r="I36" s="111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68">
      <c r="A37" s="113" t="n"/>
      <c r="B37" s="111" t="n"/>
      <c r="C37" s="111" t="n"/>
      <c r="D37" s="117" t="n"/>
      <c r="E37" s="166" t="n"/>
      <c r="F37" s="130">
        <f>IF(D37="","",D37*E37)</f>
        <v/>
      </c>
      <c r="G37" s="117" t="n"/>
      <c r="H37" s="111" t="n"/>
      <c r="I37" s="111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68">
      <c r="A38" s="113" t="n"/>
      <c r="B38" s="111" t="n"/>
      <c r="C38" s="111" t="n"/>
      <c r="D38" s="117" t="n"/>
      <c r="E38" s="166" t="n"/>
      <c r="F38" s="130">
        <f>IF(D38="","",D38*E38)</f>
        <v/>
      </c>
      <c r="G38" s="117" t="n"/>
      <c r="H38" s="111" t="n"/>
      <c r="I38" s="111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68">
      <c r="A39" s="113" t="n"/>
      <c r="B39" s="111" t="n"/>
      <c r="C39" s="111" t="n"/>
      <c r="D39" s="117" t="n"/>
      <c r="E39" s="166" t="n"/>
      <c r="F39" s="130">
        <f>IF(D39="","",D39*E39)</f>
        <v/>
      </c>
      <c r="G39" s="117" t="n"/>
      <c r="H39" s="111" t="n"/>
      <c r="I39" s="111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68">
      <c r="A40" s="113" t="n"/>
      <c r="B40" s="111" t="n"/>
      <c r="C40" s="111" t="n"/>
      <c r="D40" s="117" t="n"/>
      <c r="E40" s="166" t="n"/>
      <c r="F40" s="130">
        <f>IF(D40="","",D40*E40)</f>
        <v/>
      </c>
      <c r="G40" s="117" t="n"/>
      <c r="H40" s="111" t="n"/>
      <c r="I40" s="111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68">
      <c r="A41" s="113" t="n"/>
      <c r="B41" s="111" t="n"/>
      <c r="C41" s="111" t="n"/>
      <c r="D41" s="117" t="n"/>
      <c r="E41" s="166" t="n"/>
      <c r="F41" s="130">
        <f>IF(D41="","",D41*E41)</f>
        <v/>
      </c>
      <c r="G41" s="117" t="n"/>
      <c r="H41" s="111" t="n"/>
      <c r="I41" s="111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68">
      <c r="A42" s="113" t="n"/>
      <c r="B42" s="111" t="n"/>
      <c r="C42" s="111" t="n"/>
      <c r="D42" s="117" t="n"/>
      <c r="E42" s="166" t="n"/>
      <c r="F42" s="130">
        <f>IF(D42="","",D42*E42)</f>
        <v/>
      </c>
      <c r="G42" s="117" t="n"/>
      <c r="H42" s="111" t="n"/>
      <c r="I42" s="111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68">
      <c r="A43" s="113" t="n"/>
      <c r="B43" s="111" t="n"/>
      <c r="C43" s="111" t="n"/>
      <c r="D43" s="117" t="n"/>
      <c r="E43" s="166" t="n"/>
      <c r="F43" s="130">
        <f>IF(D43="","",D43*E43)</f>
        <v/>
      </c>
      <c r="G43" s="117" t="n"/>
      <c r="H43" s="111" t="n"/>
      <c r="I43" s="111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68">
      <c r="A44" s="113" t="n"/>
      <c r="B44" s="111" t="n"/>
      <c r="C44" s="111" t="n"/>
      <c r="D44" s="117" t="n"/>
      <c r="E44" s="166" t="n"/>
      <c r="F44" s="130">
        <f>IF(D44="","",D44*E44)</f>
        <v/>
      </c>
      <c r="G44" s="117" t="n"/>
      <c r="H44" s="111" t="n"/>
      <c r="I44" s="111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68">
      <c r="A45" s="113" t="n"/>
      <c r="B45" s="111" t="n"/>
      <c r="C45" s="111" t="n"/>
      <c r="D45" s="117" t="n"/>
      <c r="E45" s="166" t="n"/>
      <c r="F45" s="130">
        <f>IF(D45="","",D45*E45)</f>
        <v/>
      </c>
      <c r="G45" s="117" t="n"/>
      <c r="H45" s="111" t="n"/>
      <c r="I45" s="111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68">
      <c r="A46" s="113" t="n"/>
      <c r="B46" s="111" t="n"/>
      <c r="C46" s="111" t="n"/>
      <c r="D46" s="117" t="n"/>
      <c r="E46" s="166" t="n"/>
      <c r="F46" s="130">
        <f>IF(D46="","",D46*E46)</f>
        <v/>
      </c>
      <c r="G46" s="117" t="n"/>
      <c r="H46" s="111" t="n"/>
      <c r="I46" s="111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68">
      <c r="A47" s="113" t="n"/>
      <c r="B47" s="111" t="n"/>
      <c r="C47" s="111" t="n"/>
      <c r="D47" s="117" t="n"/>
      <c r="E47" s="166" t="n"/>
      <c r="F47" s="130">
        <f>IF(D47="","",D47*E47)</f>
        <v/>
      </c>
      <c r="G47" s="117" t="n"/>
      <c r="H47" s="111" t="n"/>
      <c r="I47" s="111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68">
      <c r="A48" s="113" t="n"/>
      <c r="B48" s="111" t="n"/>
      <c r="C48" s="111" t="n"/>
      <c r="D48" s="117" t="n"/>
      <c r="E48" s="166" t="n"/>
      <c r="F48" s="130">
        <f>IF(D48="","",D48*E48)</f>
        <v/>
      </c>
      <c r="G48" s="117" t="n"/>
      <c r="H48" s="111" t="n"/>
      <c r="I48" s="111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68">
      <c r="A49" s="113" t="n"/>
      <c r="B49" s="111" t="n"/>
      <c r="C49" s="111" t="n"/>
      <c r="D49" s="117" t="n"/>
      <c r="E49" s="166" t="n"/>
      <c r="F49" s="130">
        <f>IF(D49="","",D49*E49)</f>
        <v/>
      </c>
      <c r="G49" s="117" t="n"/>
      <c r="H49" s="111" t="n"/>
      <c r="I49" s="111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68">
      <c r="A50" s="113" t="n"/>
      <c r="B50" s="111" t="n"/>
      <c r="C50" s="111" t="n"/>
      <c r="D50" s="117" t="n"/>
      <c r="E50" s="166" t="n"/>
      <c r="F50" s="130">
        <f>IF(D50="","",D50*E50)</f>
        <v/>
      </c>
      <c r="G50" s="117" t="n"/>
      <c r="H50" s="111" t="n"/>
      <c r="I50" s="111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68">
      <c r="A51" s="113" t="n"/>
      <c r="B51" s="111" t="n"/>
      <c r="C51" s="111" t="n"/>
      <c r="D51" s="117" t="n"/>
      <c r="E51" s="166" t="n"/>
      <c r="F51" s="130">
        <f>IF(D51="","",D51*E51)</f>
        <v/>
      </c>
      <c r="G51" s="117" t="n"/>
      <c r="H51" s="111" t="n"/>
      <c r="I51" s="111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68">
      <c r="A52" s="113" t="n"/>
      <c r="B52" s="111" t="n"/>
      <c r="C52" s="111" t="n"/>
      <c r="D52" s="117" t="n"/>
      <c r="E52" s="166" t="n"/>
      <c r="F52" s="130">
        <f>IF(D52="","",D52*E52)</f>
        <v/>
      </c>
      <c r="G52" s="117" t="n"/>
      <c r="H52" s="111" t="n"/>
      <c r="I52" s="111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68">
      <c r="A53" s="113" t="n"/>
      <c r="B53" s="111" t="n"/>
      <c r="C53" s="111" t="n"/>
      <c r="D53" s="117" t="n"/>
      <c r="E53" s="166" t="n"/>
      <c r="F53" s="130">
        <f>IF(D53="","",D53*E53)</f>
        <v/>
      </c>
      <c r="G53" s="117" t="n"/>
      <c r="H53" s="111" t="n"/>
      <c r="I53" s="111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68">
      <c r="A54" s="113" t="n"/>
      <c r="B54" s="111" t="n"/>
      <c r="C54" s="111" t="n"/>
      <c r="D54" s="117" t="n"/>
      <c r="E54" s="166" t="n"/>
      <c r="F54" s="130">
        <f>IF(D54="","",D54*E54)</f>
        <v/>
      </c>
      <c r="G54" s="117" t="n"/>
      <c r="H54" s="111" t="n"/>
      <c r="I54" s="111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68">
      <c r="A55" s="113" t="n"/>
      <c r="B55" s="111" t="n"/>
      <c r="C55" s="111" t="n"/>
      <c r="D55" s="117" t="n"/>
      <c r="E55" s="166" t="n"/>
      <c r="F55" s="130">
        <f>IF(D55="","",D55*E55)</f>
        <v/>
      </c>
      <c r="G55" s="117" t="n"/>
      <c r="H55" s="111" t="n"/>
      <c r="I55" s="111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68">
      <c r="A56" s="113" t="n"/>
      <c r="B56" s="111" t="n"/>
      <c r="C56" s="111" t="n"/>
      <c r="D56" s="117" t="n"/>
      <c r="E56" s="166" t="n"/>
      <c r="F56" s="130">
        <f>IF(D56="","",D56*E56)</f>
        <v/>
      </c>
      <c r="G56" s="117" t="n"/>
      <c r="H56" s="111" t="n"/>
      <c r="I56" s="111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68">
      <c r="A57" s="113" t="n"/>
      <c r="B57" s="111" t="n"/>
      <c r="C57" s="111" t="n"/>
      <c r="D57" s="117" t="n"/>
      <c r="E57" s="166" t="n"/>
      <c r="F57" s="130">
        <f>IF(D57="","",D57*E57)</f>
        <v/>
      </c>
      <c r="G57" s="117" t="n"/>
      <c r="H57" s="111" t="n"/>
      <c r="I57" s="111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68">
      <c r="A58" s="113" t="n"/>
      <c r="B58" s="111" t="n"/>
      <c r="C58" s="111" t="n"/>
      <c r="D58" s="117" t="n"/>
      <c r="E58" s="166" t="n"/>
      <c r="F58" s="130">
        <f>IF(D58="","",D58*E58)</f>
        <v/>
      </c>
      <c r="G58" s="117" t="n"/>
      <c r="H58" s="111" t="n"/>
      <c r="I58" s="111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68">
      <c r="A59" s="113" t="n"/>
      <c r="B59" s="111" t="n"/>
      <c r="C59" s="111" t="n"/>
      <c r="D59" s="117" t="n"/>
      <c r="E59" s="166" t="n"/>
      <c r="F59" s="130">
        <f>IF(D59="","",D59*E59)</f>
        <v/>
      </c>
      <c r="G59" s="117" t="n"/>
      <c r="H59" s="111" t="n"/>
      <c r="I59" s="111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68">
      <c r="A60" s="113" t="n"/>
      <c r="B60" s="111" t="n"/>
      <c r="C60" s="111" t="n"/>
      <c r="D60" s="117" t="n"/>
      <c r="E60" s="166" t="n"/>
      <c r="F60" s="130">
        <f>IF(D60="","",D60*E60)</f>
        <v/>
      </c>
      <c r="G60" s="117" t="n"/>
      <c r="H60" s="111" t="n"/>
      <c r="I60" s="111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68">
      <c r="A61" s="113" t="n"/>
      <c r="B61" s="111" t="n"/>
      <c r="C61" s="111" t="n"/>
      <c r="D61" s="117" t="n"/>
      <c r="E61" s="166" t="n"/>
      <c r="F61" s="130">
        <f>IF(D61="","",D61*E61)</f>
        <v/>
      </c>
      <c r="G61" s="117" t="n"/>
      <c r="H61" s="111" t="n"/>
      <c r="I61" s="111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68">
      <c r="A62" s="113" t="n"/>
      <c r="B62" s="111" t="n"/>
      <c r="C62" s="111" t="n"/>
      <c r="D62" s="117" t="n"/>
      <c r="E62" s="166" t="n"/>
      <c r="F62" s="130">
        <f>IF(D62="","",D62*E62)</f>
        <v/>
      </c>
      <c r="G62" s="117" t="n"/>
      <c r="H62" s="111" t="n"/>
      <c r="I62" s="111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68">
      <c r="A63" s="113" t="n"/>
      <c r="B63" s="111" t="n"/>
      <c r="C63" s="111" t="n"/>
      <c r="D63" s="117" t="n"/>
      <c r="E63" s="166" t="n"/>
      <c r="F63" s="130">
        <f>IF(D63="","",D63*E63)</f>
        <v/>
      </c>
      <c r="G63" s="117" t="n"/>
      <c r="H63" s="111" t="n"/>
      <c r="I63" s="111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68">
      <c r="A64" s="113" t="n"/>
      <c r="B64" s="111" t="n"/>
      <c r="C64" s="111" t="n"/>
      <c r="D64" s="117" t="n"/>
      <c r="E64" s="166" t="n"/>
      <c r="F64" s="130">
        <f>IF(D64="","",D64*E64)</f>
        <v/>
      </c>
      <c r="G64" s="117" t="n"/>
      <c r="H64" s="111" t="n"/>
      <c r="I64" s="111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68">
      <c r="A65" s="113" t="n"/>
      <c r="B65" s="111" t="n"/>
      <c r="C65" s="111" t="n"/>
      <c r="D65" s="117" t="n"/>
      <c r="E65" s="166" t="n"/>
      <c r="F65" s="130">
        <f>IF(D65="","",D65*E65)</f>
        <v/>
      </c>
      <c r="G65" s="117" t="n"/>
      <c r="H65" s="111" t="n"/>
      <c r="I65" s="111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68">
      <c r="A66" s="113" t="n"/>
      <c r="B66" s="111" t="n"/>
      <c r="C66" s="111" t="n"/>
      <c r="D66" s="117" t="n"/>
      <c r="E66" s="166" t="n"/>
      <c r="F66" s="130">
        <f>IF(D66="","",D66*E66)</f>
        <v/>
      </c>
      <c r="G66" s="117" t="n"/>
      <c r="H66" s="111" t="n"/>
      <c r="I66" s="111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68">
      <c r="A67" s="113" t="n"/>
      <c r="B67" s="111" t="n"/>
      <c r="C67" s="111" t="n"/>
      <c r="D67" s="117" t="n"/>
      <c r="E67" s="166" t="n"/>
      <c r="F67" s="130">
        <f>IF(D67="","",D67*E67)</f>
        <v/>
      </c>
      <c r="G67" s="117" t="n"/>
      <c r="H67" s="111" t="n"/>
      <c r="I67" s="111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68">
      <c r="A68" s="113" t="n"/>
      <c r="B68" s="111" t="n"/>
      <c r="C68" s="111" t="n"/>
      <c r="D68" s="117" t="n"/>
      <c r="E68" s="166" t="n"/>
      <c r="F68" s="130">
        <f>IF(D68="","",D68*E68)</f>
        <v/>
      </c>
      <c r="G68" s="117" t="n"/>
      <c r="H68" s="111" t="n"/>
      <c r="I68" s="111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68">
      <c r="A69" s="113" t="n"/>
      <c r="B69" s="111" t="n"/>
      <c r="C69" s="111" t="n"/>
      <c r="D69" s="117" t="n"/>
      <c r="E69" s="166" t="n"/>
      <c r="F69" s="130">
        <f>IF(D69="","",D69*E69)</f>
        <v/>
      </c>
      <c r="G69" s="117" t="n"/>
      <c r="H69" s="111" t="n"/>
      <c r="I69" s="111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68">
      <c r="A70" s="113" t="n"/>
      <c r="B70" s="111" t="n"/>
      <c r="C70" s="111" t="n"/>
      <c r="D70" s="117" t="n"/>
      <c r="E70" s="166" t="n"/>
      <c r="F70" s="130">
        <f>IF(D70="","",D70*E70)</f>
        <v/>
      </c>
      <c r="G70" s="117" t="n"/>
      <c r="H70" s="111" t="n"/>
      <c r="I70" s="111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68">
      <c r="A71" s="113" t="n"/>
      <c r="B71" s="111" t="n"/>
      <c r="C71" s="111" t="n"/>
      <c r="D71" s="117" t="n"/>
      <c r="E71" s="166" t="n"/>
      <c r="F71" s="130">
        <f>IF(D71="","",D71*E71)</f>
        <v/>
      </c>
      <c r="G71" s="117" t="n"/>
      <c r="H71" s="111" t="n"/>
      <c r="I71" s="111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68">
      <c r="A72" s="113" t="n"/>
      <c r="B72" s="111" t="n"/>
      <c r="C72" s="111" t="n"/>
      <c r="D72" s="117" t="n"/>
      <c r="E72" s="166" t="n"/>
      <c r="F72" s="130">
        <f>IF(D72="","",D72*E72)</f>
        <v/>
      </c>
      <c r="G72" s="117" t="n"/>
      <c r="H72" s="111" t="n"/>
      <c r="I72" s="111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68">
      <c r="A73" s="113" t="n"/>
      <c r="B73" s="111" t="n"/>
      <c r="C73" s="111" t="n"/>
      <c r="D73" s="117" t="n"/>
      <c r="E73" s="166" t="n"/>
      <c r="F73" s="130">
        <f>IF(D73="","",D73*E73)</f>
        <v/>
      </c>
      <c r="G73" s="117" t="n"/>
      <c r="H73" s="111" t="n"/>
      <c r="I73" s="111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68">
      <c r="A74" s="113" t="n"/>
      <c r="B74" s="111" t="n"/>
      <c r="C74" s="111" t="n"/>
      <c r="D74" s="117" t="n"/>
      <c r="E74" s="166" t="n"/>
      <c r="F74" s="130">
        <f>IF(D74="","",D74*E74)</f>
        <v/>
      </c>
      <c r="G74" s="117" t="n"/>
      <c r="H74" s="111" t="n"/>
      <c r="I74" s="111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68">
      <c r="A75" s="113" t="n"/>
      <c r="B75" s="111" t="n"/>
      <c r="C75" s="111" t="n"/>
      <c r="D75" s="117" t="n"/>
      <c r="E75" s="166" t="n"/>
      <c r="F75" s="130">
        <f>IF(D75="","",D75*E75)</f>
        <v/>
      </c>
      <c r="G75" s="117" t="n"/>
      <c r="H75" s="111" t="n"/>
      <c r="I75" s="111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68">
      <c r="A76" s="113" t="n"/>
      <c r="B76" s="111" t="n"/>
      <c r="C76" s="111" t="n"/>
      <c r="D76" s="117" t="n"/>
      <c r="E76" s="166" t="n"/>
      <c r="F76" s="130">
        <f>IF(D76="","",D76*E76)</f>
        <v/>
      </c>
      <c r="G76" s="117" t="n"/>
      <c r="H76" s="111" t="n"/>
      <c r="I76" s="111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68">
      <c r="A77" s="113" t="n"/>
      <c r="B77" s="111" t="n"/>
      <c r="C77" s="111" t="n"/>
      <c r="D77" s="117" t="n"/>
      <c r="E77" s="166" t="n"/>
      <c r="F77" s="130">
        <f>IF(D77="","",D77*E77)</f>
        <v/>
      </c>
      <c r="G77" s="117" t="n"/>
      <c r="H77" s="111" t="n"/>
      <c r="I77" s="111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68">
      <c r="A78" s="113" t="n"/>
      <c r="B78" s="111" t="n"/>
      <c r="C78" s="111" t="n"/>
      <c r="D78" s="117" t="n"/>
      <c r="E78" s="166" t="n"/>
      <c r="F78" s="130">
        <f>IF(D78="","",D78*E78)</f>
        <v/>
      </c>
      <c r="G78" s="117" t="n"/>
      <c r="H78" s="111" t="n"/>
      <c r="I78" s="111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68">
      <c r="A79" s="113" t="n"/>
      <c r="B79" s="111" t="n"/>
      <c r="C79" s="111" t="n"/>
      <c r="D79" s="117" t="n"/>
      <c r="E79" s="166" t="n"/>
      <c r="F79" s="130">
        <f>IF(D79="","",D79*E79)</f>
        <v/>
      </c>
      <c r="G79" s="117" t="n"/>
      <c r="H79" s="111" t="n"/>
      <c r="I79" s="111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68">
      <c r="A80" s="113" t="n"/>
      <c r="B80" s="111" t="n"/>
      <c r="C80" s="111" t="n"/>
      <c r="D80" s="117" t="n"/>
      <c r="E80" s="166" t="n"/>
      <c r="F80" s="130">
        <f>IF(D80="","",D80*E80)</f>
        <v/>
      </c>
      <c r="G80" s="117" t="n"/>
      <c r="H80" s="111" t="n"/>
      <c r="I80" s="111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68">
      <c r="A81" s="113" t="n"/>
      <c r="B81" s="111" t="n"/>
      <c r="C81" s="111" t="n"/>
      <c r="D81" s="117" t="n"/>
      <c r="E81" s="166" t="n"/>
      <c r="F81" s="130">
        <f>IF(D81="","",D81*E81)</f>
        <v/>
      </c>
      <c r="G81" s="117" t="n"/>
      <c r="H81" s="111" t="n"/>
      <c r="I81" s="111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68">
      <c r="A82" s="113" t="n"/>
      <c r="B82" s="111" t="n"/>
      <c r="C82" s="111" t="n"/>
      <c r="D82" s="117" t="n"/>
      <c r="E82" s="166" t="n"/>
      <c r="F82" s="130">
        <f>IF(D82="","",D82*E82)</f>
        <v/>
      </c>
      <c r="G82" s="117" t="n"/>
      <c r="H82" s="111" t="n"/>
      <c r="I82" s="111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68">
      <c r="A83" s="113" t="n"/>
      <c r="B83" s="111" t="n"/>
      <c r="C83" s="111" t="n"/>
      <c r="D83" s="117" t="n"/>
      <c r="E83" s="166" t="n"/>
      <c r="F83" s="130">
        <f>IF(D83="","",D83*E83)</f>
        <v/>
      </c>
      <c r="G83" s="117" t="n"/>
      <c r="H83" s="111" t="n"/>
      <c r="I83" s="111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68">
      <c r="A84" s="113" t="n"/>
      <c r="B84" s="111" t="n"/>
      <c r="C84" s="111" t="n"/>
      <c r="D84" s="117" t="n"/>
      <c r="E84" s="166" t="n"/>
      <c r="F84" s="130">
        <f>IF(D84="","",D84*E84)</f>
        <v/>
      </c>
      <c r="G84" s="117" t="n"/>
      <c r="H84" s="111" t="n"/>
      <c r="I84" s="111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68">
      <c r="A85" s="113" t="n"/>
      <c r="B85" s="111" t="n"/>
      <c r="C85" s="111" t="n"/>
      <c r="D85" s="117" t="n"/>
      <c r="E85" s="166" t="n"/>
      <c r="F85" s="130">
        <f>IF(D85="","",D85*E85)</f>
        <v/>
      </c>
      <c r="G85" s="117" t="n"/>
      <c r="H85" s="111" t="n"/>
      <c r="I85" s="111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68">
      <c r="A86" s="113" t="n"/>
      <c r="B86" s="111" t="n"/>
      <c r="C86" s="111" t="n"/>
      <c r="D86" s="117" t="n"/>
      <c r="E86" s="166" t="n"/>
      <c r="F86" s="130">
        <f>IF(D86="","",D86*E86)</f>
        <v/>
      </c>
      <c r="G86" s="117" t="n"/>
      <c r="H86" s="111" t="n"/>
      <c r="I86" s="111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68">
      <c r="A87" s="113" t="n"/>
      <c r="B87" s="111" t="n"/>
      <c r="C87" s="111" t="n"/>
      <c r="D87" s="117" t="n"/>
      <c r="E87" s="166" t="n"/>
      <c r="F87" s="130">
        <f>IF(D87="","",D87*E87)</f>
        <v/>
      </c>
      <c r="G87" s="117" t="n"/>
      <c r="H87" s="111" t="n"/>
      <c r="I87" s="111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68">
      <c r="A88" s="113" t="n"/>
      <c r="B88" s="111" t="n"/>
      <c r="C88" s="111" t="n"/>
      <c r="D88" s="117" t="n"/>
      <c r="E88" s="166" t="n"/>
      <c r="F88" s="130">
        <f>IF(D88="","",D88*E88)</f>
        <v/>
      </c>
      <c r="G88" s="117" t="n"/>
      <c r="H88" s="111" t="n"/>
      <c r="I88" s="111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68">
      <c r="A89" s="113" t="n"/>
      <c r="B89" s="111" t="n"/>
      <c r="C89" s="111" t="n"/>
      <c r="D89" s="117" t="n"/>
      <c r="E89" s="166" t="n"/>
      <c r="F89" s="130">
        <f>IF(D89="","",D89*E89)</f>
        <v/>
      </c>
      <c r="G89" s="117" t="n"/>
      <c r="H89" s="111" t="n"/>
      <c r="I89" s="111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68">
      <c r="A90" s="113" t="n"/>
      <c r="B90" s="111" t="n"/>
      <c r="C90" s="111" t="n"/>
      <c r="D90" s="117" t="n"/>
      <c r="E90" s="166" t="n"/>
      <c r="F90" s="130">
        <f>IF(D90="","",D90*E90)</f>
        <v/>
      </c>
      <c r="G90" s="117" t="n"/>
      <c r="H90" s="111" t="n"/>
      <c r="I90" s="111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68">
      <c r="A91" s="113" t="n"/>
      <c r="B91" s="111" t="n"/>
      <c r="C91" s="111" t="n"/>
      <c r="D91" s="117" t="n"/>
      <c r="E91" s="166" t="n"/>
      <c r="F91" s="130">
        <f>IF(D91="","",D91*E91)</f>
        <v/>
      </c>
      <c r="G91" s="117" t="n"/>
      <c r="H91" s="111" t="n"/>
      <c r="I91" s="111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68">
      <c r="A92" s="113" t="n"/>
      <c r="B92" s="111" t="n"/>
      <c r="C92" s="111" t="n"/>
      <c r="D92" s="117" t="n"/>
      <c r="E92" s="166" t="n"/>
      <c r="F92" s="130">
        <f>IF(D92="","",D92*E92)</f>
        <v/>
      </c>
      <c r="G92" s="117" t="n"/>
      <c r="H92" s="111" t="n"/>
      <c r="I92" s="111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68">
      <c r="A93" s="113" t="n"/>
      <c r="B93" s="111" t="n"/>
      <c r="C93" s="111" t="n"/>
      <c r="D93" s="117" t="n"/>
      <c r="E93" s="166" t="n"/>
      <c r="F93" s="130">
        <f>IF(D93="","",D93*E93)</f>
        <v/>
      </c>
      <c r="G93" s="117" t="n"/>
      <c r="H93" s="111" t="n"/>
      <c r="I93" s="111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68">
      <c r="A94" s="113" t="n"/>
      <c r="B94" s="111" t="n"/>
      <c r="C94" s="111" t="n"/>
      <c r="D94" s="117" t="n"/>
      <c r="E94" s="166" t="n"/>
      <c r="F94" s="130">
        <f>IF(D94="","",D94*E94)</f>
        <v/>
      </c>
      <c r="G94" s="117" t="n"/>
      <c r="H94" s="111" t="n"/>
      <c r="I94" s="111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68">
      <c r="A95" s="113" t="n"/>
      <c r="B95" s="111" t="n"/>
      <c r="C95" s="111" t="n"/>
      <c r="D95" s="117" t="n"/>
      <c r="E95" s="166" t="n"/>
      <c r="F95" s="130">
        <f>IF(D95="","",D95*E95)</f>
        <v/>
      </c>
      <c r="G95" s="117" t="n"/>
      <c r="H95" s="111" t="n"/>
      <c r="I95" s="111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68">
      <c r="A96" s="113" t="n"/>
      <c r="B96" s="111" t="n"/>
      <c r="C96" s="111" t="n"/>
      <c r="D96" s="117" t="n"/>
      <c r="E96" s="166" t="n"/>
      <c r="F96" s="130">
        <f>IF(D96="","",D96*E96)</f>
        <v/>
      </c>
      <c r="G96" s="117" t="n"/>
      <c r="H96" s="111" t="n"/>
      <c r="I96" s="111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68">
      <c r="A97" s="113" t="n"/>
      <c r="B97" s="111" t="n"/>
      <c r="C97" s="111" t="n"/>
      <c r="D97" s="117" t="n"/>
      <c r="E97" s="166" t="n"/>
      <c r="F97" s="130">
        <f>IF(D97="","",D97*E97)</f>
        <v/>
      </c>
      <c r="G97" s="117" t="n"/>
      <c r="H97" s="111" t="n"/>
      <c r="I97" s="111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68">
      <c r="A98" s="113" t="n"/>
      <c r="B98" s="111" t="n"/>
      <c r="C98" s="111" t="n"/>
      <c r="D98" s="117" t="n"/>
      <c r="E98" s="166" t="n"/>
      <c r="F98" s="130">
        <f>IF(D98="","",D98*E98)</f>
        <v/>
      </c>
      <c r="G98" s="117" t="n"/>
      <c r="H98" s="111" t="n"/>
      <c r="I98" s="111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68">
      <c r="A99" s="113" t="n"/>
      <c r="B99" s="111" t="n"/>
      <c r="C99" s="111" t="n"/>
      <c r="D99" s="117" t="n"/>
      <c r="E99" s="166" t="n"/>
      <c r="F99" s="130">
        <f>IF(D99="","",D99*E99)</f>
        <v/>
      </c>
      <c r="G99" s="117" t="n"/>
      <c r="H99" s="111" t="n"/>
      <c r="I99" s="111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68">
      <c r="A100" s="113" t="n"/>
      <c r="B100" s="111" t="n"/>
      <c r="C100" s="111" t="n"/>
      <c r="D100" s="117" t="n"/>
      <c r="E100" s="166" t="n"/>
      <c r="F100" s="130">
        <f>IF(D100="","",D100*E100)</f>
        <v/>
      </c>
      <c r="G100" s="117" t="n"/>
      <c r="H100" s="111" t="n"/>
      <c r="I100" s="111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68">
      <c r="A101" s="113" t="n"/>
      <c r="B101" s="111" t="n"/>
      <c r="C101" s="111" t="n"/>
      <c r="D101" s="117" t="n"/>
      <c r="E101" s="166" t="n"/>
      <c r="F101" s="130">
        <f>IF(D101="","",D101*E101)</f>
        <v/>
      </c>
      <c r="G101" s="117" t="n"/>
      <c r="H101" s="111" t="n"/>
      <c r="I101" s="111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68">
      <c r="A102" s="113" t="n"/>
      <c r="B102" s="111" t="n"/>
      <c r="C102" s="111" t="n"/>
      <c r="D102" s="117" t="n"/>
      <c r="E102" s="166" t="n"/>
      <c r="F102" s="130">
        <f>IF(D102="","",D102*E102)</f>
        <v/>
      </c>
      <c r="G102" s="117" t="n"/>
      <c r="H102" s="111" t="n"/>
      <c r="I102" s="111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68">
      <c r="A103" s="113" t="n"/>
      <c r="B103" s="111" t="n"/>
      <c r="C103" s="111" t="n"/>
      <c r="D103" s="117" t="n"/>
      <c r="E103" s="166" t="n"/>
      <c r="F103" s="130">
        <f>IF(D103="","",D103*E103)</f>
        <v/>
      </c>
      <c r="G103" s="117" t="n"/>
      <c r="H103" s="111" t="n"/>
      <c r="I103" s="111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68">
      <c r="A104" s="113" t="n"/>
      <c r="B104" s="111" t="n"/>
      <c r="C104" s="111" t="n"/>
      <c r="D104" s="117" t="n"/>
      <c r="E104" s="166" t="n"/>
      <c r="F104" s="130">
        <f>IF(D104="","",D104*E104)</f>
        <v/>
      </c>
      <c r="G104" s="117" t="n"/>
      <c r="H104" s="111" t="n"/>
      <c r="I104" s="111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68">
      <c r="A105" s="113" t="n"/>
      <c r="B105" s="111" t="n"/>
      <c r="C105" s="111" t="n"/>
      <c r="D105" s="117" t="n"/>
      <c r="E105" s="166" t="n"/>
      <c r="F105" s="130">
        <f>IF(D105="","",D105*E105)</f>
        <v/>
      </c>
      <c r="G105" s="117" t="n"/>
      <c r="H105" s="111" t="n"/>
      <c r="I105" s="111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68">
      <c r="A106" s="113" t="n"/>
      <c r="B106" s="111" t="n"/>
      <c r="C106" s="111" t="n"/>
      <c r="D106" s="117" t="n"/>
      <c r="E106" s="166" t="n"/>
      <c r="F106" s="130">
        <f>IF(D106="","",D106*E106)</f>
        <v/>
      </c>
      <c r="G106" s="117" t="n"/>
      <c r="H106" s="111" t="n"/>
      <c r="I106" s="111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68">
      <c r="A107" s="113" t="n"/>
      <c r="B107" s="111" t="n"/>
      <c r="C107" s="111" t="n"/>
      <c r="D107" s="117" t="n"/>
      <c r="E107" s="166" t="n"/>
      <c r="F107" s="130">
        <f>IF(D107="","",D107*E107)</f>
        <v/>
      </c>
      <c r="G107" s="117" t="n"/>
      <c r="H107" s="111" t="n"/>
      <c r="I107" s="111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68">
      <c r="A108" s="113" t="n"/>
      <c r="B108" s="111" t="n"/>
      <c r="C108" s="111" t="n"/>
      <c r="D108" s="117" t="n"/>
      <c r="E108" s="166" t="n"/>
      <c r="F108" s="130">
        <f>IF(D108="","",D108*E108)</f>
        <v/>
      </c>
      <c r="G108" s="117" t="n"/>
      <c r="H108" s="111" t="n"/>
      <c r="I108" s="111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68">
      <c r="A109" s="113" t="n"/>
      <c r="B109" s="111" t="n"/>
      <c r="C109" s="111" t="n"/>
      <c r="D109" s="117" t="n"/>
      <c r="E109" s="166" t="n"/>
      <c r="F109" s="130">
        <f>IF(D109="","",D109*E109)</f>
        <v/>
      </c>
      <c r="G109" s="117" t="n"/>
      <c r="H109" s="111" t="n"/>
      <c r="I109" s="111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68">
      <c r="A110" s="113" t="n"/>
      <c r="B110" s="111" t="n"/>
      <c r="C110" s="111" t="n"/>
      <c r="D110" s="117" t="n"/>
      <c r="E110" s="166" t="n"/>
      <c r="F110" s="130">
        <f>IF(D110="","",D110*E110)</f>
        <v/>
      </c>
      <c r="G110" s="117" t="n"/>
      <c r="H110" s="111" t="n"/>
      <c r="I110" s="111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68">
      <c r="A111" s="113" t="n"/>
      <c r="B111" s="111" t="n"/>
      <c r="C111" s="111" t="n"/>
      <c r="D111" s="117" t="n"/>
      <c r="E111" s="166" t="n"/>
      <c r="F111" s="130">
        <f>IF(D111="","",D111*E111)</f>
        <v/>
      </c>
      <c r="G111" s="117" t="n"/>
      <c r="H111" s="111" t="n"/>
      <c r="I111" s="111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68">
      <c r="A112" s="113" t="n"/>
      <c r="B112" s="111" t="n"/>
      <c r="C112" s="111" t="n"/>
      <c r="D112" s="117" t="n"/>
      <c r="E112" s="166" t="n"/>
      <c r="F112" s="130">
        <f>IF(D112="","",D112*E112)</f>
        <v/>
      </c>
      <c r="G112" s="117" t="n"/>
      <c r="H112" s="111" t="n"/>
      <c r="I112" s="111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68">
      <c r="A113" s="113" t="n"/>
      <c r="B113" s="111" t="n"/>
      <c r="C113" s="111" t="n"/>
      <c r="D113" s="117" t="n"/>
      <c r="E113" s="166" t="n"/>
      <c r="F113" s="130">
        <f>IF(D113="","",D113*E113)</f>
        <v/>
      </c>
      <c r="G113" s="117" t="n"/>
      <c r="H113" s="111" t="n"/>
      <c r="I113" s="111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68">
      <c r="A114" s="113" t="n"/>
      <c r="B114" s="111" t="n"/>
      <c r="C114" s="111" t="n"/>
      <c r="D114" s="117" t="n"/>
      <c r="E114" s="166" t="n"/>
      <c r="F114" s="130">
        <f>IF(D114="","",D114*E114)</f>
        <v/>
      </c>
      <c r="G114" s="117" t="n"/>
      <c r="H114" s="111" t="n"/>
      <c r="I114" s="111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68">
      <c r="A115" s="113" t="n"/>
      <c r="B115" s="111" t="n"/>
      <c r="C115" s="111" t="n"/>
      <c r="D115" s="117" t="n"/>
      <c r="E115" s="166" t="n"/>
      <c r="F115" s="130">
        <f>IF(D115="","",D115*E115)</f>
        <v/>
      </c>
      <c r="G115" s="117" t="n"/>
      <c r="H115" s="111" t="n"/>
      <c r="I115" s="111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68">
      <c r="A116" s="113" t="n"/>
      <c r="B116" s="111" t="n"/>
      <c r="C116" s="111" t="n"/>
      <c r="D116" s="117" t="n"/>
      <c r="E116" s="166" t="n"/>
      <c r="F116" s="130">
        <f>IF(D116="","",D116*E116)</f>
        <v/>
      </c>
      <c r="G116" s="117" t="n"/>
      <c r="H116" s="111" t="n"/>
      <c r="I116" s="111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68">
      <c r="A117" s="113" t="n"/>
      <c r="B117" s="111" t="n"/>
      <c r="C117" s="111" t="n"/>
      <c r="D117" s="117" t="n"/>
      <c r="E117" s="166" t="n"/>
      <c r="F117" s="130">
        <f>IF(D117="","",D117*E117)</f>
        <v/>
      </c>
      <c r="G117" s="117" t="n"/>
      <c r="H117" s="111" t="n"/>
      <c r="I117" s="111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68">
      <c r="A118" s="113" t="n"/>
      <c r="B118" s="111" t="n"/>
      <c r="C118" s="111" t="n"/>
      <c r="D118" s="117" t="n"/>
      <c r="E118" s="166" t="n"/>
      <c r="F118" s="130">
        <f>IF(D118="","",D118*E118)</f>
        <v/>
      </c>
      <c r="G118" s="117" t="n"/>
      <c r="H118" s="111" t="n"/>
      <c r="I118" s="111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68">
      <c r="A119" s="113" t="n"/>
      <c r="B119" s="111" t="n"/>
      <c r="C119" s="111" t="n"/>
      <c r="D119" s="117" t="n"/>
      <c r="E119" s="166" t="n"/>
      <c r="F119" s="130">
        <f>IF(D119="","",D119*E119)</f>
        <v/>
      </c>
      <c r="G119" s="117" t="n"/>
      <c r="H119" s="111" t="n"/>
      <c r="I119" s="111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68">
      <c r="A120" s="113" t="n"/>
      <c r="B120" s="111" t="n"/>
      <c r="C120" s="111" t="n"/>
      <c r="D120" s="117" t="n"/>
      <c r="E120" s="166" t="n"/>
      <c r="F120" s="130">
        <f>IF(D120="","",D120*E120)</f>
        <v/>
      </c>
      <c r="G120" s="117" t="n"/>
      <c r="H120" s="111" t="n"/>
      <c r="I120" s="111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68">
      <c r="A121" s="113" t="n"/>
      <c r="B121" s="111" t="n"/>
      <c r="C121" s="111" t="n"/>
      <c r="D121" s="117" t="n"/>
      <c r="E121" s="166" t="n"/>
      <c r="F121" s="130">
        <f>IF(D121="","",D121*E121)</f>
        <v/>
      </c>
      <c r="G121" s="117" t="n"/>
      <c r="H121" s="111" t="n"/>
      <c r="I121" s="111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68">
      <c r="A122" s="113" t="n"/>
      <c r="B122" s="111" t="n"/>
      <c r="C122" s="111" t="n"/>
      <c r="D122" s="117" t="n"/>
      <c r="E122" s="166" t="n"/>
      <c r="F122" s="130">
        <f>IF(D122="","",D122*E122)</f>
        <v/>
      </c>
      <c r="G122" s="117" t="n"/>
      <c r="H122" s="111" t="n"/>
      <c r="I122" s="111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68">
      <c r="A123" s="113" t="n"/>
      <c r="B123" s="111" t="n"/>
      <c r="C123" s="111" t="n"/>
      <c r="D123" s="117" t="n"/>
      <c r="E123" s="166" t="n"/>
      <c r="F123" s="130">
        <f>IF(D123="","",D123*E123)</f>
        <v/>
      </c>
      <c r="G123" s="117" t="n"/>
      <c r="H123" s="111" t="n"/>
      <c r="I123" s="111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68">
      <c r="A124" s="113" t="n"/>
      <c r="B124" s="111" t="n"/>
      <c r="C124" s="111" t="n"/>
      <c r="D124" s="117" t="n"/>
      <c r="E124" s="166" t="n"/>
      <c r="F124" s="130">
        <f>IF(D124="","",D124*E124)</f>
        <v/>
      </c>
      <c r="G124" s="117" t="n"/>
      <c r="H124" s="111" t="n"/>
      <c r="I124" s="111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68">
      <c r="A125" s="113" t="n"/>
      <c r="B125" s="111" t="n"/>
      <c r="C125" s="111" t="n"/>
      <c r="D125" s="117" t="n"/>
      <c r="E125" s="166" t="n"/>
      <c r="F125" s="130">
        <f>IF(D125="","",D125*E125)</f>
        <v/>
      </c>
      <c r="G125" s="117" t="n"/>
      <c r="H125" s="111" t="n"/>
      <c r="I125" s="111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68">
      <c r="A126" s="113" t="n"/>
      <c r="B126" s="111" t="n"/>
      <c r="C126" s="111" t="n"/>
      <c r="D126" s="117" t="n"/>
      <c r="E126" s="166" t="n"/>
      <c r="F126" s="130">
        <f>IF(D126="","",D126*E126)</f>
        <v/>
      </c>
      <c r="G126" s="117" t="n"/>
      <c r="H126" s="111" t="n"/>
      <c r="I126" s="111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68">
      <c r="A127" s="113" t="n"/>
      <c r="B127" s="111" t="n"/>
      <c r="C127" s="111" t="n"/>
      <c r="D127" s="117" t="n"/>
      <c r="E127" s="166" t="n"/>
      <c r="F127" s="130">
        <f>IF(D127="","",D127*E127)</f>
        <v/>
      </c>
      <c r="G127" s="117" t="n"/>
      <c r="H127" s="111" t="n"/>
      <c r="I127" s="111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68">
      <c r="A128" s="113" t="n"/>
      <c r="B128" s="111" t="n"/>
      <c r="C128" s="111" t="n"/>
      <c r="D128" s="117" t="n"/>
      <c r="E128" s="166" t="n"/>
      <c r="F128" s="130">
        <f>IF(D128="","",D128*E128)</f>
        <v/>
      </c>
      <c r="G128" s="117" t="n"/>
      <c r="H128" s="111" t="n"/>
      <c r="I128" s="111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68">
      <c r="A129" s="113" t="n"/>
      <c r="B129" s="111" t="n"/>
      <c r="C129" s="111" t="n"/>
      <c r="D129" s="117" t="n"/>
      <c r="E129" s="166" t="n"/>
      <c r="F129" s="130">
        <f>IF(D129="","",D129*E129)</f>
        <v/>
      </c>
      <c r="G129" s="117" t="n"/>
      <c r="H129" s="111" t="n"/>
      <c r="I129" s="111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68">
      <c r="A130" s="113" t="n"/>
      <c r="B130" s="111" t="n"/>
      <c r="C130" s="111" t="n"/>
      <c r="D130" s="117" t="n"/>
      <c r="E130" s="166" t="n"/>
      <c r="F130" s="130">
        <f>IF(D130="","",D130*E130)</f>
        <v/>
      </c>
      <c r="G130" s="117" t="n"/>
      <c r="H130" s="111" t="n"/>
      <c r="I130" s="111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68">
      <c r="A131" s="113" t="n"/>
      <c r="B131" s="111" t="n"/>
      <c r="C131" s="111" t="n"/>
      <c r="D131" s="117" t="n"/>
      <c r="E131" s="166" t="n"/>
      <c r="F131" s="130">
        <f>IF(D131="","",D131*E131)</f>
        <v/>
      </c>
      <c r="G131" s="117" t="n"/>
      <c r="H131" s="111" t="n"/>
      <c r="I131" s="111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68">
      <c r="A132" s="113" t="n"/>
      <c r="B132" s="111" t="n"/>
      <c r="C132" s="111" t="n"/>
      <c r="D132" s="117" t="n"/>
      <c r="E132" s="166" t="n"/>
      <c r="F132" s="130">
        <f>IF(D132="","",D132*E132)</f>
        <v/>
      </c>
      <c r="G132" s="117" t="n"/>
      <c r="H132" s="111" t="n"/>
      <c r="I132" s="111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68">
      <c r="A133" s="113" t="n"/>
      <c r="B133" s="111" t="n"/>
      <c r="C133" s="111" t="n"/>
      <c r="D133" s="117" t="n"/>
      <c r="E133" s="166" t="n"/>
      <c r="F133" s="130">
        <f>IF(D133="","",D133*E133)</f>
        <v/>
      </c>
      <c r="G133" s="117" t="n"/>
      <c r="H133" s="111" t="n"/>
      <c r="I133" s="111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68">
      <c r="A134" s="113" t="n"/>
      <c r="B134" s="111" t="n"/>
      <c r="C134" s="111" t="n"/>
      <c r="D134" s="117" t="n"/>
      <c r="E134" s="166" t="n"/>
      <c r="F134" s="130">
        <f>IF(D134="","",D134*E134)</f>
        <v/>
      </c>
      <c r="G134" s="117" t="n"/>
      <c r="H134" s="111" t="n"/>
      <c r="I134" s="111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68">
      <c r="A135" s="113" t="n"/>
      <c r="B135" s="111" t="n"/>
      <c r="C135" s="111" t="n"/>
      <c r="D135" s="117" t="n"/>
      <c r="E135" s="166" t="n"/>
      <c r="F135" s="130">
        <f>IF(D135="","",D135*E135)</f>
        <v/>
      </c>
      <c r="G135" s="117" t="n"/>
      <c r="H135" s="111" t="n"/>
      <c r="I135" s="111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68">
      <c r="A136" s="113" t="n"/>
      <c r="B136" s="111" t="n"/>
      <c r="C136" s="111" t="n"/>
      <c r="D136" s="117" t="n"/>
      <c r="E136" s="166" t="n"/>
      <c r="F136" s="130">
        <f>IF(D136="","",D136*E136)</f>
        <v/>
      </c>
      <c r="G136" s="117" t="n"/>
      <c r="H136" s="111" t="n"/>
      <c r="I136" s="111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68">
      <c r="A137" s="113" t="n"/>
      <c r="B137" s="111" t="n"/>
      <c r="C137" s="111" t="n"/>
      <c r="D137" s="117" t="n"/>
      <c r="E137" s="166" t="n"/>
      <c r="F137" s="130">
        <f>IF(D137="","",D137*E137)</f>
        <v/>
      </c>
      <c r="G137" s="117" t="n"/>
      <c r="H137" s="111" t="n"/>
      <c r="I137" s="111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68">
      <c r="A138" s="113" t="n"/>
      <c r="B138" s="111" t="n"/>
      <c r="C138" s="111" t="n"/>
      <c r="D138" s="117" t="n"/>
      <c r="E138" s="166" t="n"/>
      <c r="F138" s="130">
        <f>IF(D138="","",D138*E138)</f>
        <v/>
      </c>
      <c r="G138" s="117" t="n"/>
      <c r="H138" s="111" t="n"/>
      <c r="I138" s="111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68">
      <c r="A139" s="113" t="n"/>
      <c r="B139" s="111" t="n"/>
      <c r="C139" s="111" t="n"/>
      <c r="D139" s="117" t="n"/>
      <c r="E139" s="166" t="n"/>
      <c r="F139" s="130">
        <f>IF(D139="","",D139*E139)</f>
        <v/>
      </c>
      <c r="G139" s="117" t="n"/>
      <c r="H139" s="111" t="n"/>
      <c r="I139" s="111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68">
      <c r="A140" s="113" t="n"/>
      <c r="B140" s="111" t="n"/>
      <c r="C140" s="111" t="n"/>
      <c r="D140" s="117" t="n"/>
      <c r="E140" s="166" t="n"/>
      <c r="F140" s="130">
        <f>IF(D140="","",D140*E140)</f>
        <v/>
      </c>
      <c r="G140" s="117" t="n"/>
      <c r="H140" s="111" t="n"/>
      <c r="I140" s="111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68">
      <c r="A141" s="113" t="n"/>
      <c r="B141" s="111" t="n"/>
      <c r="C141" s="111" t="n"/>
      <c r="D141" s="117" t="n"/>
      <c r="E141" s="166" t="n"/>
      <c r="F141" s="130">
        <f>IF(D141="","",D141*E141)</f>
        <v/>
      </c>
      <c r="G141" s="117" t="n"/>
      <c r="H141" s="111" t="n"/>
      <c r="I141" s="111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68">
      <c r="A142" s="113" t="n"/>
      <c r="B142" s="111" t="n"/>
      <c r="C142" s="111" t="n"/>
      <c r="D142" s="117" t="n"/>
      <c r="E142" s="166" t="n"/>
      <c r="F142" s="130">
        <f>IF(D142="","",D142*E142)</f>
        <v/>
      </c>
      <c r="G142" s="117" t="n"/>
      <c r="H142" s="111" t="n"/>
      <c r="I142" s="111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68">
      <c r="A143" s="113" t="n"/>
      <c r="B143" s="111" t="n"/>
      <c r="C143" s="111" t="n"/>
      <c r="D143" s="117" t="n"/>
      <c r="E143" s="166" t="n"/>
      <c r="F143" s="130">
        <f>IF(D143="","",D143*E143)</f>
        <v/>
      </c>
      <c r="G143" s="117" t="n"/>
      <c r="H143" s="111" t="n"/>
      <c r="I143" s="111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68">
      <c r="A144" s="113" t="n"/>
      <c r="B144" s="111" t="n"/>
      <c r="C144" s="111" t="n"/>
      <c r="D144" s="117" t="n"/>
      <c r="E144" s="166" t="n"/>
      <c r="F144" s="130">
        <f>IF(D144="","",D144*E144)</f>
        <v/>
      </c>
      <c r="G144" s="117" t="n"/>
      <c r="H144" s="111" t="n"/>
      <c r="I144" s="111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68">
      <c r="A145" s="113" t="n"/>
      <c r="B145" s="111" t="n"/>
      <c r="C145" s="111" t="n"/>
      <c r="D145" s="117" t="n"/>
      <c r="E145" s="166" t="n"/>
      <c r="F145" s="130">
        <f>IF(D145="","",D145*E145)</f>
        <v/>
      </c>
      <c r="G145" s="117" t="n"/>
      <c r="H145" s="111" t="n"/>
      <c r="I145" s="111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68">
      <c r="A146" s="113" t="n"/>
      <c r="B146" s="111" t="n"/>
      <c r="C146" s="111" t="n"/>
      <c r="D146" s="117" t="n"/>
      <c r="E146" s="166" t="n"/>
      <c r="F146" s="130">
        <f>IF(D146="","",D146*E146)</f>
        <v/>
      </c>
      <c r="G146" s="117" t="n"/>
      <c r="H146" s="111" t="n"/>
      <c r="I146" s="111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68">
      <c r="A147" s="113" t="n"/>
      <c r="B147" s="111" t="n"/>
      <c r="C147" s="111" t="n"/>
      <c r="D147" s="117" t="n"/>
      <c r="E147" s="166" t="n"/>
      <c r="F147" s="130">
        <f>IF(D147="","",D147*E147)</f>
        <v/>
      </c>
      <c r="G147" s="117" t="n"/>
      <c r="H147" s="111" t="n"/>
      <c r="I147" s="111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68">
      <c r="A148" s="113" t="n"/>
      <c r="B148" s="111" t="n"/>
      <c r="C148" s="111" t="n"/>
      <c r="D148" s="117" t="n"/>
      <c r="E148" s="166" t="n"/>
      <c r="F148" s="130">
        <f>IF(D148="","",D148*E148)</f>
        <v/>
      </c>
      <c r="G148" s="117" t="n"/>
      <c r="H148" s="111" t="n"/>
      <c r="I148" s="111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68">
      <c r="A149" s="113" t="n"/>
      <c r="B149" s="111" t="n"/>
      <c r="C149" s="111" t="n"/>
      <c r="D149" s="117" t="n"/>
      <c r="E149" s="166" t="n"/>
      <c r="F149" s="130">
        <f>IF(D149="","",D149*E149)</f>
        <v/>
      </c>
      <c r="G149" s="117" t="n"/>
      <c r="H149" s="111" t="n"/>
      <c r="I149" s="111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68">
      <c r="A150" s="113" t="n"/>
      <c r="B150" s="111" t="n"/>
      <c r="C150" s="111" t="n"/>
      <c r="D150" s="117" t="n"/>
      <c r="E150" s="166" t="n"/>
      <c r="F150" s="130">
        <f>IF(D150="","",D150*E150)</f>
        <v/>
      </c>
      <c r="G150" s="117" t="n"/>
      <c r="H150" s="111" t="n"/>
      <c r="I150" s="111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68">
      <c r="A151" s="113" t="n"/>
      <c r="B151" s="111" t="n"/>
      <c r="C151" s="111" t="n"/>
      <c r="D151" s="117" t="n"/>
      <c r="E151" s="166" t="n"/>
      <c r="F151" s="130">
        <f>IF(D151="","",D151*E151)</f>
        <v/>
      </c>
      <c r="G151" s="117" t="n"/>
      <c r="H151" s="111" t="n"/>
      <c r="I151" s="111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68">
      <c r="A152" s="113" t="n"/>
      <c r="B152" s="111" t="n"/>
      <c r="C152" s="111" t="n"/>
      <c r="D152" s="117" t="n"/>
      <c r="E152" s="166" t="n"/>
      <c r="F152" s="130">
        <f>IF(D152="","",D152*E152)</f>
        <v/>
      </c>
      <c r="G152" s="117" t="n"/>
      <c r="H152" s="111" t="n"/>
      <c r="I152" s="111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68">
      <c r="A153" s="113" t="n"/>
      <c r="B153" s="111" t="n"/>
      <c r="C153" s="111" t="n"/>
      <c r="D153" s="117" t="n"/>
      <c r="E153" s="166" t="n"/>
      <c r="F153" s="130">
        <f>IF(D153="","",D153*E153)</f>
        <v/>
      </c>
      <c r="G153" s="117" t="n"/>
      <c r="H153" s="111" t="n"/>
      <c r="I153" s="111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68">
      <c r="A154" s="113" t="n"/>
      <c r="B154" s="111" t="n"/>
      <c r="C154" s="111" t="n"/>
      <c r="D154" s="117" t="n"/>
      <c r="E154" s="166" t="n"/>
      <c r="F154" s="130">
        <f>IF(D154="","",D154*E154)</f>
        <v/>
      </c>
      <c r="G154" s="117" t="n"/>
      <c r="H154" s="111" t="n"/>
      <c r="I154" s="111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68">
      <c r="A155" s="113" t="n"/>
      <c r="B155" s="111" t="n"/>
      <c r="C155" s="111" t="n"/>
      <c r="D155" s="117" t="n"/>
      <c r="E155" s="166" t="n"/>
      <c r="F155" s="130">
        <f>IF(D155="","",D155*E155)</f>
        <v/>
      </c>
      <c r="G155" s="117" t="n"/>
      <c r="H155" s="111" t="n"/>
      <c r="I155" s="111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68">
      <c r="A156" s="113" t="n"/>
      <c r="B156" s="111" t="n"/>
      <c r="C156" s="111" t="n"/>
      <c r="D156" s="117" t="n"/>
      <c r="E156" s="166" t="n"/>
      <c r="F156" s="130">
        <f>IF(D156="","",D156*E156)</f>
        <v/>
      </c>
      <c r="G156" s="117" t="n"/>
      <c r="H156" s="111" t="n"/>
      <c r="I156" s="111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68">
      <c r="A157" s="113" t="n"/>
      <c r="B157" s="111" t="n"/>
      <c r="C157" s="111" t="n"/>
      <c r="D157" s="117" t="n"/>
      <c r="E157" s="166" t="n"/>
      <c r="F157" s="130">
        <f>IF(D157="","",D157*E157)</f>
        <v/>
      </c>
      <c r="G157" s="117" t="n"/>
      <c r="H157" s="111" t="n"/>
      <c r="I157" s="111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68">
      <c r="A158" s="113" t="n"/>
      <c r="B158" s="111" t="n"/>
      <c r="C158" s="111" t="n"/>
      <c r="D158" s="117" t="n"/>
      <c r="E158" s="166" t="n"/>
      <c r="F158" s="130">
        <f>IF(D158="","",D158*E158)</f>
        <v/>
      </c>
      <c r="G158" s="117" t="n"/>
      <c r="H158" s="111" t="n"/>
      <c r="I158" s="111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68">
      <c r="A159" s="113" t="n"/>
      <c r="B159" s="111" t="n"/>
      <c r="C159" s="111" t="n"/>
      <c r="D159" s="117" t="n"/>
      <c r="E159" s="166" t="n"/>
      <c r="F159" s="130">
        <f>IF(D159="","",D159*E159)</f>
        <v/>
      </c>
      <c r="G159" s="117" t="n"/>
      <c r="H159" s="111" t="n"/>
      <c r="I159" s="111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68">
      <c r="A160" s="113" t="n"/>
      <c r="B160" s="111" t="n"/>
      <c r="C160" s="111" t="n"/>
      <c r="D160" s="117" t="n"/>
      <c r="E160" s="166" t="n"/>
      <c r="F160" s="130">
        <f>IF(D160="","",D160*E160)</f>
        <v/>
      </c>
      <c r="G160" s="117" t="n"/>
      <c r="H160" s="111" t="n"/>
      <c r="I160" s="111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68">
      <c r="A161" s="113" t="n"/>
      <c r="B161" s="111" t="n"/>
      <c r="C161" s="111" t="n"/>
      <c r="D161" s="117" t="n"/>
      <c r="E161" s="166" t="n"/>
      <c r="F161" s="130">
        <f>IF(D161="","",D161*E161)</f>
        <v/>
      </c>
      <c r="G161" s="117" t="n"/>
      <c r="H161" s="111" t="n"/>
      <c r="I161" s="111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68">
      <c r="A162" s="113" t="n"/>
      <c r="B162" s="111" t="n"/>
      <c r="C162" s="111" t="n"/>
      <c r="D162" s="117" t="n"/>
      <c r="E162" s="166" t="n"/>
      <c r="F162" s="130">
        <f>IF(D162="","",D162*E162)</f>
        <v/>
      </c>
      <c r="G162" s="117" t="n"/>
      <c r="H162" s="111" t="n"/>
      <c r="I162" s="111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68">
      <c r="A163" s="113" t="n"/>
      <c r="B163" s="111" t="n"/>
      <c r="C163" s="111" t="n"/>
      <c r="D163" s="117" t="n"/>
      <c r="E163" s="166" t="n"/>
      <c r="F163" s="130">
        <f>IF(D163="","",D163*E163)</f>
        <v/>
      </c>
      <c r="G163" s="117" t="n"/>
      <c r="H163" s="111" t="n"/>
      <c r="I163" s="111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68">
      <c r="A164" s="113" t="n"/>
      <c r="B164" s="111" t="n"/>
      <c r="C164" s="111" t="n"/>
      <c r="D164" s="117" t="n"/>
      <c r="E164" s="166" t="n"/>
      <c r="F164" s="130">
        <f>IF(D164="","",D164*E164)</f>
        <v/>
      </c>
      <c r="G164" s="117" t="n"/>
      <c r="H164" s="111" t="n"/>
      <c r="I164" s="111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68">
      <c r="A165" s="113" t="n"/>
      <c r="B165" s="111" t="n"/>
      <c r="C165" s="111" t="n"/>
      <c r="D165" s="117" t="n"/>
      <c r="E165" s="166" t="n"/>
      <c r="F165" s="130">
        <f>IF(D165="","",D165*E165)</f>
        <v/>
      </c>
      <c r="G165" s="117" t="n"/>
      <c r="H165" s="111" t="n"/>
      <c r="I165" s="111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68">
      <c r="A166" s="113" t="n"/>
      <c r="B166" s="111" t="n"/>
      <c r="C166" s="111" t="n"/>
      <c r="D166" s="117" t="n"/>
      <c r="E166" s="166" t="n"/>
      <c r="F166" s="130">
        <f>IF(D166="","",D166*E166)</f>
        <v/>
      </c>
      <c r="G166" s="117" t="n"/>
      <c r="H166" s="111" t="n"/>
      <c r="I166" s="111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68">
      <c r="A167" s="113" t="n"/>
      <c r="B167" s="111" t="n"/>
      <c r="C167" s="111" t="n"/>
      <c r="D167" s="117" t="n"/>
      <c r="E167" s="166" t="n"/>
      <c r="F167" s="130">
        <f>IF(D167="","",D167*E167)</f>
        <v/>
      </c>
      <c r="G167" s="117" t="n"/>
      <c r="H167" s="111" t="n"/>
      <c r="I167" s="111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68">
      <c r="A168" s="113" t="n"/>
      <c r="B168" s="111" t="n"/>
      <c r="C168" s="111" t="n"/>
      <c r="D168" s="117" t="n"/>
      <c r="E168" s="166" t="n"/>
      <c r="F168" s="130">
        <f>IF(D168="","",D168*E168)</f>
        <v/>
      </c>
      <c r="G168" s="117" t="n"/>
      <c r="H168" s="111" t="n"/>
      <c r="I168" s="111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68">
      <c r="A169" s="113" t="n"/>
      <c r="B169" s="111" t="n"/>
      <c r="C169" s="111" t="n"/>
      <c r="D169" s="117" t="n"/>
      <c r="E169" s="166" t="n"/>
      <c r="F169" s="130">
        <f>IF(D169="","",D169*E169)</f>
        <v/>
      </c>
      <c r="G169" s="117" t="n"/>
      <c r="H169" s="111" t="n"/>
      <c r="I169" s="111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68">
      <c r="A170" s="113" t="n"/>
      <c r="B170" s="111" t="n"/>
      <c r="C170" s="111" t="n"/>
      <c r="D170" s="117" t="n"/>
      <c r="E170" s="166" t="n"/>
      <c r="F170" s="130">
        <f>IF(D170="","",D170*E170)</f>
        <v/>
      </c>
      <c r="G170" s="117" t="n"/>
      <c r="H170" s="111" t="n"/>
      <c r="I170" s="111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68">
      <c r="A171" s="113" t="n"/>
      <c r="B171" s="111" t="n"/>
      <c r="C171" s="111" t="n"/>
      <c r="D171" s="117" t="n"/>
      <c r="E171" s="166" t="n"/>
      <c r="F171" s="130">
        <f>IF(D171="","",D171*E171)</f>
        <v/>
      </c>
      <c r="G171" s="117" t="n"/>
      <c r="H171" s="111" t="n"/>
      <c r="I171" s="111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68">
      <c r="A172" s="113" t="n"/>
      <c r="B172" s="111" t="n"/>
      <c r="C172" s="111" t="n"/>
      <c r="D172" s="117" t="n"/>
      <c r="E172" s="166" t="n"/>
      <c r="F172" s="130">
        <f>IF(D172="","",D172*E172)</f>
        <v/>
      </c>
      <c r="G172" s="117" t="n"/>
      <c r="H172" s="111" t="n"/>
      <c r="I172" s="111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68">
      <c r="A173" s="113" t="n"/>
      <c r="B173" s="111" t="n"/>
      <c r="C173" s="111" t="n"/>
      <c r="D173" s="117" t="n"/>
      <c r="E173" s="166" t="n"/>
      <c r="F173" s="130">
        <f>IF(D173="","",D173*E173)</f>
        <v/>
      </c>
      <c r="G173" s="117" t="n"/>
      <c r="H173" s="111" t="n"/>
      <c r="I173" s="111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68">
      <c r="A174" s="113" t="n"/>
      <c r="B174" s="111" t="n"/>
      <c r="C174" s="111" t="n"/>
      <c r="D174" s="117" t="n"/>
      <c r="E174" s="166" t="n"/>
      <c r="F174" s="130">
        <f>IF(D174="","",D174*E174)</f>
        <v/>
      </c>
      <c r="G174" s="117" t="n"/>
      <c r="H174" s="111" t="n"/>
      <c r="I174" s="111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68">
      <c r="A175" s="113" t="n"/>
      <c r="B175" s="111" t="n"/>
      <c r="C175" s="111" t="n"/>
      <c r="D175" s="117" t="n"/>
      <c r="E175" s="166" t="n"/>
      <c r="F175" s="130">
        <f>IF(D175="","",D175*E175)</f>
        <v/>
      </c>
      <c r="G175" s="117" t="n"/>
      <c r="H175" s="111" t="n"/>
      <c r="I175" s="111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68">
      <c r="A176" s="113" t="n"/>
      <c r="B176" s="111" t="n"/>
      <c r="C176" s="111" t="n"/>
      <c r="D176" s="117" t="n"/>
      <c r="E176" s="166" t="n"/>
      <c r="F176" s="130">
        <f>IF(D176="","",D176*E176)</f>
        <v/>
      </c>
      <c r="G176" s="117" t="n"/>
      <c r="H176" s="111" t="n"/>
      <c r="I176" s="111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68">
      <c r="A177" s="113" t="n"/>
      <c r="B177" s="111" t="n"/>
      <c r="C177" s="111" t="n"/>
      <c r="D177" s="117" t="n"/>
      <c r="E177" s="166" t="n"/>
      <c r="F177" s="130">
        <f>IF(D177="","",D177*E177)</f>
        <v/>
      </c>
      <c r="G177" s="117" t="n"/>
      <c r="H177" s="111" t="n"/>
      <c r="I177" s="111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68">
      <c r="A178" s="113" t="n"/>
      <c r="B178" s="111" t="n"/>
      <c r="C178" s="111" t="n"/>
      <c r="D178" s="117" t="n"/>
      <c r="E178" s="166" t="n"/>
      <c r="F178" s="130">
        <f>IF(D178="","",D178*E178)</f>
        <v/>
      </c>
      <c r="G178" s="117" t="n"/>
      <c r="H178" s="111" t="n"/>
      <c r="I178" s="111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68">
      <c r="A179" s="113" t="n"/>
      <c r="B179" s="111" t="n"/>
      <c r="C179" s="111" t="n"/>
      <c r="D179" s="117" t="n"/>
      <c r="E179" s="166" t="n"/>
      <c r="F179" s="130">
        <f>IF(D179="","",D179*E179)</f>
        <v/>
      </c>
      <c r="G179" s="117" t="n"/>
      <c r="H179" s="111" t="n"/>
      <c r="I179" s="111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68">
      <c r="A180" s="113" t="n"/>
      <c r="B180" s="111" t="n"/>
      <c r="C180" s="111" t="n"/>
      <c r="D180" s="117" t="n"/>
      <c r="E180" s="166" t="n"/>
      <c r="F180" s="130">
        <f>IF(D180="","",D180*E180)</f>
        <v/>
      </c>
      <c r="G180" s="117" t="n"/>
      <c r="H180" s="111" t="n"/>
      <c r="I180" s="111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68">
      <c r="A181" s="113" t="n"/>
      <c r="B181" s="111" t="n"/>
      <c r="C181" s="111" t="n"/>
      <c r="D181" s="117" t="n"/>
      <c r="E181" s="166" t="n"/>
      <c r="F181" s="130">
        <f>IF(D181="","",D181*E181)</f>
        <v/>
      </c>
      <c r="G181" s="117" t="n"/>
      <c r="H181" s="111" t="n"/>
      <c r="I181" s="111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68">
      <c r="A182" s="113" t="n"/>
      <c r="B182" s="111" t="n"/>
      <c r="C182" s="111" t="n"/>
      <c r="D182" s="117" t="n"/>
      <c r="E182" s="166" t="n"/>
      <c r="F182" s="130">
        <f>IF(D182="","",D182*E182)</f>
        <v/>
      </c>
      <c r="G182" s="117" t="n"/>
      <c r="H182" s="111" t="n"/>
      <c r="I182" s="111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68">
      <c r="A183" s="113" t="n"/>
      <c r="B183" s="111" t="n"/>
      <c r="C183" s="111" t="n"/>
      <c r="D183" s="117" t="n"/>
      <c r="E183" s="166" t="n"/>
      <c r="F183" s="130">
        <f>IF(D183="","",D183*E183)</f>
        <v/>
      </c>
      <c r="G183" s="117" t="n"/>
      <c r="H183" s="111" t="n"/>
      <c r="I183" s="111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68">
      <c r="A184" s="113" t="n"/>
      <c r="B184" s="111" t="n"/>
      <c r="C184" s="111" t="n"/>
      <c r="D184" s="117" t="n"/>
      <c r="E184" s="166" t="n"/>
      <c r="F184" s="130">
        <f>IF(D184="","",D184*E184)</f>
        <v/>
      </c>
      <c r="G184" s="117" t="n"/>
      <c r="H184" s="111" t="n"/>
      <c r="I184" s="111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68">
      <c r="A185" s="113" t="n"/>
      <c r="B185" s="111" t="n"/>
      <c r="C185" s="111" t="n"/>
      <c r="D185" s="117" t="n"/>
      <c r="E185" s="166" t="n"/>
      <c r="F185" s="130">
        <f>IF(D185="","",D185*E185)</f>
        <v/>
      </c>
      <c r="G185" s="117" t="n"/>
      <c r="H185" s="111" t="n"/>
      <c r="I185" s="111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68">
      <c r="A186" s="113" t="n"/>
      <c r="B186" s="111" t="n"/>
      <c r="C186" s="111" t="n"/>
      <c r="D186" s="117" t="n"/>
      <c r="E186" s="166" t="n"/>
      <c r="F186" s="130">
        <f>IF(D186="","",D186*E186)</f>
        <v/>
      </c>
      <c r="G186" s="117" t="n"/>
      <c r="H186" s="111" t="n"/>
      <c r="I186" s="111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68">
      <c r="A187" s="113" t="n"/>
      <c r="B187" s="111" t="n"/>
      <c r="C187" s="111" t="n"/>
      <c r="D187" s="117" t="n"/>
      <c r="E187" s="166" t="n"/>
      <c r="F187" s="130">
        <f>IF(D187="","",D187*E187)</f>
        <v/>
      </c>
      <c r="G187" s="117" t="n"/>
      <c r="H187" s="111" t="n"/>
      <c r="I187" s="111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68">
      <c r="A188" s="113" t="n"/>
      <c r="B188" s="111" t="n"/>
      <c r="C188" s="111" t="n"/>
      <c r="D188" s="117" t="n"/>
      <c r="E188" s="166" t="n"/>
      <c r="F188" s="130">
        <f>IF(D188="","",D188*E188)</f>
        <v/>
      </c>
      <c r="G188" s="117" t="n"/>
      <c r="H188" s="111" t="n"/>
      <c r="I188" s="111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68">
      <c r="A189" s="113" t="n"/>
      <c r="B189" s="111" t="n"/>
      <c r="C189" s="111" t="n"/>
      <c r="D189" s="117" t="n"/>
      <c r="E189" s="166" t="n"/>
      <c r="F189" s="130">
        <f>IF(D189="","",D189*E189)</f>
        <v/>
      </c>
      <c r="G189" s="117" t="n"/>
      <c r="H189" s="111" t="n"/>
      <c r="I189" s="111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68">
      <c r="A190" s="113" t="n"/>
      <c r="B190" s="111" t="n"/>
      <c r="C190" s="111" t="n"/>
      <c r="D190" s="117" t="n"/>
      <c r="E190" s="166" t="n"/>
      <c r="F190" s="130">
        <f>IF(D190="","",D190*E190)</f>
        <v/>
      </c>
      <c r="G190" s="117" t="n"/>
      <c r="H190" s="111" t="n"/>
      <c r="I190" s="111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68">
      <c r="A191" s="113" t="n"/>
      <c r="B191" s="111" t="n"/>
      <c r="C191" s="111" t="n"/>
      <c r="D191" s="117" t="n"/>
      <c r="E191" s="166" t="n"/>
      <c r="F191" s="130">
        <f>IF(D191="","",D191*E191)</f>
        <v/>
      </c>
      <c r="G191" s="117" t="n"/>
      <c r="H191" s="111" t="n"/>
      <c r="I191" s="111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68">
      <c r="A192" s="113" t="n"/>
      <c r="B192" s="111" t="n"/>
      <c r="C192" s="111" t="n"/>
      <c r="D192" s="117" t="n"/>
      <c r="E192" s="166" t="n"/>
      <c r="F192" s="130">
        <f>IF(D192="","",D192*E192)</f>
        <v/>
      </c>
      <c r="G192" s="117" t="n"/>
      <c r="H192" s="111" t="n"/>
      <c r="I192" s="111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68">
      <c r="A193" s="113" t="n"/>
      <c r="B193" s="111" t="n"/>
      <c r="C193" s="111" t="n"/>
      <c r="D193" s="117" t="n"/>
      <c r="E193" s="166" t="n"/>
      <c r="F193" s="130">
        <f>IF(D193="","",D193*E193)</f>
        <v/>
      </c>
      <c r="G193" s="117" t="n"/>
      <c r="H193" s="111" t="n"/>
      <c r="I193" s="111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68">
      <c r="A194" s="113" t="n"/>
      <c r="B194" s="111" t="n"/>
      <c r="C194" s="111" t="n"/>
      <c r="D194" s="117" t="n"/>
      <c r="E194" s="166" t="n"/>
      <c r="F194" s="130">
        <f>IF(D194="","",D194*E194)</f>
        <v/>
      </c>
      <c r="G194" s="117" t="n"/>
      <c r="H194" s="111" t="n"/>
      <c r="I194" s="111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68">
      <c r="A195" s="113" t="n"/>
      <c r="B195" s="111" t="n"/>
      <c r="C195" s="111" t="n"/>
      <c r="D195" s="117" t="n"/>
      <c r="E195" s="166" t="n"/>
      <c r="F195" s="130">
        <f>IF(D195="","",D195*E195)</f>
        <v/>
      </c>
      <c r="G195" s="117" t="n"/>
      <c r="H195" s="111" t="n"/>
      <c r="I195" s="111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68">
      <c r="A196" s="113" t="n"/>
      <c r="B196" s="111" t="n"/>
      <c r="C196" s="111" t="n"/>
      <c r="D196" s="117" t="n"/>
      <c r="E196" s="166" t="n"/>
      <c r="F196" s="130">
        <f>IF(D196="","",D196*E196)</f>
        <v/>
      </c>
      <c r="G196" s="117" t="n"/>
      <c r="H196" s="111" t="n"/>
      <c r="I196" s="111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68">
      <c r="A197" s="113" t="n"/>
      <c r="B197" s="111" t="n"/>
      <c r="C197" s="111" t="n"/>
      <c r="D197" s="117" t="n"/>
      <c r="E197" s="166" t="n"/>
      <c r="F197" s="130">
        <f>IF(D197="","",D197*E197)</f>
        <v/>
      </c>
      <c r="G197" s="117" t="n"/>
      <c r="H197" s="111" t="n"/>
      <c r="I197" s="111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68">
      <c r="A198" s="113" t="n"/>
      <c r="B198" s="111" t="n"/>
      <c r="C198" s="111" t="n"/>
      <c r="D198" s="117" t="n"/>
      <c r="E198" s="166" t="n"/>
      <c r="F198" s="130">
        <f>IF(D198="","",D198*E198)</f>
        <v/>
      </c>
      <c r="G198" s="117" t="n"/>
      <c r="H198" s="111" t="n"/>
      <c r="I198" s="111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68">
      <c r="A199" s="113" t="n"/>
      <c r="B199" s="111" t="n"/>
      <c r="C199" s="111" t="n"/>
      <c r="D199" s="117" t="n"/>
      <c r="E199" s="166" t="n"/>
      <c r="F199" s="130">
        <f>IF(D199="","",D199*E199)</f>
        <v/>
      </c>
      <c r="G199" s="117" t="n"/>
      <c r="H199" s="111" t="n"/>
      <c r="I199" s="111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68">
      <c r="A200" s="113" t="n"/>
      <c r="B200" s="111" t="n"/>
      <c r="C200" s="111" t="n"/>
      <c r="D200" s="117" t="n"/>
      <c r="E200" s="166" t="n"/>
      <c r="F200" s="130">
        <f>IF(D200="","",D200*E200)</f>
        <v/>
      </c>
      <c r="G200" s="117" t="n"/>
      <c r="H200" s="111" t="n"/>
      <c r="I200" s="111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68">
      <c r="A201" s="113" t="n"/>
      <c r="B201" s="111" t="n"/>
      <c r="C201" s="111" t="n"/>
      <c r="D201" s="117" t="n"/>
      <c r="E201" s="166" t="n"/>
      <c r="F201" s="130">
        <f>IF(D201="","",D201*E201)</f>
        <v/>
      </c>
      <c r="G201" s="117" t="n"/>
      <c r="H201" s="111" t="n"/>
      <c r="I201" s="111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68">
      <c r="A202" s="113" t="n"/>
      <c r="B202" s="111" t="n"/>
      <c r="C202" s="111" t="n"/>
      <c r="D202" s="117" t="n"/>
      <c r="E202" s="166" t="n"/>
      <c r="F202" s="130">
        <f>IF(D202="","",D202*E202)</f>
        <v/>
      </c>
      <c r="G202" s="117" t="n"/>
      <c r="H202" s="111" t="n"/>
      <c r="I202" s="111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6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68">
      <c r="A204" s="103" t="inlineStr">
        <is>
          <t>Average Rate</t>
        </is>
      </c>
      <c r="B204" s="2" t="n"/>
      <c r="C204" s="2" t="n"/>
      <c r="D204" s="2" t="n"/>
      <c r="E204" s="167">
        <f>IFERROR(AVERAGE(E3:E202),"")</f>
        <v/>
      </c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68">
      <c r="A205" s="103" t="inlineStr">
        <is>
          <t>Total Sent</t>
        </is>
      </c>
      <c r="B205" s="2" t="n"/>
      <c r="C205" s="2" t="n"/>
      <c r="D205" s="131">
        <f>SUM(D3:D202)</f>
        <v/>
      </c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68">
      <c r="A206" s="103" t="inlineStr">
        <is>
          <t>Total Fees</t>
        </is>
      </c>
      <c r="B206" s="2" t="n"/>
      <c r="C206" s="2" t="n"/>
      <c r="D206" s="2" t="n"/>
      <c r="E206" s="2" t="n"/>
      <c r="F206" s="2" t="n"/>
      <c r="G206" s="131">
        <f>SUM(G3:G202)</f>
        <v/>
      </c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6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6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6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6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6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6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6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6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6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6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6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6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6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6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6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6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6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6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6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6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6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6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6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6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6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6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6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6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6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6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6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6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6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6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6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6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6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6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6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6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6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6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6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6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6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6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6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6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6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6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6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6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6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6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6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6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6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6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6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6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6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6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6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6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6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6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6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6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6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6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6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6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6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6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6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6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6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6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6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6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6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6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6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6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6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6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6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6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6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6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6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6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6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6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6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6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6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6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6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6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6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6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6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6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6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6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6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6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6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6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6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6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6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6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6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6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6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6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6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6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6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6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6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6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6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6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6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6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6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6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6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6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6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6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6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6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6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6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6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6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6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6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6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6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6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6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6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6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6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6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6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6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6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6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6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6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6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6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6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6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6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6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6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6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6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6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6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6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6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6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6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6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6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6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6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6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6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6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6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6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6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6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6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6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6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6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6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6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6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6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6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6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6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6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6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6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6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6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6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6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6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6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6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6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6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6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6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6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6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6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6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6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6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6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6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6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6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6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6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6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6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6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6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6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6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6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6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6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6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6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6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6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6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6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6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6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6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6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6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6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6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6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6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6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6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6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6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6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6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6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6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6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6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6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6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6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6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6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6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6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6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6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6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6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6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6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6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6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6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6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6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6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6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6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6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6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6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6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6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6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6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6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6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6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6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6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6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6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6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6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6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6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6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6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6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6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6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6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6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6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6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6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6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6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6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6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6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6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6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6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6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6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6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6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6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6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6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6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6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6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6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6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6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6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6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6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6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6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6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6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6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6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6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6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6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6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6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6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6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6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6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6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6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6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6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6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6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6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6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6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6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6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6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6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6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6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6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6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6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6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6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6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6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6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6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6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6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6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6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6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6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6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6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6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6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6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6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6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6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6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6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6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6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6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6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6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6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6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6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6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6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6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6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6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6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6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6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6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6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6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6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6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6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6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6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6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6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6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6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6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6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6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6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6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6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6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6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6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6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6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6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6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6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6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6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6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6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6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6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6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6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6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6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6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6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6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6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6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6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6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6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6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6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6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6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6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6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6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6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6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6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6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6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6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6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6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6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6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6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6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6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6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6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6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6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6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6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6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6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6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6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6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6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6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6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6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6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6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6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6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6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6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6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6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6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6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6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6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6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6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6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6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6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6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6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6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6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6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6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6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6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6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6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6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6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6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6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6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6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6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6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6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6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6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6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6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6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6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6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6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6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6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6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6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6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6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6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6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6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6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6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6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6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6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6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6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6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6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6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6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6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6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6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6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6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6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6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6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6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6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6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6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6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6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6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6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6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6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6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6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6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6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6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6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6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6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6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6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6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6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6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6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6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6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6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6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6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6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6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6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6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6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6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6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6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6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6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6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6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6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6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6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6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6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6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6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6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6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6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6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6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6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6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6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6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6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6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6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6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6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6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6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6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6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6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6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6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6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6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6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6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6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6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6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6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6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6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6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6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6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6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6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6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6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6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6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6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6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6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6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6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6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6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6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6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6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6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6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6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6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6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6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6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6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6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6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6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6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6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6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6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6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6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6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6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6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6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6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6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6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6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6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6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6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6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6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6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6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6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6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6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6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6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6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6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6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6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6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6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6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6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6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6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6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6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6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6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6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6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6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6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6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6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6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6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6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6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6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6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6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6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6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6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6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6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6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6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6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6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6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6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6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6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6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6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6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6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6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6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6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6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6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6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6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6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6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6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6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6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6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6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6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6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6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6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6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6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6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6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6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6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6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6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6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6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6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6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6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6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6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6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6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6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6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6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6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6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6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6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6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6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6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6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6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6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6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6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6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6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6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6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6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6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6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6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6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">
    <mergeCell ref="A1:I1"/>
  </mergeCells>
  <dataValidations count="1">
    <dataValidation sqref="B3:C202" showDropDown="0" showInputMessage="0" showErrorMessage="0" allowBlank="1" type="list">
      <formula1>"GBP,INR"</formula1>
    </dataValidation>
  </dataValidation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2026-05-09T10:36:31Z</dcterms:created>
  <dcterms:modified xsi:type="dcterms:W3CDTF">2026-05-16T20:10:47Z</dcterms:modified>
</cp:coreProperties>
</file>