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al Residual Plot" sheetId="1" r:id="rId4"/>
    <sheet state="visible" name="multiple_linear_regression_data" sheetId="2" r:id="rId5"/>
    <sheet state="visible" name="Transposed Data" sheetId="3" r:id="rId6"/>
    <sheet state="visible" name="Estimation" sheetId="4" r:id="rId7"/>
    <sheet state="visible" name="Normality Probability Plot" sheetId="5" r:id="rId8"/>
  </sheets>
  <definedNames>
    <definedName name="newY_t2">'Partial Residual Plot'!$B$109:$U$109</definedName>
    <definedName name="beta_t">Estimation!$B$18:$D$18</definedName>
    <definedName name="newy_t">'Partial Residual Plot'!$B$26:$U$26</definedName>
    <definedName name="newy3">'Partial Residual Plot'!$C$124:$C$143</definedName>
    <definedName name="newy">'Partial Residual Plot'!$C$2:$C$21</definedName>
    <definedName name="x">multiple_linear_regression_data!$A$2:$C$21</definedName>
    <definedName name="newy2">'Partial Residual Plot'!$C$86:$C$105</definedName>
    <definedName name="newx1">'Partial Residual Plot'!$A$45:$B$64</definedName>
    <definedName name="newx2">'Partial Residual Plot'!$A$86:$B$105</definedName>
    <definedName name="sigma2">Estimation!$B$25</definedName>
    <definedName name="x_txinv">Estimation!$B$6:$D$8</definedName>
    <definedName name="Hatmatrix">Estimation!$C$36:$V$55</definedName>
    <definedName name="y">multiple_linear_regression_data!$D$2:$D$21</definedName>
    <definedName name="newx_t1">'Partial Residual Plot'!$B$67:$U$68</definedName>
    <definedName name="newx3">'Partial Residual Plot'!$A$124:$B$143</definedName>
    <definedName name="newy_t1">'Partial Residual Plot'!$B$69:$U$69</definedName>
    <definedName name="newy1">'Partial Residual Plot'!$C$45:$C$64</definedName>
    <definedName name="newx_t">'Partial Residual Plot'!$B$24:$U$25</definedName>
    <definedName name="newx_t3">'Partial Residual Plot'!$B$145:$U$146</definedName>
    <definedName name="newx">'Partial Residual Plot'!$A$2:$B$21</definedName>
    <definedName name="x_t">'Transposed Data'!$B$1:$U$3</definedName>
    <definedName name="y_t">'Transposed Data'!$B$4:$U$4</definedName>
    <definedName name="newy_t3">'Partial Residual Plot'!$B$147:$U$147</definedName>
    <definedName name="newx_t2">'Partial Residual Plot'!$B$107:$U$108</definedName>
  </definedNames>
  <calcPr/>
</workbook>
</file>

<file path=xl/sharedStrings.xml><?xml version="1.0" encoding="utf-8"?>
<sst xmlns="http://schemas.openxmlformats.org/spreadsheetml/2006/main" count="99" uniqueCount="68">
  <si>
    <t>age</t>
  </si>
  <si>
    <t>experience</t>
  </si>
  <si>
    <t>y^</t>
  </si>
  <si>
    <t>ei's</t>
  </si>
  <si>
    <t>With experience as Taraget Variable</t>
  </si>
  <si>
    <t>(x_t *X)</t>
  </si>
  <si>
    <t>(X_t,X)^-1</t>
  </si>
  <si>
    <t>(X_t,X)^-1 * X_t</t>
  </si>
  <si>
    <t>new_beta^</t>
  </si>
  <si>
    <t xml:space="preserve">age </t>
  </si>
  <si>
    <t>With Age as Target Variable</t>
  </si>
  <si>
    <t xml:space="preserve"> </t>
  </si>
  <si>
    <t>(X_t * X)</t>
  </si>
  <si>
    <t>(X_t * X)^-1</t>
  </si>
  <si>
    <t>(X_t * X)^-1 * x_t</t>
  </si>
  <si>
    <t>new beta ^ 1</t>
  </si>
  <si>
    <t>income</t>
  </si>
  <si>
    <t>With Income as Target Variable and Age as independent variable</t>
  </si>
  <si>
    <t>Residual Plots Between Income and Exp. as Target variable</t>
  </si>
  <si>
    <t>(x_t,x)</t>
  </si>
  <si>
    <t>(x_t,x)^-1</t>
  </si>
  <si>
    <t>(x_t,x)^-1 * x_t</t>
  </si>
  <si>
    <t>(x_t,x)^-1 * x_t * y</t>
  </si>
  <si>
    <t>With income as Target variable and Experience as dependent variable</t>
  </si>
  <si>
    <t>Partial Residual PLot between Income and Age as Target Variables.</t>
  </si>
  <si>
    <t>( x_t * x)</t>
  </si>
  <si>
    <t>( x_t * x)^-1</t>
  </si>
  <si>
    <t>( x_t * x)^-1 * x_t</t>
  </si>
  <si>
    <t>( x_t * x)^-1 * x_t * y3</t>
  </si>
  <si>
    <t>x_t * x</t>
  </si>
  <si>
    <t>x_t * x ^1</t>
  </si>
  <si>
    <t>x_tx^-1 x_t</t>
  </si>
  <si>
    <t>beta hat</t>
  </si>
  <si>
    <t xml:space="preserve">          =</t>
  </si>
  <si>
    <t xml:space="preserve">     b0</t>
  </si>
  <si>
    <t xml:space="preserve">     b1</t>
  </si>
  <si>
    <t xml:space="preserve">     b2</t>
  </si>
  <si>
    <t>b^_t</t>
  </si>
  <si>
    <t>y_t * y</t>
  </si>
  <si>
    <t xml:space="preserve">beta^ * x_t </t>
  </si>
  <si>
    <t>beta^ * x_t * y</t>
  </si>
  <si>
    <t xml:space="preserve">SSres </t>
  </si>
  <si>
    <t>Confidence Interval of Beta (95% CI)</t>
  </si>
  <si>
    <t>Sigma ^2</t>
  </si>
  <si>
    <t>t(0.05/2, 20 - 3)</t>
  </si>
  <si>
    <t>&lt;=</t>
  </si>
  <si>
    <t>beta_0</t>
  </si>
  <si>
    <t>beta_1</t>
  </si>
  <si>
    <t>beta_2</t>
  </si>
  <si>
    <t>(x_t*x)^-1*x_t</t>
  </si>
  <si>
    <t>Hat Matrix</t>
  </si>
  <si>
    <t>y</t>
  </si>
  <si>
    <t>y_hat</t>
  </si>
  <si>
    <t>hii</t>
  </si>
  <si>
    <t>ei</t>
  </si>
  <si>
    <t xml:space="preserve">standardized </t>
  </si>
  <si>
    <t>studentized</t>
  </si>
  <si>
    <t>PRESS Residual</t>
  </si>
  <si>
    <t>ei^2</t>
  </si>
  <si>
    <t>ei^2 / (1- hii)</t>
  </si>
  <si>
    <t>(n-p)MSres</t>
  </si>
  <si>
    <t>(n-p)MSres - ei^2/(1-hii)</t>
  </si>
  <si>
    <t>Si^2</t>
  </si>
  <si>
    <t>R-Student</t>
  </si>
  <si>
    <t>sorted R_student</t>
  </si>
  <si>
    <t>i</t>
  </si>
  <si>
    <t>Pi</t>
  </si>
  <si>
    <t xml:space="preserve">  PI v/s SORTED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</si>
</sst>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sz val="9.0"/>
      <color rgb="FF000000"/>
      <name val="&quot;Google Sans Mono&quot;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Border="1" applyFill="1" applyFont="1"/>
    <xf borderId="0" fillId="5" fontId="3" numFmtId="0" xfId="0" applyAlignment="1" applyFill="1" applyFont="1">
      <alignment horizontal="left" readingOrder="0"/>
    </xf>
    <xf borderId="0" fillId="6" fontId="1" numFmtId="0" xfId="0" applyFill="1" applyFont="1"/>
    <xf borderId="0" fillId="5" fontId="4" numFmtId="0" xfId="0" applyAlignment="1" applyFont="1">
      <alignment horizontal="left" readingOrder="0"/>
    </xf>
    <xf borderId="1" fillId="7" fontId="1" numFmtId="0" xfId="0" applyBorder="1" applyFill="1" applyFont="1"/>
    <xf borderId="0" fillId="8" fontId="1" numFmtId="0" xfId="0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1" fillId="4" fontId="1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/>
    </xf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ei's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'Partial Residual Plot'!$E$1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'Partial Residual Plot'!$E$2:$E$21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329771"/>
        <c:axId val="1024134081"/>
      </c:scatterChart>
      <c:valAx>
        <c:axId val="20043297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134081"/>
      </c:valAx>
      <c:valAx>
        <c:axId val="1024134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ei's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329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ei's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'Partial Residual Plot'!$E$44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'Partial Residual Plot'!$E$45:$E$64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52460"/>
        <c:axId val="1163452941"/>
      </c:scatterChart>
      <c:valAx>
        <c:axId val="1597524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452941"/>
      </c:valAx>
      <c:valAx>
        <c:axId val="1163452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ei's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75246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'Normality Probability Plot'!$P$2:$P$21</c:f>
            </c:numRef>
          </c:xVal>
          <c:yVal>
            <c:numRef>
              <c:f>'Normality Probability Plot'!$N$2:$N$21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22304"/>
        <c:axId val="1975847406"/>
      </c:scatterChart>
      <c:valAx>
        <c:axId val="1524223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5847406"/>
      </c:valAx>
      <c:valAx>
        <c:axId val="19758474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2230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89</xdr:row>
      <xdr:rowOff>142875</xdr:rowOff>
    </xdr:from>
    <xdr:ext cx="3829050" cy="2371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126</xdr:row>
      <xdr:rowOff>190500</xdr:rowOff>
    </xdr:from>
    <xdr:ext cx="3990975" cy="246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942975</xdr:colOff>
      <xdr:row>2</xdr:row>
      <xdr:rowOff>95250</xdr:rowOff>
    </xdr:from>
    <xdr:ext cx="3857625" cy="2390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4.0"/>
    <col customWidth="1" min="4" max="4" width="20.13"/>
    <col customWidth="1" min="5" max="5" width="21.0"/>
    <col customWidth="1" min="8" max="8" width="29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25.0</v>
      </c>
      <c r="C2" s="1">
        <v>1.0</v>
      </c>
      <c r="D2" s="2">
        <f t="array" ref="D2:D21">MMULT(newx,B39:B40)</f>
        <v>2.493313444</v>
      </c>
      <c r="E2" s="3">
        <f t="shared" ref="E2:E21" si="1">(C2-D2)*(C2-D2)</f>
        <v>2.229985041</v>
      </c>
      <c r="H2" s="4" t="s">
        <v>4</v>
      </c>
    </row>
    <row r="3">
      <c r="A3" s="1">
        <v>1.0</v>
      </c>
      <c r="B3" s="1">
        <v>30.0</v>
      </c>
      <c r="C3" s="1">
        <v>3.0</v>
      </c>
      <c r="D3" s="2">
        <v>3.7583941796864746</v>
      </c>
      <c r="E3" s="3">
        <f t="shared" si="1"/>
        <v>0.5751617318</v>
      </c>
    </row>
    <row r="4">
      <c r="A4" s="1">
        <v>1.0</v>
      </c>
      <c r="B4" s="1">
        <v>47.0</v>
      </c>
      <c r="C4" s="1">
        <v>2.0</v>
      </c>
      <c r="D4" s="2">
        <v>8.059668681793209</v>
      </c>
      <c r="E4" s="3">
        <f t="shared" si="1"/>
        <v>36.71958453</v>
      </c>
    </row>
    <row r="5">
      <c r="A5" s="1">
        <v>1.0</v>
      </c>
      <c r="B5" s="1">
        <v>32.0</v>
      </c>
      <c r="C5" s="1">
        <v>5.0</v>
      </c>
      <c r="D5" s="2">
        <v>4.264426474051973</v>
      </c>
      <c r="E5" s="3">
        <f t="shared" si="1"/>
        <v>0.5410684121</v>
      </c>
    </row>
    <row r="6">
      <c r="A6" s="1">
        <v>1.0</v>
      </c>
      <c r="B6" s="1">
        <v>43.0</v>
      </c>
      <c r="C6" s="1">
        <v>10.0</v>
      </c>
      <c r="D6" s="2">
        <v>7.047604093062212</v>
      </c>
      <c r="E6" s="3">
        <f t="shared" si="1"/>
        <v>8.716641591</v>
      </c>
    </row>
    <row r="7">
      <c r="A7" s="1">
        <v>1.0</v>
      </c>
      <c r="B7" s="1">
        <v>51.0</v>
      </c>
      <c r="C7" s="1">
        <v>7.0</v>
      </c>
      <c r="D7" s="2">
        <v>9.071733270524204</v>
      </c>
      <c r="E7" s="3">
        <f t="shared" si="1"/>
        <v>4.292078744</v>
      </c>
    </row>
    <row r="8">
      <c r="A8" s="1">
        <v>1.0</v>
      </c>
      <c r="B8" s="1">
        <v>28.0</v>
      </c>
      <c r="C8" s="1">
        <v>5.0</v>
      </c>
      <c r="D8" s="2">
        <v>3.252361885320977</v>
      </c>
      <c r="E8" s="3">
        <f t="shared" si="1"/>
        <v>3.05423898</v>
      </c>
    </row>
    <row r="9">
      <c r="A9" s="1">
        <v>1.0</v>
      </c>
      <c r="B9" s="1">
        <v>33.0</v>
      </c>
      <c r="C9" s="1">
        <v>4.0</v>
      </c>
      <c r="D9" s="2">
        <v>4.517442621234721</v>
      </c>
      <c r="E9" s="3">
        <f t="shared" si="1"/>
        <v>0.2677468663</v>
      </c>
    </row>
    <row r="10">
      <c r="A10" s="1">
        <v>1.0</v>
      </c>
      <c r="B10" s="1">
        <v>37.0</v>
      </c>
      <c r="C10" s="1">
        <v>5.0</v>
      </c>
      <c r="D10" s="2">
        <v>5.529507209965718</v>
      </c>
      <c r="E10" s="3">
        <f t="shared" si="1"/>
        <v>0.2803778854</v>
      </c>
    </row>
    <row r="11">
      <c r="A11" s="1">
        <v>1.0</v>
      </c>
      <c r="B11" s="1">
        <v>39.0</v>
      </c>
      <c r="C11" s="1">
        <v>8.0</v>
      </c>
      <c r="D11" s="2">
        <v>6.035539504331217</v>
      </c>
      <c r="E11" s="3">
        <f t="shared" si="1"/>
        <v>3.859105039</v>
      </c>
    </row>
    <row r="12">
      <c r="A12" s="1">
        <v>1.0</v>
      </c>
      <c r="B12" s="1">
        <v>29.0</v>
      </c>
      <c r="C12" s="1">
        <v>1.0</v>
      </c>
      <c r="D12" s="2">
        <v>3.5053780325037263</v>
      </c>
      <c r="E12" s="3">
        <f t="shared" si="1"/>
        <v>6.276919086</v>
      </c>
    </row>
    <row r="13">
      <c r="A13" s="1">
        <v>1.0</v>
      </c>
      <c r="B13" s="1">
        <v>47.0</v>
      </c>
      <c r="C13" s="1">
        <v>9.0</v>
      </c>
      <c r="D13" s="2">
        <v>8.059668681793209</v>
      </c>
      <c r="E13" s="3">
        <f t="shared" si="1"/>
        <v>0.884222988</v>
      </c>
    </row>
    <row r="14">
      <c r="A14" s="1">
        <v>1.0</v>
      </c>
      <c r="B14" s="1">
        <v>54.0</v>
      </c>
      <c r="C14" s="1">
        <v>5.0</v>
      </c>
      <c r="D14" s="2">
        <v>9.83078171207245</v>
      </c>
      <c r="E14" s="3">
        <f t="shared" si="1"/>
        <v>23.33645195</v>
      </c>
    </row>
    <row r="15">
      <c r="A15" s="1">
        <v>1.0</v>
      </c>
      <c r="B15" s="1">
        <v>51.0</v>
      </c>
      <c r="C15" s="1">
        <v>4.0</v>
      </c>
      <c r="D15" s="2">
        <v>9.071733270524204</v>
      </c>
      <c r="E15" s="3">
        <f t="shared" si="1"/>
        <v>25.72247837</v>
      </c>
    </row>
    <row r="16">
      <c r="A16" s="1">
        <v>1.0</v>
      </c>
      <c r="B16" s="1">
        <v>44.0</v>
      </c>
      <c r="C16" s="1">
        <v>12.0</v>
      </c>
      <c r="D16" s="2">
        <v>7.30062024024496</v>
      </c>
      <c r="E16" s="3">
        <f t="shared" si="1"/>
        <v>22.08417013</v>
      </c>
    </row>
    <row r="17">
      <c r="A17" s="1">
        <v>1.0</v>
      </c>
      <c r="B17" s="1">
        <v>41.0</v>
      </c>
      <c r="C17" s="1">
        <v>6.0</v>
      </c>
      <c r="D17" s="2">
        <v>6.5415717986967135</v>
      </c>
      <c r="E17" s="3">
        <f t="shared" si="1"/>
        <v>0.2933000131</v>
      </c>
    </row>
    <row r="18">
      <c r="A18" s="1">
        <v>1.0</v>
      </c>
      <c r="B18" s="1">
        <v>58.0</v>
      </c>
      <c r="C18" s="1">
        <v>17.0</v>
      </c>
      <c r="D18" s="2">
        <v>10.842846300803448</v>
      </c>
      <c r="E18" s="3">
        <f t="shared" si="1"/>
        <v>37.91054168</v>
      </c>
    </row>
    <row r="19">
      <c r="A19" s="1">
        <v>1.0</v>
      </c>
      <c r="B19" s="1">
        <v>23.0</v>
      </c>
      <c r="C19" s="1">
        <v>1.0</v>
      </c>
      <c r="D19" s="2">
        <v>1.9872811494072318</v>
      </c>
      <c r="E19" s="3">
        <f t="shared" si="1"/>
        <v>0.974724068</v>
      </c>
    </row>
    <row r="20">
      <c r="A20" s="1">
        <v>1.0</v>
      </c>
      <c r="B20" s="1">
        <v>44.0</v>
      </c>
      <c r="C20" s="1">
        <v>9.0</v>
      </c>
      <c r="D20" s="2">
        <v>7.30062024024496</v>
      </c>
      <c r="E20" s="3">
        <f t="shared" si="1"/>
        <v>2.887891568</v>
      </c>
    </row>
    <row r="21">
      <c r="A21" s="1">
        <v>1.0</v>
      </c>
      <c r="B21" s="1">
        <v>37.0</v>
      </c>
      <c r="C21" s="1">
        <v>10.0</v>
      </c>
      <c r="D21" s="2">
        <v>5.529507209965718</v>
      </c>
      <c r="E21" s="3">
        <f t="shared" si="1"/>
        <v>19.98530579</v>
      </c>
    </row>
    <row r="24">
      <c r="A24" s="1"/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</row>
    <row r="25">
      <c r="A25" s="1" t="s">
        <v>0</v>
      </c>
      <c r="B25" s="1">
        <v>25.0</v>
      </c>
      <c r="C25" s="1">
        <v>30.0</v>
      </c>
      <c r="D25" s="1">
        <v>47.0</v>
      </c>
      <c r="E25" s="1">
        <v>32.0</v>
      </c>
      <c r="F25" s="1">
        <v>43.0</v>
      </c>
      <c r="G25" s="1">
        <v>51.0</v>
      </c>
      <c r="H25" s="1">
        <v>28.0</v>
      </c>
      <c r="I25" s="1">
        <v>33.0</v>
      </c>
      <c r="J25" s="1">
        <v>37.0</v>
      </c>
      <c r="K25" s="1">
        <v>39.0</v>
      </c>
      <c r="L25" s="1">
        <v>29.0</v>
      </c>
      <c r="M25" s="1">
        <v>47.0</v>
      </c>
      <c r="N25" s="1">
        <v>54.0</v>
      </c>
      <c r="O25" s="1">
        <v>51.0</v>
      </c>
      <c r="P25" s="1">
        <v>44.0</v>
      </c>
      <c r="Q25" s="1">
        <v>41.0</v>
      </c>
      <c r="R25" s="1">
        <v>58.0</v>
      </c>
      <c r="S25" s="1">
        <v>23.0</v>
      </c>
      <c r="T25" s="1">
        <v>44.0</v>
      </c>
      <c r="U25" s="1">
        <v>37.0</v>
      </c>
    </row>
    <row r="26">
      <c r="A26" s="1" t="s">
        <v>1</v>
      </c>
      <c r="B26" s="1">
        <v>1.0</v>
      </c>
      <c r="C26" s="1">
        <v>3.0</v>
      </c>
      <c r="D26" s="1">
        <v>2.0</v>
      </c>
      <c r="E26" s="1">
        <v>5.0</v>
      </c>
      <c r="F26" s="1">
        <v>10.0</v>
      </c>
      <c r="G26" s="1">
        <v>7.0</v>
      </c>
      <c r="H26" s="1">
        <v>5.0</v>
      </c>
      <c r="I26" s="1">
        <v>4.0</v>
      </c>
      <c r="J26" s="1">
        <v>5.0</v>
      </c>
      <c r="K26" s="1">
        <v>8.0</v>
      </c>
      <c r="L26" s="1">
        <v>1.0</v>
      </c>
      <c r="M26" s="1">
        <v>9.0</v>
      </c>
      <c r="N26" s="1">
        <v>5.0</v>
      </c>
      <c r="O26" s="1">
        <v>4.0</v>
      </c>
      <c r="P26" s="1">
        <v>12.0</v>
      </c>
      <c r="Q26" s="1">
        <v>6.0</v>
      </c>
      <c r="R26" s="1">
        <v>17.0</v>
      </c>
      <c r="S26" s="1">
        <v>1.0</v>
      </c>
      <c r="T26" s="1">
        <v>9.0</v>
      </c>
      <c r="U26" s="1">
        <v>10.0</v>
      </c>
    </row>
    <row r="30">
      <c r="A30" s="1" t="s">
        <v>5</v>
      </c>
      <c r="B30" s="2">
        <f t="array" ref="B30:C31">MMULT(newx_t,newx)</f>
        <v>20</v>
      </c>
      <c r="C30" s="2">
        <v>793.0</v>
      </c>
    </row>
    <row r="31">
      <c r="B31" s="2">
        <v>793.0</v>
      </c>
      <c r="C31" s="2">
        <v>33353.0</v>
      </c>
    </row>
    <row r="33">
      <c r="A33" s="1" t="s">
        <v>6</v>
      </c>
      <c r="B33" s="2">
        <f t="array" ref="B33:C34">MINVERSE(B30:C31)</f>
        <v>0.872863835</v>
      </c>
      <c r="C33" s="2">
        <v>-0.020753186255266832</v>
      </c>
    </row>
    <row r="34">
      <c r="B34" s="2">
        <v>-0.02075318625526683</v>
      </c>
      <c r="C34" s="2">
        <v>5.234094894140437E-4</v>
      </c>
    </row>
    <row r="36">
      <c r="A36" s="1" t="s">
        <v>7</v>
      </c>
      <c r="B36" s="2">
        <f t="array" ref="B36:U37">MMULT(B33:C34,newx_t)</f>
        <v>0.3540341786</v>
      </c>
      <c r="C36" s="2">
        <v>0.25026824736332487</v>
      </c>
      <c r="D36" s="2">
        <v>-0.10253591897621128</v>
      </c>
      <c r="E36" s="2">
        <v>0.20876187485279118</v>
      </c>
      <c r="F36" s="2">
        <v>-0.019523173955143913</v>
      </c>
      <c r="G36" s="2">
        <v>-0.18554866399727854</v>
      </c>
      <c r="H36" s="2">
        <v>0.29177461987385855</v>
      </c>
      <c r="I36" s="2">
        <v>0.1880086885975244</v>
      </c>
      <c r="J36" s="2">
        <v>0.10499594357645703</v>
      </c>
      <c r="K36" s="2">
        <v>0.06348957106592334</v>
      </c>
      <c r="L36" s="2">
        <v>0.27102143361859166</v>
      </c>
      <c r="M36" s="2">
        <v>-0.10253591897621128</v>
      </c>
      <c r="N36" s="2">
        <v>-0.24780822276307912</v>
      </c>
      <c r="O36" s="2">
        <v>-0.18554866399727854</v>
      </c>
      <c r="P36" s="2">
        <v>-0.04027636021041081</v>
      </c>
      <c r="Q36" s="2">
        <v>0.02198319855538966</v>
      </c>
      <c r="R36" s="2">
        <v>-0.3308209677841465</v>
      </c>
      <c r="S36" s="2">
        <v>0.39554055115019265</v>
      </c>
      <c r="T36" s="2">
        <v>-0.04027636021041081</v>
      </c>
      <c r="U36" s="2">
        <v>0.10499594357645703</v>
      </c>
    </row>
    <row r="37">
      <c r="B37" s="2">
        <v>-0.007667949019915738</v>
      </c>
      <c r="C37" s="2">
        <v>-0.0050509015728455176</v>
      </c>
      <c r="D37" s="2">
        <v>0.003847059747193224</v>
      </c>
      <c r="E37" s="2">
        <v>-0.0040040825940174316</v>
      </c>
      <c r="F37" s="2">
        <v>0.0017534217895370484</v>
      </c>
      <c r="G37" s="2">
        <v>0.005940697704849399</v>
      </c>
      <c r="H37" s="2">
        <v>-0.006097720551673607</v>
      </c>
      <c r="I37" s="2">
        <v>-0.0034806731046033886</v>
      </c>
      <c r="J37" s="2">
        <v>-0.001387035146947213</v>
      </c>
      <c r="K37" s="2">
        <v>-3.402161681191271E-4</v>
      </c>
      <c r="L37" s="2">
        <v>-0.005574311062259562</v>
      </c>
      <c r="M37" s="2">
        <v>0.003847059747193224</v>
      </c>
      <c r="N37" s="2">
        <v>0.007510926173091528</v>
      </c>
      <c r="O37" s="2">
        <v>0.005940697704849399</v>
      </c>
      <c r="P37" s="2">
        <v>0.0022768312789510914</v>
      </c>
      <c r="Q37" s="2">
        <v>7.066028107089624E-4</v>
      </c>
      <c r="R37" s="2">
        <v>0.009604564130747704</v>
      </c>
      <c r="S37" s="2">
        <v>-0.008714767998743824</v>
      </c>
      <c r="T37" s="2">
        <v>0.0022768312789510914</v>
      </c>
      <c r="U37" s="2">
        <v>-0.001387035146947213</v>
      </c>
    </row>
    <row r="39">
      <c r="A39" s="5" t="s">
        <v>8</v>
      </c>
      <c r="B39" s="6">
        <f t="array" ref="B39:B40">MMULT(B36:U37,newy)</f>
        <v>-3.832090236</v>
      </c>
    </row>
    <row r="40">
      <c r="A40" s="7"/>
      <c r="B40" s="6">
        <v>0.253016147182749</v>
      </c>
    </row>
    <row r="44">
      <c r="A44" s="1"/>
      <c r="B44" s="1" t="s">
        <v>1</v>
      </c>
      <c r="C44" s="1" t="s">
        <v>9</v>
      </c>
      <c r="D44" s="1" t="s">
        <v>2</v>
      </c>
      <c r="E44" s="1" t="s">
        <v>3</v>
      </c>
      <c r="H44" s="4" t="s">
        <v>10</v>
      </c>
    </row>
    <row r="45">
      <c r="A45" s="1">
        <v>1.0</v>
      </c>
      <c r="B45" s="1">
        <v>1.0</v>
      </c>
      <c r="C45" s="1">
        <v>25.0</v>
      </c>
      <c r="D45" s="2">
        <f t="array" ref="D45:D64">MMULT(newx1,B81:B82)</f>
        <v>31.87252475</v>
      </c>
      <c r="E45" s="8">
        <f t="shared" ref="E45:E64" si="2">(C45-D45)*(C45-D45)</f>
        <v>47.23159647</v>
      </c>
      <c r="F45" s="1" t="s">
        <v>11</v>
      </c>
    </row>
    <row r="46">
      <c r="A46" s="1">
        <v>1.0</v>
      </c>
      <c r="B46" s="1">
        <v>3.0</v>
      </c>
      <c r="C46" s="1">
        <v>30.0</v>
      </c>
      <c r="D46" s="2">
        <v>34.86386138613864</v>
      </c>
      <c r="E46" s="8">
        <f t="shared" si="2"/>
        <v>23.65714758</v>
      </c>
    </row>
    <row r="47">
      <c r="A47" s="1">
        <v>1.0</v>
      </c>
      <c r="B47" s="1">
        <v>2.0</v>
      </c>
      <c r="C47" s="1">
        <v>47.0</v>
      </c>
      <c r="D47" s="2">
        <v>33.368193069306955</v>
      </c>
      <c r="E47" s="8">
        <f t="shared" si="2"/>
        <v>185.8261602</v>
      </c>
    </row>
    <row r="48">
      <c r="A48" s="1">
        <v>1.0</v>
      </c>
      <c r="B48" s="1">
        <v>5.0</v>
      </c>
      <c r="C48" s="1">
        <v>32.0</v>
      </c>
      <c r="D48" s="2">
        <v>37.855198019802</v>
      </c>
      <c r="E48" s="8">
        <f t="shared" si="2"/>
        <v>34.28334385</v>
      </c>
    </row>
    <row r="49">
      <c r="A49" s="1">
        <v>1.0</v>
      </c>
      <c r="B49" s="1">
        <v>10.0</v>
      </c>
      <c r="C49" s="1">
        <v>43.0</v>
      </c>
      <c r="D49" s="2">
        <v>45.333539603960425</v>
      </c>
      <c r="E49" s="8">
        <f t="shared" si="2"/>
        <v>5.445407083</v>
      </c>
    </row>
    <row r="50">
      <c r="A50" s="1">
        <v>1.0</v>
      </c>
      <c r="B50" s="1">
        <v>7.0</v>
      </c>
      <c r="C50" s="1">
        <v>51.0</v>
      </c>
      <c r="D50" s="2">
        <v>40.84653465346537</v>
      </c>
      <c r="E50" s="8">
        <f t="shared" si="2"/>
        <v>103.0928585</v>
      </c>
    </row>
    <row r="51">
      <c r="A51" s="1">
        <v>1.0</v>
      </c>
      <c r="B51" s="1">
        <v>5.0</v>
      </c>
      <c r="C51" s="1">
        <v>28.0</v>
      </c>
      <c r="D51" s="2">
        <v>37.855198019802</v>
      </c>
      <c r="E51" s="8">
        <f t="shared" si="2"/>
        <v>97.12492801</v>
      </c>
    </row>
    <row r="52">
      <c r="A52" s="1">
        <v>1.0</v>
      </c>
      <c r="B52" s="1">
        <v>4.0</v>
      </c>
      <c r="C52" s="1">
        <v>33.0</v>
      </c>
      <c r="D52" s="2">
        <v>36.35952970297032</v>
      </c>
      <c r="E52" s="8">
        <f t="shared" si="2"/>
        <v>11.28643983</v>
      </c>
    </row>
    <row r="53">
      <c r="A53" s="1">
        <v>1.0</v>
      </c>
      <c r="B53" s="1">
        <v>5.0</v>
      </c>
      <c r="C53" s="1">
        <v>37.0</v>
      </c>
      <c r="D53" s="2">
        <v>37.855198019802</v>
      </c>
      <c r="E53" s="8">
        <f t="shared" si="2"/>
        <v>0.7313636531</v>
      </c>
    </row>
    <row r="54">
      <c r="A54" s="1">
        <v>1.0</v>
      </c>
      <c r="B54" s="1">
        <v>8.0</v>
      </c>
      <c r="C54" s="1">
        <v>39.0</v>
      </c>
      <c r="D54" s="2">
        <v>42.34220297029706</v>
      </c>
      <c r="E54" s="8">
        <f t="shared" si="2"/>
        <v>11.17032069</v>
      </c>
    </row>
    <row r="55">
      <c r="A55" s="1">
        <v>1.0</v>
      </c>
      <c r="B55" s="1">
        <v>1.0</v>
      </c>
      <c r="C55" s="1">
        <v>29.0</v>
      </c>
      <c r="D55" s="2">
        <v>31.872524752475268</v>
      </c>
      <c r="E55" s="8">
        <f t="shared" si="2"/>
        <v>8.251398454</v>
      </c>
    </row>
    <row r="56">
      <c r="A56" s="1">
        <v>1.0</v>
      </c>
      <c r="B56" s="1">
        <v>9.0</v>
      </c>
      <c r="C56" s="1">
        <v>47.0</v>
      </c>
      <c r="D56" s="2">
        <v>43.83787128712874</v>
      </c>
      <c r="E56" s="8">
        <f t="shared" si="2"/>
        <v>9.999057997</v>
      </c>
    </row>
    <row r="57">
      <c r="A57" s="1">
        <v>1.0</v>
      </c>
      <c r="B57" s="1">
        <v>5.0</v>
      </c>
      <c r="C57" s="1">
        <v>54.0</v>
      </c>
      <c r="D57" s="2">
        <v>37.855198019802</v>
      </c>
      <c r="E57" s="8">
        <f t="shared" si="2"/>
        <v>260.654631</v>
      </c>
    </row>
    <row r="58">
      <c r="A58" s="1">
        <v>1.0</v>
      </c>
      <c r="B58" s="1">
        <v>4.0</v>
      </c>
      <c r="C58" s="1">
        <v>51.0</v>
      </c>
      <c r="D58" s="2">
        <v>36.35952970297032</v>
      </c>
      <c r="E58" s="8">
        <f t="shared" si="2"/>
        <v>214.3433705</v>
      </c>
    </row>
    <row r="59">
      <c r="A59" s="1">
        <v>1.0</v>
      </c>
      <c r="B59" s="1">
        <v>12.0</v>
      </c>
      <c r="C59" s="1">
        <v>44.0</v>
      </c>
      <c r="D59" s="2">
        <v>48.3248762376238</v>
      </c>
      <c r="E59" s="8">
        <f t="shared" si="2"/>
        <v>18.70455447</v>
      </c>
    </row>
    <row r="60">
      <c r="A60" s="1">
        <v>1.0</v>
      </c>
      <c r="B60" s="1">
        <v>6.0</v>
      </c>
      <c r="C60" s="1">
        <v>41.0</v>
      </c>
      <c r="D60" s="2">
        <v>39.350866336633686</v>
      </c>
      <c r="E60" s="8">
        <f t="shared" si="2"/>
        <v>2.71964184</v>
      </c>
    </row>
    <row r="61">
      <c r="A61" s="1">
        <v>1.0</v>
      </c>
      <c r="B61" s="1">
        <v>17.0</v>
      </c>
      <c r="C61" s="1">
        <v>58.0</v>
      </c>
      <c r="D61" s="2">
        <v>55.80321782178221</v>
      </c>
      <c r="E61" s="8">
        <f t="shared" si="2"/>
        <v>4.825851939</v>
      </c>
    </row>
    <row r="62">
      <c r="A62" s="1">
        <v>1.0</v>
      </c>
      <c r="B62" s="1">
        <v>1.0</v>
      </c>
      <c r="C62" s="1">
        <v>23.0</v>
      </c>
      <c r="D62" s="2">
        <v>31.872524752475268</v>
      </c>
      <c r="E62" s="8">
        <f t="shared" si="2"/>
        <v>78.72169548</v>
      </c>
    </row>
    <row r="63">
      <c r="A63" s="1">
        <v>1.0</v>
      </c>
      <c r="B63" s="1">
        <v>9.0</v>
      </c>
      <c r="C63" s="1">
        <v>44.0</v>
      </c>
      <c r="D63" s="2">
        <v>43.83787128712874</v>
      </c>
      <c r="E63" s="8">
        <f t="shared" si="2"/>
        <v>0.02628571954</v>
      </c>
    </row>
    <row r="64">
      <c r="A64" s="1">
        <v>1.0</v>
      </c>
      <c r="B64" s="1">
        <v>10.0</v>
      </c>
      <c r="C64" s="1">
        <v>37.0</v>
      </c>
      <c r="D64" s="2">
        <v>45.333539603960425</v>
      </c>
      <c r="E64" s="8">
        <f t="shared" si="2"/>
        <v>69.44788233</v>
      </c>
    </row>
    <row r="67">
      <c r="A67" s="1"/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</row>
    <row r="68">
      <c r="A68" s="1" t="s">
        <v>1</v>
      </c>
      <c r="B68" s="1">
        <v>1.0</v>
      </c>
      <c r="C68" s="1">
        <v>3.0</v>
      </c>
      <c r="D68" s="1">
        <v>2.0</v>
      </c>
      <c r="E68" s="1">
        <v>5.0</v>
      </c>
      <c r="F68" s="1">
        <v>10.0</v>
      </c>
      <c r="G68" s="1">
        <v>7.0</v>
      </c>
      <c r="H68" s="1">
        <v>5.0</v>
      </c>
      <c r="I68" s="1">
        <v>4.0</v>
      </c>
      <c r="J68" s="1">
        <v>5.0</v>
      </c>
      <c r="K68" s="1">
        <v>8.0</v>
      </c>
      <c r="L68" s="1">
        <v>1.0</v>
      </c>
      <c r="M68" s="1">
        <v>9.0</v>
      </c>
      <c r="N68" s="1">
        <v>5.0</v>
      </c>
      <c r="O68" s="1">
        <v>4.0</v>
      </c>
      <c r="P68" s="1">
        <v>12.0</v>
      </c>
      <c r="Q68" s="1">
        <v>6.0</v>
      </c>
      <c r="R68" s="1">
        <v>17.0</v>
      </c>
      <c r="S68" s="1">
        <v>1.0</v>
      </c>
      <c r="T68" s="1">
        <v>9.0</v>
      </c>
      <c r="U68" s="1">
        <v>10.0</v>
      </c>
    </row>
    <row r="69">
      <c r="A69" s="1" t="s">
        <v>9</v>
      </c>
      <c r="B69" s="1">
        <v>25.0</v>
      </c>
      <c r="C69" s="1">
        <v>30.0</v>
      </c>
      <c r="D69" s="1">
        <v>47.0</v>
      </c>
      <c r="E69" s="1">
        <v>32.0</v>
      </c>
      <c r="F69" s="1">
        <v>43.0</v>
      </c>
      <c r="G69" s="1">
        <v>51.0</v>
      </c>
      <c r="H69" s="1">
        <v>28.0</v>
      </c>
      <c r="I69" s="1">
        <v>33.0</v>
      </c>
      <c r="J69" s="1">
        <v>37.0</v>
      </c>
      <c r="K69" s="1">
        <v>39.0</v>
      </c>
      <c r="L69" s="1">
        <v>29.0</v>
      </c>
      <c r="M69" s="1">
        <v>47.0</v>
      </c>
      <c r="N69" s="1">
        <v>54.0</v>
      </c>
      <c r="O69" s="1">
        <v>51.0</v>
      </c>
      <c r="P69" s="1">
        <v>44.0</v>
      </c>
      <c r="Q69" s="1">
        <v>41.0</v>
      </c>
      <c r="R69" s="1">
        <v>58.0</v>
      </c>
      <c r="S69" s="1">
        <v>23.0</v>
      </c>
      <c r="T69" s="1">
        <v>44.0</v>
      </c>
      <c r="U69" s="1">
        <v>37.0</v>
      </c>
    </row>
    <row r="72">
      <c r="A72" s="1" t="s">
        <v>12</v>
      </c>
      <c r="B72" s="2">
        <f t="array" ref="B72:C73">MMULT(newx_t1,newx1)</f>
        <v>20</v>
      </c>
      <c r="C72" s="2">
        <v>124.0</v>
      </c>
    </row>
    <row r="73">
      <c r="B73" s="2">
        <v>124.0</v>
      </c>
      <c r="C73" s="2">
        <v>1092.0</v>
      </c>
    </row>
    <row r="75">
      <c r="A75" s="1" t="s">
        <v>13</v>
      </c>
      <c r="B75" s="2">
        <f t="array" ref="B75:C76">MINVERSE(B72:C73)</f>
        <v>0.1689356436</v>
      </c>
      <c r="C75" s="2">
        <v>-0.019183168316831683</v>
      </c>
    </row>
    <row r="76">
      <c r="B76" s="2">
        <v>-0.019183168316831683</v>
      </c>
      <c r="C76" s="2">
        <v>0.003094059405940594</v>
      </c>
    </row>
    <row r="78">
      <c r="A78" s="1" t="s">
        <v>14</v>
      </c>
      <c r="B78" s="2">
        <f t="array" ref="B78:U79">MMULT(B75:C76,newx_t1)</f>
        <v>0.1497524752</v>
      </c>
      <c r="C78" s="2">
        <v>0.1113861386138614</v>
      </c>
      <c r="D78" s="2">
        <v>0.13056930693069307</v>
      </c>
      <c r="E78" s="2">
        <v>0.07301980198019803</v>
      </c>
      <c r="F78" s="2">
        <v>-0.02289603960396039</v>
      </c>
      <c r="G78" s="2">
        <v>0.034653465346534656</v>
      </c>
      <c r="H78" s="2">
        <v>0.07301980198019803</v>
      </c>
      <c r="I78" s="2">
        <v>0.09220297029702972</v>
      </c>
      <c r="J78" s="2">
        <v>0.07301980198019803</v>
      </c>
      <c r="K78" s="2">
        <v>0.015470297029702984</v>
      </c>
      <c r="L78" s="2">
        <v>0.14975247524752477</v>
      </c>
      <c r="M78" s="2">
        <v>-0.0037128712871286884</v>
      </c>
      <c r="N78" s="2">
        <v>0.07301980198019803</v>
      </c>
      <c r="O78" s="2">
        <v>0.09220297029702972</v>
      </c>
      <c r="P78" s="2">
        <v>-0.061262376237623734</v>
      </c>
      <c r="Q78" s="2">
        <v>0.05383663366336636</v>
      </c>
      <c r="R78" s="2">
        <v>-0.15717821782178218</v>
      </c>
      <c r="S78" s="2">
        <v>0.14975247524752477</v>
      </c>
      <c r="T78" s="2">
        <v>-0.0037128712871286884</v>
      </c>
      <c r="U78" s="2">
        <v>-0.02289603960396039</v>
      </c>
    </row>
    <row r="79">
      <c r="B79" s="2">
        <v>-0.01608910891089109</v>
      </c>
      <c r="C79" s="2">
        <v>-0.0099009900990099</v>
      </c>
      <c r="D79" s="2">
        <v>-0.012995049504950494</v>
      </c>
      <c r="E79" s="2">
        <v>-0.0037128712871287127</v>
      </c>
      <c r="F79" s="2">
        <v>0.011757425742574257</v>
      </c>
      <c r="G79" s="2">
        <v>0.0024752475247524774</v>
      </c>
      <c r="H79" s="2">
        <v>-0.0037128712871287127</v>
      </c>
      <c r="I79" s="2">
        <v>-0.006806930693069306</v>
      </c>
      <c r="J79" s="2">
        <v>-0.0037128712871287127</v>
      </c>
      <c r="K79" s="2">
        <v>0.005569306930693071</v>
      </c>
      <c r="L79" s="2">
        <v>-0.01608910891089109</v>
      </c>
      <c r="M79" s="2">
        <v>0.008663366336633664</v>
      </c>
      <c r="N79" s="2">
        <v>-0.0037128712871287127</v>
      </c>
      <c r="O79" s="2">
        <v>-0.006806930693069306</v>
      </c>
      <c r="P79" s="2">
        <v>0.01794554455445545</v>
      </c>
      <c r="Q79" s="2">
        <v>-6.188118811881159E-4</v>
      </c>
      <c r="R79" s="2">
        <v>0.03341584158415842</v>
      </c>
      <c r="S79" s="2">
        <v>-0.01608910891089109</v>
      </c>
      <c r="T79" s="2">
        <v>0.008663366336633664</v>
      </c>
      <c r="U79" s="2">
        <v>0.011757425742574257</v>
      </c>
    </row>
    <row r="81">
      <c r="A81" s="1" t="s">
        <v>15</v>
      </c>
      <c r="B81" s="6">
        <f t="array" ref="B81:B82">MMULT(B78:U79,newy1)</f>
        <v>30.37685644</v>
      </c>
    </row>
    <row r="82">
      <c r="B82" s="6">
        <v>1.495668316831684</v>
      </c>
    </row>
    <row r="85">
      <c r="A85" s="1"/>
      <c r="B85" s="1" t="s">
        <v>0</v>
      </c>
      <c r="C85" s="1" t="s">
        <v>16</v>
      </c>
      <c r="D85" s="1" t="s">
        <v>2</v>
      </c>
      <c r="E85" s="1" t="s">
        <v>3</v>
      </c>
      <c r="H85" s="4" t="s">
        <v>17</v>
      </c>
    </row>
    <row r="86">
      <c r="A86" s="1">
        <v>1.0</v>
      </c>
      <c r="B86" s="1">
        <v>25.0</v>
      </c>
      <c r="C86" s="1">
        <v>30450.0</v>
      </c>
      <c r="D86" s="2">
        <f t="array" ref="D86:D105">MMULT(newx2,B120:B121)</f>
        <v>34173.35741</v>
      </c>
      <c r="E86" s="3">
        <f t="shared" ref="E86:E105" si="3">(C86-D86)*(C86-D86)</f>
        <v>13863390.4</v>
      </c>
    </row>
    <row r="87">
      <c r="A87" s="1">
        <v>1.0</v>
      </c>
      <c r="B87" s="1">
        <v>30.0</v>
      </c>
      <c r="C87" s="1">
        <v>35670.0</v>
      </c>
      <c r="D87" s="2">
        <v>36412.99651932689</v>
      </c>
      <c r="E87" s="3">
        <f t="shared" si="3"/>
        <v>552043.8277</v>
      </c>
    </row>
    <row r="88">
      <c r="A88" s="1">
        <v>1.0</v>
      </c>
      <c r="B88" s="1">
        <v>47.0</v>
      </c>
      <c r="C88" s="1">
        <v>31580.0</v>
      </c>
      <c r="D88" s="2">
        <v>44027.769490460894</v>
      </c>
      <c r="E88" s="3">
        <f t="shared" si="3"/>
        <v>154946965.3</v>
      </c>
    </row>
    <row r="89">
      <c r="A89" s="1">
        <v>1.0</v>
      </c>
      <c r="B89" s="1">
        <v>32.0</v>
      </c>
      <c r="C89" s="1">
        <v>40130.0</v>
      </c>
      <c r="D89" s="2">
        <v>37308.852162989715</v>
      </c>
      <c r="E89" s="3">
        <f t="shared" si="3"/>
        <v>7958875.118</v>
      </c>
      <c r="G89" s="9" t="s">
        <v>18</v>
      </c>
      <c r="H89" s="4"/>
    </row>
    <row r="90">
      <c r="A90" s="1">
        <v>1.0</v>
      </c>
      <c r="B90" s="1">
        <v>43.0</v>
      </c>
      <c r="C90" s="1">
        <v>47830.0</v>
      </c>
      <c r="D90" s="2">
        <v>42236.05820313525</v>
      </c>
      <c r="E90" s="3">
        <f t="shared" si="3"/>
        <v>31292184.83</v>
      </c>
    </row>
    <row r="91">
      <c r="A91" s="1">
        <v>1.0</v>
      </c>
      <c r="B91" s="1">
        <v>51.0</v>
      </c>
      <c r="C91" s="1">
        <v>41630.0</v>
      </c>
      <c r="D91" s="2">
        <v>45819.48077778655</v>
      </c>
      <c r="E91" s="3">
        <f t="shared" si="3"/>
        <v>17551749.19</v>
      </c>
    </row>
    <row r="92">
      <c r="A92" s="1">
        <v>1.0</v>
      </c>
      <c r="B92" s="1">
        <v>28.0</v>
      </c>
      <c r="C92" s="1">
        <v>41340.0</v>
      </c>
      <c r="D92" s="2">
        <v>35517.14087566407</v>
      </c>
      <c r="E92" s="3">
        <f t="shared" si="3"/>
        <v>33905688.38</v>
      </c>
    </row>
    <row r="93">
      <c r="A93" s="1">
        <v>1.0</v>
      </c>
      <c r="B93" s="1">
        <v>33.0</v>
      </c>
      <c r="C93" s="1">
        <v>37650.0</v>
      </c>
      <c r="D93" s="2">
        <v>37756.77998482113</v>
      </c>
      <c r="E93" s="3">
        <f t="shared" si="3"/>
        <v>11401.96516</v>
      </c>
    </row>
    <row r="94">
      <c r="A94" s="1">
        <v>1.0</v>
      </c>
      <c r="B94" s="1">
        <v>37.0</v>
      </c>
      <c r="C94" s="1">
        <v>40250.0</v>
      </c>
      <c r="D94" s="2">
        <v>39548.49127214678</v>
      </c>
      <c r="E94" s="3">
        <f t="shared" si="3"/>
        <v>492114.4953</v>
      </c>
    </row>
    <row r="95">
      <c r="A95" s="1">
        <v>1.0</v>
      </c>
      <c r="B95" s="1">
        <v>39.0</v>
      </c>
      <c r="C95" s="1">
        <v>45150.0</v>
      </c>
      <c r="D95" s="2">
        <v>40444.3469158096</v>
      </c>
      <c r="E95" s="3">
        <f t="shared" si="3"/>
        <v>22143170.95</v>
      </c>
    </row>
    <row r="96">
      <c r="A96" s="1">
        <v>1.0</v>
      </c>
      <c r="B96" s="1">
        <v>29.0</v>
      </c>
      <c r="C96" s="1">
        <v>27840.0</v>
      </c>
      <c r="D96" s="2">
        <v>35965.06869749548</v>
      </c>
      <c r="E96" s="3">
        <f t="shared" si="3"/>
        <v>66016741.34</v>
      </c>
    </row>
    <row r="97">
      <c r="A97" s="1">
        <v>1.0</v>
      </c>
      <c r="B97" s="1">
        <v>47.0</v>
      </c>
      <c r="C97" s="1">
        <v>46110.0</v>
      </c>
      <c r="D97" s="2">
        <v>44027.769490460894</v>
      </c>
      <c r="E97" s="3">
        <f t="shared" si="3"/>
        <v>4335683.895</v>
      </c>
    </row>
    <row r="98">
      <c r="A98" s="1">
        <v>1.0</v>
      </c>
      <c r="B98" s="1">
        <v>54.0</v>
      </c>
      <c r="C98" s="1">
        <v>36720.0</v>
      </c>
      <c r="D98" s="2">
        <v>47163.264243280784</v>
      </c>
      <c r="E98" s="3">
        <f t="shared" si="3"/>
        <v>109061768.1</v>
      </c>
    </row>
    <row r="99">
      <c r="A99" s="1">
        <v>1.0</v>
      </c>
      <c r="B99" s="1">
        <v>51.0</v>
      </c>
      <c r="C99" s="1">
        <v>34800.0</v>
      </c>
      <c r="D99" s="2">
        <v>45819.48077778655</v>
      </c>
      <c r="E99" s="3">
        <f t="shared" si="3"/>
        <v>121428956.6</v>
      </c>
    </row>
    <row r="100">
      <c r="A100" s="1">
        <v>1.0</v>
      </c>
      <c r="B100" s="1">
        <v>44.0</v>
      </c>
      <c r="C100" s="1">
        <v>51300.0</v>
      </c>
      <c r="D100" s="2">
        <v>42683.98602496667</v>
      </c>
      <c r="E100" s="3">
        <f t="shared" si="3"/>
        <v>74235696.82</v>
      </c>
    </row>
    <row r="101">
      <c r="A101" s="1">
        <v>1.0</v>
      </c>
      <c r="B101" s="1">
        <v>41.0</v>
      </c>
      <c r="C101" s="1">
        <v>38900.0</v>
      </c>
      <c r="D101" s="2">
        <v>41340.202559472425</v>
      </c>
      <c r="E101" s="3">
        <f t="shared" si="3"/>
        <v>5954588.531</v>
      </c>
    </row>
    <row r="102">
      <c r="A102" s="1">
        <v>1.0</v>
      </c>
      <c r="B102" s="1">
        <v>58.0</v>
      </c>
      <c r="C102" s="1">
        <v>63600.0</v>
      </c>
      <c r="D102" s="2">
        <v>48954.97553060643</v>
      </c>
      <c r="E102" s="3">
        <f t="shared" si="3"/>
        <v>214476741.7</v>
      </c>
    </row>
    <row r="103">
      <c r="A103" s="1">
        <v>1.0</v>
      </c>
      <c r="B103" s="1">
        <v>23.0</v>
      </c>
      <c r="C103" s="1">
        <v>30870.0</v>
      </c>
      <c r="D103" s="2">
        <v>33277.501766507005</v>
      </c>
      <c r="E103" s="3">
        <f t="shared" si="3"/>
        <v>5796064.756</v>
      </c>
    </row>
    <row r="104">
      <c r="A104" s="1">
        <v>1.0</v>
      </c>
      <c r="B104" s="1">
        <v>44.0</v>
      </c>
      <c r="C104" s="1">
        <v>44190.0</v>
      </c>
      <c r="D104" s="2">
        <v>42683.98602496667</v>
      </c>
      <c r="E104" s="3">
        <f t="shared" si="3"/>
        <v>2268078.093</v>
      </c>
    </row>
    <row r="105">
      <c r="A105" s="1">
        <v>1.0</v>
      </c>
      <c r="B105" s="1">
        <v>37.0</v>
      </c>
      <c r="C105" s="1">
        <v>48700.0</v>
      </c>
      <c r="D105" s="2">
        <v>39548.49127214678</v>
      </c>
      <c r="E105" s="3">
        <f t="shared" si="3"/>
        <v>83750112</v>
      </c>
    </row>
    <row r="107">
      <c r="A107" s="1"/>
      <c r="B107" s="1">
        <v>1.0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</row>
    <row r="108">
      <c r="A108" s="1" t="s">
        <v>0</v>
      </c>
      <c r="B108" s="1">
        <v>25.0</v>
      </c>
      <c r="C108" s="1">
        <v>30.0</v>
      </c>
      <c r="D108" s="1">
        <v>47.0</v>
      </c>
      <c r="E108" s="1">
        <v>32.0</v>
      </c>
      <c r="F108" s="1">
        <v>43.0</v>
      </c>
      <c r="G108" s="1">
        <v>51.0</v>
      </c>
      <c r="H108" s="1">
        <v>28.0</v>
      </c>
      <c r="I108" s="1">
        <v>33.0</v>
      </c>
      <c r="J108" s="1">
        <v>37.0</v>
      </c>
      <c r="K108" s="1">
        <v>39.0</v>
      </c>
      <c r="L108" s="1">
        <v>29.0</v>
      </c>
      <c r="M108" s="1">
        <v>47.0</v>
      </c>
      <c r="N108" s="1">
        <v>54.0</v>
      </c>
      <c r="O108" s="1">
        <v>51.0</v>
      </c>
      <c r="P108" s="1">
        <v>44.0</v>
      </c>
      <c r="Q108" s="1">
        <v>41.0</v>
      </c>
      <c r="R108" s="1">
        <v>58.0</v>
      </c>
      <c r="S108" s="1">
        <v>23.0</v>
      </c>
      <c r="T108" s="1">
        <v>44.0</v>
      </c>
      <c r="U108" s="1">
        <v>37.0</v>
      </c>
    </row>
    <row r="109">
      <c r="A109" s="1" t="s">
        <v>16</v>
      </c>
      <c r="B109" s="1">
        <v>30450.0</v>
      </c>
      <c r="C109" s="1">
        <v>35670.0</v>
      </c>
      <c r="D109" s="1">
        <v>31580.0</v>
      </c>
      <c r="E109" s="1">
        <v>40130.0</v>
      </c>
      <c r="F109" s="1">
        <v>47830.0</v>
      </c>
      <c r="G109" s="1">
        <v>41630.0</v>
      </c>
      <c r="H109" s="1">
        <v>41340.0</v>
      </c>
      <c r="I109" s="1">
        <v>37650.0</v>
      </c>
      <c r="J109" s="1">
        <v>40250.0</v>
      </c>
      <c r="K109" s="1">
        <v>45150.0</v>
      </c>
      <c r="L109" s="1">
        <v>27840.0</v>
      </c>
      <c r="M109" s="1">
        <v>46110.0</v>
      </c>
      <c r="N109" s="1">
        <v>36720.0</v>
      </c>
      <c r="O109" s="1">
        <v>34800.0</v>
      </c>
      <c r="P109" s="1">
        <v>51300.0</v>
      </c>
      <c r="Q109" s="1">
        <v>38900.0</v>
      </c>
      <c r="R109" s="1">
        <v>63600.0</v>
      </c>
      <c r="S109" s="1">
        <v>30870.0</v>
      </c>
      <c r="T109" s="1">
        <v>44190.0</v>
      </c>
      <c r="U109" s="1">
        <v>48700.0</v>
      </c>
    </row>
    <row r="111">
      <c r="A111" s="1" t="s">
        <v>19</v>
      </c>
      <c r="B111" s="2">
        <f t="array" ref="B111:C112">MMULT(newx_t2,newx2)</f>
        <v>20</v>
      </c>
      <c r="C111" s="2">
        <v>793.0</v>
      </c>
    </row>
    <row r="112">
      <c r="B112" s="2">
        <v>793.0</v>
      </c>
      <c r="C112" s="2">
        <v>33353.0</v>
      </c>
    </row>
    <row r="114">
      <c r="A114" s="7" t="s">
        <v>20</v>
      </c>
      <c r="B114" s="2">
        <f t="array" ref="B114:C115">MINVERSE(B111:C112)</f>
        <v>0.872863835</v>
      </c>
      <c r="C114" s="2">
        <v>-0.020753186255266832</v>
      </c>
    </row>
    <row r="115">
      <c r="B115" s="2">
        <v>-0.02075318625526683</v>
      </c>
      <c r="C115" s="2">
        <v>5.234094894140437E-4</v>
      </c>
    </row>
    <row r="117">
      <c r="A117" s="1" t="s">
        <v>21</v>
      </c>
      <c r="B117" s="2">
        <f t="array" ref="B117:U118">MMULT(B114:C115,newx_t2)</f>
        <v>0.3540341786</v>
      </c>
      <c r="C117" s="2">
        <v>0.25026824736332487</v>
      </c>
      <c r="D117" s="2">
        <v>-0.10253591897621128</v>
      </c>
      <c r="E117" s="2">
        <v>0.20876187485279118</v>
      </c>
      <c r="F117" s="2">
        <v>-0.019523173955143913</v>
      </c>
      <c r="G117" s="2">
        <v>-0.18554866399727854</v>
      </c>
      <c r="H117" s="2">
        <v>0.29177461987385855</v>
      </c>
      <c r="I117" s="2">
        <v>0.1880086885975244</v>
      </c>
      <c r="J117" s="2">
        <v>0.10499594357645703</v>
      </c>
      <c r="K117" s="2">
        <v>0.06348957106592334</v>
      </c>
      <c r="L117" s="2">
        <v>0.27102143361859166</v>
      </c>
      <c r="M117" s="2">
        <v>-0.10253591897621128</v>
      </c>
      <c r="N117" s="2">
        <v>-0.24780822276307912</v>
      </c>
      <c r="O117" s="2">
        <v>-0.18554866399727854</v>
      </c>
      <c r="P117" s="2">
        <v>-0.04027636021041081</v>
      </c>
      <c r="Q117" s="2">
        <v>0.02198319855538966</v>
      </c>
      <c r="R117" s="2">
        <v>-0.3308209677841465</v>
      </c>
      <c r="S117" s="2">
        <v>0.39554055115019265</v>
      </c>
      <c r="T117" s="2">
        <v>-0.04027636021041081</v>
      </c>
      <c r="U117" s="2">
        <v>0.10499594357645703</v>
      </c>
    </row>
    <row r="118">
      <c r="B118" s="2">
        <v>-0.007667949019915738</v>
      </c>
      <c r="C118" s="2">
        <v>-0.0050509015728455176</v>
      </c>
      <c r="D118" s="2">
        <v>0.003847059747193224</v>
      </c>
      <c r="E118" s="2">
        <v>-0.0040040825940174316</v>
      </c>
      <c r="F118" s="2">
        <v>0.0017534217895370484</v>
      </c>
      <c r="G118" s="2">
        <v>0.005940697704849399</v>
      </c>
      <c r="H118" s="2">
        <v>-0.006097720551673607</v>
      </c>
      <c r="I118" s="2">
        <v>-0.0034806731046033886</v>
      </c>
      <c r="J118" s="2">
        <v>-0.001387035146947213</v>
      </c>
      <c r="K118" s="2">
        <v>-3.402161681191271E-4</v>
      </c>
      <c r="L118" s="2">
        <v>-0.005574311062259562</v>
      </c>
      <c r="M118" s="2">
        <v>0.003847059747193224</v>
      </c>
      <c r="N118" s="2">
        <v>0.007510926173091528</v>
      </c>
      <c r="O118" s="2">
        <v>0.005940697704849399</v>
      </c>
      <c r="P118" s="2">
        <v>0.0022768312789510914</v>
      </c>
      <c r="Q118" s="2">
        <v>7.066028107089624E-4</v>
      </c>
      <c r="R118" s="2">
        <v>0.009604564130747704</v>
      </c>
      <c r="S118" s="2">
        <v>-0.008714767998743824</v>
      </c>
      <c r="T118" s="2">
        <v>0.0022768312789510914</v>
      </c>
      <c r="U118" s="2">
        <v>-0.001387035146947213</v>
      </c>
    </row>
    <row r="120">
      <c r="A120" s="1" t="s">
        <v>22</v>
      </c>
      <c r="B120" s="10">
        <f t="array" ref="B120:B121">MMULT(B117:U118,newy2)</f>
        <v>22975.16186</v>
      </c>
    </row>
    <row r="121">
      <c r="B121" s="10">
        <v>447.9278218314123</v>
      </c>
    </row>
    <row r="123">
      <c r="A123" s="1"/>
      <c r="B123" s="1" t="s">
        <v>1</v>
      </c>
      <c r="C123" s="1" t="s">
        <v>16</v>
      </c>
      <c r="D123" s="1" t="s">
        <v>2</v>
      </c>
      <c r="E123" s="1" t="s">
        <v>3</v>
      </c>
      <c r="H123" s="4" t="s">
        <v>23</v>
      </c>
    </row>
    <row r="124">
      <c r="A124" s="1">
        <v>1.0</v>
      </c>
      <c r="B124" s="1">
        <v>1.0</v>
      </c>
      <c r="C124" s="1">
        <v>30450.0</v>
      </c>
      <c r="D124" s="2">
        <f t="array" ref="D124:D143">MMULT(newx3,B159:B160)</f>
        <v>30262.48762</v>
      </c>
      <c r="E124" s="11">
        <f t="shared" ref="E124:E143" si="4">(C124-D124)*(C124-D124)</f>
        <v>35160.89124</v>
      </c>
    </row>
    <row r="125">
      <c r="A125" s="1">
        <v>1.0</v>
      </c>
      <c r="B125" s="1">
        <v>3.0</v>
      </c>
      <c r="C125" s="1">
        <v>35670.0</v>
      </c>
      <c r="D125" s="2">
        <v>34290.56930693071</v>
      </c>
      <c r="E125" s="11">
        <f t="shared" si="4"/>
        <v>1902829.037</v>
      </c>
    </row>
    <row r="126">
      <c r="A126" s="1">
        <v>1.0</v>
      </c>
      <c r="B126" s="1">
        <v>2.0</v>
      </c>
      <c r="C126" s="1">
        <v>31580.0</v>
      </c>
      <c r="D126" s="2">
        <v>32276.52846534655</v>
      </c>
      <c r="E126" s="11">
        <f t="shared" si="4"/>
        <v>485151.903</v>
      </c>
      <c r="G126" s="9" t="s">
        <v>24</v>
      </c>
      <c r="H126" s="4"/>
    </row>
    <row r="127">
      <c r="A127" s="1">
        <v>1.0</v>
      </c>
      <c r="B127" s="1">
        <v>5.0</v>
      </c>
      <c r="C127" s="1">
        <v>40130.0</v>
      </c>
      <c r="D127" s="2">
        <v>38318.65099009903</v>
      </c>
      <c r="E127" s="11">
        <f t="shared" si="4"/>
        <v>3280985.236</v>
      </c>
    </row>
    <row r="128">
      <c r="A128" s="1">
        <v>1.0</v>
      </c>
      <c r="B128" s="1">
        <v>10.0</v>
      </c>
      <c r="C128" s="1">
        <v>47830.0</v>
      </c>
      <c r="D128" s="2">
        <v>48388.855198019824</v>
      </c>
      <c r="E128" s="11">
        <f t="shared" si="4"/>
        <v>312319.1324</v>
      </c>
    </row>
    <row r="129">
      <c r="A129" s="1">
        <v>1.0</v>
      </c>
      <c r="B129" s="1">
        <v>7.0</v>
      </c>
      <c r="C129" s="1">
        <v>41630.0</v>
      </c>
      <c r="D129" s="2">
        <v>42346.73267326735</v>
      </c>
      <c r="E129" s="11">
        <f t="shared" si="4"/>
        <v>513705.7249</v>
      </c>
    </row>
    <row r="130">
      <c r="A130" s="1">
        <v>1.0</v>
      </c>
      <c r="B130" s="1">
        <v>5.0</v>
      </c>
      <c r="C130" s="1">
        <v>41340.0</v>
      </c>
      <c r="D130" s="2">
        <v>38318.65099009903</v>
      </c>
      <c r="E130" s="11">
        <f t="shared" si="4"/>
        <v>9128549.84</v>
      </c>
    </row>
    <row r="131">
      <c r="A131" s="1">
        <v>1.0</v>
      </c>
      <c r="B131" s="1">
        <v>4.0</v>
      </c>
      <c r="C131" s="1">
        <v>37650.0</v>
      </c>
      <c r="D131" s="2">
        <v>36304.61014851487</v>
      </c>
      <c r="E131" s="11">
        <f t="shared" si="4"/>
        <v>1810073.852</v>
      </c>
    </row>
    <row r="132">
      <c r="A132" s="1">
        <v>1.0</v>
      </c>
      <c r="B132" s="1">
        <v>5.0</v>
      </c>
      <c r="C132" s="1">
        <v>40250.0</v>
      </c>
      <c r="D132" s="2">
        <v>38318.65099009903</v>
      </c>
      <c r="E132" s="11">
        <f t="shared" si="4"/>
        <v>3730108.998</v>
      </c>
    </row>
    <row r="133">
      <c r="A133" s="1">
        <v>1.0</v>
      </c>
      <c r="B133" s="1">
        <v>8.0</v>
      </c>
      <c r="C133" s="1">
        <v>45150.0</v>
      </c>
      <c r="D133" s="2">
        <v>44360.773514851506</v>
      </c>
      <c r="E133" s="11">
        <f t="shared" si="4"/>
        <v>622878.4449</v>
      </c>
    </row>
    <row r="134">
      <c r="A134" s="1">
        <v>1.0</v>
      </c>
      <c r="B134" s="1">
        <v>1.0</v>
      </c>
      <c r="C134" s="1">
        <v>27840.0</v>
      </c>
      <c r="D134" s="2">
        <v>30262.48762376239</v>
      </c>
      <c r="E134" s="11">
        <f t="shared" si="4"/>
        <v>5868446.287</v>
      </c>
    </row>
    <row r="135">
      <c r="A135" s="1">
        <v>1.0</v>
      </c>
      <c r="B135" s="1">
        <v>9.0</v>
      </c>
      <c r="C135" s="1">
        <v>46110.0</v>
      </c>
      <c r="D135" s="2">
        <v>46374.814356435665</v>
      </c>
      <c r="E135" s="11">
        <f t="shared" si="4"/>
        <v>70126.64337</v>
      </c>
    </row>
    <row r="136">
      <c r="A136" s="1">
        <v>1.0</v>
      </c>
      <c r="B136" s="1">
        <v>5.0</v>
      </c>
      <c r="C136" s="1">
        <v>36720.0</v>
      </c>
      <c r="D136" s="2">
        <v>38318.65099009903</v>
      </c>
      <c r="E136" s="11">
        <f t="shared" si="4"/>
        <v>2555684.988</v>
      </c>
    </row>
    <row r="137">
      <c r="A137" s="1">
        <v>1.0</v>
      </c>
      <c r="B137" s="1">
        <v>4.0</v>
      </c>
      <c r="C137" s="1">
        <v>34800.0</v>
      </c>
      <c r="D137" s="2">
        <v>36304.61014851487</v>
      </c>
      <c r="E137" s="11">
        <f t="shared" si="4"/>
        <v>2263851.699</v>
      </c>
    </row>
    <row r="138">
      <c r="A138" s="1">
        <v>1.0</v>
      </c>
      <c r="B138" s="1">
        <v>12.0</v>
      </c>
      <c r="C138" s="1">
        <v>51300.0</v>
      </c>
      <c r="D138" s="2">
        <v>52416.93688118814</v>
      </c>
      <c r="E138" s="11">
        <f t="shared" si="4"/>
        <v>1247547.997</v>
      </c>
    </row>
    <row r="139">
      <c r="A139" s="1">
        <v>1.0</v>
      </c>
      <c r="B139" s="1">
        <v>6.0</v>
      </c>
      <c r="C139" s="1">
        <v>38900.0</v>
      </c>
      <c r="D139" s="2">
        <v>40332.69183168319</v>
      </c>
      <c r="E139" s="11">
        <f t="shared" si="4"/>
        <v>2052605.885</v>
      </c>
    </row>
    <row r="140">
      <c r="A140" s="1">
        <v>1.0</v>
      </c>
      <c r="B140" s="1">
        <v>17.0</v>
      </c>
      <c r="C140" s="1">
        <v>63600.0</v>
      </c>
      <c r="D140" s="2">
        <v>62487.14108910894</v>
      </c>
      <c r="E140" s="11">
        <f t="shared" si="4"/>
        <v>1238454.956</v>
      </c>
    </row>
    <row r="141">
      <c r="A141" s="1">
        <v>1.0</v>
      </c>
      <c r="B141" s="1">
        <v>1.0</v>
      </c>
      <c r="C141" s="1">
        <v>30870.0</v>
      </c>
      <c r="D141" s="2">
        <v>30262.48762376239</v>
      </c>
      <c r="E141" s="11">
        <f t="shared" si="4"/>
        <v>369071.2873</v>
      </c>
    </row>
    <row r="142">
      <c r="A142" s="1">
        <v>1.0</v>
      </c>
      <c r="B142" s="1">
        <v>9.0</v>
      </c>
      <c r="C142" s="1">
        <v>44190.0</v>
      </c>
      <c r="D142" s="2">
        <v>46374.814356435665</v>
      </c>
      <c r="E142" s="11">
        <f t="shared" si="4"/>
        <v>4773413.772</v>
      </c>
    </row>
    <row r="143">
      <c r="A143" s="1">
        <v>1.0</v>
      </c>
      <c r="B143" s="1">
        <v>10.0</v>
      </c>
      <c r="C143" s="1">
        <v>48700.0</v>
      </c>
      <c r="D143" s="2">
        <v>48388.855198019824</v>
      </c>
      <c r="E143" s="11">
        <f t="shared" si="4"/>
        <v>96811.0878</v>
      </c>
    </row>
    <row r="145">
      <c r="A145" s="1"/>
      <c r="B145" s="1">
        <v>1.0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</row>
    <row r="146">
      <c r="A146" s="1" t="s">
        <v>1</v>
      </c>
      <c r="B146" s="1">
        <v>1.0</v>
      </c>
      <c r="C146" s="1">
        <v>3.0</v>
      </c>
      <c r="D146" s="1">
        <v>2.0</v>
      </c>
      <c r="E146" s="1">
        <v>5.0</v>
      </c>
      <c r="F146" s="1">
        <v>10.0</v>
      </c>
      <c r="G146" s="1">
        <v>7.0</v>
      </c>
      <c r="H146" s="1">
        <v>5.0</v>
      </c>
      <c r="I146" s="1">
        <v>4.0</v>
      </c>
      <c r="J146" s="1">
        <v>5.0</v>
      </c>
      <c r="K146" s="1">
        <v>8.0</v>
      </c>
      <c r="L146" s="1">
        <v>1.0</v>
      </c>
      <c r="M146" s="1">
        <v>9.0</v>
      </c>
      <c r="N146" s="1">
        <v>5.0</v>
      </c>
      <c r="O146" s="1">
        <v>4.0</v>
      </c>
      <c r="P146" s="1">
        <v>12.0</v>
      </c>
      <c r="Q146" s="1">
        <v>6.0</v>
      </c>
      <c r="R146" s="1">
        <v>17.0</v>
      </c>
      <c r="S146" s="1">
        <v>1.0</v>
      </c>
      <c r="T146" s="1">
        <v>9.0</v>
      </c>
      <c r="U146" s="1">
        <v>10.0</v>
      </c>
    </row>
    <row r="147">
      <c r="A147" s="1" t="s">
        <v>16</v>
      </c>
      <c r="B147" s="1">
        <v>30450.0</v>
      </c>
      <c r="C147" s="1">
        <v>35670.0</v>
      </c>
      <c r="D147" s="1">
        <v>31580.0</v>
      </c>
      <c r="E147" s="1">
        <v>40130.0</v>
      </c>
      <c r="F147" s="1">
        <v>47830.0</v>
      </c>
      <c r="G147" s="1">
        <v>41630.0</v>
      </c>
      <c r="H147" s="1">
        <v>41340.0</v>
      </c>
      <c r="I147" s="1">
        <v>37650.0</v>
      </c>
      <c r="J147" s="1">
        <v>40250.0</v>
      </c>
      <c r="K147" s="1">
        <v>45150.0</v>
      </c>
      <c r="L147" s="1">
        <v>27840.0</v>
      </c>
      <c r="M147" s="1">
        <v>46110.0</v>
      </c>
      <c r="N147" s="1">
        <v>36720.0</v>
      </c>
      <c r="O147" s="1">
        <v>34800.0</v>
      </c>
      <c r="P147" s="1">
        <v>51300.0</v>
      </c>
      <c r="Q147" s="1">
        <v>38900.0</v>
      </c>
      <c r="R147" s="1">
        <v>63600.0</v>
      </c>
      <c r="S147" s="1">
        <v>30870.0</v>
      </c>
      <c r="T147" s="1">
        <v>44190.0</v>
      </c>
      <c r="U147" s="1">
        <v>48700.0</v>
      </c>
    </row>
    <row r="150">
      <c r="A150" s="1" t="s">
        <v>25</v>
      </c>
      <c r="B150" s="2">
        <f t="array" ref="B150:C151">MMULT(newx_t3,newx3)</f>
        <v>20</v>
      </c>
      <c r="C150" s="2">
        <v>124.0</v>
      </c>
    </row>
    <row r="151">
      <c r="B151" s="2">
        <v>124.0</v>
      </c>
      <c r="C151" s="2">
        <v>1092.0</v>
      </c>
    </row>
    <row r="153">
      <c r="A153" s="1" t="s">
        <v>26</v>
      </c>
      <c r="B153" s="2">
        <f t="array" ref="B153:C154">MINVERSE(B150:C151)</f>
        <v>0.1689356436</v>
      </c>
      <c r="C153" s="2">
        <v>-0.019183168316831683</v>
      </c>
    </row>
    <row r="154">
      <c r="B154" s="2">
        <v>-0.019183168316831683</v>
      </c>
      <c r="C154" s="2">
        <v>0.003094059405940594</v>
      </c>
    </row>
    <row r="156">
      <c r="A156" s="1" t="s">
        <v>27</v>
      </c>
      <c r="B156" s="2">
        <f t="array" ref="B156:U157">MMULT(B153:C154,newx_t3)</f>
        <v>0.1497524752</v>
      </c>
      <c r="C156" s="2">
        <v>0.1113861386138614</v>
      </c>
      <c r="D156" s="2">
        <v>0.13056930693069307</v>
      </c>
      <c r="E156" s="2">
        <v>0.07301980198019803</v>
      </c>
      <c r="F156" s="2">
        <v>-0.02289603960396039</v>
      </c>
      <c r="G156" s="2">
        <v>0.034653465346534656</v>
      </c>
      <c r="H156" s="2">
        <v>0.07301980198019803</v>
      </c>
      <c r="I156" s="2">
        <v>0.09220297029702972</v>
      </c>
      <c r="J156" s="2">
        <v>0.07301980198019803</v>
      </c>
      <c r="K156" s="2">
        <v>0.015470297029702984</v>
      </c>
      <c r="L156" s="2">
        <v>0.14975247524752477</v>
      </c>
      <c r="M156" s="2">
        <v>-0.0037128712871286884</v>
      </c>
      <c r="N156" s="2">
        <v>0.07301980198019803</v>
      </c>
      <c r="O156" s="2">
        <v>0.09220297029702972</v>
      </c>
      <c r="P156" s="2">
        <v>-0.061262376237623734</v>
      </c>
      <c r="Q156" s="2">
        <v>0.05383663366336636</v>
      </c>
      <c r="R156" s="2">
        <v>-0.15717821782178218</v>
      </c>
      <c r="S156" s="2">
        <v>0.14975247524752477</v>
      </c>
      <c r="T156" s="2">
        <v>-0.0037128712871286884</v>
      </c>
      <c r="U156" s="2">
        <v>-0.02289603960396039</v>
      </c>
    </row>
    <row r="157">
      <c r="B157" s="2">
        <v>-0.01608910891089109</v>
      </c>
      <c r="C157" s="2">
        <v>-0.0099009900990099</v>
      </c>
      <c r="D157" s="2">
        <v>-0.012995049504950494</v>
      </c>
      <c r="E157" s="2">
        <v>-0.0037128712871287127</v>
      </c>
      <c r="F157" s="2">
        <v>0.011757425742574257</v>
      </c>
      <c r="G157" s="2">
        <v>0.0024752475247524774</v>
      </c>
      <c r="H157" s="2">
        <v>-0.0037128712871287127</v>
      </c>
      <c r="I157" s="2">
        <v>-0.006806930693069306</v>
      </c>
      <c r="J157" s="2">
        <v>-0.0037128712871287127</v>
      </c>
      <c r="K157" s="2">
        <v>0.005569306930693071</v>
      </c>
      <c r="L157" s="2">
        <v>-0.01608910891089109</v>
      </c>
      <c r="M157" s="2">
        <v>0.008663366336633664</v>
      </c>
      <c r="N157" s="2">
        <v>-0.0037128712871287127</v>
      </c>
      <c r="O157" s="2">
        <v>-0.006806930693069306</v>
      </c>
      <c r="P157" s="2">
        <v>0.01794554455445545</v>
      </c>
      <c r="Q157" s="2">
        <v>-6.188118811881159E-4</v>
      </c>
      <c r="R157" s="2">
        <v>0.03341584158415842</v>
      </c>
      <c r="S157" s="2">
        <v>-0.01608910891089109</v>
      </c>
      <c r="T157" s="2">
        <v>0.008663366336633664</v>
      </c>
      <c r="U157" s="2">
        <v>0.011757425742574257</v>
      </c>
    </row>
    <row r="159">
      <c r="A159" s="1" t="s">
        <v>28</v>
      </c>
      <c r="B159" s="12">
        <f t="array" ref="B159:B160">MMULT(B156:U157,newy3)</f>
        <v>28248.44678</v>
      </c>
    </row>
    <row r="160">
      <c r="B160" s="12">
        <v>2014.0408415841594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16</v>
      </c>
    </row>
    <row r="2">
      <c r="A2" s="1">
        <v>1.0</v>
      </c>
      <c r="B2" s="1">
        <v>25.0</v>
      </c>
      <c r="C2" s="1">
        <v>1.0</v>
      </c>
      <c r="D2" s="1">
        <v>30450.0</v>
      </c>
    </row>
    <row r="3">
      <c r="A3" s="1">
        <v>1.0</v>
      </c>
      <c r="B3" s="1">
        <v>30.0</v>
      </c>
      <c r="C3" s="1">
        <v>3.0</v>
      </c>
      <c r="D3" s="1">
        <v>35670.0</v>
      </c>
    </row>
    <row r="4">
      <c r="A4" s="1">
        <v>1.0</v>
      </c>
      <c r="B4" s="1">
        <v>47.0</v>
      </c>
      <c r="C4" s="1">
        <v>2.0</v>
      </c>
      <c r="D4" s="1">
        <v>31580.0</v>
      </c>
    </row>
    <row r="5">
      <c r="A5" s="1">
        <v>1.0</v>
      </c>
      <c r="B5" s="1">
        <v>32.0</v>
      </c>
      <c r="C5" s="1">
        <v>5.0</v>
      </c>
      <c r="D5" s="1">
        <v>40130.0</v>
      </c>
    </row>
    <row r="6">
      <c r="A6" s="1">
        <v>1.0</v>
      </c>
      <c r="B6" s="1">
        <v>43.0</v>
      </c>
      <c r="C6" s="1">
        <v>10.0</v>
      </c>
      <c r="D6" s="1">
        <v>47830.0</v>
      </c>
    </row>
    <row r="7">
      <c r="A7" s="1">
        <v>1.0</v>
      </c>
      <c r="B7" s="1">
        <v>51.0</v>
      </c>
      <c r="C7" s="1">
        <v>7.0</v>
      </c>
      <c r="D7" s="1">
        <v>41630.0</v>
      </c>
    </row>
    <row r="8">
      <c r="A8" s="1">
        <v>1.0</v>
      </c>
      <c r="B8" s="1">
        <v>28.0</v>
      </c>
      <c r="C8" s="1">
        <v>5.0</v>
      </c>
      <c r="D8" s="1">
        <v>41340.0</v>
      </c>
    </row>
    <row r="9">
      <c r="A9" s="1">
        <v>1.0</v>
      </c>
      <c r="B9" s="1">
        <v>33.0</v>
      </c>
      <c r="C9" s="1">
        <v>4.0</v>
      </c>
      <c r="D9" s="1">
        <v>37650.0</v>
      </c>
    </row>
    <row r="10">
      <c r="A10" s="1">
        <v>1.0</v>
      </c>
      <c r="B10" s="1">
        <v>37.0</v>
      </c>
      <c r="C10" s="1">
        <v>5.0</v>
      </c>
      <c r="D10" s="1">
        <v>40250.0</v>
      </c>
    </row>
    <row r="11">
      <c r="A11" s="1">
        <v>1.0</v>
      </c>
      <c r="B11" s="1">
        <v>39.0</v>
      </c>
      <c r="C11" s="1">
        <v>8.0</v>
      </c>
      <c r="D11" s="1">
        <v>45150.0</v>
      </c>
    </row>
    <row r="12">
      <c r="A12" s="1">
        <v>1.0</v>
      </c>
      <c r="B12" s="1">
        <v>29.0</v>
      </c>
      <c r="C12" s="1">
        <v>1.0</v>
      </c>
      <c r="D12" s="1">
        <v>27840.0</v>
      </c>
    </row>
    <row r="13">
      <c r="A13" s="1">
        <v>1.0</v>
      </c>
      <c r="B13" s="1">
        <v>47.0</v>
      </c>
      <c r="C13" s="1">
        <v>9.0</v>
      </c>
      <c r="D13" s="1">
        <v>46110.0</v>
      </c>
    </row>
    <row r="14">
      <c r="A14" s="1">
        <v>1.0</v>
      </c>
      <c r="B14" s="1">
        <v>54.0</v>
      </c>
      <c r="C14" s="1">
        <v>5.0</v>
      </c>
      <c r="D14" s="1">
        <v>36720.0</v>
      </c>
    </row>
    <row r="15">
      <c r="A15" s="1">
        <v>1.0</v>
      </c>
      <c r="B15" s="1">
        <v>51.0</v>
      </c>
      <c r="C15" s="1">
        <v>4.0</v>
      </c>
      <c r="D15" s="1">
        <v>34800.0</v>
      </c>
    </row>
    <row r="16">
      <c r="A16" s="1">
        <v>1.0</v>
      </c>
      <c r="B16" s="1">
        <v>44.0</v>
      </c>
      <c r="C16" s="1">
        <v>12.0</v>
      </c>
      <c r="D16" s="1">
        <v>51300.0</v>
      </c>
    </row>
    <row r="17">
      <c r="A17" s="1">
        <v>1.0</v>
      </c>
      <c r="B17" s="1">
        <v>41.0</v>
      </c>
      <c r="C17" s="1">
        <v>6.0</v>
      </c>
      <c r="D17" s="1">
        <v>38900.0</v>
      </c>
    </row>
    <row r="18">
      <c r="A18" s="1">
        <v>1.0</v>
      </c>
      <c r="B18" s="1">
        <v>58.0</v>
      </c>
      <c r="C18" s="1">
        <v>17.0</v>
      </c>
      <c r="D18" s="1">
        <v>63600.0</v>
      </c>
    </row>
    <row r="19">
      <c r="A19" s="1">
        <v>1.0</v>
      </c>
      <c r="B19" s="1">
        <v>23.0</v>
      </c>
      <c r="C19" s="1">
        <v>1.0</v>
      </c>
      <c r="D19" s="1">
        <v>30870.0</v>
      </c>
    </row>
    <row r="20">
      <c r="A20" s="1">
        <v>1.0</v>
      </c>
      <c r="B20" s="1">
        <v>44.0</v>
      </c>
      <c r="C20" s="1">
        <v>9.0</v>
      </c>
      <c r="D20" s="1">
        <v>44190.0</v>
      </c>
    </row>
    <row r="21">
      <c r="A21" s="1">
        <v>1.0</v>
      </c>
      <c r="B21" s="1">
        <v>37.0</v>
      </c>
      <c r="C21" s="1">
        <v>10.0</v>
      </c>
      <c r="D21" s="1">
        <v>48700.0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</row>
    <row r="2">
      <c r="A2" s="1" t="s">
        <v>0</v>
      </c>
      <c r="B2" s="1">
        <v>25.0</v>
      </c>
      <c r="C2" s="1">
        <v>30.0</v>
      </c>
      <c r="D2" s="1">
        <v>47.0</v>
      </c>
      <c r="E2" s="1">
        <v>32.0</v>
      </c>
      <c r="F2" s="1">
        <v>43.0</v>
      </c>
      <c r="G2" s="1">
        <v>51.0</v>
      </c>
      <c r="H2" s="1">
        <v>28.0</v>
      </c>
      <c r="I2" s="1">
        <v>33.0</v>
      </c>
      <c r="J2" s="1">
        <v>37.0</v>
      </c>
      <c r="K2" s="1">
        <v>39.0</v>
      </c>
      <c r="L2" s="1">
        <v>29.0</v>
      </c>
      <c r="M2" s="1">
        <v>47.0</v>
      </c>
      <c r="N2" s="1">
        <v>54.0</v>
      </c>
      <c r="O2" s="1">
        <v>51.0</v>
      </c>
      <c r="P2" s="1">
        <v>44.0</v>
      </c>
      <c r="Q2" s="1">
        <v>41.0</v>
      </c>
      <c r="R2" s="1">
        <v>58.0</v>
      </c>
      <c r="S2" s="1">
        <v>23.0</v>
      </c>
      <c r="T2" s="1">
        <v>44.0</v>
      </c>
      <c r="U2" s="1">
        <v>37.0</v>
      </c>
    </row>
    <row r="3">
      <c r="A3" s="1" t="s">
        <v>1</v>
      </c>
      <c r="B3" s="1">
        <v>1.0</v>
      </c>
      <c r="C3" s="1">
        <v>3.0</v>
      </c>
      <c r="D3" s="1">
        <v>2.0</v>
      </c>
      <c r="E3" s="1">
        <v>5.0</v>
      </c>
      <c r="F3" s="1">
        <v>10.0</v>
      </c>
      <c r="G3" s="1">
        <v>7.0</v>
      </c>
      <c r="H3" s="1">
        <v>5.0</v>
      </c>
      <c r="I3" s="1">
        <v>4.0</v>
      </c>
      <c r="J3" s="1">
        <v>5.0</v>
      </c>
      <c r="K3" s="1">
        <v>8.0</v>
      </c>
      <c r="L3" s="1">
        <v>1.0</v>
      </c>
      <c r="M3" s="1">
        <v>9.0</v>
      </c>
      <c r="N3" s="1">
        <v>5.0</v>
      </c>
      <c r="O3" s="1">
        <v>4.0</v>
      </c>
      <c r="P3" s="1">
        <v>12.0</v>
      </c>
      <c r="Q3" s="1">
        <v>6.0</v>
      </c>
      <c r="R3" s="1">
        <v>17.0</v>
      </c>
      <c r="S3" s="1">
        <v>1.0</v>
      </c>
      <c r="T3" s="1">
        <v>9.0</v>
      </c>
      <c r="U3" s="1">
        <v>10.0</v>
      </c>
    </row>
    <row r="4">
      <c r="A4" s="1" t="s">
        <v>16</v>
      </c>
      <c r="B4" s="1">
        <v>30450.0</v>
      </c>
      <c r="C4" s="1">
        <v>35670.0</v>
      </c>
      <c r="D4" s="1">
        <v>31580.0</v>
      </c>
      <c r="E4" s="1">
        <v>40130.0</v>
      </c>
      <c r="F4" s="1">
        <v>47830.0</v>
      </c>
      <c r="G4" s="1">
        <v>41630.0</v>
      </c>
      <c r="H4" s="1">
        <v>41340.0</v>
      </c>
      <c r="I4" s="1">
        <v>37650.0</v>
      </c>
      <c r="J4" s="1">
        <v>40250.0</v>
      </c>
      <c r="K4" s="1">
        <v>45150.0</v>
      </c>
      <c r="L4" s="1">
        <v>27840.0</v>
      </c>
      <c r="M4" s="1">
        <v>46110.0</v>
      </c>
      <c r="N4" s="1">
        <v>36720.0</v>
      </c>
      <c r="O4" s="1">
        <v>34800.0</v>
      </c>
      <c r="P4" s="1">
        <v>51300.0</v>
      </c>
      <c r="Q4" s="1">
        <v>38900.0</v>
      </c>
      <c r="R4" s="1">
        <v>63600.0</v>
      </c>
      <c r="S4" s="1">
        <v>30870.0</v>
      </c>
      <c r="T4" s="1">
        <v>44190.0</v>
      </c>
      <c r="U4" s="1">
        <v>48700.0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5"/>
    <col customWidth="1" min="4" max="4" width="16.38"/>
    <col customWidth="1" min="5" max="5" width="30.25"/>
  </cols>
  <sheetData>
    <row r="2">
      <c r="B2" s="12">
        <f t="array" ref="B2:D4">MMULT(x_t,x)</f>
        <v>20</v>
      </c>
      <c r="C2" s="12">
        <v>793.0</v>
      </c>
      <c r="D2" s="12">
        <v>124.0</v>
      </c>
    </row>
    <row r="3">
      <c r="A3" s="5" t="s">
        <v>29</v>
      </c>
      <c r="B3" s="12">
        <v>793.0</v>
      </c>
      <c r="C3" s="12">
        <v>33353.0</v>
      </c>
      <c r="D3" s="12">
        <v>5400.0</v>
      </c>
    </row>
    <row r="4">
      <c r="B4" s="12">
        <v>124.0</v>
      </c>
      <c r="C4" s="12">
        <v>5400.0</v>
      </c>
      <c r="D4" s="12">
        <v>1092.0</v>
      </c>
    </row>
    <row r="6">
      <c r="A6" s="5" t="s">
        <v>30</v>
      </c>
      <c r="B6" s="12">
        <f t="array" ref="B6:D8">MINVERSE(B2:D4)</f>
        <v>0.9459623953</v>
      </c>
      <c r="C6" s="12">
        <v>-0.025579564278757835</v>
      </c>
      <c r="D6" s="12">
        <v>0.019075375533265864</v>
      </c>
    </row>
    <row r="7">
      <c r="B7" s="12">
        <v>-0.025579564278757835</v>
      </c>
      <c r="C7" s="12">
        <v>8.420741077323363E-4</v>
      </c>
      <c r="D7" s="12">
        <v>-0.001259463563359564</v>
      </c>
    </row>
    <row r="8">
      <c r="B8" s="12">
        <v>0.019075375533265892</v>
      </c>
      <c r="C8" s="12">
        <v>-0.0012594635633595649</v>
      </c>
      <c r="D8" s="12">
        <v>0.004977799153861428</v>
      </c>
    </row>
    <row r="10">
      <c r="A10" s="5" t="s">
        <v>31</v>
      </c>
      <c r="B10" s="12">
        <f t="array" ref="B10:U12">MMULT(x_txinv,x_t)</f>
        <v>0.3255486639</v>
      </c>
      <c r="C10" s="12">
        <v>0.23580159358356229</v>
      </c>
      <c r="D10" s="12">
        <v>-0.2181263746885869</v>
      </c>
      <c r="E10" s="12">
        <v>0.22279321609257832</v>
      </c>
      <c r="F10" s="12">
        <v>0.036794886692571416</v>
      </c>
      <c r="G10" s="12">
        <v>-0.22506775413728874</v>
      </c>
      <c r="H10" s="12">
        <v>0.3251114732076097</v>
      </c>
      <c r="I10" s="12">
        <v>0.17813827628055462</v>
      </c>
      <c r="J10" s="12">
        <v>0.09489539469878919</v>
      </c>
      <c r="K10" s="12">
        <v>0.10096239274107108</v>
      </c>
      <c r="L10" s="12">
        <v>0.2232304067957884</v>
      </c>
      <c r="M10" s="12">
        <v>-0.08459874595572586</v>
      </c>
      <c r="N10" s="12">
        <v>-0.33995719804009417</v>
      </c>
      <c r="O10" s="12">
        <v>-0.28229388073708633</v>
      </c>
      <c r="P10" s="12">
        <v>0.049366073480345385</v>
      </c>
      <c r="Q10" s="12">
        <v>0.011652513117023644</v>
      </c>
      <c r="R10" s="12">
        <v>-0.21337094875593493</v>
      </c>
      <c r="S10" s="12">
        <v>0.3767077924683354</v>
      </c>
      <c r="T10" s="12">
        <v>-0.007860053119452204</v>
      </c>
      <c r="U10" s="12">
        <v>0.1902722723651185</v>
      </c>
    </row>
    <row r="11">
      <c r="B11" s="12">
        <v>-0.00578717514880899</v>
      </c>
      <c r="C11" s="12">
        <v>-0.004095731736866438</v>
      </c>
      <c r="D11" s="12">
        <v>0.011478991657942843</v>
      </c>
      <c r="E11" s="12">
        <v>-0.004930510648120893</v>
      </c>
      <c r="F11" s="12">
        <v>-0.0019650132798630163</v>
      </c>
      <c r="G11" s="12">
        <v>0.008549970272074372</v>
      </c>
      <c r="H11" s="12">
        <v>-0.008298807079050237</v>
      </c>
      <c r="I11" s="12">
        <v>-0.002828972977028993</v>
      </c>
      <c r="J11" s="12">
        <v>-7.201401094592101E-4</v>
      </c>
      <c r="K11" s="12">
        <v>-0.002814382584073228</v>
      </c>
      <c r="L11" s="12">
        <v>-0.0024188787178796452</v>
      </c>
      <c r="M11" s="12">
        <v>0.0026627467144258957</v>
      </c>
      <c r="N11" s="12">
        <v>0.013595119721990505</v>
      </c>
      <c r="O11" s="12">
        <v>0.012328360962153064</v>
      </c>
      <c r="P11" s="12">
        <v>-0.0036418662988498014</v>
      </c>
      <c r="Q11" s="12">
        <v>0.0013886927581105704</v>
      </c>
      <c r="R11" s="12">
        <v>0.0018498533926050859</v>
      </c>
      <c r="S11" s="12">
        <v>-0.0074713233642736635</v>
      </c>
      <c r="T11" s="12">
        <v>1.3652439122889028E-4</v>
      </c>
      <c r="U11" s="12">
        <v>-0.007017457926257031</v>
      </c>
    </row>
    <row r="12">
      <c r="B12" s="12">
        <v>-0.007433414396861804</v>
      </c>
      <c r="C12" s="12">
        <v>-0.00377513390593677</v>
      </c>
      <c r="D12" s="12">
        <v>-0.0301638136369108</v>
      </c>
      <c r="E12" s="12">
        <v>0.0036615372750669548</v>
      </c>
      <c r="F12" s="12">
        <v>0.014696433847418887</v>
      </c>
      <c r="G12" s="12">
        <v>-0.010312672121041914</v>
      </c>
      <c r="H12" s="12">
        <v>0.008699391528505213</v>
      </c>
      <c r="I12" s="12">
        <v>-0.0025757254421540365</v>
      </c>
      <c r="J12" s="12">
        <v>-0.0026357805417308727</v>
      </c>
      <c r="K12" s="12">
        <v>0.009778689793134284</v>
      </c>
      <c r="L12" s="12">
        <v>-0.012471268650300061</v>
      </c>
      <c r="M12" s="12">
        <v>0.0046807804401191935</v>
      </c>
      <c r="N12" s="12">
        <v>-0.024046661118843463</v>
      </c>
      <c r="O12" s="12">
        <v>-0.025246069582626197</v>
      </c>
      <c r="P12" s="12">
        <v>0.023392568591782167</v>
      </c>
      <c r="Q12" s="12">
        <v>-0.002695835641307702</v>
      </c>
      <c r="R12" s="12">
        <v>0.030649074474055404</v>
      </c>
      <c r="S12" s="12">
        <v>-0.004914487270142672</v>
      </c>
      <c r="T12" s="12">
        <v>0.008459171130197889</v>
      </c>
      <c r="U12" s="12">
        <v>0.022253215227576267</v>
      </c>
    </row>
    <row r="14">
      <c r="A14" s="5" t="s">
        <v>32</v>
      </c>
      <c r="B14" s="12">
        <f t="array" ref="B14:B16">MMULT(B10:U12,y)</f>
        <v>31261.68985</v>
      </c>
      <c r="C14" s="13" t="s">
        <v>33</v>
      </c>
      <c r="D14" s="13" t="s">
        <v>34</v>
      </c>
    </row>
    <row r="15">
      <c r="B15" s="12">
        <v>-99.19535546105001</v>
      </c>
      <c r="C15" s="13" t="s">
        <v>33</v>
      </c>
      <c r="D15" s="13" t="s">
        <v>35</v>
      </c>
    </row>
    <row r="16">
      <c r="B16" s="12">
        <v>2162.4041919241117</v>
      </c>
      <c r="C16" s="13" t="s">
        <v>33</v>
      </c>
      <c r="D16" s="13" t="s">
        <v>36</v>
      </c>
    </row>
    <row r="18">
      <c r="A18" s="5" t="s">
        <v>37</v>
      </c>
      <c r="B18" s="12">
        <f t="array" ref="B18:D18">TRANSPOSE(B14:B16)</f>
        <v>31261.68985</v>
      </c>
      <c r="C18" s="12">
        <v>-99.19535546105001</v>
      </c>
      <c r="D18" s="12">
        <v>2162.4041919241117</v>
      </c>
    </row>
    <row r="19">
      <c r="A19" s="1" t="s">
        <v>38</v>
      </c>
      <c r="B19" s="2">
        <f t="array" ref="B19">MMULT(y_t,y)</f>
        <v>34540992700</v>
      </c>
    </row>
    <row r="20">
      <c r="A20" s="1" t="s">
        <v>39</v>
      </c>
      <c r="B20" s="12">
        <f t="array" ref="B20:U20">MMULT(beta_t,x_t)</f>
        <v>30944.21016</v>
      </c>
      <c r="C20" s="12">
        <v>34773.04176604205</v>
      </c>
      <c r="D20" s="12">
        <v>30924.316531280085</v>
      </c>
      <c r="E20" s="12">
        <v>38899.45943896817</v>
      </c>
      <c r="F20" s="12">
        <v>48620.33148851718</v>
      </c>
      <c r="G20" s="12">
        <v>41339.556069056445</v>
      </c>
      <c r="H20" s="12">
        <v>39296.24086081237</v>
      </c>
      <c r="I20" s="12">
        <v>36637.85989158301</v>
      </c>
      <c r="J20" s="12">
        <v>38403.48266166292</v>
      </c>
      <c r="K20" s="12">
        <v>44692.30452651315</v>
      </c>
      <c r="L20" s="12">
        <v>30547.428737654875</v>
      </c>
      <c r="M20" s="12">
        <v>46061.145874748865</v>
      </c>
      <c r="N20" s="12">
        <v>36717.16161882507</v>
      </c>
      <c r="O20" s="12">
        <v>34852.343493284105</v>
      </c>
      <c r="P20" s="12">
        <v>52845.944516904354</v>
      </c>
      <c r="Q20" s="12">
        <v>40169.105431742835</v>
      </c>
      <c r="R20" s="12">
        <v>62269.23050007021</v>
      </c>
      <c r="S20" s="12">
        <v>31142.60087042117</v>
      </c>
      <c r="T20" s="12">
        <v>46358.73194113202</v>
      </c>
      <c r="U20" s="12">
        <v>49215.50362128348</v>
      </c>
    </row>
    <row r="21">
      <c r="A21" s="1" t="s">
        <v>40</v>
      </c>
      <c r="B21" s="2">
        <f t="array" ref="B21">MMULT(B20:U20,y)</f>
        <v>34510320020</v>
      </c>
    </row>
    <row r="23">
      <c r="A23" s="1" t="s">
        <v>41</v>
      </c>
      <c r="B23" s="2">
        <f>B19-B21</f>
        <v>30672679.57</v>
      </c>
    </row>
    <row r="24">
      <c r="E24" s="14" t="s">
        <v>42</v>
      </c>
    </row>
    <row r="25">
      <c r="A25" s="5" t="s">
        <v>43</v>
      </c>
      <c r="B25" s="12">
        <f>B23/17</f>
        <v>1804275.269</v>
      </c>
      <c r="E25" s="5" t="s">
        <v>44</v>
      </c>
      <c r="F25" s="12">
        <f>_xlfn.T.INV.2T(0.025, 17)</f>
        <v>2.45805072</v>
      </c>
    </row>
    <row r="27">
      <c r="E27" s="6">
        <f>B14-F25*(sqrt(MULTIPLY(B25,B6)))</f>
        <v>28050.40246</v>
      </c>
      <c r="F27" s="15" t="s">
        <v>45</v>
      </c>
      <c r="G27" s="16" t="s">
        <v>46</v>
      </c>
      <c r="H27" s="16" t="s">
        <v>45</v>
      </c>
      <c r="I27" s="17">
        <f>B14+F25*(sqrt(MULTIPLY(B25,B6)))</f>
        <v>34472.97725</v>
      </c>
    </row>
    <row r="28">
      <c r="E28" s="18">
        <f>B15-F25*(sqrt(MULTIPLY(B25,C7)))</f>
        <v>-195.0068016</v>
      </c>
      <c r="F28" s="15" t="s">
        <v>45</v>
      </c>
      <c r="G28" s="15" t="s">
        <v>47</v>
      </c>
      <c r="H28" s="16" t="s">
        <v>45</v>
      </c>
      <c r="I28" s="18">
        <f>B15+F25*(sqrt(MULTIPLY(B25,C7)))</f>
        <v>-3.383909359</v>
      </c>
    </row>
    <row r="29">
      <c r="E29" s="18">
        <f>B16-F25*(sqrt(MULTIPLY(B25,D8)))</f>
        <v>1929.455153</v>
      </c>
      <c r="F29" s="15" t="s">
        <v>45</v>
      </c>
      <c r="G29" s="15" t="s">
        <v>48</v>
      </c>
      <c r="H29" s="16" t="s">
        <v>45</v>
      </c>
      <c r="I29" s="17">
        <f>B16+F25*(sqrt(MULTIPLY(B25,D8)))</f>
        <v>2395.353231</v>
      </c>
    </row>
    <row r="32">
      <c r="B32" s="1"/>
      <c r="C32" s="12">
        <f t="array" ref="C32:V34">MMULT(x_txinv,x_t)</f>
        <v>0.3255486639</v>
      </c>
      <c r="D32" s="12">
        <v>0.23580159358356229</v>
      </c>
      <c r="E32" s="12">
        <v>-0.2181263746885869</v>
      </c>
      <c r="F32" s="12">
        <v>0.22279321609257832</v>
      </c>
      <c r="G32" s="12">
        <v>0.036794886692571416</v>
      </c>
      <c r="H32" s="12">
        <v>-0.22506775413728874</v>
      </c>
      <c r="I32" s="12">
        <v>0.3251114732076097</v>
      </c>
      <c r="J32" s="12">
        <v>0.17813827628055462</v>
      </c>
      <c r="K32" s="12">
        <v>0.09489539469878919</v>
      </c>
      <c r="L32" s="12">
        <v>0.10096239274107108</v>
      </c>
      <c r="M32" s="12">
        <v>0.2232304067957884</v>
      </c>
      <c r="N32" s="12">
        <v>-0.08459874595572586</v>
      </c>
      <c r="O32" s="12">
        <v>-0.33995719804009417</v>
      </c>
      <c r="P32" s="12">
        <v>-0.28229388073708633</v>
      </c>
      <c r="Q32" s="12">
        <v>0.049366073480345385</v>
      </c>
      <c r="R32" s="12">
        <v>0.011652513117023644</v>
      </c>
      <c r="S32" s="12">
        <v>-0.21337094875593493</v>
      </c>
      <c r="T32" s="12">
        <v>0.3767077924683354</v>
      </c>
      <c r="U32" s="12">
        <v>-0.007860053119452204</v>
      </c>
      <c r="V32" s="12">
        <v>0.1902722723651185</v>
      </c>
    </row>
    <row r="33">
      <c r="B33" s="1" t="s">
        <v>49</v>
      </c>
      <c r="C33" s="12">
        <v>-0.00578717514880899</v>
      </c>
      <c r="D33" s="12">
        <v>-0.004095731736866438</v>
      </c>
      <c r="E33" s="12">
        <v>0.011478991657942843</v>
      </c>
      <c r="F33" s="12">
        <v>-0.004930510648120893</v>
      </c>
      <c r="G33" s="12">
        <v>-0.0019650132798630163</v>
      </c>
      <c r="H33" s="12">
        <v>0.008549970272074372</v>
      </c>
      <c r="I33" s="12">
        <v>-0.008298807079050237</v>
      </c>
      <c r="J33" s="12">
        <v>-0.002828972977028993</v>
      </c>
      <c r="K33" s="12">
        <v>-7.201401094592101E-4</v>
      </c>
      <c r="L33" s="12">
        <v>-0.002814382584073228</v>
      </c>
      <c r="M33" s="12">
        <v>-0.0024188787178796452</v>
      </c>
      <c r="N33" s="12">
        <v>0.0026627467144258957</v>
      </c>
      <c r="O33" s="12">
        <v>0.013595119721990505</v>
      </c>
      <c r="P33" s="12">
        <v>0.012328360962153064</v>
      </c>
      <c r="Q33" s="12">
        <v>-0.0036418662988498014</v>
      </c>
      <c r="R33" s="12">
        <v>0.0013886927581105704</v>
      </c>
      <c r="S33" s="12">
        <v>0.0018498533926050859</v>
      </c>
      <c r="T33" s="12">
        <v>-0.0074713233642736635</v>
      </c>
      <c r="U33" s="12">
        <v>1.3652439122889028E-4</v>
      </c>
      <c r="V33" s="12">
        <v>-0.007017457926257031</v>
      </c>
    </row>
    <row r="34">
      <c r="C34" s="12">
        <v>-0.007433414396861804</v>
      </c>
      <c r="D34" s="12">
        <v>-0.00377513390593677</v>
      </c>
      <c r="E34" s="12">
        <v>-0.0301638136369108</v>
      </c>
      <c r="F34" s="12">
        <v>0.0036615372750669548</v>
      </c>
      <c r="G34" s="12">
        <v>0.014696433847418887</v>
      </c>
      <c r="H34" s="12">
        <v>-0.010312672121041914</v>
      </c>
      <c r="I34" s="12">
        <v>0.008699391528505213</v>
      </c>
      <c r="J34" s="12">
        <v>-0.0025757254421540365</v>
      </c>
      <c r="K34" s="12">
        <v>-0.0026357805417308727</v>
      </c>
      <c r="L34" s="12">
        <v>0.009778689793134284</v>
      </c>
      <c r="M34" s="12">
        <v>-0.012471268650300061</v>
      </c>
      <c r="N34" s="12">
        <v>0.0046807804401191935</v>
      </c>
      <c r="O34" s="12">
        <v>-0.024046661118843463</v>
      </c>
      <c r="P34" s="12">
        <v>-0.025246069582626197</v>
      </c>
      <c r="Q34" s="12">
        <v>0.023392568591782167</v>
      </c>
      <c r="R34" s="12">
        <v>-0.002695835641307702</v>
      </c>
      <c r="S34" s="12">
        <v>0.030649074474055404</v>
      </c>
      <c r="T34" s="12">
        <v>-0.004914487270142672</v>
      </c>
      <c r="U34" s="12">
        <v>0.008459171130197889</v>
      </c>
      <c r="V34" s="12">
        <v>0.022253215227576267</v>
      </c>
    </row>
    <row r="36">
      <c r="B36" s="5" t="s">
        <v>50</v>
      </c>
      <c r="C36" s="12">
        <f t="array" ref="C36:V55">MMULT(x,C32:V34)</f>
        <v>0.1734358708</v>
      </c>
      <c r="D36" s="12">
        <v>0.1296331662559646</v>
      </c>
      <c r="E36" s="12">
        <v>0.03868460312307338</v>
      </c>
      <c r="F36" s="12">
        <v>0.10319198716462297</v>
      </c>
      <c r="G36" s="12">
        <v>0.002365988543414896</v>
      </c>
      <c r="H36" s="12">
        <v>-0.02163116945647136</v>
      </c>
      <c r="I36" s="12">
        <v>0.126340687759859</v>
      </c>
      <c r="J36" s="12">
        <v>0.10483822641267575</v>
      </c>
      <c r="K36" s="12">
        <v>0.07425611142057806</v>
      </c>
      <c r="L36" s="12">
        <v>0.04038151793237467</v>
      </c>
      <c r="M36" s="12">
        <v>0.1502871701984972</v>
      </c>
      <c r="N36" s="12">
        <v>-0.01334929765495927</v>
      </c>
      <c r="O36" s="12">
        <v>-0.024125866109175</v>
      </c>
      <c r="P36" s="12">
        <v>6.690737341140778E-4</v>
      </c>
      <c r="Q36" s="12">
        <v>-0.01828801539911748</v>
      </c>
      <c r="R36" s="12">
        <v>0.0436739964284802</v>
      </c>
      <c r="S36" s="12">
        <v>-0.1364755394667524</v>
      </c>
      <c r="T36" s="12">
        <v>0.18501022109135115</v>
      </c>
      <c r="U36" s="12">
        <v>0.004012227791467942</v>
      </c>
      <c r="V36" s="12">
        <v>0.037089039436269025</v>
      </c>
    </row>
    <row r="37">
      <c r="C37" s="12">
        <v>0.1296331662559646</v>
      </c>
      <c r="D37" s="12">
        <v>0.10160423975975884</v>
      </c>
      <c r="E37" s="12">
        <v>0.03575193413896603</v>
      </c>
      <c r="F37" s="12">
        <v>0.08586250847415239</v>
      </c>
      <c r="G37" s="12">
        <v>0.021933789838937588</v>
      </c>
      <c r="H37" s="12">
        <v>4.933376618166604E-4</v>
      </c>
      <c r="I37" s="12">
        <v>0.10224543542161821</v>
      </c>
      <c r="J37" s="12">
        <v>0.08554191064322271</v>
      </c>
      <c r="K37" s="12">
        <v>0.06538384978982027</v>
      </c>
      <c r="L37" s="12">
        <v>0.04586698459827708</v>
      </c>
      <c r="M37" s="12">
        <v>0.11325023930849884</v>
      </c>
      <c r="N37" s="12">
        <v>0.009325996797408594</v>
      </c>
      <c r="O37" s="12">
        <v>-0.004243589736909428</v>
      </c>
      <c r="P37" s="12">
        <v>0.011818739379626991</v>
      </c>
      <c r="Q37" s="12">
        <v>0.010287790290197843</v>
      </c>
      <c r="R37" s="12">
        <v>0.04522578893641765</v>
      </c>
      <c r="S37" s="12">
        <v>-0.06592812355561614</v>
      </c>
      <c r="T37" s="12">
        <v>0.1378246297296975</v>
      </c>
      <c r="U37" s="12">
        <v>0.02161319200800817</v>
      </c>
      <c r="V37" s="12">
        <v>0.046508180260136395</v>
      </c>
    </row>
    <row r="38">
      <c r="C38" s="12">
        <v>0.03868460312307357</v>
      </c>
      <c r="D38" s="12">
        <v>0.035751934138966185</v>
      </c>
      <c r="E38" s="12">
        <v>0.26105860596090524</v>
      </c>
      <c r="F38" s="12">
        <v>-0.0016177098189697342</v>
      </c>
      <c r="G38" s="12">
        <v>-0.026167869766152582</v>
      </c>
      <c r="H38" s="12">
        <v>0.15615550440812292</v>
      </c>
      <c r="I38" s="12">
        <v>-0.047533676450741025</v>
      </c>
      <c r="J38" s="12">
        <v>0.04002509547588387</v>
      </c>
      <c r="K38" s="12">
        <v>0.05577724847074457</v>
      </c>
      <c r="L38" s="12">
        <v>-0.011756209124102059</v>
      </c>
      <c r="M38" s="12">
        <v>0.08460056975484495</v>
      </c>
      <c r="N38" s="12">
        <v>0.04991191050252962</v>
      </c>
      <c r="O38" s="12">
        <v>0.2509201066557727</v>
      </c>
      <c r="P38" s="12">
        <v>0.2466469453188553</v>
      </c>
      <c r="Q38" s="12">
        <v>-0.07501650538203095</v>
      </c>
      <c r="R38" s="12">
        <v>0.07152940146560505</v>
      </c>
      <c r="S38" s="12">
        <v>-0.06512969035538507</v>
      </c>
      <c r="T38" s="12">
        <v>0.01572661980718789</v>
      </c>
      <c r="U38" s="12">
        <v>0.015474935528701416</v>
      </c>
      <c r="V38" s="12">
        <v>-0.0950418197138094</v>
      </c>
    </row>
    <row r="39">
      <c r="C39" s="12">
        <v>0.10319198716462302</v>
      </c>
      <c r="D39" s="12">
        <v>0.08586250847415243</v>
      </c>
      <c r="E39" s="12">
        <v>-0.0016177098189698869</v>
      </c>
      <c r="F39" s="12">
        <v>0.08332456172804453</v>
      </c>
      <c r="G39" s="12">
        <v>0.047396630974049336</v>
      </c>
      <c r="H39" s="12">
        <v>-0.003032066036118407</v>
      </c>
      <c r="I39" s="12">
        <v>0.10304660432052817</v>
      </c>
      <c r="J39" s="12">
        <v>0.07473251380485665</v>
      </c>
      <c r="K39" s="12">
        <v>0.0586720084874401</v>
      </c>
      <c r="L39" s="12">
        <v>0.059795599016399206</v>
      </c>
      <c r="M39" s="12">
        <v>0.08346994457213947</v>
      </c>
      <c r="N39" s="12">
        <v>0.02401305110649877</v>
      </c>
      <c r="O39" s="12">
        <v>-0.025146672530615324</v>
      </c>
      <c r="P39" s="12">
        <v>-0.014016677861319271</v>
      </c>
      <c r="Q39" s="12">
        <v>0.04978919487606258</v>
      </c>
      <c r="R39" s="12">
        <v>0.042611503170023386</v>
      </c>
      <c r="S39" s="12">
        <v>-9.30267822295161E-4</v>
      </c>
      <c r="T39" s="12">
        <v>0.11305300846086483</v>
      </c>
      <c r="U39" s="12">
        <v>0.03880458305086173</v>
      </c>
      <c r="V39" s="12">
        <v>0.07697969486277487</v>
      </c>
    </row>
    <row r="40">
      <c r="C40" s="12">
        <v>0.002365988543415104</v>
      </c>
      <c r="D40" s="12">
        <v>0.02193378983893776</v>
      </c>
      <c r="E40" s="12">
        <v>-0.026167869766152596</v>
      </c>
      <c r="F40" s="12">
        <v>0.04739663097404949</v>
      </c>
      <c r="G40" s="12">
        <v>0.09926365413265059</v>
      </c>
      <c r="H40" s="12">
        <v>0.0394542463514901</v>
      </c>
      <c r="I40" s="12">
        <v>0.05525668409350165</v>
      </c>
      <c r="J40" s="12">
        <v>0.030735183846767544</v>
      </c>
      <c r="K40" s="12">
        <v>0.03757156457473443</v>
      </c>
      <c r="L40" s="12">
        <v>0.07773083955726512</v>
      </c>
      <c r="M40" s="12">
        <v>-0.005494064576036947</v>
      </c>
      <c r="N40" s="12">
        <v>0.07670716716577959</v>
      </c>
      <c r="O40" s="12">
        <v>0.004166338817062937</v>
      </c>
      <c r="P40" s="12">
        <v>-0.004635055190766513</v>
      </c>
      <c r="Q40" s="12">
        <v>0.1266915085476256</v>
      </c>
      <c r="R40" s="12">
        <v>0.04440794530270116</v>
      </c>
      <c r="S40" s="12">
        <v>0.17266349186663782</v>
      </c>
      <c r="T40" s="12">
        <v>0.006296015103141192</v>
      </c>
      <c r="U40" s="12">
        <v>0.08260220700536897</v>
      </c>
      <c r="V40" s="12">
        <v>0.11105373381182887</v>
      </c>
    </row>
    <row r="41">
      <c r="C41" s="12">
        <v>-0.021631169456471387</v>
      </c>
      <c r="D41" s="12">
        <v>4.933376618165702E-4</v>
      </c>
      <c r="E41" s="12">
        <v>0.15615550440812254</v>
      </c>
      <c r="F41" s="12">
        <v>-0.003032066036118518</v>
      </c>
      <c r="G41" s="12">
        <v>0.03945424635148978</v>
      </c>
      <c r="H41" s="12">
        <v>0.13879202489121084</v>
      </c>
      <c r="I41" s="12">
        <v>-0.03723194712441588</v>
      </c>
      <c r="J41" s="12">
        <v>0.015830576356997722</v>
      </c>
      <c r="K41" s="12">
        <v>0.039717785324253366</v>
      </c>
      <c r="L41" s="12">
        <v>0.025879709505276433</v>
      </c>
      <c r="M41" s="12">
        <v>0.01256871163182606</v>
      </c>
      <c r="N41" s="12">
        <v>0.08396679956082917</v>
      </c>
      <c r="O41" s="12">
        <v>0.1850672799495173</v>
      </c>
      <c r="P41" s="12">
        <v>0.16973004125433658</v>
      </c>
      <c r="Q41" s="12">
        <v>0.02737887238148068</v>
      </c>
      <c r="R41" s="12">
        <v>0.06360499429150882</v>
      </c>
      <c r="S41" s="12">
        <v>0.09551509558531228</v>
      </c>
      <c r="T41" s="12">
        <v>-0.03873111000062014</v>
      </c>
      <c r="U41" s="12">
        <v>0.05831688874460642</v>
      </c>
      <c r="V41" s="12">
        <v>-0.0118455752809562</v>
      </c>
    </row>
    <row r="42">
      <c r="C42" s="12">
        <v>0.126340687759859</v>
      </c>
      <c r="D42" s="12">
        <v>0.10224543542161818</v>
      </c>
      <c r="E42" s="12">
        <v>-0.047533676450741275</v>
      </c>
      <c r="F42" s="12">
        <v>0.10304660432052809</v>
      </c>
      <c r="G42" s="12">
        <v>0.0552566840935014</v>
      </c>
      <c r="H42" s="12">
        <v>-0.0372319471244159</v>
      </c>
      <c r="I42" s="12">
        <v>0.13624183263672912</v>
      </c>
      <c r="J42" s="12">
        <v>0.08604840571297262</v>
      </c>
      <c r="K42" s="12">
        <v>0.06155256892527694</v>
      </c>
      <c r="L42" s="12">
        <v>0.07105312935269212</v>
      </c>
      <c r="M42" s="12">
        <v>0.09314545944365804</v>
      </c>
      <c r="N42" s="12">
        <v>0.013362064248795193</v>
      </c>
      <c r="O42" s="12">
        <v>-0.07952715141857737</v>
      </c>
      <c r="P42" s="12">
        <v>-0.06333012170993152</v>
      </c>
      <c r="Q42" s="12">
        <v>0.06435666007146178</v>
      </c>
      <c r="R42" s="12">
        <v>0.0370567321375811</v>
      </c>
      <c r="S42" s="12">
        <v>-0.008329681392715504</v>
      </c>
      <c r="T42" s="12">
        <v>0.14293830191795948</v>
      </c>
      <c r="U42" s="12">
        <v>0.03825848548594617</v>
      </c>
      <c r="V42" s="12">
        <v>0.105049526567803</v>
      </c>
    </row>
    <row r="43">
      <c r="C43" s="12">
        <v>0.10483822641267583</v>
      </c>
      <c r="D43" s="12">
        <v>0.08554191064322275</v>
      </c>
      <c r="E43" s="12">
        <v>0.04002509547588376</v>
      </c>
      <c r="F43" s="12">
        <v>0.07473251380485668</v>
      </c>
      <c r="G43" s="12">
        <v>0.030735183846767433</v>
      </c>
      <c r="H43" s="12">
        <v>0.01583057635699789</v>
      </c>
      <c r="I43" s="12">
        <v>0.08604840571297273</v>
      </c>
      <c r="J43" s="12">
        <v>0.07447926626998169</v>
      </c>
      <c r="K43" s="12">
        <v>0.06058764891971176</v>
      </c>
      <c r="L43" s="12">
        <v>0.047202526639191694</v>
      </c>
      <c r="M43" s="12">
        <v>0.09352233450455986</v>
      </c>
      <c r="N43" s="12">
        <v>0.021995017380805476</v>
      </c>
      <c r="O43" s="12">
        <v>0.012495108310218647</v>
      </c>
      <c r="P43" s="12">
        <v>0.023557752683459984</v>
      </c>
      <c r="Q43" s="12">
        <v>0.02275475998543061</v>
      </c>
      <c r="R43" s="12">
        <v>0.04669603156944166</v>
      </c>
      <c r="S43" s="12">
        <v>-0.029729488903745493</v>
      </c>
      <c r="T43" s="12">
        <v>0.11049617236673383</v>
      </c>
      <c r="U43" s="12">
        <v>0.030481936311892728</v>
      </c>
      <c r="V43" s="12">
        <v>0.047709021708941576</v>
      </c>
    </row>
    <row r="44">
      <c r="C44" s="12">
        <v>0.07425611142057809</v>
      </c>
      <c r="D44" s="12">
        <v>0.06538384978982024</v>
      </c>
      <c r="E44" s="12">
        <v>0.055777248470744306</v>
      </c>
      <c r="F44" s="12">
        <v>0.05867200848744005</v>
      </c>
      <c r="G44" s="12">
        <v>0.03757156457473426</v>
      </c>
      <c r="H44" s="12">
        <v>0.03971778532425344</v>
      </c>
      <c r="I44" s="12">
        <v>0.06155256892527697</v>
      </c>
      <c r="J44" s="12">
        <v>0.06058764891971169</v>
      </c>
      <c r="K44" s="12">
        <v>0.055071307940144046</v>
      </c>
      <c r="L44" s="12">
        <v>0.04572368609603307</v>
      </c>
      <c r="M44" s="12">
        <v>0.07137555098274123</v>
      </c>
      <c r="N44" s="12">
        <v>0.037326784678628246</v>
      </c>
      <c r="O44" s="12">
        <v>0.04282892607933718</v>
      </c>
      <c r="P44" s="12">
        <v>0.04762512694944604</v>
      </c>
      <c r="Q44" s="12">
        <v>0.03157986338181358</v>
      </c>
      <c r="R44" s="12">
        <v>0.04955496696057624</v>
      </c>
      <c r="S44" s="12">
        <v>0.008318999140730254</v>
      </c>
      <c r="T44" s="12">
        <v>0.07569639163949651</v>
      </c>
      <c r="U44" s="12">
        <v>0.03948720500700618</v>
      </c>
      <c r="V44" s="12">
        <v>0.04189240523148971</v>
      </c>
    </row>
    <row r="45">
      <c r="C45" s="12">
        <v>0.040381517932374676</v>
      </c>
      <c r="D45" s="12">
        <v>0.045866984598277066</v>
      </c>
      <c r="E45" s="12">
        <v>-0.011756209124102385</v>
      </c>
      <c r="F45" s="12">
        <v>0.05979559901639914</v>
      </c>
      <c r="G45" s="12">
        <v>0.07773083955726487</v>
      </c>
      <c r="H45" s="12">
        <v>0.02587970950527646</v>
      </c>
      <c r="I45" s="12">
        <v>0.07105312935269215</v>
      </c>
      <c r="J45" s="12">
        <v>0.0472025266391916</v>
      </c>
      <c r="K45" s="12">
        <v>0.045723686096033014</v>
      </c>
      <c r="L45" s="12">
        <v>0.06943099030728946</v>
      </c>
      <c r="M45" s="12">
        <v>0.02912398759608173</v>
      </c>
      <c r="N45" s="12">
        <v>0.056694619427837614</v>
      </c>
      <c r="O45" s="12">
        <v>-0.0021208178332121908</v>
      </c>
      <c r="P45" s="12">
        <v>-0.00345635987412643</v>
      </c>
      <c r="Q45" s="12">
        <v>0.09447383655946048</v>
      </c>
      <c r="R45" s="12">
        <v>0.04424484555287428</v>
      </c>
      <c r="S45" s="12">
        <v>0.10396592934810667</v>
      </c>
      <c r="T45" s="12">
        <v>0.04601028310052115</v>
      </c>
      <c r="U45" s="12">
        <v>0.06513776718005762</v>
      </c>
      <c r="V45" s="12">
        <v>0.09461713506170447</v>
      </c>
    </row>
    <row r="46">
      <c r="C46" s="12">
        <v>0.15028717019849722</v>
      </c>
      <c r="D46" s="12">
        <v>0.11325023930849883</v>
      </c>
      <c r="E46" s="12">
        <v>0.08460056975484477</v>
      </c>
      <c r="F46" s="12">
        <v>0.08346994457213938</v>
      </c>
      <c r="G46" s="12">
        <v>-0.005494064576037169</v>
      </c>
      <c r="H46" s="12">
        <v>0.012568711631826136</v>
      </c>
      <c r="I46" s="12">
        <v>0.09314545944365804</v>
      </c>
      <c r="J46" s="12">
        <v>0.09352233450455978</v>
      </c>
      <c r="K46" s="12">
        <v>0.07137555098274122</v>
      </c>
      <c r="L46" s="12">
        <v>0.029123987596081754</v>
      </c>
      <c r="M46" s="12">
        <v>0.1406116553269786</v>
      </c>
      <c r="N46" s="12">
        <v>-0.0026983107972556944</v>
      </c>
      <c r="O46" s="12">
        <v>0.03025461277878699</v>
      </c>
      <c r="P46" s="12">
        <v>0.04998251758272633</v>
      </c>
      <c r="Q46" s="12">
        <v>-0.03285548059451669</v>
      </c>
      <c r="R46" s="12">
        <v>0.04922876746092248</v>
      </c>
      <c r="S46" s="12">
        <v>-0.12907612589633205</v>
      </c>
      <c r="T46" s="12">
        <v>0.15512492763425648</v>
      </c>
      <c r="U46" s="12">
        <v>0.004558325356383503</v>
      </c>
      <c r="V46" s="12">
        <v>0.009019207731240885</v>
      </c>
    </row>
    <row r="47">
      <c r="C47" s="12">
        <v>-0.013349297654959055</v>
      </c>
      <c r="D47" s="12">
        <v>0.009325996797408795</v>
      </c>
      <c r="E47" s="12">
        <v>0.04991191050252963</v>
      </c>
      <c r="F47" s="12">
        <v>0.02401305110649895</v>
      </c>
      <c r="G47" s="12">
        <v>0.07670716716577963</v>
      </c>
      <c r="H47" s="12">
        <v>0.08396679956082953</v>
      </c>
      <c r="I47" s="12">
        <v>0.013362064248795463</v>
      </c>
      <c r="J47" s="12">
        <v>0.021995017380805615</v>
      </c>
      <c r="K47" s="12">
        <v>0.03732678467862846</v>
      </c>
      <c r="L47" s="12">
        <v>0.05669461942783793</v>
      </c>
      <c r="M47" s="12">
        <v>-0.0026983107972554654</v>
      </c>
      <c r="N47" s="12">
        <v>0.08267737358336397</v>
      </c>
      <c r="O47" s="12">
        <v>0.08259347882386844</v>
      </c>
      <c r="P47" s="12">
        <v>0.06992445824047192</v>
      </c>
      <c r="Q47" s="12">
        <v>0.08873147476044424</v>
      </c>
      <c r="R47" s="12">
        <v>0.05265855197645113</v>
      </c>
      <c r="S47" s="12">
        <v>0.14941383096300276</v>
      </c>
      <c r="T47" s="12">
        <v>-0.018674791083810816</v>
      </c>
      <c r="U47" s="12">
        <v>0.07468913344008664</v>
      </c>
      <c r="V47" s="12">
        <v>0.06073068687922445</v>
      </c>
    </row>
    <row r="48">
      <c r="C48" s="12">
        <v>-0.024125866109174776</v>
      </c>
      <c r="D48" s="12">
        <v>-0.004243589736909206</v>
      </c>
      <c r="E48" s="12">
        <v>0.25092010665577275</v>
      </c>
      <c r="F48" s="12">
        <v>-0.025146672530615095</v>
      </c>
      <c r="G48" s="12">
        <v>0.004166338817062978</v>
      </c>
      <c r="H48" s="12">
        <v>0.1850672799495178</v>
      </c>
      <c r="I48" s="12">
        <v>-0.07952715141857705</v>
      </c>
      <c r="J48" s="12">
        <v>0.0124951083102188</v>
      </c>
      <c r="K48" s="12">
        <v>0.04282892607933748</v>
      </c>
      <c r="L48" s="12">
        <v>-0.002120817833211816</v>
      </c>
      <c r="M48" s="12">
        <v>0.030254612778787243</v>
      </c>
      <c r="N48" s="12">
        <v>0.08259347882386847</v>
      </c>
      <c r="O48" s="12">
        <v>0.27394596135317584</v>
      </c>
      <c r="P48" s="12">
        <v>0.25720726330604815</v>
      </c>
      <c r="Q48" s="12">
        <v>-0.03033186369863304</v>
      </c>
      <c r="R48" s="12">
        <v>0.07316274384845595</v>
      </c>
      <c r="S48" s="12">
        <v>0.03976650681501673</v>
      </c>
      <c r="T48" s="12">
        <v>-0.05131610555315578</v>
      </c>
      <c r="U48" s="12">
        <v>0.04180811965789731</v>
      </c>
      <c r="V48" s="12">
        <v>-0.0774043795148798</v>
      </c>
    </row>
    <row r="49">
      <c r="C49" s="12">
        <v>6.690737341140222E-4</v>
      </c>
      <c r="D49" s="12">
        <v>0.01181873937962688</v>
      </c>
      <c r="E49" s="12">
        <v>0.24664694531885495</v>
      </c>
      <c r="F49" s="12">
        <v>-0.014016677861319382</v>
      </c>
      <c r="G49" s="12">
        <v>-0.0046350551907668736</v>
      </c>
      <c r="H49" s="12">
        <v>0.16973004125433658</v>
      </c>
      <c r="I49" s="12">
        <v>-0.06333012170993152</v>
      </c>
      <c r="J49" s="12">
        <v>0.02355775268345983</v>
      </c>
      <c r="K49" s="12">
        <v>0.047625126949445984</v>
      </c>
      <c r="L49" s="12">
        <v>-0.003456359874126416</v>
      </c>
      <c r="M49" s="12">
        <v>0.049982517582726246</v>
      </c>
      <c r="N49" s="12">
        <v>0.06992445824047158</v>
      </c>
      <c r="O49" s="12">
        <v>0.2572072633060477</v>
      </c>
      <c r="P49" s="12">
        <v>0.24546825000221517</v>
      </c>
      <c r="Q49" s="12">
        <v>-0.04279883339386581</v>
      </c>
      <c r="R49" s="12">
        <v>0.07169250121543193</v>
      </c>
      <c r="S49" s="12">
        <v>0.003567872163146066</v>
      </c>
      <c r="T49" s="12">
        <v>-0.02398764819019213</v>
      </c>
      <c r="U49" s="12">
        <v>0.032939375354012757</v>
      </c>
      <c r="V49" s="12">
        <v>-0.07860522096368501</v>
      </c>
    </row>
    <row r="50">
      <c r="C50" s="12">
        <v>-0.01828801539911748</v>
      </c>
      <c r="D50" s="12">
        <v>0.010287790290197774</v>
      </c>
      <c r="E50" s="12">
        <v>-0.07501650538203136</v>
      </c>
      <c r="F50" s="12">
        <v>0.04978919487606248</v>
      </c>
      <c r="G50" s="12">
        <v>0.12669150854762534</v>
      </c>
      <c r="H50" s="12">
        <v>0.02737887238148065</v>
      </c>
      <c r="I50" s="12">
        <v>0.06435666007146179</v>
      </c>
      <c r="J50" s="12">
        <v>0.022754759985430473</v>
      </c>
      <c r="K50" s="12">
        <v>0.03157986338181347</v>
      </c>
      <c r="L50" s="12">
        <v>0.09447383655946046</v>
      </c>
      <c r="M50" s="12">
        <v>-0.032855480594516734</v>
      </c>
      <c r="N50" s="12">
        <v>0.08873147476044388</v>
      </c>
      <c r="O50" s="12">
        <v>-0.030331863698633554</v>
      </c>
      <c r="P50" s="12">
        <v>-0.042798833393865865</v>
      </c>
      <c r="Q50" s="12">
        <v>0.16983477943234013</v>
      </c>
      <c r="R50" s="12">
        <v>0.04040496677819631</v>
      </c>
      <c r="S50" s="12">
        <v>0.2358114942073537</v>
      </c>
      <c r="T50" s="12">
        <v>-0.011004282801417853</v>
      </c>
      <c r="U50" s="12">
        <v>0.09965707365699364</v>
      </c>
      <c r="V50" s="12">
        <v>0.14854270634072436</v>
      </c>
    </row>
    <row r="51">
      <c r="C51" s="12">
        <v>0.04367399642848031</v>
      </c>
      <c r="D51" s="12">
        <v>0.04522578893641771</v>
      </c>
      <c r="E51" s="12">
        <v>0.07152940146560485</v>
      </c>
      <c r="F51" s="12">
        <v>0.04261150317002345</v>
      </c>
      <c r="G51" s="12">
        <v>0.04440794530270108</v>
      </c>
      <c r="H51" s="12">
        <v>0.06360499429150905</v>
      </c>
      <c r="I51" s="12">
        <v>0.03705673213758126</v>
      </c>
      <c r="J51" s="12">
        <v>0.04669603156944167</v>
      </c>
      <c r="K51" s="12">
        <v>0.04955496696057633</v>
      </c>
      <c r="L51" s="12">
        <v>0.04424484555287444</v>
      </c>
      <c r="M51" s="12">
        <v>0.04922876746092257</v>
      </c>
      <c r="N51" s="12">
        <v>0.05265855197645103</v>
      </c>
      <c r="O51" s="12">
        <v>0.07316274384845575</v>
      </c>
      <c r="P51" s="12">
        <v>0.07169250121543214</v>
      </c>
      <c r="Q51" s="12">
        <v>0.04040496677819652</v>
      </c>
      <c r="R51" s="12">
        <v>0.052413902351710825</v>
      </c>
      <c r="S51" s="12">
        <v>0.046367487185206</v>
      </c>
      <c r="T51" s="12">
        <v>0.04089661091225916</v>
      </c>
      <c r="U51" s="12">
        <v>0.04849247370211963</v>
      </c>
      <c r="V51" s="12">
        <v>0.03607578875403783</v>
      </c>
    </row>
    <row r="52">
      <c r="C52" s="12">
        <v>-0.13647553946675237</v>
      </c>
      <c r="D52" s="12">
        <v>-0.06592812355561618</v>
      </c>
      <c r="E52" s="12">
        <v>-0.06512969035538552</v>
      </c>
      <c r="F52" s="12">
        <v>-9.302678222952512E-4</v>
      </c>
      <c r="G52" s="12">
        <v>0.17266349186663754</v>
      </c>
      <c r="H52" s="12">
        <v>0.09551509558531229</v>
      </c>
      <c r="I52" s="12">
        <v>-0.008329681392715421</v>
      </c>
      <c r="J52" s="12">
        <v>-0.029729488903745604</v>
      </c>
      <c r="K52" s="12">
        <v>0.008318999140730164</v>
      </c>
      <c r="L52" s="12">
        <v>0.1039659293481067</v>
      </c>
      <c r="M52" s="12">
        <v>-0.12907612589633208</v>
      </c>
      <c r="N52" s="12">
        <v>0.14941383096300237</v>
      </c>
      <c r="O52" s="12">
        <v>0.0397665068150162</v>
      </c>
      <c r="P52" s="12">
        <v>0.003567872163146024</v>
      </c>
      <c r="Q52" s="12">
        <v>0.23581149420735376</v>
      </c>
      <c r="R52" s="12">
        <v>0.04636748718520579</v>
      </c>
      <c r="S52" s="12">
        <v>0.41495481407410195</v>
      </c>
      <c r="T52" s="12">
        <v>-0.1401752462519625</v>
      </c>
      <c r="U52" s="12">
        <v>0.14386427078518754</v>
      </c>
      <c r="V52" s="12">
        <v>0.16156437151100728</v>
      </c>
    </row>
    <row r="53">
      <c r="C53" s="12">
        <v>0.18501022109135115</v>
      </c>
      <c r="D53" s="12">
        <v>0.13782462972969745</v>
      </c>
      <c r="E53" s="12">
        <v>0.015726619807187717</v>
      </c>
      <c r="F53" s="12">
        <v>0.11305300846086475</v>
      </c>
      <c r="G53" s="12">
        <v>0.006296015103140928</v>
      </c>
      <c r="H53" s="12">
        <v>-0.03873111000062009</v>
      </c>
      <c r="I53" s="12">
        <v>0.14293830191795945</v>
      </c>
      <c r="J53" s="12">
        <v>0.11049617236673374</v>
      </c>
      <c r="K53" s="12">
        <v>0.07569639163949649</v>
      </c>
      <c r="L53" s="12">
        <v>0.04601028310052112</v>
      </c>
      <c r="M53" s="12">
        <v>0.1551249276342565</v>
      </c>
      <c r="N53" s="12">
        <v>-0.018674791083811065</v>
      </c>
      <c r="O53" s="12">
        <v>-0.05131610555315602</v>
      </c>
      <c r="P53" s="12">
        <v>-0.023987648190192046</v>
      </c>
      <c r="Q53" s="12">
        <v>-0.01100428280141788</v>
      </c>
      <c r="R53" s="12">
        <v>0.04089661091225906</v>
      </c>
      <c r="S53" s="12">
        <v>-0.14017524625196254</v>
      </c>
      <c r="T53" s="12">
        <v>0.19995286781989846</v>
      </c>
      <c r="U53" s="12">
        <v>0.003739179009010161</v>
      </c>
      <c r="V53" s="12">
        <v>0.051123955288783066</v>
      </c>
    </row>
    <row r="54">
      <c r="C54" s="12">
        <v>0.00401222779146794</v>
      </c>
      <c r="D54" s="12">
        <v>0.021613192008008084</v>
      </c>
      <c r="E54" s="12">
        <v>0.01547493552870105</v>
      </c>
      <c r="F54" s="12">
        <v>0.03880458305086162</v>
      </c>
      <c r="G54" s="12">
        <v>0.08260220700536869</v>
      </c>
      <c r="H54" s="12">
        <v>0.05831688874460639</v>
      </c>
      <c r="I54" s="12">
        <v>0.03825848548594615</v>
      </c>
      <c r="J54" s="12">
        <v>0.030481936311892582</v>
      </c>
      <c r="K54" s="12">
        <v>0.03948720500700609</v>
      </c>
      <c r="L54" s="12">
        <v>0.0651377671800576</v>
      </c>
      <c r="M54" s="12">
        <v>0.004558325356383466</v>
      </c>
      <c r="N54" s="12">
        <v>0.07468913344008629</v>
      </c>
      <c r="O54" s="12">
        <v>0.04180811965789685</v>
      </c>
      <c r="P54" s="12">
        <v>0.03293937535401273</v>
      </c>
      <c r="Q54" s="12">
        <v>0.09965707365699364</v>
      </c>
      <c r="R54" s="12">
        <v>0.04849247370211942</v>
      </c>
      <c r="S54" s="12">
        <v>0.1438642707851875</v>
      </c>
      <c r="T54" s="12">
        <v>0.003739179009010163</v>
      </c>
      <c r="U54" s="12">
        <v>0.07427956026639998</v>
      </c>
      <c r="V54" s="12">
        <v>0.08178306065799557</v>
      </c>
    </row>
    <row r="55">
      <c r="C55" s="12">
        <v>0.03708903943626907</v>
      </c>
      <c r="D55" s="12">
        <v>0.046508180260136395</v>
      </c>
      <c r="E55" s="12">
        <v>-0.09504181971380968</v>
      </c>
      <c r="F55" s="12">
        <v>0.07697969486277483</v>
      </c>
      <c r="G55" s="12">
        <v>0.1110537338118287</v>
      </c>
      <c r="H55" s="12">
        <v>-0.01184557528095613</v>
      </c>
      <c r="I55" s="12">
        <v>0.10504952656780303</v>
      </c>
      <c r="J55" s="12">
        <v>0.04770902170894151</v>
      </c>
      <c r="K55" s="12">
        <v>0.04189240523148968</v>
      </c>
      <c r="L55" s="12">
        <v>0.0946171350617045</v>
      </c>
      <c r="M55" s="12">
        <v>0.00901920773124093</v>
      </c>
      <c r="N55" s="12">
        <v>0.06073068687922421</v>
      </c>
      <c r="O55" s="12">
        <v>-0.07740437951488013</v>
      </c>
      <c r="P55" s="12">
        <v>-0.07860522096368494</v>
      </c>
      <c r="Q55" s="12">
        <v>0.14854270634072442</v>
      </c>
      <c r="R55" s="12">
        <v>0.03607578875403773</v>
      </c>
      <c r="S55" s="12">
        <v>0.16156437151100728</v>
      </c>
      <c r="T55" s="12">
        <v>0.05112395528878315</v>
      </c>
      <c r="U55" s="12">
        <v>0.08178306065799562</v>
      </c>
      <c r="V55" s="12">
        <v>0.15315848136937105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13"/>
    <col customWidth="1" min="11" max="11" width="19.13"/>
    <col customWidth="1" min="14" max="14" width="16.38"/>
    <col customWidth="1" min="19" max="19" width="16.5"/>
  </cols>
  <sheetData>
    <row r="1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</row>
    <row r="2">
      <c r="A2" s="13">
        <v>30450.0</v>
      </c>
      <c r="B2" s="12">
        <f t="array" ref="B2:B21">MMULT(x,Estimation!B14:B16)</f>
        <v>30944.21016</v>
      </c>
      <c r="C2" s="13">
        <f t="array" ref="C2">INDEX(Estimation!C36:V36,,ROWS($1:1))</f>
        <v>0.1734358708</v>
      </c>
      <c r="D2" s="12">
        <f t="shared" ref="D2:D21" si="1">A2-B2</f>
        <v>-494.2101595</v>
      </c>
      <c r="E2" s="12">
        <f>D2/SQRT(Estimation!$B$25)</f>
        <v>-0.3679258237</v>
      </c>
      <c r="F2" s="12">
        <f>D2/sqrt(sigma2*(1-C2))</f>
        <v>-0.4046895534</v>
      </c>
      <c r="G2" s="12">
        <f t="shared" ref="G2:G21" si="2">D2/(1-C2)</f>
        <v>-597.9090334</v>
      </c>
      <c r="H2" s="12">
        <f t="shared" ref="H2:H21" si="3">D2*D2</f>
        <v>244243.6818</v>
      </c>
      <c r="I2" s="12">
        <f t="shared" ref="I2:I21" si="4">H2/(1-C2)</f>
        <v>295492.7187</v>
      </c>
      <c r="J2" s="12">
        <f>17*sigma2</f>
        <v>30672679.57</v>
      </c>
      <c r="K2" s="12">
        <f t="shared" ref="K2:K21" si="5">J2-I2</f>
        <v>30377186.86</v>
      </c>
      <c r="L2" s="12">
        <f t="shared" ref="L2:L21" si="6">K2/16</f>
        <v>1898574.178</v>
      </c>
      <c r="M2" s="12">
        <f t="shared" ref="M2:M21" si="7">D2/sqrt(L2*(1-C2))</f>
        <v>-0.3945114451</v>
      </c>
      <c r="N2" s="12">
        <f t="array" ref="N2:N21">SORT(M2:M21)</f>
        <v>-2.482575725</v>
      </c>
      <c r="O2" s="13">
        <v>1.0</v>
      </c>
      <c r="P2" s="12">
        <f t="shared" ref="P2:P21" si="8">(O2 -0.5)/20</f>
        <v>0.025</v>
      </c>
      <c r="S2" s="4" t="s">
        <v>67</v>
      </c>
    </row>
    <row r="3">
      <c r="A3" s="13">
        <v>35670.0</v>
      </c>
      <c r="B3" s="12">
        <v>34773.04176604205</v>
      </c>
      <c r="C3" s="13">
        <f t="array" ref="C3">INDEX(Estimation!C37:V37,,ROWS($1:2))</f>
        <v>0.1016042398</v>
      </c>
      <c r="D3" s="12">
        <f t="shared" si="1"/>
        <v>896.958234</v>
      </c>
      <c r="E3" s="12">
        <f>D3/SQRT(Estimation!$B$25)</f>
        <v>0.6677606493</v>
      </c>
      <c r="F3" s="12">
        <f>D3/sqrt(sigma2*(1-C3))</f>
        <v>0.7045096982</v>
      </c>
      <c r="G3" s="12">
        <f t="shared" si="2"/>
        <v>998.3998964</v>
      </c>
      <c r="H3" s="12">
        <f t="shared" si="3"/>
        <v>804534.0735</v>
      </c>
      <c r="I3" s="12">
        <f t="shared" si="4"/>
        <v>895523.0079</v>
      </c>
      <c r="J3" s="12">
        <f>17*sigma2</f>
        <v>30672679.57</v>
      </c>
      <c r="K3" s="12">
        <f t="shared" si="5"/>
        <v>29777156.57</v>
      </c>
      <c r="L3" s="12">
        <f t="shared" si="6"/>
        <v>1861072.285</v>
      </c>
      <c r="M3" s="12">
        <f t="shared" si="7"/>
        <v>0.6936761347</v>
      </c>
      <c r="N3" s="12">
        <v>-1.7822754665309388</v>
      </c>
      <c r="O3" s="13">
        <v>2.0</v>
      </c>
      <c r="P3" s="12">
        <f t="shared" si="8"/>
        <v>0.075</v>
      </c>
    </row>
    <row r="4">
      <c r="A4" s="13">
        <v>31580.0</v>
      </c>
      <c r="B4" s="12">
        <v>30924.316531280085</v>
      </c>
      <c r="C4" s="13">
        <f t="array" ref="C4">INDEX(Estimation!C38:V38,,ROWS($1:3))</f>
        <v>0.261058606</v>
      </c>
      <c r="D4" s="12">
        <f t="shared" si="1"/>
        <v>655.6834687</v>
      </c>
      <c r="E4" s="12">
        <f>D4/SQRT(Estimation!$B$25)</f>
        <v>0.4881382458</v>
      </c>
      <c r="F4" s="12">
        <f>D4/sqrt(sigma2*(1-C4))</f>
        <v>0.5678555023</v>
      </c>
      <c r="G4" s="12">
        <f t="shared" si="2"/>
        <v>887.3281075</v>
      </c>
      <c r="H4" s="12">
        <f t="shared" si="3"/>
        <v>429920.8112</v>
      </c>
      <c r="I4" s="12">
        <f t="shared" si="4"/>
        <v>581806.3714</v>
      </c>
      <c r="J4" s="12">
        <f>17*sigma2</f>
        <v>30672679.57</v>
      </c>
      <c r="K4" s="12">
        <f t="shared" si="5"/>
        <v>30090873.2</v>
      </c>
      <c r="L4" s="12">
        <f t="shared" si="6"/>
        <v>1880679.575</v>
      </c>
      <c r="M4" s="12">
        <f t="shared" si="7"/>
        <v>0.556201086</v>
      </c>
      <c r="N4" s="12">
        <v>-1.2873530059067668</v>
      </c>
      <c r="O4" s="13">
        <v>3.0</v>
      </c>
      <c r="P4" s="12">
        <f t="shared" si="8"/>
        <v>0.125</v>
      </c>
    </row>
    <row r="5">
      <c r="A5" s="13">
        <v>40130.0</v>
      </c>
      <c r="B5" s="12">
        <v>38899.45943896817</v>
      </c>
      <c r="C5" s="13">
        <f t="array" ref="C5">INDEX(Estimation!C39:V39,,ROWS($1:4))</f>
        <v>0.08332456173</v>
      </c>
      <c r="D5" s="12">
        <f t="shared" si="1"/>
        <v>1230.540561</v>
      </c>
      <c r="E5" s="12">
        <f>D5/SQRT(Estimation!$B$25)</f>
        <v>0.9161034851</v>
      </c>
      <c r="F5" s="12">
        <f>D5/sqrt(sigma2*(1-C5))</f>
        <v>0.9568343058</v>
      </c>
      <c r="G5" s="12">
        <f t="shared" si="2"/>
        <v>1342.395039</v>
      </c>
      <c r="H5" s="12">
        <f t="shared" si="3"/>
        <v>1514230.072</v>
      </c>
      <c r="I5" s="12">
        <f t="shared" si="4"/>
        <v>1651871.545</v>
      </c>
      <c r="J5" s="12">
        <f>17*sigma2</f>
        <v>30672679.57</v>
      </c>
      <c r="K5" s="12">
        <f t="shared" si="5"/>
        <v>29020808.03</v>
      </c>
      <c r="L5" s="12">
        <f t="shared" si="6"/>
        <v>1813800.502</v>
      </c>
      <c r="M5" s="12">
        <f t="shared" si="7"/>
        <v>0.9543185752</v>
      </c>
      <c r="N5" s="12">
        <v>-0.9688396507458003</v>
      </c>
      <c r="O5" s="13">
        <v>4.0</v>
      </c>
      <c r="P5" s="12">
        <f t="shared" si="8"/>
        <v>0.175</v>
      </c>
    </row>
    <row r="6">
      <c r="A6" s="13">
        <v>47830.0</v>
      </c>
      <c r="B6" s="12">
        <v>48620.33148851718</v>
      </c>
      <c r="C6" s="13">
        <f t="array" ref="C6">INDEX(Estimation!C40:V40,,ROWS($1:5))</f>
        <v>0.09926365413</v>
      </c>
      <c r="D6" s="12">
        <f t="shared" si="1"/>
        <v>-790.3314885</v>
      </c>
      <c r="E6" s="12">
        <f>D6/SQRT(Estimation!$B$25)</f>
        <v>-0.5883799802</v>
      </c>
      <c r="F6" s="12">
        <f>D6/sqrt(sigma2*(1-C6))</f>
        <v>-0.6199533964</v>
      </c>
      <c r="G6" s="12">
        <f t="shared" si="2"/>
        <v>-877.4282199</v>
      </c>
      <c r="H6" s="12">
        <f t="shared" si="3"/>
        <v>624623.8617</v>
      </c>
      <c r="I6" s="12">
        <f t="shared" si="4"/>
        <v>693459.1511</v>
      </c>
      <c r="J6" s="12">
        <f>17*sigma2</f>
        <v>30672679.57</v>
      </c>
      <c r="K6" s="12">
        <f t="shared" si="5"/>
        <v>29979220.42</v>
      </c>
      <c r="L6" s="12">
        <f t="shared" si="6"/>
        <v>1873701.276</v>
      </c>
      <c r="M6" s="12">
        <f t="shared" si="7"/>
        <v>-0.6083594596</v>
      </c>
      <c r="N6" s="12">
        <v>-0.6083594596424203</v>
      </c>
      <c r="O6" s="13">
        <v>5.0</v>
      </c>
      <c r="P6" s="12">
        <f t="shared" si="8"/>
        <v>0.225</v>
      </c>
    </row>
    <row r="7">
      <c r="A7" s="13">
        <v>41630.0</v>
      </c>
      <c r="B7" s="12">
        <v>41339.556069056445</v>
      </c>
      <c r="C7" s="13">
        <f t="array" ref="C7">INDEX(Estimation!C41:V41,,ROWS($1:6))</f>
        <v>0.1387920249</v>
      </c>
      <c r="D7" s="12">
        <f t="shared" si="1"/>
        <v>290.4439309</v>
      </c>
      <c r="E7" s="12">
        <f>D7/SQRT(Estimation!$B$25)</f>
        <v>0.2162274904</v>
      </c>
      <c r="F7" s="12">
        <f>D7/sqrt(sigma2*(1-C7))</f>
        <v>0.2330005179</v>
      </c>
      <c r="G7" s="12">
        <f t="shared" si="2"/>
        <v>337.2517897</v>
      </c>
      <c r="H7" s="12">
        <f t="shared" si="3"/>
        <v>84357.67702</v>
      </c>
      <c r="I7" s="12">
        <f t="shared" si="4"/>
        <v>97952.73553</v>
      </c>
      <c r="J7" s="12">
        <f>17*sigma2</f>
        <v>30672679.57</v>
      </c>
      <c r="K7" s="12">
        <f t="shared" si="5"/>
        <v>30574726.84</v>
      </c>
      <c r="L7" s="12">
        <f t="shared" si="6"/>
        <v>1910920.427</v>
      </c>
      <c r="M7" s="12">
        <f t="shared" si="7"/>
        <v>0.2264055053</v>
      </c>
      <c r="N7" s="12">
        <v>-0.4066753172204684</v>
      </c>
      <c r="O7" s="13">
        <v>6.0</v>
      </c>
      <c r="P7" s="12">
        <f t="shared" si="8"/>
        <v>0.275</v>
      </c>
    </row>
    <row r="8">
      <c r="A8" s="13">
        <v>41340.0</v>
      </c>
      <c r="B8" s="12">
        <v>39296.24086081237</v>
      </c>
      <c r="C8" s="13">
        <f t="array" ref="C8">INDEX(Estimation!C42:V42,,ROWS($1:7))</f>
        <v>0.1362418326</v>
      </c>
      <c r="D8" s="12">
        <f t="shared" si="1"/>
        <v>2043.759139</v>
      </c>
      <c r="E8" s="12">
        <f>D8/SQRT(Estimation!$B$25)</f>
        <v>1.521522272</v>
      </c>
      <c r="F8" s="12">
        <f>D8/sqrt(sigma2*(1-C8))</f>
        <v>1.63712647</v>
      </c>
      <c r="G8" s="12">
        <f t="shared" si="2"/>
        <v>2366.124242</v>
      </c>
      <c r="H8" s="12">
        <f t="shared" si="3"/>
        <v>4176951.419</v>
      </c>
      <c r="I8" s="12">
        <f t="shared" si="4"/>
        <v>4835788.044</v>
      </c>
      <c r="J8" s="12">
        <f>17*sigma2</f>
        <v>30672679.57</v>
      </c>
      <c r="K8" s="12">
        <f t="shared" si="5"/>
        <v>25836891.53</v>
      </c>
      <c r="L8" s="12">
        <f t="shared" si="6"/>
        <v>1614805.721</v>
      </c>
      <c r="M8" s="12">
        <f t="shared" si="7"/>
        <v>1.730507512</v>
      </c>
      <c r="N8" s="12">
        <v>-0.3945114450858962</v>
      </c>
      <c r="O8" s="13">
        <v>7.0</v>
      </c>
      <c r="P8" s="12">
        <f t="shared" si="8"/>
        <v>0.325</v>
      </c>
    </row>
    <row r="9">
      <c r="A9" s="13">
        <v>37650.0</v>
      </c>
      <c r="B9" s="12">
        <v>36637.85989158301</v>
      </c>
      <c r="C9" s="13">
        <f t="array" ref="C9">INDEX(Estimation!C43:V43,,ROWS($1:8))</f>
        <v>0.07447926627</v>
      </c>
      <c r="D9" s="12">
        <f t="shared" si="1"/>
        <v>1012.140108</v>
      </c>
      <c r="E9" s="12">
        <f>D9/SQRT(Estimation!$B$25)</f>
        <v>0.7535103759</v>
      </c>
      <c r="F9" s="12">
        <f>D9/sqrt(sigma2*(1-C9))</f>
        <v>0.7832423482</v>
      </c>
      <c r="G9" s="12">
        <f t="shared" si="2"/>
        <v>1093.58988</v>
      </c>
      <c r="H9" s="12">
        <f t="shared" si="3"/>
        <v>1024427.599</v>
      </c>
      <c r="I9" s="12">
        <f t="shared" si="4"/>
        <v>1106866.18</v>
      </c>
      <c r="J9" s="12">
        <f>17*sigma2</f>
        <v>30672679.57</v>
      </c>
      <c r="K9" s="12">
        <f t="shared" si="5"/>
        <v>29565813.39</v>
      </c>
      <c r="L9" s="12">
        <f t="shared" si="6"/>
        <v>1847863.337</v>
      </c>
      <c r="M9" s="12">
        <f t="shared" si="7"/>
        <v>0.7739495187</v>
      </c>
      <c r="N9" s="12">
        <v>-0.22045103958740486</v>
      </c>
      <c r="O9" s="13">
        <v>8.0</v>
      </c>
      <c r="P9" s="12">
        <f t="shared" si="8"/>
        <v>0.375</v>
      </c>
    </row>
    <row r="10">
      <c r="A10" s="13">
        <v>40250.0</v>
      </c>
      <c r="B10" s="12">
        <v>38403.48266166292</v>
      </c>
      <c r="C10" s="13">
        <f t="array" ref="C10">INDEX(Estimation!C44:V44,,ROWS($1:9))</f>
        <v>0.05507130794</v>
      </c>
      <c r="D10" s="12">
        <f t="shared" si="1"/>
        <v>1846.517338</v>
      </c>
      <c r="E10" s="12">
        <f>D10/SQRT(Estimation!$B$25)</f>
        <v>1.374681195</v>
      </c>
      <c r="F10" s="12">
        <f>D10/sqrt(sigma2*(1-C10))</f>
        <v>1.41417278</v>
      </c>
      <c r="G10" s="12">
        <f t="shared" si="2"/>
        <v>1954.134057</v>
      </c>
      <c r="H10" s="12">
        <f t="shared" si="3"/>
        <v>3409626.281</v>
      </c>
      <c r="I10" s="12">
        <f t="shared" si="4"/>
        <v>3608342.417</v>
      </c>
      <c r="J10" s="12">
        <f>17*sigma2</f>
        <v>30672679.57</v>
      </c>
      <c r="K10" s="12">
        <f t="shared" si="5"/>
        <v>27064337.16</v>
      </c>
      <c r="L10" s="12">
        <f t="shared" si="6"/>
        <v>1691521.072</v>
      </c>
      <c r="M10" s="12">
        <f t="shared" si="7"/>
        <v>1.460545751</v>
      </c>
      <c r="N10" s="12">
        <v>-0.04352449936592469</v>
      </c>
      <c r="O10" s="13">
        <v>9.0</v>
      </c>
      <c r="P10" s="12">
        <f t="shared" si="8"/>
        <v>0.425</v>
      </c>
    </row>
    <row r="11">
      <c r="A11" s="13">
        <v>45150.0</v>
      </c>
      <c r="B11" s="12">
        <v>44692.30452651315</v>
      </c>
      <c r="C11" s="13">
        <f t="array" ref="C11">INDEX(Estimation!C45:V45,,ROWS($1:10))</f>
        <v>0.06943099031</v>
      </c>
      <c r="D11" s="12">
        <f t="shared" si="1"/>
        <v>457.6954735</v>
      </c>
      <c r="E11" s="12">
        <f>D11/SQRT(Estimation!$B$25)</f>
        <v>0.3407416477</v>
      </c>
      <c r="F11" s="12">
        <f>D11/sqrt(sigma2*(1-C11))</f>
        <v>0.3532245874</v>
      </c>
      <c r="G11" s="12">
        <f t="shared" si="2"/>
        <v>491.8447409</v>
      </c>
      <c r="H11" s="12">
        <f t="shared" si="3"/>
        <v>209485.1465</v>
      </c>
      <c r="I11" s="12">
        <f t="shared" si="4"/>
        <v>225115.1116</v>
      </c>
      <c r="J11" s="12">
        <f>17*sigma2</f>
        <v>30672679.57</v>
      </c>
      <c r="K11" s="12">
        <f t="shared" si="5"/>
        <v>30447564.46</v>
      </c>
      <c r="L11" s="12">
        <f t="shared" si="6"/>
        <v>1902972.779</v>
      </c>
      <c r="M11" s="12">
        <f t="shared" si="7"/>
        <v>0.3439426529</v>
      </c>
      <c r="N11" s="12">
        <v>0.0024058605785638445</v>
      </c>
      <c r="O11" s="13">
        <v>10.0</v>
      </c>
      <c r="P11" s="12">
        <f t="shared" si="8"/>
        <v>0.475</v>
      </c>
    </row>
    <row r="12">
      <c r="A12" s="13">
        <v>27840.0</v>
      </c>
      <c r="B12" s="12">
        <v>30547.428737654875</v>
      </c>
      <c r="C12" s="13">
        <f t="array" ref="C12">INDEX(Estimation!C46:V46,,ROWS($1:11))</f>
        <v>0.1406116553</v>
      </c>
      <c r="D12" s="12">
        <f t="shared" si="1"/>
        <v>-2707.428738</v>
      </c>
      <c r="E12" s="12">
        <f>D12/SQRT(Estimation!$B$25)</f>
        <v>-2.015605971</v>
      </c>
      <c r="F12" s="12">
        <f>D12/sqrt(sigma2*(1-C12))</f>
        <v>-2.174257148</v>
      </c>
      <c r="G12" s="12">
        <f t="shared" si="2"/>
        <v>-3150.41361</v>
      </c>
      <c r="H12" s="12">
        <f t="shared" si="3"/>
        <v>7330170.369</v>
      </c>
      <c r="I12" s="12">
        <f t="shared" si="4"/>
        <v>8529520.344</v>
      </c>
      <c r="J12" s="12">
        <f>17*sigma2</f>
        <v>30672679.57</v>
      </c>
      <c r="K12" s="12">
        <f t="shared" si="5"/>
        <v>22143159.23</v>
      </c>
      <c r="L12" s="12">
        <f t="shared" si="6"/>
        <v>1383947.452</v>
      </c>
      <c r="M12" s="12">
        <f t="shared" si="7"/>
        <v>-2.482575725</v>
      </c>
      <c r="N12" s="12">
        <v>0.03684196126061378</v>
      </c>
      <c r="O12" s="13">
        <v>11.0</v>
      </c>
      <c r="P12" s="12">
        <f t="shared" si="8"/>
        <v>0.525</v>
      </c>
    </row>
    <row r="13">
      <c r="A13" s="13">
        <v>46110.0</v>
      </c>
      <c r="B13" s="12">
        <v>46061.145874748865</v>
      </c>
      <c r="C13" s="13">
        <f t="array" ref="C13">INDEX(Estimation!C47:V47,,ROWS($1:12))</f>
        <v>0.08267737358</v>
      </c>
      <c r="D13" s="12">
        <f t="shared" si="1"/>
        <v>48.85412525</v>
      </c>
      <c r="E13" s="12">
        <f>D13/SQRT(Estimation!$B$25)</f>
        <v>0.03637054789</v>
      </c>
      <c r="F13" s="12">
        <f>D13/sqrt(sigma2*(1-C13))</f>
        <v>0.03797421373</v>
      </c>
      <c r="G13" s="12">
        <f t="shared" si="2"/>
        <v>53.25729884</v>
      </c>
      <c r="H13" s="12">
        <f t="shared" si="3"/>
        <v>2386.725554</v>
      </c>
      <c r="I13" s="12">
        <f t="shared" si="4"/>
        <v>2601.838748</v>
      </c>
      <c r="J13" s="12">
        <f>17*sigma2</f>
        <v>30672679.57</v>
      </c>
      <c r="K13" s="12">
        <f t="shared" si="5"/>
        <v>30670077.74</v>
      </c>
      <c r="L13" s="12">
        <f t="shared" si="6"/>
        <v>1916879.858</v>
      </c>
      <c r="M13" s="12">
        <f t="shared" si="7"/>
        <v>0.03684196126</v>
      </c>
      <c r="N13" s="12">
        <v>0.22640550532120554</v>
      </c>
      <c r="O13" s="13">
        <v>12.0</v>
      </c>
      <c r="P13" s="12">
        <f t="shared" si="8"/>
        <v>0.575</v>
      </c>
    </row>
    <row r="14">
      <c r="A14" s="13">
        <v>36720.0</v>
      </c>
      <c r="B14" s="12">
        <v>36717.16161882507</v>
      </c>
      <c r="C14" s="13">
        <f t="array" ref="C14">INDEX(Estimation!C48:V48,,ROWS($1:13))</f>
        <v>0.2739459614</v>
      </c>
      <c r="D14" s="12">
        <f t="shared" si="1"/>
        <v>2.838381175</v>
      </c>
      <c r="E14" s="12">
        <f>D14/SQRT(Estimation!$B$25)</f>
        <v>0.002113096446</v>
      </c>
      <c r="F14" s="12">
        <f>D14/sqrt(sigma2*(1-C14))</f>
        <v>0.002479903873</v>
      </c>
      <c r="G14" s="12">
        <f t="shared" si="2"/>
        <v>3.909324959</v>
      </c>
      <c r="H14" s="12">
        <f t="shared" si="3"/>
        <v>8.056407694</v>
      </c>
      <c r="I14" s="12">
        <f t="shared" si="4"/>
        <v>11.09615437</v>
      </c>
      <c r="J14" s="12">
        <f>17*sigma2</f>
        <v>30672679.57</v>
      </c>
      <c r="K14" s="12">
        <f t="shared" si="5"/>
        <v>30672668.48</v>
      </c>
      <c r="L14" s="12">
        <f t="shared" si="6"/>
        <v>1917041.78</v>
      </c>
      <c r="M14" s="12">
        <f t="shared" si="7"/>
        <v>0.002405860579</v>
      </c>
      <c r="N14" s="12">
        <v>0.3439426528817378</v>
      </c>
      <c r="O14" s="13">
        <v>13.0</v>
      </c>
      <c r="P14" s="12">
        <f t="shared" si="8"/>
        <v>0.625</v>
      </c>
    </row>
    <row r="15">
      <c r="A15" s="13">
        <v>34800.0</v>
      </c>
      <c r="B15" s="12">
        <v>34852.343493284105</v>
      </c>
      <c r="C15" s="13">
        <f t="array" ref="C15">INDEX(Estimation!C49:V49,,ROWS($1:14))</f>
        <v>0.24546825</v>
      </c>
      <c r="D15" s="12">
        <f t="shared" si="1"/>
        <v>-52.34349328</v>
      </c>
      <c r="E15" s="12">
        <f>D15/SQRT(Estimation!$B$25)</f>
        <v>-0.03896828608</v>
      </c>
      <c r="F15" s="12">
        <f>D15/sqrt(sigma2*(1-C15))</f>
        <v>-0.04486137136</v>
      </c>
      <c r="G15" s="12">
        <f t="shared" si="2"/>
        <v>-69.3721547</v>
      </c>
      <c r="H15" s="12">
        <f t="shared" si="3"/>
        <v>2739.841289</v>
      </c>
      <c r="I15" s="12">
        <f t="shared" si="4"/>
        <v>3631.180913</v>
      </c>
      <c r="J15" s="12">
        <f>17*sigma2</f>
        <v>30672679.57</v>
      </c>
      <c r="K15" s="12">
        <f t="shared" si="5"/>
        <v>30669048.39</v>
      </c>
      <c r="L15" s="12">
        <f t="shared" si="6"/>
        <v>1916815.525</v>
      </c>
      <c r="M15" s="12">
        <f t="shared" si="7"/>
        <v>-0.04352449937</v>
      </c>
      <c r="N15" s="12">
        <v>0.5562010859563267</v>
      </c>
      <c r="O15" s="13">
        <v>14.0</v>
      </c>
      <c r="P15" s="12">
        <f t="shared" si="8"/>
        <v>0.675</v>
      </c>
    </row>
    <row r="16">
      <c r="A16" s="13">
        <v>51300.0</v>
      </c>
      <c r="B16" s="12">
        <v>52845.944516904354</v>
      </c>
      <c r="C16" s="13">
        <f t="array" ref="C16">INDEX(Estimation!C50:V50,,ROWS($1:15))</f>
        <v>0.1698347794</v>
      </c>
      <c r="D16" s="12">
        <f t="shared" si="1"/>
        <v>-1545.944517</v>
      </c>
      <c r="E16" s="12">
        <f>D16/SQRT(Estimation!$B$25)</f>
        <v>-1.150913025</v>
      </c>
      <c r="F16" s="12">
        <f>D16/sqrt(sigma2*(1-C16))</f>
        <v>-1.263165448</v>
      </c>
      <c r="G16" s="12">
        <f t="shared" si="2"/>
        <v>-1862.213061</v>
      </c>
      <c r="H16" s="12">
        <f t="shared" si="3"/>
        <v>2389944.449</v>
      </c>
      <c r="I16" s="12">
        <f t="shared" si="4"/>
        <v>2878878.072</v>
      </c>
      <c r="J16" s="12">
        <f>17*sigma2</f>
        <v>30672679.57</v>
      </c>
      <c r="K16" s="12">
        <f t="shared" si="5"/>
        <v>27793801.5</v>
      </c>
      <c r="L16" s="12">
        <f t="shared" si="6"/>
        <v>1737112.594</v>
      </c>
      <c r="M16" s="12">
        <f t="shared" si="7"/>
        <v>-1.287353006</v>
      </c>
      <c r="N16" s="12">
        <v>0.6936761346994096</v>
      </c>
      <c r="O16" s="13">
        <v>15.0</v>
      </c>
      <c r="P16" s="12">
        <f t="shared" si="8"/>
        <v>0.725</v>
      </c>
    </row>
    <row r="17">
      <c r="A17" s="13">
        <v>38900.0</v>
      </c>
      <c r="B17" s="12">
        <v>40169.105431742835</v>
      </c>
      <c r="C17" s="13">
        <f t="array" ref="C17">INDEX(Estimation!C51:V51,,ROWS($1:16))</f>
        <v>0.05241390235</v>
      </c>
      <c r="D17" s="12">
        <f t="shared" si="1"/>
        <v>-1269.105432</v>
      </c>
      <c r="E17" s="12">
        <f>D17/SQRT(Estimation!$B$25)</f>
        <v>-0.9448139669</v>
      </c>
      <c r="F17" s="12">
        <f>D17/sqrt(sigma2*(1-C17))</f>
        <v>-0.9705925747</v>
      </c>
      <c r="G17" s="12">
        <f t="shared" si="2"/>
        <v>-1339.303558</v>
      </c>
      <c r="H17" s="12">
        <f t="shared" si="3"/>
        <v>1610628.597</v>
      </c>
      <c r="I17" s="12">
        <f t="shared" si="4"/>
        <v>1699717.42</v>
      </c>
      <c r="J17" s="12">
        <f>17*sigma2</f>
        <v>30672679.57</v>
      </c>
      <c r="K17" s="12">
        <f t="shared" si="5"/>
        <v>28972962.15</v>
      </c>
      <c r="L17" s="12">
        <f t="shared" si="6"/>
        <v>1810810.135</v>
      </c>
      <c r="M17" s="12">
        <f t="shared" si="7"/>
        <v>-0.9688396507</v>
      </c>
      <c r="N17" s="12">
        <v>0.7739495187425984</v>
      </c>
      <c r="O17" s="13">
        <v>16.0</v>
      </c>
      <c r="P17" s="12">
        <f t="shared" si="8"/>
        <v>0.775</v>
      </c>
    </row>
    <row r="18">
      <c r="A18" s="13">
        <v>63600.0</v>
      </c>
      <c r="B18" s="12">
        <v>62269.23050007021</v>
      </c>
      <c r="C18" s="13">
        <f t="array" ref="C18">INDEX(Estimation!C52:V52,,ROWS($1:17))</f>
        <v>0.4149548141</v>
      </c>
      <c r="D18" s="12">
        <f t="shared" si="1"/>
        <v>1330.7695</v>
      </c>
      <c r="E18" s="12">
        <f>D18/SQRT(Estimation!$B$25)</f>
        <v>0.9907211638</v>
      </c>
      <c r="F18" s="12">
        <f>D18/sqrt(sigma2*(1-C18))</f>
        <v>1.295259348</v>
      </c>
      <c r="G18" s="12">
        <f t="shared" si="2"/>
        <v>2274.643962</v>
      </c>
      <c r="H18" s="12">
        <f t="shared" si="3"/>
        <v>1770947.462</v>
      </c>
      <c r="I18" s="12">
        <f t="shared" si="4"/>
        <v>3027026.808</v>
      </c>
      <c r="J18" s="12">
        <f>17*sigma2</f>
        <v>30672679.57</v>
      </c>
      <c r="K18" s="12">
        <f t="shared" si="5"/>
        <v>27645652.77</v>
      </c>
      <c r="L18" s="12">
        <f t="shared" si="6"/>
        <v>1727853.298</v>
      </c>
      <c r="M18" s="12">
        <f t="shared" si="7"/>
        <v>1.323593728</v>
      </c>
      <c r="N18" s="12">
        <v>0.9543185752157085</v>
      </c>
      <c r="O18" s="13">
        <v>17.0</v>
      </c>
      <c r="P18" s="12">
        <f t="shared" si="8"/>
        <v>0.825</v>
      </c>
    </row>
    <row r="19">
      <c r="A19" s="13">
        <v>30870.0</v>
      </c>
      <c r="B19" s="12">
        <v>31142.60087042117</v>
      </c>
      <c r="C19" s="13">
        <f t="array" ref="C19">INDEX(Estimation!C53:V53,,ROWS($1:18))</f>
        <v>0.1999528678</v>
      </c>
      <c r="D19" s="12">
        <f t="shared" si="1"/>
        <v>-272.6008704</v>
      </c>
      <c r="E19" s="12">
        <f>D19/SQRT(Estimation!$B$25)</f>
        <v>-0.2029438243</v>
      </c>
      <c r="F19" s="12">
        <f>D19/sqrt(sigma2*(1-C19))</f>
        <v>-0.2268914098</v>
      </c>
      <c r="G19" s="12">
        <f t="shared" si="2"/>
        <v>-340.7310138</v>
      </c>
      <c r="H19" s="12">
        <f t="shared" si="3"/>
        <v>74311.23455</v>
      </c>
      <c r="I19" s="12">
        <f t="shared" si="4"/>
        <v>92883.57094</v>
      </c>
      <c r="J19" s="12">
        <f>17*sigma2</f>
        <v>30672679.57</v>
      </c>
      <c r="K19" s="12">
        <f t="shared" si="5"/>
        <v>30579796</v>
      </c>
      <c r="L19" s="12">
        <f t="shared" si="6"/>
        <v>1911237.25</v>
      </c>
      <c r="M19" s="12">
        <f t="shared" si="7"/>
        <v>-0.2204510396</v>
      </c>
      <c r="N19" s="12">
        <v>1.323593727871337</v>
      </c>
      <c r="O19" s="13">
        <v>18.0</v>
      </c>
      <c r="P19" s="12">
        <f t="shared" si="8"/>
        <v>0.875</v>
      </c>
    </row>
    <row r="20">
      <c r="A20" s="13">
        <v>44190.0</v>
      </c>
      <c r="B20" s="12">
        <v>46358.73194113202</v>
      </c>
      <c r="C20" s="13">
        <f t="array" ref="C20">INDEX(Estimation!C54:V54,,ROWS($1:19))</f>
        <v>0.07427956027</v>
      </c>
      <c r="D20" s="12">
        <f t="shared" si="1"/>
        <v>-2168.731941</v>
      </c>
      <c r="E20" s="12">
        <f>D20/SQRT(Estimation!$B$25)</f>
        <v>-1.614561074</v>
      </c>
      <c r="F20" s="12">
        <f>D20/sqrt(sigma2*(1-C20))</f>
        <v>-1.678087302</v>
      </c>
      <c r="G20" s="12">
        <f t="shared" si="2"/>
        <v>-2342.750412</v>
      </c>
      <c r="H20" s="12">
        <f t="shared" si="3"/>
        <v>4703398.232</v>
      </c>
      <c r="I20" s="12">
        <f t="shared" si="4"/>
        <v>5080797.648</v>
      </c>
      <c r="J20" s="12">
        <f>17*sigma2</f>
        <v>30672679.57</v>
      </c>
      <c r="K20" s="12">
        <f t="shared" si="5"/>
        <v>25591881.93</v>
      </c>
      <c r="L20" s="12">
        <f t="shared" si="6"/>
        <v>1599492.62</v>
      </c>
      <c r="M20" s="12">
        <f t="shared" si="7"/>
        <v>-1.782275467</v>
      </c>
      <c r="N20" s="12">
        <v>1.4605457509251814</v>
      </c>
      <c r="O20" s="13">
        <v>19.0</v>
      </c>
      <c r="P20" s="12">
        <f t="shared" si="8"/>
        <v>0.925</v>
      </c>
    </row>
    <row r="21">
      <c r="A21" s="13">
        <v>48700.0</v>
      </c>
      <c r="B21" s="12">
        <v>49215.50362128348</v>
      </c>
      <c r="C21" s="13">
        <f t="array" ref="C21">INDEX(Estimation!C55:V55,,ROWS($1:20))</f>
        <v>0.1531584814</v>
      </c>
      <c r="D21" s="12">
        <f t="shared" si="1"/>
        <v>-515.5036213</v>
      </c>
      <c r="E21" s="12">
        <f>D21/SQRT(Estimation!$B$25)</f>
        <v>-0.3837782183</v>
      </c>
      <c r="F21" s="12">
        <f>D21/sqrt(sigma2*(1-C21))</f>
        <v>-0.417041478</v>
      </c>
      <c r="G21" s="12">
        <f t="shared" si="2"/>
        <v>-608.7368297</v>
      </c>
      <c r="H21" s="12">
        <f t="shared" si="3"/>
        <v>265743.9836</v>
      </c>
      <c r="I21" s="12">
        <f t="shared" si="4"/>
        <v>313806.0401</v>
      </c>
      <c r="J21" s="12">
        <f>17*sigma2</f>
        <v>30672679.57</v>
      </c>
      <c r="K21" s="12">
        <f t="shared" si="5"/>
        <v>30358873.53</v>
      </c>
      <c r="L21" s="12">
        <f t="shared" si="6"/>
        <v>1897429.596</v>
      </c>
      <c r="M21" s="12">
        <f t="shared" si="7"/>
        <v>-0.4066753172</v>
      </c>
      <c r="N21" s="12">
        <v>1.7305075123819365</v>
      </c>
      <c r="O21" s="13">
        <v>20.0</v>
      </c>
      <c r="P21" s="12">
        <f t="shared" si="8"/>
        <v>0.975</v>
      </c>
    </row>
  </sheetData>
  <drawing r:id="rId1"/>
</worksheet>
</file>