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<sst xmlns="http://schemas.openxmlformats.org/spreadsheetml/2006/main" count="1066" uniqueCount="80">
  <si>
    <t>CALIBRACIÓN ENERGÍA</t>
  </si>
  <si>
    <t>Cesio 137</t>
  </si>
  <si>
    <t>Cobalto 60</t>
  </si>
  <si>
    <t>Sodio 22</t>
  </si>
  <si>
    <t>Europio 152</t>
  </si>
  <si>
    <t>Canal</t>
  </si>
  <si>
    <t>Pico 1</t>
  </si>
  <si>
    <t>Energía</t>
  </si>
  <si>
    <t>Pico 2</t>
  </si>
  <si>
    <t>Pico 3</t>
  </si>
  <si>
    <t>Pico 4</t>
  </si>
  <si>
    <t>Pico 5</t>
  </si>
  <si>
    <t>Pico 6</t>
  </si>
  <si>
    <t>Pico 7</t>
  </si>
  <si>
    <t>Pico 8</t>
  </si>
  <si>
    <t>Pico 9</t>
  </si>
  <si>
    <t>Pico 10</t>
  </si>
  <si>
    <t>MUESTRA RAPIDA MILL</t>
  </si>
  <si>
    <t>Sodio 23-24</t>
  </si>
  <si>
    <t>Potasio 41-42</t>
  </si>
  <si>
    <t>Bromo 81-82</t>
  </si>
  <si>
    <t>Manganeso 55-56</t>
  </si>
  <si>
    <t>Faltan</t>
  </si>
  <si>
    <t>Rb 96</t>
  </si>
  <si>
    <t>Na 21</t>
  </si>
  <si>
    <t>Rb 95</t>
  </si>
  <si>
    <t>Pb 214</t>
  </si>
  <si>
    <t>Tb 149</t>
  </si>
  <si>
    <t>Er 153</t>
  </si>
  <si>
    <t>Bi 211</t>
  </si>
  <si>
    <t>Eff a 263,8mm</t>
  </si>
  <si>
    <t>Y0</t>
  </si>
  <si>
    <t>Flujo termico</t>
  </si>
  <si>
    <t>Eff a 107,4mm</t>
  </si>
  <si>
    <t>Flujo epitermico</t>
  </si>
  <si>
    <t>Area</t>
  </si>
  <si>
    <t>Error</t>
  </si>
  <si>
    <t>Tiempo espera (s)</t>
  </si>
  <si>
    <t>Yield</t>
  </si>
  <si>
    <t>Tiempo irradiado (s)</t>
  </si>
  <si>
    <t>pico 2</t>
  </si>
  <si>
    <t>Tiempo medido (s)</t>
  </si>
  <si>
    <t>η</t>
  </si>
  <si>
    <t xml:space="preserve">Canal </t>
  </si>
  <si>
    <t>Peso atomico</t>
  </si>
  <si>
    <t>Ieff</t>
  </si>
  <si>
    <t>Seccion eficaz</t>
  </si>
  <si>
    <t>Lambda</t>
  </si>
  <si>
    <t>MUESTRA LARGA MILL</t>
  </si>
  <si>
    <t>Escandio 45-46</t>
  </si>
  <si>
    <t>MUESTRA RAPIDA DON JOSE</t>
  </si>
  <si>
    <t>MUESTRA LARGA DON JOSÉ</t>
  </si>
  <si>
    <t>Cobalto 59-60</t>
  </si>
  <si>
    <t>Rubidio 85-86</t>
  </si>
  <si>
    <t>Efficiencia</t>
  </si>
  <si>
    <t>MILL WELL</t>
  </si>
  <si>
    <t>Plomo 210</t>
  </si>
  <si>
    <t>Plomo 214</t>
  </si>
  <si>
    <t>Arsénico 76</t>
  </si>
  <si>
    <t>Bismuto 214</t>
  </si>
  <si>
    <t>Zinc 63</t>
  </si>
  <si>
    <t>Zinc 65</t>
  </si>
  <si>
    <t>Polonio 210</t>
  </si>
  <si>
    <t>Área</t>
  </si>
  <si>
    <t>DON JOSÉ WELL</t>
  </si>
  <si>
    <t>NÚCLEO MILL</t>
  </si>
  <si>
    <t>Lantano 139-140</t>
  </si>
  <si>
    <t>Hierro 58-59</t>
  </si>
  <si>
    <t>Calcio 46-47</t>
  </si>
  <si>
    <t>Cadmio 106-107</t>
  </si>
  <si>
    <t>Cadmio 114-115</t>
  </si>
  <si>
    <t>Cerio 140-141</t>
  </si>
  <si>
    <t>Samario 152-153</t>
  </si>
  <si>
    <t>Antimonio 121-122</t>
  </si>
  <si>
    <t>Picos sin identificar = 11</t>
  </si>
  <si>
    <t>Pico</t>
  </si>
  <si>
    <t>Bario 131?</t>
  </si>
  <si>
    <t>Antimonio 124?</t>
  </si>
  <si>
    <t>Datos</t>
  </si>
  <si>
    <t>Ba 131?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</si>
</sst>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b/>
      <sz val="15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3" xfId="0" applyAlignment="1" applyFont="1" applyNumberFormat="1">
      <alignment readingOrder="0"/>
    </xf>
    <xf borderId="0" fillId="3" fontId="1" numFmtId="0" xfId="0" applyFont="1"/>
    <xf borderId="0" fillId="5" fontId="1" numFmtId="0" xfId="0" applyAlignment="1" applyFill="1" applyFont="1">
      <alignment readingOrder="0"/>
    </xf>
    <xf borderId="0" fillId="0" fontId="1" numFmtId="11" xfId="0" applyFont="1" applyNumberFormat="1"/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4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2" numFmtId="0" xfId="0" applyAlignment="1" applyFill="1" applyFont="1">
      <alignment readingOrder="0" vertical="bottom"/>
    </xf>
    <xf borderId="0" fillId="8" fontId="2" numFmtId="0" xfId="0" applyAlignment="1" applyFont="1">
      <alignment vertical="bottom"/>
    </xf>
    <xf borderId="0" fillId="8" fontId="1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11" xfId="0" applyAlignment="1" applyFont="1" applyNumberFormat="1">
      <alignment horizontal="right" vertical="bottom"/>
    </xf>
    <xf borderId="0" fillId="4" fontId="2" numFmtId="3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4" fontId="2" numFmtId="0" xfId="0" applyAlignment="1" applyFont="1">
      <alignment vertical="bottom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1" fillId="3" fontId="1" numFmtId="0" xfId="0" applyAlignment="1" applyBorder="1" applyFont="1">
      <alignment horizontal="center" readingOrder="0"/>
    </xf>
    <xf borderId="2" fillId="0" fontId="3" numFmtId="0" xfId="0" applyBorder="1" applyFont="1"/>
    <xf borderId="1" fillId="0" fontId="4" numFmtId="0" xfId="0" applyAlignment="1" applyBorder="1" applyFont="1">
      <alignment horizontal="center" readingOrder="0"/>
    </xf>
    <xf borderId="3" fillId="0" fontId="3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0" fillId="0" fontId="1" numFmtId="0" xfId="0" applyFont="1"/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readingOrder="0" vertical="bottom"/>
    </xf>
    <xf borderId="4" fillId="4" fontId="1" numFmtId="0" xfId="0" applyAlignment="1" applyBorder="1" applyFont="1">
      <alignment readingOrder="0"/>
    </xf>
    <xf borderId="4" fillId="4" fontId="2" numFmtId="0" xfId="0" applyAlignment="1" applyBorder="1" applyFont="1">
      <alignment readingOrder="0" vertical="bottom"/>
    </xf>
    <xf borderId="4" fillId="4" fontId="2" numFmtId="0" xfId="0" applyAlignment="1" applyBorder="1" applyFont="1">
      <alignment horizontal="right" readingOrder="0" vertical="bottom"/>
    </xf>
    <xf borderId="4" fillId="6" fontId="1" numFmtId="0" xfId="0" applyAlignment="1" applyBorder="1" applyFont="1">
      <alignment readingOrder="0"/>
    </xf>
    <xf borderId="0" fillId="10" fontId="1" numFmtId="0" xfId="0" applyFont="1"/>
    <xf borderId="4" fillId="6" fontId="1" numFmtId="0" xfId="0" applyBorder="1" applyFont="1"/>
    <xf borderId="1" fillId="12" fontId="1" numFmtId="0" xfId="0" applyAlignment="1" applyBorder="1" applyFill="1" applyFont="1">
      <alignment horizontal="center" readingOrder="0"/>
    </xf>
    <xf borderId="1" fillId="12" fontId="2" numFmtId="0" xfId="0" applyAlignment="1" applyBorder="1" applyFont="1">
      <alignment horizontal="center" readingOrder="0" vertical="bottom"/>
    </xf>
    <xf borderId="4" fillId="0" fontId="1" numFmtId="11" xfId="0" applyBorder="1" applyFont="1" applyNumberFormat="1"/>
    <xf borderId="4" fillId="0" fontId="1" numFmtId="11" xfId="0" applyAlignment="1" applyBorder="1" applyFont="1" applyNumberFormat="1">
      <alignment readingOrder="0"/>
    </xf>
    <xf borderId="0" fillId="0" fontId="1" numFmtId="0" xfId="0" applyAlignment="1" applyFont="1">
      <alignment horizontal="right" readingOrder="0"/>
    </xf>
    <xf borderId="4" fillId="4" fontId="1" numFmtId="3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>
      <c r="A2" s="3" t="s">
        <v>1</v>
      </c>
      <c r="D2" s="3" t="s">
        <v>2</v>
      </c>
      <c r="G2" s="3" t="s">
        <v>3</v>
      </c>
      <c r="J2" s="3" t="s">
        <v>4</v>
      </c>
      <c r="M2" s="4">
        <f>(2869+27.94241)/2.05788</f>
        <v>1407.731457</v>
      </c>
    </row>
    <row r="3">
      <c r="A3" s="5" t="s">
        <v>5</v>
      </c>
      <c r="B3" s="5">
        <v>1334.0</v>
      </c>
      <c r="D3" s="5" t="s">
        <v>6</v>
      </c>
      <c r="G3" s="5" t="s">
        <v>6</v>
      </c>
      <c r="J3" s="5" t="s">
        <v>6</v>
      </c>
    </row>
    <row r="4">
      <c r="A4" s="6" t="s">
        <v>7</v>
      </c>
      <c r="B4" s="6">
        <v>661.657</v>
      </c>
      <c r="D4" s="5" t="s">
        <v>5</v>
      </c>
      <c r="E4" s="5">
        <v>2387.0</v>
      </c>
      <c r="G4" s="5" t="s">
        <v>5</v>
      </c>
      <c r="H4" s="5">
        <v>1024.0</v>
      </c>
      <c r="J4" s="5" t="s">
        <v>5</v>
      </c>
      <c r="K4" s="5">
        <v>222.0</v>
      </c>
    </row>
    <row r="5">
      <c r="D5" s="6" t="s">
        <v>7</v>
      </c>
      <c r="E5" s="6">
        <v>1173.228</v>
      </c>
      <c r="G5" s="6" t="s">
        <v>7</v>
      </c>
      <c r="H5" s="6">
        <v>511.0</v>
      </c>
      <c r="J5" s="6" t="s">
        <v>7</v>
      </c>
      <c r="K5" s="6">
        <v>121.7817</v>
      </c>
    </row>
    <row r="6">
      <c r="D6" s="5" t="s">
        <v>8</v>
      </c>
      <c r="G6" s="5" t="s">
        <v>8</v>
      </c>
      <c r="H6" s="5"/>
      <c r="J6" s="5" t="s">
        <v>8</v>
      </c>
    </row>
    <row r="7">
      <c r="D7" s="5" t="s">
        <v>5</v>
      </c>
      <c r="E7" s="5">
        <v>2715.0</v>
      </c>
      <c r="G7" s="5" t="s">
        <v>5</v>
      </c>
      <c r="H7" s="5">
        <v>2595.0</v>
      </c>
      <c r="J7" s="5" t="s">
        <v>5</v>
      </c>
      <c r="K7" s="5">
        <v>476.0</v>
      </c>
    </row>
    <row r="8">
      <c r="D8" s="6" t="s">
        <v>7</v>
      </c>
      <c r="E8" s="6">
        <v>1332.492</v>
      </c>
      <c r="G8" s="6" t="s">
        <v>7</v>
      </c>
      <c r="H8" s="7">
        <v>1274.537</v>
      </c>
      <c r="J8" s="6" t="s">
        <v>7</v>
      </c>
      <c r="K8" s="6">
        <v>244.6974</v>
      </c>
    </row>
    <row r="9">
      <c r="J9" s="5" t="s">
        <v>9</v>
      </c>
    </row>
    <row r="10">
      <c r="J10" s="5" t="s">
        <v>5</v>
      </c>
      <c r="K10" s="5">
        <v>680.0</v>
      </c>
    </row>
    <row r="11">
      <c r="J11" s="6" t="s">
        <v>7</v>
      </c>
      <c r="K11" s="6">
        <v>344.2785</v>
      </c>
    </row>
    <row r="12">
      <c r="J12" s="5" t="s">
        <v>10</v>
      </c>
    </row>
    <row r="13">
      <c r="J13" s="5" t="s">
        <v>5</v>
      </c>
      <c r="K13" s="5">
        <v>818.0</v>
      </c>
    </row>
    <row r="14">
      <c r="J14" s="6" t="s">
        <v>7</v>
      </c>
      <c r="K14" s="6">
        <v>411.1165</v>
      </c>
    </row>
    <row r="15">
      <c r="J15" s="5" t="s">
        <v>11</v>
      </c>
    </row>
    <row r="16">
      <c r="J16" s="5" t="s">
        <v>5</v>
      </c>
      <c r="K16" s="5">
        <v>886.0</v>
      </c>
    </row>
    <row r="17">
      <c r="J17" s="6" t="s">
        <v>7</v>
      </c>
      <c r="K17" s="6">
        <v>443.9606</v>
      </c>
    </row>
    <row r="18">
      <c r="J18" s="5" t="s">
        <v>12</v>
      </c>
    </row>
    <row r="19">
      <c r="J19" s="5" t="s">
        <v>5</v>
      </c>
      <c r="K19" s="5">
        <v>1575.0</v>
      </c>
    </row>
    <row r="20">
      <c r="J20" s="6" t="s">
        <v>7</v>
      </c>
      <c r="K20" s="6">
        <v>778.9045</v>
      </c>
    </row>
    <row r="21">
      <c r="J21" s="5" t="s">
        <v>13</v>
      </c>
    </row>
    <row r="22">
      <c r="J22" s="5" t="s">
        <v>5</v>
      </c>
      <c r="K22" s="5">
        <v>1956.0</v>
      </c>
    </row>
    <row r="23">
      <c r="J23" s="6" t="s">
        <v>7</v>
      </c>
      <c r="K23" s="6">
        <v>964.057</v>
      </c>
    </row>
    <row r="24">
      <c r="J24" s="5" t="s">
        <v>14</v>
      </c>
    </row>
    <row r="25">
      <c r="J25" s="5" t="s">
        <v>5</v>
      </c>
      <c r="K25" s="5">
        <v>2207.0</v>
      </c>
    </row>
    <row r="26">
      <c r="J26" s="6" t="s">
        <v>7</v>
      </c>
      <c r="K26" s="6">
        <v>1085.837</v>
      </c>
    </row>
    <row r="27">
      <c r="J27" s="5" t="s">
        <v>15</v>
      </c>
    </row>
    <row r="28">
      <c r="J28" s="5" t="s">
        <v>5</v>
      </c>
      <c r="K28" s="5">
        <v>2645.0</v>
      </c>
    </row>
    <row r="29">
      <c r="J29" s="6" t="s">
        <v>7</v>
      </c>
      <c r="K29" s="6">
        <v>1299.142</v>
      </c>
    </row>
    <row r="30">
      <c r="J30" s="5" t="s">
        <v>16</v>
      </c>
    </row>
    <row r="31">
      <c r="J31" s="5" t="s">
        <v>5</v>
      </c>
      <c r="K31" s="5">
        <v>2869.0</v>
      </c>
    </row>
    <row r="32">
      <c r="J32" s="6" t="s">
        <v>7</v>
      </c>
      <c r="K32" s="6">
        <v>1408.013</v>
      </c>
    </row>
    <row r="33">
      <c r="A33" s="3" t="s">
        <v>17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5">
      <c r="A35" s="3" t="s">
        <v>18</v>
      </c>
      <c r="D35" s="3" t="s">
        <v>19</v>
      </c>
      <c r="G35" s="3" t="s">
        <v>20</v>
      </c>
      <c r="J35" s="3" t="s">
        <v>21</v>
      </c>
      <c r="M35" s="5" t="s">
        <v>22</v>
      </c>
    </row>
    <row r="36">
      <c r="A36" s="5" t="s">
        <v>6</v>
      </c>
      <c r="D36" s="5" t="s">
        <v>6</v>
      </c>
      <c r="G36" s="5" t="s">
        <v>6</v>
      </c>
      <c r="J36" s="5" t="s">
        <v>6</v>
      </c>
      <c r="M36" s="5">
        <v>351.61</v>
      </c>
      <c r="N36" s="9" t="s">
        <v>23</v>
      </c>
      <c r="O36" s="9" t="s">
        <v>24</v>
      </c>
      <c r="P36" s="9" t="s">
        <v>25</v>
      </c>
      <c r="Q36" s="9" t="s">
        <v>26</v>
      </c>
      <c r="R36" s="9" t="s">
        <v>27</v>
      </c>
      <c r="S36" s="9" t="s">
        <v>28</v>
      </c>
      <c r="T36" s="9" t="s">
        <v>29</v>
      </c>
    </row>
    <row r="37">
      <c r="A37" s="5" t="s">
        <v>5</v>
      </c>
      <c r="B37" s="5">
        <v>2748.0</v>
      </c>
      <c r="D37" s="5" t="s">
        <v>5</v>
      </c>
      <c r="E37" s="5">
        <v>3061.52</v>
      </c>
      <c r="G37" s="5" t="s">
        <v>5</v>
      </c>
      <c r="H37" s="5">
        <v>1559.0</v>
      </c>
      <c r="J37" s="5" t="s">
        <v>5</v>
      </c>
      <c r="K37" s="5">
        <v>1700.49</v>
      </c>
      <c r="M37" s="5">
        <v>502.27</v>
      </c>
    </row>
    <row r="38">
      <c r="A38" s="6" t="s">
        <v>7</v>
      </c>
      <c r="B38" s="6">
        <v>1368.85</v>
      </c>
      <c r="D38" s="6" t="s">
        <v>7</v>
      </c>
      <c r="E38" s="6">
        <v>1524.71</v>
      </c>
      <c r="G38" s="6" t="s">
        <v>7</v>
      </c>
      <c r="H38" s="6">
        <v>776.42</v>
      </c>
      <c r="J38" s="6" t="s">
        <v>7</v>
      </c>
      <c r="K38" s="6">
        <v>846.89</v>
      </c>
      <c r="M38" s="5">
        <v>1731.89</v>
      </c>
    </row>
    <row r="39">
      <c r="A39" s="5" t="s">
        <v>30</v>
      </c>
      <c r="B39" s="4">
        <f>10^(0.40679-1.984*LOG(1368.85)+0.3246*(LOG(1368.85))^2-0.03418*(LOG(1368.85))^3)</f>
        <v>0.0002102608086</v>
      </c>
      <c r="D39" s="5" t="s">
        <v>30</v>
      </c>
      <c r="E39" s="4">
        <f>10^(0.40679-1.984*LOG(1524.71)+0.3246*(LOG(1524.71))^2-0.03418*(LOG(1524.71))^3)</f>
        <v>0.0001896555219</v>
      </c>
      <c r="G39" s="5" t="s">
        <v>30</v>
      </c>
      <c r="H39" s="4">
        <f>10^(0.40679-1.984*LOG(776.42)+0.3246*(LOG(776.42))^2-0.03418*(LOG(776.42))^3)</f>
        <v>0.0003622482505</v>
      </c>
      <c r="J39" s="5" t="s">
        <v>30</v>
      </c>
      <c r="K39" s="4">
        <f>10^(0.40679-1.984*LOG(846.89)+0.3246*(LOG(846.89))^2-0.03418*(LOG(846.89))^3)</f>
        <v>0.0003331685241</v>
      </c>
    </row>
    <row r="40">
      <c r="A40" s="5" t="s">
        <v>31</v>
      </c>
      <c r="B40" s="5">
        <f>-149.6322+73.789*LN(1368.85)-10.2724*(LN(1368.85))^2+0.4748*(LN(1368.85))^3</f>
        <v>26.33917289</v>
      </c>
      <c r="D40" s="5" t="s">
        <v>31</v>
      </c>
      <c r="E40" s="4">
        <f>-149.6322+73.789*LN(1524.71)-10.2724*(LN(1524.71))^2+0.4748*(LN(1524.71))^3</f>
        <v>26.30836891</v>
      </c>
      <c r="G40" s="5" t="s">
        <v>31</v>
      </c>
      <c r="H40" s="4">
        <f>-149.6322+73.789*LN(776.42)-10.2724*(LN(776.42))^2+0.4748*(LN(776.42)^3)</f>
        <v>26.42316443</v>
      </c>
      <c r="J40" s="5" t="s">
        <v>31</v>
      </c>
      <c r="K40" s="4">
        <f>-149.6322+73.789*LN(846.89)-10.2724*(LN(846.89))^2+0.4748*(LN(846.89)^3)</f>
        <v>26.43044299</v>
      </c>
      <c r="M40" s="5" t="s">
        <v>32</v>
      </c>
      <c r="N40" s="10">
        <f>((8.4*10^8)+(6.91*10^8))/2</f>
        <v>765500000</v>
      </c>
    </row>
    <row r="41">
      <c r="A41" s="11" t="s">
        <v>33</v>
      </c>
      <c r="B41" s="12">
        <f>B39*((263.8+B40)/(107.4+B40))</f>
        <v>0.0004561483056</v>
      </c>
      <c r="D41" s="11" t="s">
        <v>33</v>
      </c>
      <c r="E41" s="12">
        <f>E39*((263.8+E40)/(107.4+E40))</f>
        <v>0.0004114974595</v>
      </c>
      <c r="G41" s="11" t="s">
        <v>33</v>
      </c>
      <c r="H41" s="12">
        <f>H39*((263.8+H40)/(107.4+H40))</f>
        <v>0.0007856101298</v>
      </c>
      <c r="J41" s="11" t="s">
        <v>33</v>
      </c>
      <c r="K41" s="12">
        <f>K39*((263.8+K40)/(107.4+K40))</f>
        <v>0.0007225235618</v>
      </c>
      <c r="M41" s="5" t="s">
        <v>34</v>
      </c>
      <c r="N41" s="10">
        <f>((3.75*10^8)+(1.54*10^8))/2</f>
        <v>264500000</v>
      </c>
    </row>
    <row r="42">
      <c r="A42" s="5" t="s">
        <v>35</v>
      </c>
      <c r="B42" s="5">
        <v>3345.0</v>
      </c>
      <c r="D42" s="5" t="s">
        <v>35</v>
      </c>
      <c r="E42" s="5">
        <v>5175.0</v>
      </c>
      <c r="G42" s="5" t="s">
        <v>35</v>
      </c>
      <c r="H42" s="5">
        <v>488.0</v>
      </c>
      <c r="J42" s="5" t="s">
        <v>35</v>
      </c>
      <c r="K42" s="5">
        <v>475.0</v>
      </c>
    </row>
    <row r="43">
      <c r="A43" s="5" t="s">
        <v>36</v>
      </c>
      <c r="B43" s="5">
        <v>60.0</v>
      </c>
      <c r="D43" s="5" t="s">
        <v>36</v>
      </c>
      <c r="E43" s="5">
        <v>73.0</v>
      </c>
      <c r="G43" s="5" t="s">
        <v>36</v>
      </c>
      <c r="H43" s="5">
        <v>34.0</v>
      </c>
      <c r="J43" s="5" t="s">
        <v>36</v>
      </c>
      <c r="K43" s="5">
        <v>43.0</v>
      </c>
      <c r="M43" s="5" t="s">
        <v>37</v>
      </c>
      <c r="N43" s="5">
        <v>75300.0</v>
      </c>
    </row>
    <row r="44">
      <c r="A44" s="5" t="s">
        <v>38</v>
      </c>
      <c r="B44" s="5">
        <v>0.99994</v>
      </c>
      <c r="D44" s="5" t="s">
        <v>38</v>
      </c>
      <c r="E44" s="5">
        <v>0.1808</v>
      </c>
      <c r="G44" s="5" t="s">
        <v>38</v>
      </c>
      <c r="H44" s="5">
        <v>0.836</v>
      </c>
      <c r="J44" s="5" t="s">
        <v>38</v>
      </c>
      <c r="K44" s="5">
        <v>0.9885</v>
      </c>
      <c r="M44" s="5" t="s">
        <v>39</v>
      </c>
      <c r="N44" s="5">
        <v>21600.0</v>
      </c>
    </row>
    <row r="45">
      <c r="D45" s="5" t="s">
        <v>8</v>
      </c>
      <c r="G45" s="5" t="s">
        <v>8</v>
      </c>
      <c r="J45" s="5" t="s">
        <v>40</v>
      </c>
      <c r="M45" s="5" t="s">
        <v>41</v>
      </c>
    </row>
    <row r="46">
      <c r="A46" s="13" t="s">
        <v>42</v>
      </c>
      <c r="B46" s="5">
        <v>1.0</v>
      </c>
      <c r="D46" s="5" t="s">
        <v>43</v>
      </c>
      <c r="E46" s="5">
        <v>628.0</v>
      </c>
      <c r="G46" s="5" t="s">
        <v>5</v>
      </c>
      <c r="H46" s="5">
        <v>1113.0</v>
      </c>
      <c r="J46" s="5" t="s">
        <v>5</v>
      </c>
      <c r="K46" s="5">
        <v>3634.89</v>
      </c>
    </row>
    <row r="47">
      <c r="A47" s="13" t="s">
        <v>44</v>
      </c>
      <c r="B47" s="5">
        <v>22.989769</v>
      </c>
      <c r="D47" s="6" t="s">
        <v>7</v>
      </c>
      <c r="E47" s="6">
        <v>312.76</v>
      </c>
      <c r="G47" s="6" t="s">
        <v>7</v>
      </c>
      <c r="H47" s="6">
        <v>554.3</v>
      </c>
      <c r="J47" s="6" t="s">
        <v>7</v>
      </c>
      <c r="K47" s="6">
        <v>1810.27</v>
      </c>
    </row>
    <row r="48">
      <c r="A48" s="13" t="s">
        <v>45</v>
      </c>
      <c r="B48" s="14">
        <f>0.312*10^-24</f>
        <v>0</v>
      </c>
      <c r="D48" s="5" t="s">
        <v>30</v>
      </c>
      <c r="E48" s="4">
        <f>10^(0.40679-1.984*LOG(312.76)+0.3246*(LOG(312.76))^2-0.03418*(LOG(312.76))^3)</f>
        <v>0.0008836430041</v>
      </c>
      <c r="G48" s="5" t="s">
        <v>30</v>
      </c>
      <c r="H48" s="4">
        <f>10^(0.40679-1.984*LOG(554.3)+0.3246*(LOG(554.3))^2-0.03418*(LOG(554.3))^3)</f>
        <v>0.0005021523153</v>
      </c>
      <c r="J48" s="5" t="s">
        <v>30</v>
      </c>
      <c r="K48" s="4">
        <f>10^(0.40679-1.984*LOG(1810.27)+0.3246*(LOG(1810.27))^2-0.03418*(LOG(1810.27))^3)</f>
        <v>0.0001609273569</v>
      </c>
    </row>
    <row r="49">
      <c r="A49" s="13" t="s">
        <v>46</v>
      </c>
      <c r="B49" s="14">
        <f>0.525*10^-24</f>
        <v>0</v>
      </c>
      <c r="D49" s="5" t="s">
        <v>31</v>
      </c>
      <c r="E49" s="4">
        <f>-149.6322+73.789*LN(312.76)-10.2724*(LN(312.76))^2+0.4748*(LN(312.76))^3</f>
        <v>25.27465932</v>
      </c>
      <c r="G49" s="5" t="s">
        <v>31</v>
      </c>
      <c r="H49" s="4">
        <f>-149.6322+73.789*LN(554.3)-10.2724*(LN(554.3))^2+0.4748*(LN(554.3)^3)</f>
        <v>26.26463466</v>
      </c>
      <c r="J49" s="5" t="s">
        <v>31</v>
      </c>
      <c r="K49" s="4">
        <f>-149.6322+73.789*LN(1810.27)-10.2724*(LN(1810.27))^2+0.4748*(LN(1810.27)^3)</f>
        <v>26.26883576</v>
      </c>
    </row>
    <row r="50">
      <c r="A50" s="13" t="s">
        <v>47</v>
      </c>
      <c r="B50" s="5">
        <f>1.28738*10^-5</f>
        <v>0.0000128738</v>
      </c>
      <c r="D50" s="11" t="s">
        <v>33</v>
      </c>
      <c r="E50" s="12">
        <f>E48*((263.8+E49)/(107.4+E49))</f>
        <v>0.001925302101</v>
      </c>
      <c r="G50" s="11" t="s">
        <v>33</v>
      </c>
      <c r="H50" s="12">
        <f>H48*((263.8+H49)/(107.4+H49))</f>
        <v>0.001089717024</v>
      </c>
      <c r="J50" s="11" t="s">
        <v>33</v>
      </c>
      <c r="K50" s="12">
        <f>K48*((263.8+K49)/(107.4+K49))</f>
        <v>0.0003492213484</v>
      </c>
    </row>
    <row r="51">
      <c r="D51" s="5" t="s">
        <v>35</v>
      </c>
      <c r="E51" s="5">
        <v>443.0</v>
      </c>
      <c r="G51" s="5" t="s">
        <v>35</v>
      </c>
      <c r="H51" s="5">
        <v>584.0</v>
      </c>
      <c r="J51" s="5" t="s">
        <v>35</v>
      </c>
      <c r="K51" s="5">
        <v>59.0</v>
      </c>
    </row>
    <row r="52">
      <c r="D52" s="5" t="s">
        <v>36</v>
      </c>
      <c r="E52" s="5">
        <v>43.0</v>
      </c>
      <c r="G52" s="5" t="s">
        <v>36</v>
      </c>
      <c r="H52" s="5">
        <v>38.0</v>
      </c>
      <c r="J52" s="5" t="s">
        <v>36</v>
      </c>
      <c r="K52" s="5">
        <v>14.0</v>
      </c>
    </row>
    <row r="53">
      <c r="D53" s="5" t="s">
        <v>38</v>
      </c>
      <c r="E53" s="5">
        <v>0.00336</v>
      </c>
      <c r="G53" s="5" t="s">
        <v>38</v>
      </c>
      <c r="H53" s="5">
        <v>0.717</v>
      </c>
      <c r="J53" s="5" t="s">
        <v>38</v>
      </c>
      <c r="K53" s="5">
        <v>0.269</v>
      </c>
    </row>
    <row r="54">
      <c r="G54" s="5" t="s">
        <v>9</v>
      </c>
    </row>
    <row r="55">
      <c r="D55" s="13" t="s">
        <v>42</v>
      </c>
      <c r="E55" s="5">
        <v>0.067302</v>
      </c>
      <c r="G55" s="5" t="s">
        <v>5</v>
      </c>
      <c r="H55" s="5">
        <v>1244.0</v>
      </c>
      <c r="J55" s="13" t="s">
        <v>42</v>
      </c>
      <c r="K55" s="5">
        <v>1.0</v>
      </c>
    </row>
    <row r="56">
      <c r="D56" s="13" t="s">
        <v>44</v>
      </c>
      <c r="E56" s="5">
        <v>40.961825</v>
      </c>
      <c r="G56" s="6" t="s">
        <v>7</v>
      </c>
      <c r="H56" s="7">
        <v>619.105</v>
      </c>
      <c r="J56" s="13" t="s">
        <v>44</v>
      </c>
      <c r="K56" s="5">
        <v>54.938043</v>
      </c>
    </row>
    <row r="57">
      <c r="D57" s="13" t="s">
        <v>45</v>
      </c>
      <c r="E57" s="14">
        <f>0.98*10^-24</f>
        <v>0</v>
      </c>
      <c r="G57" s="5" t="s">
        <v>30</v>
      </c>
      <c r="H57" s="4">
        <f>10^(0.40679-1.984*LOG(619)+0.3246*(LOG(619))^2-0.03418*(LOG(619))^3)</f>
        <v>0.0004510229017</v>
      </c>
      <c r="J57" s="13" t="s">
        <v>45</v>
      </c>
      <c r="K57" s="14">
        <f>13.3*10^-24</f>
        <v>0</v>
      </c>
    </row>
    <row r="58">
      <c r="D58" s="13" t="s">
        <v>46</v>
      </c>
      <c r="E58" s="14">
        <f>1.46*10^-24</f>
        <v>0</v>
      </c>
      <c r="G58" s="5" t="s">
        <v>31</v>
      </c>
      <c r="H58" s="4">
        <f>-149.6322+73.789*LN(619)-10.2724*(LN(619))^2+0.4748*(LN(619)^3)</f>
        <v>26.34311211</v>
      </c>
      <c r="J58" s="13" t="s">
        <v>46</v>
      </c>
      <c r="K58" s="14">
        <f>13.36*10^-24</f>
        <v>0</v>
      </c>
    </row>
    <row r="59">
      <c r="D59" s="13" t="s">
        <v>47</v>
      </c>
      <c r="E59" s="5">
        <f>1.5584*10^-5</f>
        <v>0.000015584</v>
      </c>
      <c r="G59" s="11" t="s">
        <v>33</v>
      </c>
      <c r="H59" s="12">
        <f>H57*((263.8+H58)/(107.4+H58))</f>
        <v>0.0009784517967</v>
      </c>
      <c r="J59" s="13" t="s">
        <v>47</v>
      </c>
      <c r="K59" s="4">
        <f>7.46601*10^-5</f>
        <v>0.0000746601</v>
      </c>
    </row>
    <row r="60">
      <c r="G60" s="5" t="s">
        <v>35</v>
      </c>
      <c r="H60" s="5">
        <v>353.0</v>
      </c>
    </row>
    <row r="61">
      <c r="G61" s="5" t="s">
        <v>36</v>
      </c>
      <c r="H61" s="5">
        <v>32.0</v>
      </c>
    </row>
    <row r="62">
      <c r="G62" s="5" t="s">
        <v>38</v>
      </c>
      <c r="H62" s="5">
        <v>0.437</v>
      </c>
    </row>
    <row r="63">
      <c r="G63" s="5" t="s">
        <v>10</v>
      </c>
    </row>
    <row r="64">
      <c r="G64" s="5" t="s">
        <v>5</v>
      </c>
      <c r="H64" s="5">
        <v>1402.3</v>
      </c>
    </row>
    <row r="65">
      <c r="G65" s="6" t="s">
        <v>7</v>
      </c>
      <c r="H65" s="6">
        <v>698.38</v>
      </c>
    </row>
    <row r="66">
      <c r="G66" s="5" t="s">
        <v>30</v>
      </c>
      <c r="H66" s="4">
        <f>10^(0.40679-1.984*LOG(698.38)+0.3246*(LOG(698.38))^2-0.03418*(LOG(698.38))^3)</f>
        <v>0.0004012626876</v>
      </c>
    </row>
    <row r="67">
      <c r="G67" s="5" t="s">
        <v>31</v>
      </c>
      <c r="H67" s="4">
        <f>-149.6322+73.789*LN(698.38)-10.2724*(LN(698.38))^2+0.4748*(LN(698.38)^3)</f>
        <v>26.39789923</v>
      </c>
    </row>
    <row r="68">
      <c r="G68" s="11" t="s">
        <v>33</v>
      </c>
      <c r="H68" s="12">
        <f>H66*((263.8+H67)/(107.4+H67))</f>
        <v>0.0008703095464</v>
      </c>
    </row>
    <row r="69">
      <c r="G69" s="5" t="s">
        <v>35</v>
      </c>
      <c r="H69" s="5">
        <v>213.0</v>
      </c>
    </row>
    <row r="70">
      <c r="G70" s="5" t="s">
        <v>36</v>
      </c>
      <c r="H70" s="5">
        <v>28.0</v>
      </c>
    </row>
    <row r="71">
      <c r="G71" s="5" t="s">
        <v>38</v>
      </c>
      <c r="H71" s="5">
        <v>0.284</v>
      </c>
    </row>
    <row r="72">
      <c r="G72" s="5" t="s">
        <v>11</v>
      </c>
    </row>
    <row r="73">
      <c r="G73" s="5" t="s">
        <v>5</v>
      </c>
      <c r="H73" s="5">
        <v>2096.51</v>
      </c>
    </row>
    <row r="74">
      <c r="G74" s="6" t="s">
        <v>7</v>
      </c>
      <c r="H74" s="6">
        <v>1044.12</v>
      </c>
    </row>
    <row r="75">
      <c r="G75" s="5" t="s">
        <v>30</v>
      </c>
      <c r="H75" s="4">
        <f>10^(0.40679-1.984*LOG(1044.12)+0.3246*(LOG(1044.12))^2-0.03418*(LOG(1044.12))^3)</f>
        <v>0.0002724891547</v>
      </c>
    </row>
    <row r="76">
      <c r="G76" s="5" t="s">
        <v>31</v>
      </c>
      <c r="H76" s="4">
        <f>-149.6322+73.789*LN(1044.12)-10.2724*(LN(1044.12))^2+0.4748*(LN(1044.12)^3)</f>
        <v>26.41005478</v>
      </c>
    </row>
    <row r="77">
      <c r="G77" s="11" t="s">
        <v>33</v>
      </c>
      <c r="H77" s="12">
        <f>H75*((263.8+H76)/(107.4+H76))</f>
        <v>0.0005909801968</v>
      </c>
    </row>
    <row r="78">
      <c r="G78" s="5" t="s">
        <v>35</v>
      </c>
      <c r="H78" s="5">
        <v>114.0</v>
      </c>
    </row>
    <row r="79">
      <c r="G79" s="5" t="s">
        <v>36</v>
      </c>
      <c r="H79" s="5">
        <v>28.0</v>
      </c>
    </row>
    <row r="80">
      <c r="G80" s="5" t="s">
        <v>38</v>
      </c>
      <c r="H80" s="5">
        <v>0.276</v>
      </c>
    </row>
    <row r="81">
      <c r="G81" s="5" t="s">
        <v>12</v>
      </c>
    </row>
    <row r="82">
      <c r="G82" s="5" t="s">
        <v>5</v>
      </c>
      <c r="H82" s="5">
        <v>2464.21</v>
      </c>
    </row>
    <row r="83">
      <c r="G83" s="6" t="s">
        <v>7</v>
      </c>
      <c r="H83" s="6">
        <v>1317.88</v>
      </c>
    </row>
    <row r="84">
      <c r="G84" s="5" t="s">
        <v>30</v>
      </c>
      <c r="H84" s="4">
        <f>10^(0.40679-1.984*LOG(1317.88)+0.3246*(LOG(1317.88))^2-0.03418*(LOG(1317.88))^3)</f>
        <v>0.0002180333874</v>
      </c>
    </row>
    <row r="85">
      <c r="G85" s="5" t="s">
        <v>31</v>
      </c>
      <c r="H85" s="4">
        <f>-149.6322+73.789*LN(1317.88)-10.2724*(LN(1317.88))^2+0.4748*(LN(1317.88)^3)</f>
        <v>26.35027508</v>
      </c>
    </row>
    <row r="86">
      <c r="G86" s="11" t="s">
        <v>33</v>
      </c>
      <c r="H86" s="12">
        <f>H84*((263.8+H85)/(107.4+H85))</f>
        <v>0.0004729892876</v>
      </c>
    </row>
    <row r="87">
      <c r="G87" s="5" t="s">
        <v>35</v>
      </c>
      <c r="H87" s="5">
        <v>93.0</v>
      </c>
    </row>
    <row r="88">
      <c r="G88" s="5" t="s">
        <v>36</v>
      </c>
      <c r="H88" s="5">
        <v>24.0</v>
      </c>
    </row>
    <row r="89">
      <c r="G89" s="5" t="s">
        <v>38</v>
      </c>
      <c r="H89" s="5">
        <v>0.269</v>
      </c>
    </row>
    <row r="90">
      <c r="G90" s="5" t="s">
        <v>13</v>
      </c>
    </row>
    <row r="91">
      <c r="G91" s="5" t="s">
        <v>5</v>
      </c>
      <c r="H91" s="5">
        <v>1662.0</v>
      </c>
    </row>
    <row r="92">
      <c r="G92" s="6" t="s">
        <v>7</v>
      </c>
      <c r="H92" s="6">
        <v>827.72</v>
      </c>
    </row>
    <row r="93">
      <c r="G93" s="5" t="s">
        <v>30</v>
      </c>
      <c r="H93" s="4">
        <f>10^(0.40679-1.984*LOG(827.72)+0.3246*(LOG(827.72))^2-0.03418*(LOG(827.72))^3)</f>
        <v>0.0003405920818</v>
      </c>
    </row>
    <row r="94">
      <c r="G94" s="5" t="s">
        <v>31</v>
      </c>
      <c r="H94" s="4">
        <f>-149.6322+73.789*LN(827.72)-10.2724*(LN(827.72))^2+0.4748*(LN(827.72)^3)</f>
        <v>26.42958219</v>
      </c>
    </row>
    <row r="95">
      <c r="G95" s="11" t="s">
        <v>33</v>
      </c>
      <c r="H95" s="12">
        <f>H93*((263.8+H94)/(107.4+H94))</f>
        <v>0.0007386251679</v>
      </c>
    </row>
    <row r="96">
      <c r="G96" s="5" t="s">
        <v>35</v>
      </c>
      <c r="H96" s="5">
        <v>152.0</v>
      </c>
    </row>
    <row r="97">
      <c r="G97" s="5" t="s">
        <v>36</v>
      </c>
      <c r="H97" s="5">
        <v>27.0</v>
      </c>
    </row>
    <row r="98">
      <c r="G98" s="5" t="s">
        <v>38</v>
      </c>
      <c r="H98" s="5">
        <v>0.242</v>
      </c>
    </row>
    <row r="99">
      <c r="G99" s="5" t="s">
        <v>14</v>
      </c>
    </row>
    <row r="100">
      <c r="G100" s="5" t="s">
        <v>5</v>
      </c>
      <c r="H100" s="5">
        <v>2962.0</v>
      </c>
    </row>
    <row r="101">
      <c r="G101" s="6" t="s">
        <v>7</v>
      </c>
      <c r="H101" s="6">
        <v>1475.15</v>
      </c>
    </row>
    <row r="102">
      <c r="G102" s="5" t="s">
        <v>30</v>
      </c>
      <c r="H102" s="4">
        <f>10^(0.40679-1.984*LOG(1475.15)+0.3246*(LOG(1475.15))^2-0.03418*(LOG(1475.15))^3)</f>
        <v>0.0001957454733</v>
      </c>
    </row>
    <row r="103">
      <c r="G103" s="5" t="s">
        <v>31</v>
      </c>
      <c r="H103" s="4">
        <f>-149.6322+73.789*LN(1475.15)-10.2724*(LN(1475.15))^2+0.4748*(LN(1475.15)^3)</f>
        <v>26.31755907</v>
      </c>
    </row>
    <row r="104">
      <c r="G104" s="11" t="s">
        <v>33</v>
      </c>
      <c r="H104" s="12">
        <f>H102*((263.8+H103)/(107.4+H103))</f>
        <v>0.0004246951507</v>
      </c>
    </row>
    <row r="105">
      <c r="G105" s="5" t="s">
        <v>35</v>
      </c>
      <c r="H105" s="5">
        <v>53.0</v>
      </c>
    </row>
    <row r="106">
      <c r="G106" s="5" t="s">
        <v>36</v>
      </c>
      <c r="H106" s="5">
        <v>14.0</v>
      </c>
    </row>
    <row r="107">
      <c r="G107" s="5" t="s">
        <v>38</v>
      </c>
      <c r="H107" s="5">
        <v>0.1639</v>
      </c>
    </row>
    <row r="109">
      <c r="G109" s="13" t="s">
        <v>42</v>
      </c>
      <c r="H109" s="5">
        <v>0.4935</v>
      </c>
    </row>
    <row r="110">
      <c r="G110" s="13" t="s">
        <v>44</v>
      </c>
      <c r="H110" s="5">
        <v>80.916288</v>
      </c>
    </row>
    <row r="111">
      <c r="G111" s="13" t="s">
        <v>45</v>
      </c>
      <c r="H111" s="14">
        <f>46*10^-24</f>
        <v>0</v>
      </c>
    </row>
    <row r="112">
      <c r="G112" s="13" t="s">
        <v>46</v>
      </c>
      <c r="H112" s="14">
        <f>2.36*10^-24</f>
        <v>0</v>
      </c>
    </row>
    <row r="113">
      <c r="G113" s="13" t="s">
        <v>47</v>
      </c>
      <c r="H113" s="4">
        <f>5.4572*10^-6</f>
        <v>0.0000054572</v>
      </c>
    </row>
    <row r="115">
      <c r="A115" s="6" t="s">
        <v>48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</row>
    <row r="117">
      <c r="A117" s="3" t="s">
        <v>18</v>
      </c>
      <c r="D117" s="3" t="s">
        <v>19</v>
      </c>
      <c r="G117" s="3" t="s">
        <v>20</v>
      </c>
      <c r="J117" s="3" t="s">
        <v>21</v>
      </c>
      <c r="M117" s="3" t="s">
        <v>49</v>
      </c>
      <c r="O117" s="5">
        <v>1765.67</v>
      </c>
    </row>
    <row r="118">
      <c r="G118" s="5" t="s">
        <v>6</v>
      </c>
      <c r="M118" s="5" t="s">
        <v>6</v>
      </c>
    </row>
    <row r="119">
      <c r="G119" s="5" t="s">
        <v>5</v>
      </c>
      <c r="H119" s="5">
        <v>1569.55</v>
      </c>
      <c r="M119" s="5" t="s">
        <v>5</v>
      </c>
      <c r="N119" s="5">
        <v>2279.35</v>
      </c>
      <c r="O119" s="5">
        <v>913.09</v>
      </c>
    </row>
    <row r="120">
      <c r="A120" s="16"/>
      <c r="G120" s="6" t="s">
        <v>7</v>
      </c>
      <c r="H120" s="5">
        <v>776.05</v>
      </c>
      <c r="M120" s="6" t="s">
        <v>7</v>
      </c>
      <c r="N120" s="5">
        <v>1120.545</v>
      </c>
    </row>
    <row r="121">
      <c r="A121" s="17"/>
      <c r="G121" s="5" t="s">
        <v>30</v>
      </c>
      <c r="M121" s="5" t="s">
        <v>30</v>
      </c>
    </row>
    <row r="122">
      <c r="A122" s="17"/>
      <c r="G122" s="5" t="s">
        <v>31</v>
      </c>
      <c r="M122" s="5" t="s">
        <v>31</v>
      </c>
    </row>
    <row r="123">
      <c r="A123" s="16"/>
      <c r="G123" s="11" t="s">
        <v>33</v>
      </c>
      <c r="M123" s="11" t="s">
        <v>33</v>
      </c>
    </row>
    <row r="124">
      <c r="G124" s="5" t="s">
        <v>35</v>
      </c>
      <c r="H124" s="5">
        <v>2202.0</v>
      </c>
      <c r="M124" s="5" t="s">
        <v>35</v>
      </c>
      <c r="N124" s="5">
        <v>71.0</v>
      </c>
      <c r="O124" s="5">
        <v>227.0</v>
      </c>
    </row>
    <row r="125">
      <c r="G125" s="5" t="s">
        <v>36</v>
      </c>
      <c r="H125" s="5">
        <v>52.0</v>
      </c>
      <c r="M125" s="5" t="s">
        <v>36</v>
      </c>
      <c r="N125" s="5">
        <v>31.0</v>
      </c>
      <c r="O125" s="5">
        <v>24.0</v>
      </c>
    </row>
    <row r="126">
      <c r="G126" s="5" t="s">
        <v>38</v>
      </c>
      <c r="M126" s="5" t="s">
        <v>38</v>
      </c>
      <c r="N126" s="5">
        <v>0.99987</v>
      </c>
    </row>
    <row r="127">
      <c r="G127" s="5" t="s">
        <v>8</v>
      </c>
      <c r="M127" s="5" t="s">
        <v>8</v>
      </c>
    </row>
    <row r="128">
      <c r="G128" s="5" t="s">
        <v>5</v>
      </c>
      <c r="H128" s="5">
        <v>1112.41</v>
      </c>
      <c r="M128" s="5" t="s">
        <v>5</v>
      </c>
      <c r="N128" s="5">
        <v>1803.68</v>
      </c>
    </row>
    <row r="129">
      <c r="G129" s="6" t="s">
        <v>7</v>
      </c>
      <c r="H129" s="5">
        <v>553.98</v>
      </c>
      <c r="M129" s="6" t="s">
        <v>7</v>
      </c>
      <c r="N129" s="5">
        <v>889.277</v>
      </c>
    </row>
    <row r="130">
      <c r="G130" s="5" t="s">
        <v>30</v>
      </c>
      <c r="M130" s="5" t="s">
        <v>30</v>
      </c>
    </row>
    <row r="131">
      <c r="G131" s="5" t="s">
        <v>31</v>
      </c>
      <c r="M131" s="5" t="s">
        <v>31</v>
      </c>
    </row>
    <row r="132">
      <c r="G132" s="11" t="s">
        <v>33</v>
      </c>
      <c r="M132" s="11" t="s">
        <v>33</v>
      </c>
    </row>
    <row r="133">
      <c r="G133" s="5" t="s">
        <v>35</v>
      </c>
      <c r="H133" s="5">
        <v>2394.0</v>
      </c>
      <c r="M133" s="5" t="s">
        <v>35</v>
      </c>
      <c r="N133" s="5">
        <v>298.0</v>
      </c>
      <c r="O133" s="5">
        <v>264.0</v>
      </c>
    </row>
    <row r="134">
      <c r="G134" s="5" t="s">
        <v>36</v>
      </c>
      <c r="H134" s="5">
        <v>75.0</v>
      </c>
      <c r="M134" s="5" t="s">
        <v>36</v>
      </c>
      <c r="N134" s="5">
        <v>26.0</v>
      </c>
      <c r="O134" s="5">
        <v>36.0</v>
      </c>
    </row>
    <row r="135">
      <c r="G135" s="5" t="s">
        <v>38</v>
      </c>
      <c r="M135" s="5" t="s">
        <v>38</v>
      </c>
      <c r="N135" s="5">
        <v>0.99984</v>
      </c>
    </row>
    <row r="136">
      <c r="G136" s="5" t="s">
        <v>9</v>
      </c>
    </row>
    <row r="137">
      <c r="G137" s="5" t="s">
        <v>5</v>
      </c>
      <c r="H137" s="5">
        <v>1245.95</v>
      </c>
      <c r="M137" s="13" t="s">
        <v>42</v>
      </c>
      <c r="N137" s="5">
        <v>1.0</v>
      </c>
    </row>
    <row r="138">
      <c r="G138" s="6" t="s">
        <v>7</v>
      </c>
      <c r="H138" s="5">
        <v>619.09</v>
      </c>
      <c r="M138" s="13" t="s">
        <v>44</v>
      </c>
      <c r="N138" s="5">
        <v>44.955907</v>
      </c>
    </row>
    <row r="139">
      <c r="G139" s="5" t="s">
        <v>30</v>
      </c>
      <c r="M139" s="13" t="s">
        <v>45</v>
      </c>
      <c r="N139" s="14">
        <f>12.1*10^-24</f>
        <v>0</v>
      </c>
    </row>
    <row r="140">
      <c r="G140" s="5" t="s">
        <v>31</v>
      </c>
      <c r="M140" s="13" t="s">
        <v>46</v>
      </c>
      <c r="N140" s="14">
        <f>27.2*10^-24</f>
        <v>0</v>
      </c>
    </row>
    <row r="141">
      <c r="G141" s="11" t="s">
        <v>33</v>
      </c>
      <c r="M141" s="13" t="s">
        <v>47</v>
      </c>
      <c r="N141" s="10">
        <f>9.575*10^-8</f>
        <v>0.00000009575</v>
      </c>
    </row>
    <row r="142">
      <c r="G142" s="5" t="s">
        <v>35</v>
      </c>
      <c r="H142" s="5">
        <v>1508.0</v>
      </c>
    </row>
    <row r="143">
      <c r="G143" s="5" t="s">
        <v>36</v>
      </c>
      <c r="H143" s="5">
        <v>55.0</v>
      </c>
    </row>
    <row r="144">
      <c r="G144" s="5" t="s">
        <v>38</v>
      </c>
    </row>
    <row r="145">
      <c r="G145" s="5" t="s">
        <v>10</v>
      </c>
    </row>
    <row r="146">
      <c r="G146" s="5" t="s">
        <v>5</v>
      </c>
      <c r="H146" s="5">
        <v>1409.1</v>
      </c>
    </row>
    <row r="147">
      <c r="G147" s="6" t="s">
        <v>7</v>
      </c>
      <c r="H147" s="5">
        <v>698.3</v>
      </c>
    </row>
    <row r="148">
      <c r="G148" s="5" t="s">
        <v>30</v>
      </c>
    </row>
    <row r="149">
      <c r="G149" s="5" t="s">
        <v>31</v>
      </c>
    </row>
    <row r="150">
      <c r="G150" s="11" t="s">
        <v>33</v>
      </c>
    </row>
    <row r="151">
      <c r="G151" s="5" t="s">
        <v>35</v>
      </c>
      <c r="H151" s="5">
        <v>681.0</v>
      </c>
    </row>
    <row r="152">
      <c r="G152" s="5" t="s">
        <v>36</v>
      </c>
      <c r="H152" s="5">
        <v>49.0</v>
      </c>
    </row>
    <row r="153">
      <c r="G153" s="5" t="s">
        <v>38</v>
      </c>
    </row>
    <row r="154">
      <c r="G154" s="5" t="s">
        <v>11</v>
      </c>
    </row>
    <row r="155">
      <c r="G155" s="5" t="s">
        <v>5</v>
      </c>
      <c r="H155" s="5">
        <v>2120.11</v>
      </c>
    </row>
    <row r="156">
      <c r="G156" s="6" t="s">
        <v>7</v>
      </c>
      <c r="H156" s="5">
        <v>1043.81</v>
      </c>
    </row>
    <row r="157">
      <c r="G157" s="5" t="s">
        <v>30</v>
      </c>
    </row>
    <row r="158">
      <c r="G158" s="5" t="s">
        <v>31</v>
      </c>
    </row>
    <row r="159">
      <c r="G159" s="11" t="s">
        <v>33</v>
      </c>
    </row>
    <row r="160">
      <c r="G160" s="5" t="s">
        <v>35</v>
      </c>
      <c r="H160" s="5">
        <v>525.0</v>
      </c>
    </row>
    <row r="161">
      <c r="G161" s="5" t="s">
        <v>36</v>
      </c>
      <c r="H161" s="5">
        <v>34.0</v>
      </c>
    </row>
    <row r="162">
      <c r="G162" s="5" t="s">
        <v>38</v>
      </c>
    </row>
    <row r="163">
      <c r="G163" s="5" t="s">
        <v>12</v>
      </c>
    </row>
    <row r="164">
      <c r="G164" s="5" t="s">
        <v>5</v>
      </c>
      <c r="H164" s="5">
        <v>2684.02</v>
      </c>
    </row>
    <row r="165">
      <c r="G165" s="6" t="s">
        <v>7</v>
      </c>
      <c r="H165" s="5">
        <v>1317.39</v>
      </c>
    </row>
    <row r="166">
      <c r="G166" s="5" t="s">
        <v>30</v>
      </c>
    </row>
    <row r="167">
      <c r="G167" s="5" t="s">
        <v>31</v>
      </c>
    </row>
    <row r="168">
      <c r="G168" s="11" t="s">
        <v>33</v>
      </c>
    </row>
    <row r="169">
      <c r="G169" s="5" t="s">
        <v>35</v>
      </c>
      <c r="H169" s="5">
        <v>429.0</v>
      </c>
    </row>
    <row r="170">
      <c r="G170" s="5" t="s">
        <v>36</v>
      </c>
      <c r="H170" s="5">
        <v>30.0</v>
      </c>
    </row>
    <row r="171">
      <c r="G171" s="5" t="s">
        <v>38</v>
      </c>
    </row>
    <row r="172">
      <c r="G172" s="5" t="s">
        <v>13</v>
      </c>
    </row>
    <row r="173">
      <c r="G173" s="5" t="s">
        <v>5</v>
      </c>
      <c r="H173" s="5">
        <v>1674.91</v>
      </c>
    </row>
    <row r="174">
      <c r="G174" s="6" t="s">
        <v>7</v>
      </c>
      <c r="H174" s="5">
        <v>827.56</v>
      </c>
    </row>
    <row r="175">
      <c r="G175" s="5" t="s">
        <v>30</v>
      </c>
    </row>
    <row r="176">
      <c r="G176" s="5" t="s">
        <v>31</v>
      </c>
    </row>
    <row r="177">
      <c r="G177" s="11" t="s">
        <v>33</v>
      </c>
    </row>
    <row r="178">
      <c r="G178" s="5" t="s">
        <v>35</v>
      </c>
      <c r="H178" s="5">
        <v>224.0</v>
      </c>
    </row>
    <row r="179">
      <c r="G179" s="5" t="s">
        <v>36</v>
      </c>
      <c r="H179" s="5">
        <v>39.0</v>
      </c>
    </row>
    <row r="180">
      <c r="G180" s="5" t="s">
        <v>38</v>
      </c>
    </row>
    <row r="181">
      <c r="G181" s="5" t="s">
        <v>14</v>
      </c>
    </row>
    <row r="182">
      <c r="G182" s="5" t="s">
        <v>5</v>
      </c>
      <c r="H182" s="5">
        <v>3006.16</v>
      </c>
    </row>
    <row r="183">
      <c r="G183" s="6" t="s">
        <v>7</v>
      </c>
      <c r="H183" s="5">
        <v>1475.32</v>
      </c>
    </row>
    <row r="184">
      <c r="G184" s="5" t="s">
        <v>30</v>
      </c>
    </row>
    <row r="185">
      <c r="G185" s="5" t="s">
        <v>31</v>
      </c>
    </row>
    <row r="186">
      <c r="G186" s="11" t="s">
        <v>33</v>
      </c>
    </row>
    <row r="187">
      <c r="G187" s="5" t="s">
        <v>35</v>
      </c>
      <c r="H187" s="5">
        <v>190.0</v>
      </c>
    </row>
    <row r="188">
      <c r="G188" s="5" t="s">
        <v>36</v>
      </c>
      <c r="H188" s="5">
        <v>19.0</v>
      </c>
    </row>
    <row r="189">
      <c r="G189" s="5" t="s">
        <v>38</v>
      </c>
    </row>
    <row r="191">
      <c r="G191" s="13" t="s">
        <v>42</v>
      </c>
      <c r="H191" s="5">
        <v>0.4935</v>
      </c>
    </row>
    <row r="192">
      <c r="G192" s="13" t="s">
        <v>44</v>
      </c>
      <c r="H192" s="5">
        <v>80.916288</v>
      </c>
    </row>
    <row r="193">
      <c r="G193" s="13" t="s">
        <v>45</v>
      </c>
      <c r="H193" s="14">
        <f>46*10^-24</f>
        <v>0</v>
      </c>
    </row>
    <row r="194">
      <c r="G194" s="13" t="s">
        <v>46</v>
      </c>
      <c r="H194" s="14">
        <f>2.36*10^-24</f>
        <v>0</v>
      </c>
    </row>
    <row r="195">
      <c r="G195" s="13" t="s">
        <v>47</v>
      </c>
      <c r="H195" s="4">
        <f>5.4572*10^-6</f>
        <v>0.0000054572</v>
      </c>
    </row>
    <row r="197">
      <c r="A197" s="18" t="s">
        <v>50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>
      <c r="A199" s="21" t="s">
        <v>18</v>
      </c>
      <c r="B199" s="13"/>
      <c r="C199" s="13"/>
      <c r="D199" s="21" t="s">
        <v>19</v>
      </c>
      <c r="E199" s="13"/>
      <c r="F199" s="13"/>
      <c r="G199" s="21" t="s">
        <v>20</v>
      </c>
      <c r="H199" s="13"/>
      <c r="I199" s="13"/>
      <c r="J199" s="21" t="s">
        <v>21</v>
      </c>
      <c r="K199" s="13"/>
    </row>
    <row r="200">
      <c r="A200" s="13" t="s">
        <v>6</v>
      </c>
      <c r="B200" s="13"/>
      <c r="C200" s="13"/>
      <c r="D200" s="13" t="s">
        <v>6</v>
      </c>
      <c r="E200" s="13"/>
      <c r="F200" s="13"/>
      <c r="G200" s="13" t="s">
        <v>6</v>
      </c>
      <c r="H200" s="13"/>
      <c r="I200" s="13"/>
      <c r="J200" s="13" t="s">
        <v>6</v>
      </c>
      <c r="K200" s="13"/>
    </row>
    <row r="201">
      <c r="A201" s="13" t="s">
        <v>5</v>
      </c>
      <c r="B201" s="22">
        <v>2748.0</v>
      </c>
      <c r="C201" s="13"/>
      <c r="D201" s="13" t="s">
        <v>5</v>
      </c>
      <c r="E201" s="22">
        <v>3061.52</v>
      </c>
      <c r="F201" s="13"/>
      <c r="G201" s="13" t="s">
        <v>5</v>
      </c>
      <c r="H201" s="22">
        <v>1559.0</v>
      </c>
      <c r="I201" s="13"/>
      <c r="J201" s="13" t="s">
        <v>5</v>
      </c>
      <c r="K201" s="22">
        <v>1700.49</v>
      </c>
    </row>
    <row r="202">
      <c r="A202" s="23" t="s">
        <v>7</v>
      </c>
      <c r="B202" s="24">
        <v>1368.85</v>
      </c>
      <c r="C202" s="13"/>
      <c r="D202" s="23" t="s">
        <v>7</v>
      </c>
      <c r="E202" s="24">
        <v>1524.71</v>
      </c>
      <c r="F202" s="13"/>
      <c r="G202" s="23" t="s">
        <v>7</v>
      </c>
      <c r="H202" s="24">
        <v>776.42</v>
      </c>
      <c r="I202" s="13"/>
      <c r="J202" s="23" t="s">
        <v>7</v>
      </c>
      <c r="K202" s="24">
        <v>846.89</v>
      </c>
    </row>
    <row r="203">
      <c r="A203" s="13" t="s">
        <v>30</v>
      </c>
      <c r="B203" s="22">
        <f>10^(0.40679-1.984*LOG(1368.85)+0.3246*(LOG(1368.85))^2-0.03418*(LOG(1368.85))^3)</f>
        <v>0.0002102608086</v>
      </c>
      <c r="C203" s="13"/>
      <c r="D203" s="13" t="s">
        <v>30</v>
      </c>
      <c r="E203" s="22">
        <f>10^(0.40679-1.984*LOG(1524.71)+0.3246*(LOG(1524.71))^2-0.03418*(LOG(1524.71))^3)</f>
        <v>0.0001896555219</v>
      </c>
      <c r="F203" s="13"/>
      <c r="G203" s="13" t="s">
        <v>30</v>
      </c>
      <c r="H203" s="22">
        <f>10^(0.40679-1.984*LOG(776.42)+0.3246*(LOG(776.42))^2-0.03418*(LOG(776.42))^3)</f>
        <v>0.0003622482505</v>
      </c>
      <c r="I203" s="13"/>
      <c r="J203" s="13" t="s">
        <v>30</v>
      </c>
      <c r="K203" s="22">
        <f>10^(0.40679-1.984*LOG(846.89)+0.3246*(LOG(846.89))^2-0.03418*(LOG(846.89))^3)</f>
        <v>0.0003331685241</v>
      </c>
    </row>
    <row r="204">
      <c r="A204" s="13" t="s">
        <v>31</v>
      </c>
      <c r="B204" s="22">
        <f>-149.6322+73.789*LN(1368.85)-10.2724*(LN(1368.85))^2+0.4748*(LN(1368.85))^3</f>
        <v>26.33917289</v>
      </c>
      <c r="C204" s="13"/>
      <c r="D204" s="13" t="s">
        <v>31</v>
      </c>
      <c r="E204" s="22">
        <f>-149.6322+73.789*LN(1524.71)-10.2724*(LN(1524.71))^2+0.4748*(LN(1524.71))^3</f>
        <v>26.30836891</v>
      </c>
      <c r="F204" s="13"/>
      <c r="G204" s="13" t="s">
        <v>31</v>
      </c>
      <c r="H204" s="22">
        <f>-149.6322+73.789*LN(776.42)-10.2724*(LN(776.42))^2+0.4748*(LN(776.42)^3)</f>
        <v>26.42316443</v>
      </c>
      <c r="I204" s="13"/>
      <c r="J204" s="13" t="s">
        <v>31</v>
      </c>
      <c r="K204" s="22">
        <f>-149.6322+73.789*LN(846.89)-10.2724*(LN(846.89))^2+0.4748*(LN(846.89)^3)</f>
        <v>26.43044299</v>
      </c>
    </row>
    <row r="205">
      <c r="A205" s="25" t="s">
        <v>33</v>
      </c>
      <c r="B205" s="26">
        <f>B203*((263.8+B204)/(107.4+B204))</f>
        <v>0.0004561483056</v>
      </c>
      <c r="C205" s="13"/>
      <c r="D205" s="25" t="s">
        <v>33</v>
      </c>
      <c r="E205" s="26">
        <f>E203*((263.8+E204)/(107.4+E204))</f>
        <v>0.0004114974595</v>
      </c>
      <c r="F205" s="13"/>
      <c r="G205" s="25" t="s">
        <v>33</v>
      </c>
      <c r="H205" s="26">
        <f>H203*((263.8+H204)/(107.4+H204))</f>
        <v>0.0007856101298</v>
      </c>
      <c r="I205" s="13"/>
      <c r="J205" s="25" t="s">
        <v>33</v>
      </c>
      <c r="K205" s="26">
        <f>K203*((263.8+K204)/(107.4+K204))</f>
        <v>0.0007225235618</v>
      </c>
    </row>
    <row r="206">
      <c r="A206" s="13" t="s">
        <v>35</v>
      </c>
      <c r="B206" s="27">
        <v>910.0</v>
      </c>
      <c r="C206" s="13"/>
      <c r="D206" s="13" t="s">
        <v>35</v>
      </c>
      <c r="E206" s="27">
        <v>1832.0</v>
      </c>
      <c r="F206" s="13"/>
      <c r="G206" s="13" t="s">
        <v>35</v>
      </c>
      <c r="H206" s="27">
        <v>230.0</v>
      </c>
      <c r="I206" s="13"/>
      <c r="J206" s="13" t="s">
        <v>35</v>
      </c>
      <c r="K206" s="27">
        <v>463.0</v>
      </c>
    </row>
    <row r="207">
      <c r="A207" s="13" t="s">
        <v>36</v>
      </c>
      <c r="B207" s="27">
        <v>32.0</v>
      </c>
      <c r="C207" s="13"/>
      <c r="D207" s="13" t="s">
        <v>36</v>
      </c>
      <c r="E207" s="27">
        <v>44.0</v>
      </c>
      <c r="F207" s="13"/>
      <c r="G207" s="13" t="s">
        <v>36</v>
      </c>
      <c r="H207" s="27">
        <v>20.0</v>
      </c>
      <c r="I207" s="13"/>
      <c r="J207" s="13" t="s">
        <v>36</v>
      </c>
      <c r="K207" s="27">
        <v>27.0</v>
      </c>
    </row>
    <row r="208">
      <c r="A208" s="13" t="s">
        <v>38</v>
      </c>
      <c r="B208" s="22">
        <v>0.99994</v>
      </c>
      <c r="C208" s="13"/>
      <c r="D208" s="13" t="s">
        <v>38</v>
      </c>
      <c r="E208" s="22">
        <v>0.1808</v>
      </c>
      <c r="F208" s="13"/>
      <c r="G208" s="13" t="s">
        <v>38</v>
      </c>
      <c r="H208" s="22">
        <v>0.836</v>
      </c>
      <c r="I208" s="13"/>
      <c r="J208" s="13" t="s">
        <v>38</v>
      </c>
      <c r="K208" s="22">
        <v>0.9885</v>
      </c>
    </row>
    <row r="209">
      <c r="A209" s="13"/>
      <c r="B209" s="13"/>
      <c r="C209" s="13"/>
      <c r="D209" s="13" t="s">
        <v>8</v>
      </c>
      <c r="E209" s="13"/>
      <c r="F209" s="13"/>
      <c r="G209" s="13" t="s">
        <v>8</v>
      </c>
      <c r="H209" s="13"/>
      <c r="I209" s="13"/>
      <c r="J209" s="13" t="s">
        <v>40</v>
      </c>
      <c r="K209" s="13"/>
    </row>
    <row r="210">
      <c r="A210" s="13" t="s">
        <v>42</v>
      </c>
      <c r="B210" s="22">
        <v>1.0</v>
      </c>
      <c r="C210" s="13"/>
      <c r="D210" s="13" t="s">
        <v>43</v>
      </c>
      <c r="E210" s="22">
        <v>628.0</v>
      </c>
      <c r="F210" s="13"/>
      <c r="G210" s="13" t="s">
        <v>5</v>
      </c>
      <c r="H210" s="22">
        <v>1113.0</v>
      </c>
      <c r="I210" s="13"/>
      <c r="J210" s="13" t="s">
        <v>5</v>
      </c>
      <c r="K210" s="22">
        <v>3634.89</v>
      </c>
    </row>
    <row r="211">
      <c r="A211" s="13" t="s">
        <v>44</v>
      </c>
      <c r="B211" s="22">
        <v>22.989769</v>
      </c>
      <c r="C211" s="13"/>
      <c r="D211" s="23" t="s">
        <v>7</v>
      </c>
      <c r="E211" s="24">
        <v>312.76</v>
      </c>
      <c r="F211" s="13"/>
      <c r="G211" s="23" t="s">
        <v>7</v>
      </c>
      <c r="H211" s="24">
        <v>554.3</v>
      </c>
      <c r="I211" s="13"/>
      <c r="J211" s="23" t="s">
        <v>7</v>
      </c>
      <c r="K211" s="24">
        <v>1810.27</v>
      </c>
    </row>
    <row r="212">
      <c r="A212" s="13" t="s">
        <v>45</v>
      </c>
      <c r="B212" s="28">
        <f>0.312*10^-24</f>
        <v>0</v>
      </c>
      <c r="C212" s="13"/>
      <c r="D212" s="13" t="s">
        <v>30</v>
      </c>
      <c r="E212" s="22">
        <f>10^(0.40679-1.984*LOG(312.76)+0.3246*(LOG(312.76))^2-0.03418*(LOG(312.76))^3)</f>
        <v>0.0008836430041</v>
      </c>
      <c r="F212" s="13"/>
      <c r="G212" s="13" t="s">
        <v>30</v>
      </c>
      <c r="H212" s="22">
        <f>10^(0.40679-1.984*LOG(554.3)+0.3246*(LOG(554.3))^2-0.03418*(LOG(554.3))^3)</f>
        <v>0.0005021523153</v>
      </c>
      <c r="I212" s="13"/>
      <c r="J212" s="13" t="s">
        <v>30</v>
      </c>
      <c r="K212" s="22">
        <f>10^(0.40679-1.984*LOG(1810.27)+0.3246*(LOG(1810.27))^2-0.03418*(LOG(1810.27))^3)</f>
        <v>0.0001609273569</v>
      </c>
    </row>
    <row r="213">
      <c r="A213" s="13" t="s">
        <v>46</v>
      </c>
      <c r="B213" s="28">
        <f>0.525*10^-24</f>
        <v>0</v>
      </c>
      <c r="C213" s="13"/>
      <c r="D213" s="13" t="s">
        <v>31</v>
      </c>
      <c r="E213" s="22">
        <f>-149.6322+73.789*LN(312.76)-10.2724*(LN(312.76))^2+0.4748*(LN(312.76))^3</f>
        <v>25.27465932</v>
      </c>
      <c r="F213" s="13"/>
      <c r="G213" s="13" t="s">
        <v>31</v>
      </c>
      <c r="H213" s="22">
        <f>-149.6322+73.789*LN(554.3)-10.2724*(LN(554.3))^2+0.4748*(LN(554.3)^3)</f>
        <v>26.26463466</v>
      </c>
      <c r="I213" s="13"/>
      <c r="J213" s="13" t="s">
        <v>31</v>
      </c>
      <c r="K213" s="22">
        <f>-149.6322+73.789*LN(1810.27)-10.2724*(LN(1810.27))^2+0.4748*(LN(1810.27)^3)</f>
        <v>26.26883576</v>
      </c>
    </row>
    <row r="214">
      <c r="A214" s="13" t="s">
        <v>47</v>
      </c>
      <c r="B214" s="22">
        <f>1.28738*10^-5</f>
        <v>0.0000128738</v>
      </c>
      <c r="C214" s="13"/>
      <c r="D214" s="25" t="s">
        <v>33</v>
      </c>
      <c r="E214" s="26">
        <f>E212*((263.8+E213)/(107.4+E213))</f>
        <v>0.001925302101</v>
      </c>
      <c r="F214" s="13"/>
      <c r="G214" s="25" t="s">
        <v>33</v>
      </c>
      <c r="H214" s="26">
        <f>H212*((263.8+H213)/(107.4+H213))</f>
        <v>0.001089717024</v>
      </c>
      <c r="I214" s="13"/>
      <c r="J214" s="25" t="s">
        <v>33</v>
      </c>
      <c r="K214" s="26">
        <f>K212*((263.8+K213)/(107.4+K213))</f>
        <v>0.0003492213484</v>
      </c>
    </row>
    <row r="215">
      <c r="A215" s="13"/>
      <c r="B215" s="13"/>
      <c r="C215" s="13"/>
      <c r="D215" s="13" t="s">
        <v>35</v>
      </c>
      <c r="E215" s="27">
        <v>115.0</v>
      </c>
      <c r="F215" s="13"/>
      <c r="G215" s="13" t="s">
        <v>35</v>
      </c>
      <c r="H215" s="27">
        <v>232.0</v>
      </c>
      <c r="I215" s="13"/>
      <c r="J215" s="13" t="s">
        <v>35</v>
      </c>
      <c r="K215" s="27">
        <v>67.0</v>
      </c>
    </row>
    <row r="216">
      <c r="A216" s="13"/>
      <c r="B216" s="13"/>
      <c r="C216" s="13"/>
      <c r="D216" s="13" t="s">
        <v>36</v>
      </c>
      <c r="E216" s="27">
        <v>27.0</v>
      </c>
      <c r="F216" s="13"/>
      <c r="G216" s="13" t="s">
        <v>36</v>
      </c>
      <c r="H216" s="27">
        <v>23.0</v>
      </c>
      <c r="I216" s="13"/>
      <c r="J216" s="13" t="s">
        <v>36</v>
      </c>
      <c r="K216" s="27">
        <v>10.0</v>
      </c>
    </row>
    <row r="217">
      <c r="A217" s="13"/>
      <c r="B217" s="13"/>
      <c r="C217" s="13"/>
      <c r="D217" s="13" t="s">
        <v>38</v>
      </c>
      <c r="E217" s="22">
        <v>0.00336</v>
      </c>
      <c r="F217" s="13"/>
      <c r="G217" s="13" t="s">
        <v>38</v>
      </c>
      <c r="H217" s="22">
        <v>0.717</v>
      </c>
      <c r="I217" s="13"/>
      <c r="J217" s="13" t="s">
        <v>38</v>
      </c>
      <c r="K217" s="22">
        <v>0.269</v>
      </c>
    </row>
    <row r="218">
      <c r="A218" s="13"/>
      <c r="B218" s="13"/>
      <c r="C218" s="13"/>
      <c r="D218" s="13"/>
      <c r="E218" s="13"/>
      <c r="F218" s="13"/>
      <c r="G218" s="13" t="s">
        <v>9</v>
      </c>
      <c r="H218" s="13"/>
      <c r="I218" s="13"/>
      <c r="J218" s="13"/>
      <c r="K218" s="13"/>
    </row>
    <row r="219">
      <c r="A219" s="13"/>
      <c r="B219" s="13"/>
      <c r="C219" s="13"/>
      <c r="D219" s="13" t="s">
        <v>42</v>
      </c>
      <c r="E219" s="22">
        <v>0.067302</v>
      </c>
      <c r="F219" s="13"/>
      <c r="G219" s="13" t="s">
        <v>5</v>
      </c>
      <c r="H219" s="22">
        <v>1244.0</v>
      </c>
      <c r="I219" s="13"/>
      <c r="J219" s="13" t="s">
        <v>42</v>
      </c>
      <c r="K219" s="22">
        <v>1.0</v>
      </c>
    </row>
    <row r="220">
      <c r="A220" s="13"/>
      <c r="B220" s="13"/>
      <c r="C220" s="13"/>
      <c r="D220" s="13" t="s">
        <v>44</v>
      </c>
      <c r="E220" s="22">
        <v>40.961825</v>
      </c>
      <c r="F220" s="13"/>
      <c r="G220" s="23" t="s">
        <v>7</v>
      </c>
      <c r="H220" s="29">
        <v>619.105</v>
      </c>
      <c r="I220" s="13"/>
      <c r="J220" s="13" t="s">
        <v>44</v>
      </c>
      <c r="K220" s="22">
        <v>54.938043</v>
      </c>
    </row>
    <row r="221">
      <c r="A221" s="13"/>
      <c r="B221" s="13"/>
      <c r="C221" s="13"/>
      <c r="D221" s="13" t="s">
        <v>45</v>
      </c>
      <c r="E221" s="28">
        <f>0.98*10^-24</f>
        <v>0</v>
      </c>
      <c r="F221" s="13"/>
      <c r="G221" s="13" t="s">
        <v>30</v>
      </c>
      <c r="H221" s="22">
        <f>10^(0.40679-1.984*LOG(619)+0.3246*(LOG(619))^2-0.03418*(LOG(619))^3)</f>
        <v>0.0004510229017</v>
      </c>
      <c r="I221" s="13"/>
      <c r="J221" s="13" t="s">
        <v>45</v>
      </c>
      <c r="K221" s="28">
        <f>13.3*10^-24</f>
        <v>0</v>
      </c>
    </row>
    <row r="222">
      <c r="A222" s="13"/>
      <c r="B222" s="13"/>
      <c r="C222" s="13"/>
      <c r="D222" s="13" t="s">
        <v>46</v>
      </c>
      <c r="E222" s="28">
        <f>1.46*10^-24</f>
        <v>0</v>
      </c>
      <c r="F222" s="13"/>
      <c r="G222" s="13" t="s">
        <v>31</v>
      </c>
      <c r="H222" s="22">
        <f>-149.6322+73.789*LN(619)-10.2724*(LN(619))^2+0.4748*(LN(619)^3)</f>
        <v>26.34311211</v>
      </c>
      <c r="I222" s="13"/>
      <c r="J222" s="13" t="s">
        <v>46</v>
      </c>
      <c r="K222" s="28">
        <f>13.36*10^-24</f>
        <v>0</v>
      </c>
    </row>
    <row r="223">
      <c r="A223" s="13"/>
      <c r="B223" s="13"/>
      <c r="C223" s="13"/>
      <c r="D223" s="13" t="s">
        <v>47</v>
      </c>
      <c r="E223" s="22">
        <f>1.5584*10^-5</f>
        <v>0.000015584</v>
      </c>
      <c r="F223" s="13"/>
      <c r="G223" s="25" t="s">
        <v>33</v>
      </c>
      <c r="H223" s="26">
        <f>H221*((263.8+H222)/(107.4+H222))</f>
        <v>0.0009784517967</v>
      </c>
      <c r="I223" s="13"/>
      <c r="J223" s="13" t="s">
        <v>47</v>
      </c>
      <c r="K223" s="22">
        <f>7.46601*10^-5</f>
        <v>0.0000746601</v>
      </c>
    </row>
    <row r="224">
      <c r="A224" s="13"/>
      <c r="B224" s="13"/>
      <c r="C224" s="13"/>
      <c r="D224" s="13"/>
      <c r="E224" s="13"/>
      <c r="F224" s="13"/>
      <c r="G224" s="13" t="s">
        <v>35</v>
      </c>
      <c r="H224" s="27">
        <v>118.0</v>
      </c>
      <c r="I224" s="13"/>
      <c r="J224" s="13"/>
      <c r="K224" s="13"/>
    </row>
    <row r="225">
      <c r="A225" s="13"/>
      <c r="B225" s="13"/>
      <c r="C225" s="13"/>
      <c r="D225" s="13"/>
      <c r="E225" s="13"/>
      <c r="F225" s="13"/>
      <c r="G225" s="13" t="s">
        <v>36</v>
      </c>
      <c r="H225" s="27">
        <v>20.0</v>
      </c>
      <c r="I225" s="13"/>
      <c r="J225" s="13"/>
      <c r="K225" s="13"/>
    </row>
    <row r="226">
      <c r="A226" s="13"/>
      <c r="B226" s="13"/>
      <c r="C226" s="13"/>
      <c r="D226" s="13"/>
      <c r="E226" s="13"/>
      <c r="F226" s="13"/>
      <c r="G226" s="13" t="s">
        <v>38</v>
      </c>
      <c r="H226" s="22">
        <v>0.437</v>
      </c>
      <c r="I226" s="13"/>
      <c r="J226" s="13"/>
      <c r="K226" s="13"/>
    </row>
    <row r="227">
      <c r="A227" s="13"/>
      <c r="B227" s="13"/>
      <c r="C227" s="13"/>
      <c r="D227" s="13"/>
      <c r="E227" s="13"/>
      <c r="F227" s="13"/>
      <c r="G227" s="13" t="s">
        <v>10</v>
      </c>
      <c r="H227" s="13"/>
      <c r="I227" s="13"/>
      <c r="J227" s="13"/>
      <c r="K227" s="13"/>
    </row>
    <row r="228">
      <c r="A228" s="13"/>
      <c r="B228" s="13"/>
      <c r="C228" s="13"/>
      <c r="D228" s="13"/>
      <c r="E228" s="13"/>
      <c r="F228" s="13"/>
      <c r="G228" s="13" t="s">
        <v>5</v>
      </c>
      <c r="H228" s="22">
        <v>1402.3</v>
      </c>
      <c r="I228" s="13"/>
      <c r="J228" s="13"/>
      <c r="K228" s="13"/>
    </row>
    <row r="229">
      <c r="A229" s="13"/>
      <c r="B229" s="13"/>
      <c r="C229" s="13"/>
      <c r="D229" s="13"/>
      <c r="E229" s="13"/>
      <c r="F229" s="13"/>
      <c r="G229" s="23" t="s">
        <v>7</v>
      </c>
      <c r="H229" s="24">
        <v>698.38</v>
      </c>
      <c r="I229" s="13"/>
      <c r="J229" s="13"/>
      <c r="K229" s="13"/>
    </row>
    <row r="230">
      <c r="A230" s="13"/>
      <c r="B230" s="13"/>
      <c r="C230" s="13"/>
      <c r="D230" s="13"/>
      <c r="E230" s="13"/>
      <c r="F230" s="13"/>
      <c r="G230" s="13" t="s">
        <v>30</v>
      </c>
      <c r="H230" s="22">
        <f>10^(0.40679-1.984*LOG(698.38)+0.3246*(LOG(698.38))^2-0.03418*(LOG(698.38))^3)</f>
        <v>0.0004012626876</v>
      </c>
      <c r="I230" s="13"/>
      <c r="J230" s="13"/>
      <c r="K230" s="13"/>
    </row>
    <row r="231">
      <c r="A231" s="13"/>
      <c r="B231" s="13"/>
      <c r="C231" s="13"/>
      <c r="D231" s="13"/>
      <c r="E231" s="13"/>
      <c r="F231" s="13"/>
      <c r="G231" s="13" t="s">
        <v>31</v>
      </c>
      <c r="H231" s="22">
        <f>-149.6322+73.789*LN(698.38)-10.2724*(LN(698.38))^2+0.4748*(LN(698.38)^3)</f>
        <v>26.39789923</v>
      </c>
      <c r="I231" s="13"/>
      <c r="J231" s="13"/>
      <c r="K231" s="13"/>
    </row>
    <row r="232">
      <c r="A232" s="13"/>
      <c r="B232" s="13"/>
      <c r="C232" s="13"/>
      <c r="D232" s="13"/>
      <c r="E232" s="13"/>
      <c r="F232" s="13"/>
      <c r="G232" s="25" t="s">
        <v>33</v>
      </c>
      <c r="H232" s="26">
        <f>H230*((263.8+H231)/(107.4+H231))</f>
        <v>0.0008703095464</v>
      </c>
      <c r="I232" s="13"/>
      <c r="J232" s="13"/>
      <c r="K232" s="13"/>
    </row>
    <row r="233">
      <c r="A233" s="13"/>
      <c r="B233" s="13"/>
      <c r="C233" s="13"/>
      <c r="D233" s="13"/>
      <c r="E233" s="13"/>
      <c r="F233" s="13"/>
      <c r="G233" s="13" t="s">
        <v>35</v>
      </c>
      <c r="H233" s="27">
        <v>65.0</v>
      </c>
      <c r="I233" s="13"/>
      <c r="J233" s="13"/>
      <c r="K233" s="13"/>
    </row>
    <row r="234">
      <c r="A234" s="13"/>
      <c r="B234" s="13"/>
      <c r="C234" s="13"/>
      <c r="D234" s="13"/>
      <c r="E234" s="13"/>
      <c r="F234" s="13"/>
      <c r="G234" s="13" t="s">
        <v>36</v>
      </c>
      <c r="H234" s="27">
        <v>18.0</v>
      </c>
      <c r="I234" s="13"/>
      <c r="J234" s="13"/>
      <c r="K234" s="13"/>
    </row>
    <row r="235">
      <c r="A235" s="13"/>
      <c r="B235" s="13"/>
      <c r="C235" s="13"/>
      <c r="D235" s="13"/>
      <c r="E235" s="13"/>
      <c r="F235" s="13"/>
      <c r="G235" s="13" t="s">
        <v>38</v>
      </c>
      <c r="H235" s="22">
        <v>0.284</v>
      </c>
      <c r="I235" s="13"/>
      <c r="J235" s="13"/>
      <c r="K235" s="13"/>
    </row>
    <row r="236">
      <c r="A236" s="13"/>
      <c r="B236" s="13"/>
      <c r="C236" s="13"/>
      <c r="D236" s="13"/>
      <c r="E236" s="13"/>
      <c r="F236" s="13"/>
      <c r="G236" s="13" t="s">
        <v>11</v>
      </c>
      <c r="H236" s="13"/>
      <c r="I236" s="13"/>
      <c r="J236" s="13"/>
      <c r="K236" s="13"/>
    </row>
    <row r="237">
      <c r="A237" s="13"/>
      <c r="B237" s="13"/>
      <c r="C237" s="13"/>
      <c r="D237" s="13"/>
      <c r="E237" s="13"/>
      <c r="F237" s="13"/>
      <c r="G237" s="13" t="s">
        <v>5</v>
      </c>
      <c r="H237" s="22">
        <v>2096.51</v>
      </c>
      <c r="I237" s="13"/>
      <c r="J237" s="13"/>
      <c r="K237" s="13"/>
    </row>
    <row r="238">
      <c r="A238" s="13"/>
      <c r="B238" s="13"/>
      <c r="C238" s="13"/>
      <c r="D238" s="13"/>
      <c r="E238" s="13"/>
      <c r="F238" s="13"/>
      <c r="G238" s="23" t="s">
        <v>7</v>
      </c>
      <c r="H238" s="24">
        <v>1044.12</v>
      </c>
      <c r="I238" s="13"/>
      <c r="J238" s="13"/>
      <c r="K238" s="13"/>
    </row>
    <row r="239">
      <c r="A239" s="13"/>
      <c r="B239" s="13"/>
      <c r="C239" s="13"/>
      <c r="D239" s="13"/>
      <c r="E239" s="13"/>
      <c r="F239" s="13"/>
      <c r="G239" s="13" t="s">
        <v>30</v>
      </c>
      <c r="H239" s="22">
        <f>10^(0.40679-1.984*LOG(1044.12)+0.3246*(LOG(1044.12))^2-0.03418*(LOG(1044.12))^3)</f>
        <v>0.0002724891547</v>
      </c>
      <c r="I239" s="13"/>
      <c r="J239" s="13"/>
      <c r="K239" s="13"/>
    </row>
    <row r="240">
      <c r="A240" s="13"/>
      <c r="B240" s="13"/>
      <c r="C240" s="13"/>
      <c r="D240" s="13"/>
      <c r="E240" s="13"/>
      <c r="F240" s="13"/>
      <c r="G240" s="13" t="s">
        <v>31</v>
      </c>
      <c r="H240" s="22">
        <f>-149.6322+73.789*LN(1044.12)-10.2724*(LN(1044.12))^2+0.4748*(LN(1044.12)^3)</f>
        <v>26.41005478</v>
      </c>
      <c r="I240" s="13"/>
      <c r="J240" s="13"/>
      <c r="K240" s="13"/>
    </row>
    <row r="241">
      <c r="A241" s="13"/>
      <c r="B241" s="13"/>
      <c r="C241" s="13"/>
      <c r="D241" s="13"/>
      <c r="E241" s="13"/>
      <c r="F241" s="13"/>
      <c r="G241" s="25" t="s">
        <v>33</v>
      </c>
      <c r="H241" s="26">
        <f>H239*((263.8+H240)/(107.4+H240))</f>
        <v>0.0005909801968</v>
      </c>
      <c r="I241" s="13"/>
      <c r="J241" s="13"/>
      <c r="K241" s="13"/>
    </row>
    <row r="242">
      <c r="A242" s="13"/>
      <c r="B242" s="13"/>
      <c r="C242" s="13"/>
      <c r="D242" s="13"/>
      <c r="E242" s="13"/>
      <c r="F242" s="13"/>
      <c r="G242" s="13" t="s">
        <v>35</v>
      </c>
      <c r="H242" s="27">
        <v>82.0</v>
      </c>
      <c r="I242" s="13"/>
      <c r="J242" s="13"/>
      <c r="K242" s="13"/>
    </row>
    <row r="243">
      <c r="A243" s="13"/>
      <c r="B243" s="13"/>
      <c r="C243" s="13"/>
      <c r="D243" s="13"/>
      <c r="E243" s="13"/>
      <c r="F243" s="13"/>
      <c r="G243" s="13" t="s">
        <v>36</v>
      </c>
      <c r="H243" s="27">
        <v>16.0</v>
      </c>
      <c r="I243" s="13"/>
      <c r="J243" s="13"/>
      <c r="K243" s="13"/>
    </row>
    <row r="244">
      <c r="A244" s="13"/>
      <c r="B244" s="13"/>
      <c r="C244" s="13"/>
      <c r="D244" s="13"/>
      <c r="E244" s="13"/>
      <c r="F244" s="13"/>
      <c r="G244" s="13" t="s">
        <v>38</v>
      </c>
      <c r="H244" s="22">
        <v>0.276</v>
      </c>
      <c r="I244" s="13"/>
      <c r="J244" s="13"/>
      <c r="K244" s="13"/>
    </row>
    <row r="245">
      <c r="A245" s="13"/>
      <c r="B245" s="13"/>
      <c r="C245" s="13"/>
      <c r="D245" s="13"/>
      <c r="E245" s="13"/>
      <c r="F245" s="13"/>
      <c r="G245" s="30" t="s">
        <v>12</v>
      </c>
      <c r="H245" s="13"/>
      <c r="I245" s="13"/>
      <c r="J245" s="13"/>
      <c r="K245" s="13"/>
    </row>
    <row r="246">
      <c r="A246" s="13"/>
      <c r="B246" s="13"/>
      <c r="C246" s="13"/>
      <c r="D246" s="13"/>
      <c r="E246" s="13"/>
      <c r="F246" s="13"/>
      <c r="G246" s="13" t="s">
        <v>5</v>
      </c>
      <c r="H246" s="22">
        <v>1662.0</v>
      </c>
      <c r="I246" s="13"/>
      <c r="J246" s="13"/>
      <c r="K246" s="13"/>
    </row>
    <row r="247">
      <c r="A247" s="13"/>
      <c r="B247" s="13"/>
      <c r="C247" s="13"/>
      <c r="D247" s="13"/>
      <c r="E247" s="13"/>
      <c r="F247" s="13"/>
      <c r="G247" s="23" t="s">
        <v>7</v>
      </c>
      <c r="H247" s="24">
        <v>827.72</v>
      </c>
      <c r="I247" s="13"/>
      <c r="J247" s="13"/>
      <c r="K247" s="13"/>
    </row>
    <row r="248">
      <c r="A248" s="13"/>
      <c r="B248" s="13"/>
      <c r="C248" s="13"/>
      <c r="D248" s="13"/>
      <c r="E248" s="13"/>
      <c r="F248" s="13"/>
      <c r="G248" s="13" t="s">
        <v>30</v>
      </c>
      <c r="H248" s="22">
        <f>10^(0.40679-1.984*LOG(827.72)+0.3246*(LOG(827.72))^2-0.03418*(LOG(827.72))^3)</f>
        <v>0.0003405920818</v>
      </c>
      <c r="I248" s="13"/>
      <c r="J248" s="13"/>
      <c r="K248" s="13"/>
    </row>
    <row r="249">
      <c r="A249" s="13"/>
      <c r="B249" s="13"/>
      <c r="C249" s="13"/>
      <c r="D249" s="13"/>
      <c r="E249" s="13"/>
      <c r="F249" s="13"/>
      <c r="G249" s="13" t="s">
        <v>31</v>
      </c>
      <c r="H249" s="22">
        <f>-149.6322+73.789*LN(827.72)-10.2724*(LN(827.72))^2+0.4748*(LN(827.72)^3)</f>
        <v>26.42958219</v>
      </c>
      <c r="I249" s="13"/>
      <c r="J249" s="13"/>
      <c r="K249" s="13"/>
    </row>
    <row r="250">
      <c r="A250" s="13"/>
      <c r="B250" s="13"/>
      <c r="C250" s="13"/>
      <c r="D250" s="13"/>
      <c r="E250" s="13"/>
      <c r="F250" s="13"/>
      <c r="G250" s="25" t="s">
        <v>33</v>
      </c>
      <c r="H250" s="26">
        <f>H248*((263.8+H249)/(107.4+H249))</f>
        <v>0.0007386251679</v>
      </c>
      <c r="I250" s="13"/>
      <c r="J250" s="13"/>
      <c r="K250" s="13"/>
    </row>
    <row r="251">
      <c r="A251" s="13"/>
      <c r="B251" s="13"/>
      <c r="C251" s="13"/>
      <c r="D251" s="13"/>
      <c r="E251" s="13"/>
      <c r="F251" s="13"/>
      <c r="G251" s="13" t="s">
        <v>35</v>
      </c>
      <c r="H251" s="27">
        <v>43.0</v>
      </c>
      <c r="I251" s="13"/>
      <c r="J251" s="13"/>
      <c r="K251" s="13"/>
    </row>
    <row r="252">
      <c r="A252" s="13"/>
      <c r="B252" s="13"/>
      <c r="C252" s="13"/>
      <c r="D252" s="13"/>
      <c r="E252" s="13"/>
      <c r="F252" s="13"/>
      <c r="G252" s="13" t="s">
        <v>36</v>
      </c>
      <c r="H252" s="27">
        <v>16.0</v>
      </c>
      <c r="I252" s="13"/>
      <c r="J252" s="13"/>
      <c r="K252" s="13"/>
    </row>
    <row r="253">
      <c r="A253" s="13"/>
      <c r="B253" s="13"/>
      <c r="C253" s="13"/>
      <c r="D253" s="13"/>
      <c r="E253" s="13"/>
      <c r="F253" s="13"/>
      <c r="G253" s="13" t="s">
        <v>38</v>
      </c>
      <c r="H253" s="22">
        <v>0.242</v>
      </c>
      <c r="I253" s="13"/>
      <c r="J253" s="13"/>
      <c r="K253" s="13"/>
    </row>
    <row r="254">
      <c r="A254" s="13"/>
      <c r="B254" s="13"/>
      <c r="C254" s="13"/>
      <c r="D254" s="13"/>
      <c r="E254" s="13"/>
      <c r="F254" s="13"/>
      <c r="I254" s="13"/>
      <c r="J254" s="13"/>
      <c r="K254" s="13"/>
    </row>
    <row r="255">
      <c r="A255" s="13"/>
      <c r="B255" s="13"/>
      <c r="C255" s="13"/>
      <c r="D255" s="13"/>
      <c r="E255" s="13"/>
      <c r="F255" s="13"/>
      <c r="G255" s="13" t="s">
        <v>42</v>
      </c>
      <c r="H255" s="22">
        <v>0.4935</v>
      </c>
      <c r="I255" s="13"/>
      <c r="J255" s="13"/>
      <c r="K255" s="13"/>
    </row>
    <row r="256">
      <c r="A256" s="13"/>
      <c r="B256" s="13"/>
      <c r="C256" s="13"/>
      <c r="D256" s="13"/>
      <c r="E256" s="13"/>
      <c r="F256" s="13"/>
      <c r="G256" s="13" t="s">
        <v>44</v>
      </c>
      <c r="H256" s="22">
        <v>80.916288</v>
      </c>
      <c r="I256" s="13"/>
      <c r="J256" s="13"/>
      <c r="K256" s="13"/>
    </row>
    <row r="257">
      <c r="A257" s="13"/>
      <c r="B257" s="13"/>
      <c r="C257" s="13"/>
      <c r="D257" s="13"/>
      <c r="E257" s="13"/>
      <c r="F257" s="13"/>
      <c r="G257" s="13" t="s">
        <v>45</v>
      </c>
      <c r="H257" s="28">
        <f>46*10^-24</f>
        <v>0</v>
      </c>
      <c r="I257" s="13"/>
      <c r="J257" s="13"/>
      <c r="K257" s="13"/>
    </row>
    <row r="258">
      <c r="A258" s="13"/>
      <c r="B258" s="13"/>
      <c r="C258" s="13"/>
      <c r="D258" s="13"/>
      <c r="E258" s="13"/>
      <c r="F258" s="13"/>
      <c r="G258" s="13" t="s">
        <v>46</v>
      </c>
      <c r="H258" s="28">
        <f>2.36*10^-24</f>
        <v>0</v>
      </c>
      <c r="I258" s="13"/>
      <c r="J258" s="13"/>
      <c r="K258" s="13"/>
    </row>
    <row r="259">
      <c r="A259" s="13"/>
      <c r="B259" s="13"/>
      <c r="C259" s="13"/>
      <c r="D259" s="13"/>
      <c r="E259" s="13"/>
      <c r="F259" s="13"/>
      <c r="G259" s="13" t="s">
        <v>47</v>
      </c>
      <c r="H259" s="22">
        <f>5.4572*10^-6</f>
        <v>0.0000054572</v>
      </c>
      <c r="I259" s="13"/>
      <c r="J259" s="13"/>
      <c r="K259" s="13"/>
    </row>
    <row r="260">
      <c r="A260" s="13"/>
      <c r="B260" s="13"/>
      <c r="C260" s="13"/>
      <c r="D260" s="13"/>
      <c r="E260" s="13"/>
      <c r="F260" s="13"/>
      <c r="I260" s="13"/>
      <c r="J260" s="13"/>
      <c r="K260" s="13"/>
    </row>
    <row r="261">
      <c r="A261" s="31" t="s">
        <v>51</v>
      </c>
      <c r="B261" s="25"/>
      <c r="C261" s="25"/>
      <c r="D261" s="25"/>
      <c r="E261" s="25"/>
      <c r="F261" s="25"/>
      <c r="G261" s="12"/>
      <c r="H261" s="12"/>
      <c r="I261" s="25"/>
      <c r="J261" s="25"/>
      <c r="K261" s="25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</row>
    <row r="262">
      <c r="A262" s="13"/>
      <c r="B262" s="13"/>
      <c r="C262" s="13"/>
      <c r="D262" s="13"/>
      <c r="E262" s="13"/>
      <c r="F262" s="13"/>
      <c r="I262" s="13"/>
      <c r="J262" s="13"/>
      <c r="K262" s="13"/>
    </row>
    <row r="263">
      <c r="A263" s="3" t="s">
        <v>49</v>
      </c>
      <c r="C263" s="13"/>
      <c r="D263" s="3" t="s">
        <v>52</v>
      </c>
      <c r="E263" s="13"/>
      <c r="F263" s="13"/>
      <c r="G263" s="3" t="s">
        <v>53</v>
      </c>
      <c r="H263" s="13"/>
      <c r="I263" s="13"/>
      <c r="J263" s="30">
        <v>676.92</v>
      </c>
      <c r="K263" s="13"/>
    </row>
    <row r="264">
      <c r="A264" s="5" t="s">
        <v>6</v>
      </c>
      <c r="C264" s="13"/>
      <c r="D264" s="5" t="s">
        <v>6</v>
      </c>
      <c r="E264" s="13"/>
      <c r="F264" s="13"/>
      <c r="G264" s="5" t="s">
        <v>6</v>
      </c>
      <c r="H264" s="22"/>
      <c r="I264" s="13"/>
      <c r="J264" s="30">
        <v>960.37</v>
      </c>
      <c r="K264" s="13"/>
    </row>
    <row r="265">
      <c r="A265" s="5" t="s">
        <v>5</v>
      </c>
      <c r="B265" s="5">
        <v>2277.15</v>
      </c>
      <c r="C265" s="13"/>
      <c r="D265" s="5" t="s">
        <v>5</v>
      </c>
      <c r="E265" s="30">
        <v>2714.48</v>
      </c>
      <c r="F265" s="13"/>
      <c r="G265" s="5" t="s">
        <v>5</v>
      </c>
      <c r="H265" s="27">
        <v>2186.0</v>
      </c>
      <c r="I265" s="13"/>
      <c r="J265" s="30"/>
      <c r="K265" s="13"/>
    </row>
    <row r="266">
      <c r="A266" s="6" t="s">
        <v>7</v>
      </c>
      <c r="B266" s="5">
        <v>1120.545</v>
      </c>
      <c r="C266" s="13"/>
      <c r="D266" s="6" t="s">
        <v>7</v>
      </c>
      <c r="E266" s="30">
        <v>1332.492</v>
      </c>
      <c r="F266" s="13"/>
      <c r="G266" s="6" t="s">
        <v>7</v>
      </c>
      <c r="H266" s="27">
        <v>1077.0</v>
      </c>
      <c r="I266" s="13"/>
      <c r="J266" s="30">
        <v>1265.52</v>
      </c>
      <c r="K266" s="13"/>
    </row>
    <row r="267">
      <c r="A267" s="5" t="s">
        <v>30</v>
      </c>
      <c r="C267" s="13"/>
      <c r="D267" s="11" t="s">
        <v>54</v>
      </c>
      <c r="E267" s="13"/>
      <c r="F267" s="13"/>
      <c r="G267" s="11" t="s">
        <v>54</v>
      </c>
      <c r="H267" s="22"/>
      <c r="I267" s="13"/>
      <c r="J267" s="5">
        <v>1533.64</v>
      </c>
      <c r="K267" s="13"/>
    </row>
    <row r="268">
      <c r="A268" s="5" t="s">
        <v>31</v>
      </c>
      <c r="C268" s="13"/>
      <c r="D268" s="5" t="s">
        <v>35</v>
      </c>
      <c r="E268" s="30">
        <v>136.0</v>
      </c>
      <c r="F268" s="13"/>
      <c r="G268" s="5" t="s">
        <v>35</v>
      </c>
      <c r="H268" s="27">
        <v>175.0</v>
      </c>
      <c r="I268" s="13"/>
      <c r="J268" s="30">
        <v>1765.18</v>
      </c>
      <c r="K268" s="13"/>
    </row>
    <row r="269">
      <c r="A269" s="11" t="s">
        <v>33</v>
      </c>
      <c r="C269" s="13"/>
      <c r="D269" s="5" t="s">
        <v>36</v>
      </c>
      <c r="E269" s="30">
        <v>28.0</v>
      </c>
      <c r="F269" s="13"/>
      <c r="G269" s="5" t="s">
        <v>36</v>
      </c>
      <c r="H269" s="27">
        <v>26.0</v>
      </c>
      <c r="I269" s="13"/>
      <c r="J269" s="13"/>
      <c r="K269" s="13"/>
    </row>
    <row r="270">
      <c r="A270" s="5" t="s">
        <v>35</v>
      </c>
      <c r="B270" s="5">
        <v>82.0</v>
      </c>
      <c r="C270" s="13"/>
      <c r="D270" s="5" t="s">
        <v>38</v>
      </c>
      <c r="E270" s="30">
        <v>0.999826</v>
      </c>
      <c r="F270" s="13"/>
      <c r="G270" s="5" t="s">
        <v>38</v>
      </c>
      <c r="H270" s="27">
        <v>0.0864</v>
      </c>
      <c r="I270" s="13"/>
      <c r="J270" s="13"/>
      <c r="K270" s="13"/>
    </row>
    <row r="271">
      <c r="A271" s="5" t="s">
        <v>36</v>
      </c>
      <c r="B271" s="5">
        <v>33.0</v>
      </c>
      <c r="C271" s="13"/>
      <c r="D271" s="5" t="s">
        <v>8</v>
      </c>
      <c r="E271" s="13"/>
      <c r="F271" s="13"/>
      <c r="G271" s="13"/>
      <c r="H271" s="22"/>
      <c r="I271" s="13"/>
      <c r="J271" s="13"/>
      <c r="K271" s="13"/>
    </row>
    <row r="272">
      <c r="A272" s="5" t="s">
        <v>38</v>
      </c>
      <c r="B272" s="5">
        <v>0.99987</v>
      </c>
      <c r="C272" s="13"/>
      <c r="D272" s="5" t="s">
        <v>5</v>
      </c>
      <c r="E272" s="30">
        <v>2386.48</v>
      </c>
      <c r="F272" s="13"/>
      <c r="G272" s="13" t="s">
        <v>42</v>
      </c>
      <c r="H272" s="30">
        <v>0.7217</v>
      </c>
      <c r="I272" s="13"/>
      <c r="J272" s="13"/>
      <c r="K272" s="13"/>
    </row>
    <row r="273">
      <c r="A273" s="5" t="s">
        <v>8</v>
      </c>
      <c r="C273" s="13"/>
      <c r="D273" s="6" t="s">
        <v>7</v>
      </c>
      <c r="E273" s="30">
        <v>1173.228</v>
      </c>
      <c r="F273" s="13"/>
      <c r="G273" s="13" t="s">
        <v>44</v>
      </c>
      <c r="H273" s="5">
        <v>84.91179</v>
      </c>
      <c r="I273" s="13"/>
      <c r="J273" s="13"/>
      <c r="K273" s="13"/>
    </row>
    <row r="274">
      <c r="A274" s="5" t="s">
        <v>5</v>
      </c>
      <c r="B274" s="5">
        <v>1801.13</v>
      </c>
      <c r="C274" s="13"/>
      <c r="D274" s="11" t="s">
        <v>54</v>
      </c>
      <c r="E274" s="13"/>
      <c r="F274" s="13"/>
      <c r="G274" s="13" t="s">
        <v>45</v>
      </c>
      <c r="H274" s="10">
        <f>6.83*10^-24</f>
        <v>0</v>
      </c>
      <c r="I274" s="13"/>
      <c r="J274" s="13"/>
      <c r="K274" s="13"/>
    </row>
    <row r="275">
      <c r="A275" s="6" t="s">
        <v>7</v>
      </c>
      <c r="B275" s="5">
        <v>889.277</v>
      </c>
      <c r="C275" s="13"/>
      <c r="D275" s="5" t="s">
        <v>35</v>
      </c>
      <c r="E275" s="30">
        <v>223.0</v>
      </c>
      <c r="F275" s="13"/>
      <c r="G275" s="13" t="s">
        <v>46</v>
      </c>
      <c r="H275" s="10">
        <f>0.494*10^-24</f>
        <v>0</v>
      </c>
      <c r="I275" s="13"/>
      <c r="J275" s="13"/>
      <c r="K275" s="13"/>
    </row>
    <row r="276">
      <c r="A276" s="5" t="s">
        <v>30</v>
      </c>
      <c r="C276" s="13"/>
      <c r="D276" s="5" t="s">
        <v>36</v>
      </c>
      <c r="E276" s="30">
        <v>24.0</v>
      </c>
      <c r="F276" s="13"/>
      <c r="G276" s="13" t="s">
        <v>47</v>
      </c>
      <c r="H276" s="10">
        <f>4.1695*10^-9</f>
        <v>0.0000000041695</v>
      </c>
      <c r="I276" s="13"/>
      <c r="J276" s="13"/>
      <c r="K276" s="13"/>
    </row>
    <row r="277">
      <c r="A277" s="5" t="s">
        <v>31</v>
      </c>
      <c r="C277" s="13"/>
      <c r="D277" s="5" t="s">
        <v>38</v>
      </c>
      <c r="E277" s="30">
        <v>0.9985</v>
      </c>
      <c r="F277" s="13"/>
      <c r="I277" s="13"/>
      <c r="J277" s="13"/>
      <c r="K277" s="13"/>
    </row>
    <row r="278">
      <c r="A278" s="11" t="s">
        <v>33</v>
      </c>
      <c r="C278" s="13"/>
      <c r="E278" s="13"/>
      <c r="F278" s="13"/>
      <c r="G278" s="13"/>
      <c r="H278" s="13"/>
      <c r="I278" s="13"/>
      <c r="J278" s="13"/>
      <c r="K278" s="13"/>
    </row>
    <row r="279">
      <c r="A279" s="5" t="s">
        <v>35</v>
      </c>
      <c r="B279" s="5">
        <v>400.0</v>
      </c>
      <c r="D279" s="13" t="s">
        <v>42</v>
      </c>
      <c r="E279" s="5">
        <v>1.0</v>
      </c>
    </row>
    <row r="280">
      <c r="A280" s="5" t="s">
        <v>36</v>
      </c>
      <c r="B280" s="5">
        <v>30.0</v>
      </c>
      <c r="D280" s="13" t="s">
        <v>44</v>
      </c>
      <c r="E280" s="5">
        <v>58.933194</v>
      </c>
    </row>
    <row r="281">
      <c r="A281" s="5" t="s">
        <v>38</v>
      </c>
      <c r="B281" s="5">
        <v>0.99984</v>
      </c>
      <c r="D281" s="13" t="s">
        <v>45</v>
      </c>
      <c r="E281" s="10">
        <f>75.8*10^-24</f>
        <v>0</v>
      </c>
    </row>
    <row r="282">
      <c r="D282" s="13" t="s">
        <v>46</v>
      </c>
      <c r="E282" s="10">
        <f>37.18*10^-24</f>
        <v>0</v>
      </c>
    </row>
    <row r="283">
      <c r="A283" s="13" t="s">
        <v>42</v>
      </c>
      <c r="B283" s="5">
        <v>1.0</v>
      </c>
      <c r="D283" s="13" t="s">
        <v>47</v>
      </c>
      <c r="E283" s="10">
        <f>4.1695*10^-9</f>
        <v>0.0000000041695</v>
      </c>
    </row>
    <row r="284">
      <c r="A284" s="13" t="s">
        <v>44</v>
      </c>
      <c r="B284" s="5">
        <v>44.955907</v>
      </c>
    </row>
    <row r="285">
      <c r="A285" s="13" t="s">
        <v>45</v>
      </c>
      <c r="B285" s="14">
        <f>12.1*10^-24</f>
        <v>0</v>
      </c>
    </row>
    <row r="286">
      <c r="A286" s="13" t="s">
        <v>46</v>
      </c>
      <c r="B286" s="14">
        <f>27.2*10^-24</f>
        <v>0</v>
      </c>
    </row>
    <row r="287">
      <c r="A287" s="13" t="s">
        <v>47</v>
      </c>
      <c r="B287" s="10">
        <f>9.575*10^-8</f>
        <v>0.00000009575</v>
      </c>
    </row>
    <row r="289">
      <c r="A289" s="6" t="s">
        <v>55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1">
      <c r="A291" s="5" t="s">
        <v>56</v>
      </c>
      <c r="D291" s="5" t="s">
        <v>57</v>
      </c>
      <c r="G291" s="5" t="s">
        <v>58</v>
      </c>
      <c r="J291" s="5" t="s">
        <v>59</v>
      </c>
      <c r="M291" s="5" t="s">
        <v>60</v>
      </c>
      <c r="P291" s="5" t="s">
        <v>61</v>
      </c>
      <c r="S291" s="5" t="s">
        <v>2</v>
      </c>
      <c r="V291" s="5" t="s">
        <v>62</v>
      </c>
    </row>
    <row r="292">
      <c r="A292" s="5" t="s">
        <v>6</v>
      </c>
      <c r="D292" s="5" t="s">
        <v>6</v>
      </c>
      <c r="G292" s="5" t="s">
        <v>6</v>
      </c>
      <c r="J292" s="5" t="s">
        <v>6</v>
      </c>
      <c r="M292" s="5" t="s">
        <v>6</v>
      </c>
      <c r="P292" s="5" t="s">
        <v>6</v>
      </c>
      <c r="S292" s="5" t="s">
        <v>6</v>
      </c>
      <c r="V292" s="5" t="s">
        <v>6</v>
      </c>
    </row>
    <row r="293">
      <c r="A293" s="5" t="s">
        <v>5</v>
      </c>
      <c r="B293" s="5">
        <v>87.47</v>
      </c>
      <c r="D293" s="5" t="s">
        <v>5</v>
      </c>
      <c r="E293" s="5">
        <v>668.35</v>
      </c>
      <c r="G293" s="5" t="s">
        <v>5</v>
      </c>
      <c r="H293" s="5">
        <v>1061.4</v>
      </c>
      <c r="J293" s="5" t="s">
        <v>5</v>
      </c>
      <c r="K293" s="5">
        <v>1157.82</v>
      </c>
      <c r="M293" s="5" t="s">
        <v>5</v>
      </c>
      <c r="N293" s="5">
        <v>1272.66</v>
      </c>
      <c r="P293" s="5" t="s">
        <v>5</v>
      </c>
      <c r="Q293" s="5">
        <v>2120.95</v>
      </c>
      <c r="S293" s="5" t="s">
        <v>5</v>
      </c>
      <c r="T293" s="5">
        <v>2533.22</v>
      </c>
      <c r="V293" s="5" t="s">
        <v>5</v>
      </c>
      <c r="W293" s="5">
        <v>1527.0</v>
      </c>
    </row>
    <row r="294">
      <c r="A294" s="6" t="s">
        <v>7</v>
      </c>
      <c r="B294" s="5">
        <v>46.539</v>
      </c>
      <c r="D294" s="6" t="s">
        <v>7</v>
      </c>
      <c r="E294" s="5">
        <v>351.932</v>
      </c>
      <c r="G294" s="6" t="s">
        <v>7</v>
      </c>
      <c r="H294" s="5">
        <v>559.086</v>
      </c>
      <c r="J294" s="6" t="s">
        <v>7</v>
      </c>
      <c r="K294" s="5">
        <v>609.321</v>
      </c>
      <c r="M294" s="6" t="s">
        <v>7</v>
      </c>
      <c r="N294" s="5">
        <v>669.64</v>
      </c>
      <c r="P294" s="6" t="s">
        <v>7</v>
      </c>
      <c r="Q294" s="5">
        <v>1115.539</v>
      </c>
      <c r="S294" s="6" t="s">
        <v>7</v>
      </c>
      <c r="T294" s="5">
        <v>1332.492</v>
      </c>
      <c r="V294" s="6" t="s">
        <v>7</v>
      </c>
      <c r="W294" s="5">
        <v>803.06</v>
      </c>
    </row>
    <row r="295">
      <c r="A295" s="5" t="s">
        <v>63</v>
      </c>
      <c r="B295" s="5">
        <v>311.0</v>
      </c>
      <c r="D295" s="5" t="s">
        <v>63</v>
      </c>
      <c r="E295" s="5">
        <v>507.0</v>
      </c>
      <c r="G295" s="5" t="s">
        <v>63</v>
      </c>
      <c r="H295" s="5">
        <v>479.0</v>
      </c>
      <c r="J295" s="5" t="s">
        <v>63</v>
      </c>
      <c r="K295" s="5">
        <v>304.0</v>
      </c>
      <c r="M295" s="5" t="s">
        <v>63</v>
      </c>
      <c r="N295" s="5">
        <v>393.0</v>
      </c>
      <c r="P295" s="5" t="s">
        <v>63</v>
      </c>
      <c r="Q295" s="5">
        <v>213.0</v>
      </c>
      <c r="S295" s="5" t="s">
        <v>63</v>
      </c>
      <c r="T295" s="5">
        <v>124.0</v>
      </c>
      <c r="V295" s="5" t="s">
        <v>63</v>
      </c>
      <c r="W295" s="5">
        <v>298.0</v>
      </c>
    </row>
    <row r="296">
      <c r="A296" s="5" t="s">
        <v>36</v>
      </c>
      <c r="B296" s="5">
        <v>186.0</v>
      </c>
      <c r="D296" s="5" t="s">
        <v>36</v>
      </c>
      <c r="E296" s="5">
        <v>121.0</v>
      </c>
      <c r="G296" s="5" t="s">
        <v>36</v>
      </c>
      <c r="H296" s="5">
        <v>87.0</v>
      </c>
      <c r="J296" s="5" t="s">
        <v>36</v>
      </c>
      <c r="K296" s="5">
        <v>91.0</v>
      </c>
      <c r="M296" s="5" t="s">
        <v>36</v>
      </c>
      <c r="N296" s="5">
        <v>80.0</v>
      </c>
      <c r="P296" s="5" t="s">
        <v>36</v>
      </c>
      <c r="Q296" s="5">
        <v>57.0</v>
      </c>
      <c r="S296" s="5" t="s">
        <v>36</v>
      </c>
      <c r="T296" s="5">
        <v>44.0</v>
      </c>
      <c r="V296" s="5" t="s">
        <v>36</v>
      </c>
      <c r="W296" s="5">
        <v>69.0</v>
      </c>
    </row>
    <row r="297">
      <c r="A297" s="5" t="s">
        <v>38</v>
      </c>
      <c r="B297" s="5">
        <v>0.0425</v>
      </c>
      <c r="D297" s="5" t="s">
        <v>38</v>
      </c>
      <c r="E297" s="5">
        <v>0.3572</v>
      </c>
      <c r="G297" s="5" t="s">
        <v>38</v>
      </c>
      <c r="H297" s="5">
        <v>0.407</v>
      </c>
      <c r="J297" s="5" t="s">
        <v>38</v>
      </c>
      <c r="K297" s="5">
        <v>0.4544</v>
      </c>
      <c r="M297" s="5" t="s">
        <v>38</v>
      </c>
      <c r="N297" s="5">
        <v>0.083</v>
      </c>
      <c r="P297" s="5" t="s">
        <v>38</v>
      </c>
      <c r="Q297" s="5">
        <v>0.5004</v>
      </c>
      <c r="S297" s="5" t="s">
        <v>38</v>
      </c>
      <c r="T297" s="5">
        <v>0.999826</v>
      </c>
      <c r="V297" s="5" t="s">
        <v>38</v>
      </c>
      <c r="W297" s="5">
        <v>1.03E-5</v>
      </c>
    </row>
    <row r="298">
      <c r="D298" s="5" t="s">
        <v>8</v>
      </c>
      <c r="J298" s="5" t="s">
        <v>8</v>
      </c>
      <c r="M298" s="5" t="s">
        <v>8</v>
      </c>
      <c r="S298" s="5" t="s">
        <v>8</v>
      </c>
    </row>
    <row r="299">
      <c r="D299" s="5" t="s">
        <v>5</v>
      </c>
      <c r="E299" s="5">
        <v>561.47</v>
      </c>
      <c r="J299" s="5" t="s">
        <v>5</v>
      </c>
      <c r="K299" s="5">
        <v>3354.87</v>
      </c>
      <c r="M299" s="5" t="s">
        <v>5</v>
      </c>
      <c r="N299" s="5">
        <v>1829.0</v>
      </c>
      <c r="S299" s="5" t="s">
        <v>5</v>
      </c>
      <c r="T299" s="5">
        <v>2233.0</v>
      </c>
    </row>
    <row r="300">
      <c r="A300" s="5">
        <v>65.57</v>
      </c>
      <c r="D300" s="6" t="s">
        <v>7</v>
      </c>
      <c r="E300" s="5">
        <v>295.224</v>
      </c>
      <c r="J300" s="6" t="s">
        <v>7</v>
      </c>
      <c r="K300" s="5">
        <v>1764.491</v>
      </c>
      <c r="M300" s="6" t="s">
        <v>7</v>
      </c>
      <c r="N300" s="5">
        <v>962.07</v>
      </c>
      <c r="S300" s="6" t="s">
        <v>7</v>
      </c>
      <c r="T300" s="5">
        <v>1173.228</v>
      </c>
    </row>
    <row r="301">
      <c r="A301" s="5">
        <v>76.57</v>
      </c>
      <c r="D301" s="5" t="s">
        <v>63</v>
      </c>
      <c r="E301" s="5">
        <v>288.0</v>
      </c>
      <c r="J301" s="5" t="s">
        <v>63</v>
      </c>
      <c r="K301" s="5">
        <v>189.0</v>
      </c>
      <c r="M301" s="5" t="s">
        <v>63</v>
      </c>
      <c r="N301" s="5">
        <v>537.0</v>
      </c>
      <c r="S301" s="5" t="s">
        <v>63</v>
      </c>
      <c r="T301" s="5">
        <v>135.0</v>
      </c>
    </row>
    <row r="302">
      <c r="A302" s="5">
        <v>109.65</v>
      </c>
      <c r="D302" s="5" t="s">
        <v>36</v>
      </c>
      <c r="E302" s="5">
        <v>138.0</v>
      </c>
      <c r="J302" s="5" t="s">
        <v>36</v>
      </c>
      <c r="K302" s="5">
        <v>32.0</v>
      </c>
      <c r="M302" s="5" t="s">
        <v>36</v>
      </c>
      <c r="N302" s="5">
        <v>64.0</v>
      </c>
      <c r="S302" s="5" t="s">
        <v>36</v>
      </c>
      <c r="T302" s="5">
        <v>56.0</v>
      </c>
    </row>
    <row r="303">
      <c r="A303" s="5">
        <v>139.42</v>
      </c>
      <c r="D303" s="5" t="s">
        <v>38</v>
      </c>
      <c r="E303" s="5">
        <v>0.1847</v>
      </c>
      <c r="J303" s="5" t="s">
        <v>38</v>
      </c>
      <c r="K303" s="5">
        <v>0.1529</v>
      </c>
      <c r="M303" s="5" t="s">
        <v>38</v>
      </c>
      <c r="N303" s="5">
        <v>0.065</v>
      </c>
      <c r="S303" s="5" t="s">
        <v>38</v>
      </c>
      <c r="T303" s="5">
        <v>0.9985</v>
      </c>
    </row>
    <row r="304">
      <c r="A304" s="5">
        <v>197.57</v>
      </c>
      <c r="J304" s="5" t="s">
        <v>9</v>
      </c>
      <c r="M304" s="5" t="s">
        <v>9</v>
      </c>
    </row>
    <row r="305">
      <c r="A305" s="5">
        <v>238.24</v>
      </c>
      <c r="J305" s="5" t="s">
        <v>5</v>
      </c>
      <c r="K305" s="5">
        <v>2129.8</v>
      </c>
      <c r="M305" s="5" t="s">
        <v>5</v>
      </c>
      <c r="N305" s="5">
        <v>2685.21</v>
      </c>
    </row>
    <row r="306">
      <c r="A306" s="5">
        <v>568.63</v>
      </c>
      <c r="J306" s="6" t="s">
        <v>7</v>
      </c>
      <c r="K306" s="5">
        <v>1120.294</v>
      </c>
      <c r="M306" s="6" t="s">
        <v>7</v>
      </c>
      <c r="N306" s="5">
        <v>1412.07</v>
      </c>
    </row>
    <row r="307">
      <c r="A307" s="5">
        <v>598.84</v>
      </c>
      <c r="J307" s="5" t="s">
        <v>63</v>
      </c>
      <c r="K307" s="5">
        <v>103.0</v>
      </c>
      <c r="M307" s="5" t="s">
        <v>63</v>
      </c>
      <c r="N307" s="5">
        <v>63.0</v>
      </c>
    </row>
    <row r="308">
      <c r="A308" s="5">
        <v>695.38</v>
      </c>
      <c r="J308" s="5" t="s">
        <v>36</v>
      </c>
      <c r="K308" s="5">
        <v>56.0</v>
      </c>
      <c r="M308" s="5" t="s">
        <v>36</v>
      </c>
      <c r="N308" s="5">
        <v>41.0</v>
      </c>
    </row>
    <row r="309">
      <c r="A309" s="5">
        <v>770.85</v>
      </c>
      <c r="J309" s="5" t="s">
        <v>38</v>
      </c>
      <c r="K309" s="5">
        <v>0.149</v>
      </c>
      <c r="M309" s="5" t="s">
        <v>38</v>
      </c>
      <c r="N309" s="5">
        <v>0.0074</v>
      </c>
    </row>
    <row r="310">
      <c r="J310" s="5" t="s">
        <v>10</v>
      </c>
    </row>
    <row r="311">
      <c r="A311" s="5">
        <v>1327.11</v>
      </c>
      <c r="J311" s="5" t="s">
        <v>5</v>
      </c>
      <c r="K311" s="5">
        <v>2343.08</v>
      </c>
    </row>
    <row r="312">
      <c r="A312" s="5">
        <v>1592.92</v>
      </c>
      <c r="J312" s="6" t="s">
        <v>7</v>
      </c>
      <c r="K312" s="5">
        <v>1238.122</v>
      </c>
    </row>
    <row r="313">
      <c r="A313" s="5">
        <v>2103.95</v>
      </c>
      <c r="J313" s="5" t="s">
        <v>63</v>
      </c>
      <c r="K313" s="5">
        <v>88.0</v>
      </c>
    </row>
    <row r="314">
      <c r="J314" s="5" t="s">
        <v>36</v>
      </c>
      <c r="K314" s="5">
        <v>54.0</v>
      </c>
    </row>
    <row r="315">
      <c r="J315" s="5" t="s">
        <v>38</v>
      </c>
      <c r="K315" s="5">
        <v>0.0583</v>
      </c>
    </row>
    <row r="317">
      <c r="A317" s="32" t="s">
        <v>64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</row>
    <row r="319">
      <c r="A319" s="5" t="s">
        <v>56</v>
      </c>
      <c r="D319" s="5" t="s">
        <v>57</v>
      </c>
      <c r="G319" s="5" t="s">
        <v>58</v>
      </c>
      <c r="J319" s="5" t="s">
        <v>59</v>
      </c>
      <c r="M319" s="5" t="s">
        <v>60</v>
      </c>
      <c r="P319" s="5" t="s">
        <v>61</v>
      </c>
      <c r="S319" s="13" t="s">
        <v>62</v>
      </c>
      <c r="T319" s="13"/>
    </row>
    <row r="320">
      <c r="A320" s="5" t="s">
        <v>6</v>
      </c>
      <c r="D320" s="5" t="s">
        <v>6</v>
      </c>
      <c r="G320" s="5" t="s">
        <v>6</v>
      </c>
      <c r="J320" s="5" t="s">
        <v>6</v>
      </c>
      <c r="M320" s="5" t="s">
        <v>6</v>
      </c>
      <c r="P320" s="5" t="s">
        <v>6</v>
      </c>
      <c r="S320" s="13" t="s">
        <v>6</v>
      </c>
      <c r="T320" s="13"/>
    </row>
    <row r="321">
      <c r="A321" s="5" t="s">
        <v>5</v>
      </c>
      <c r="B321" s="5">
        <v>87.69</v>
      </c>
      <c r="D321" s="5" t="s">
        <v>5</v>
      </c>
      <c r="E321" s="5">
        <v>668.35</v>
      </c>
      <c r="G321" s="5" t="s">
        <v>5</v>
      </c>
      <c r="H321" s="5">
        <v>1061.4</v>
      </c>
      <c r="J321" s="5" t="s">
        <v>5</v>
      </c>
      <c r="K321" s="5">
        <v>1157.82</v>
      </c>
      <c r="M321" s="5" t="s">
        <v>5</v>
      </c>
      <c r="N321" s="5">
        <v>1272.66</v>
      </c>
      <c r="P321" s="5" t="s">
        <v>5</v>
      </c>
      <c r="Q321" s="5">
        <v>2120.95</v>
      </c>
      <c r="S321" s="13" t="s">
        <v>5</v>
      </c>
      <c r="T321" s="22">
        <v>1527.0</v>
      </c>
    </row>
    <row r="322">
      <c r="A322" s="6" t="s">
        <v>7</v>
      </c>
      <c r="B322" s="5">
        <v>46.539</v>
      </c>
      <c r="D322" s="6" t="s">
        <v>7</v>
      </c>
      <c r="E322" s="5">
        <v>351.932</v>
      </c>
      <c r="G322" s="6" t="s">
        <v>7</v>
      </c>
      <c r="H322" s="5">
        <v>559.086</v>
      </c>
      <c r="J322" s="6" t="s">
        <v>7</v>
      </c>
      <c r="K322" s="5">
        <v>609.321</v>
      </c>
      <c r="M322" s="6" t="s">
        <v>7</v>
      </c>
      <c r="N322" s="5">
        <v>669.64</v>
      </c>
      <c r="P322" s="6" t="s">
        <v>7</v>
      </c>
      <c r="Q322" s="5">
        <v>1115.539</v>
      </c>
      <c r="S322" s="34" t="s">
        <v>7</v>
      </c>
      <c r="T322" s="22">
        <v>803.06</v>
      </c>
      <c r="V322" s="35"/>
    </row>
    <row r="323">
      <c r="A323" s="5" t="s">
        <v>63</v>
      </c>
      <c r="B323" s="5">
        <v>726.0</v>
      </c>
      <c r="D323" s="5" t="s">
        <v>63</v>
      </c>
      <c r="E323" s="5">
        <v>557.0</v>
      </c>
      <c r="G323" s="5" t="s">
        <v>63</v>
      </c>
      <c r="H323" s="5">
        <v>536.0</v>
      </c>
      <c r="J323" s="5" t="s">
        <v>63</v>
      </c>
      <c r="K323" s="5">
        <v>398.0</v>
      </c>
      <c r="M323" s="5" t="s">
        <v>63</v>
      </c>
      <c r="N323" s="5">
        <v>449.0</v>
      </c>
      <c r="P323" s="5" t="s">
        <v>63</v>
      </c>
      <c r="Q323" s="5">
        <v>214.0</v>
      </c>
      <c r="S323" s="13" t="s">
        <v>63</v>
      </c>
      <c r="T323" s="27">
        <v>199.0</v>
      </c>
    </row>
    <row r="324">
      <c r="A324" s="5" t="s">
        <v>36</v>
      </c>
      <c r="B324" s="5">
        <v>187.0</v>
      </c>
      <c r="D324" s="5" t="s">
        <v>36</v>
      </c>
      <c r="E324" s="5">
        <v>126.0</v>
      </c>
      <c r="G324" s="5" t="s">
        <v>36</v>
      </c>
      <c r="H324" s="5">
        <v>89.0</v>
      </c>
      <c r="J324" s="5" t="s">
        <v>36</v>
      </c>
      <c r="K324" s="5">
        <v>92.0</v>
      </c>
      <c r="M324" s="5" t="s">
        <v>36</v>
      </c>
      <c r="N324" s="5">
        <v>81.0</v>
      </c>
      <c r="P324" s="5" t="s">
        <v>36</v>
      </c>
      <c r="Q324" s="5">
        <v>60.0</v>
      </c>
      <c r="S324" s="13" t="s">
        <v>36</v>
      </c>
      <c r="T324" s="22">
        <v>69.0</v>
      </c>
    </row>
    <row r="325">
      <c r="A325" s="5" t="s">
        <v>38</v>
      </c>
      <c r="B325" s="5">
        <v>0.0425</v>
      </c>
      <c r="D325" s="5" t="s">
        <v>38</v>
      </c>
      <c r="E325" s="5">
        <v>0.3572</v>
      </c>
      <c r="G325" s="5" t="s">
        <v>38</v>
      </c>
      <c r="H325" s="5">
        <v>0.407</v>
      </c>
      <c r="J325" s="5" t="s">
        <v>38</v>
      </c>
      <c r="K325" s="5">
        <v>0.4544</v>
      </c>
      <c r="M325" s="5" t="s">
        <v>38</v>
      </c>
      <c r="N325" s="5">
        <v>0.083</v>
      </c>
      <c r="P325" s="5" t="s">
        <v>38</v>
      </c>
      <c r="Q325" s="5">
        <v>0.5004</v>
      </c>
      <c r="S325" s="13" t="s">
        <v>38</v>
      </c>
      <c r="T325" s="22">
        <v>1.03E-5</v>
      </c>
    </row>
    <row r="326">
      <c r="D326" s="5" t="s">
        <v>8</v>
      </c>
      <c r="J326" s="5" t="s">
        <v>8</v>
      </c>
      <c r="M326" s="5" t="s">
        <v>8</v>
      </c>
    </row>
    <row r="327">
      <c r="D327" s="5" t="s">
        <v>5</v>
      </c>
      <c r="E327" s="5">
        <v>561.47</v>
      </c>
      <c r="J327" s="5" t="s">
        <v>5</v>
      </c>
      <c r="K327" s="5">
        <v>3354.87</v>
      </c>
      <c r="M327" s="5" t="s">
        <v>5</v>
      </c>
      <c r="N327" s="5">
        <v>1829.0</v>
      </c>
    </row>
    <row r="328">
      <c r="A328" s="5">
        <v>65.57</v>
      </c>
      <c r="D328" s="6" t="s">
        <v>7</v>
      </c>
      <c r="E328" s="5">
        <v>295.224</v>
      </c>
      <c r="J328" s="6" t="s">
        <v>7</v>
      </c>
      <c r="K328" s="5">
        <v>1764.491</v>
      </c>
      <c r="M328" s="6" t="s">
        <v>7</v>
      </c>
      <c r="N328" s="5">
        <v>962.07</v>
      </c>
      <c r="S328" s="35"/>
    </row>
    <row r="329">
      <c r="A329" s="5">
        <v>76.57</v>
      </c>
      <c r="D329" s="5" t="s">
        <v>63</v>
      </c>
      <c r="E329" s="5">
        <v>166.0</v>
      </c>
      <c r="J329" s="5" t="s">
        <v>63</v>
      </c>
      <c r="K329" s="5">
        <v>213.0</v>
      </c>
      <c r="M329" s="5" t="s">
        <v>63</v>
      </c>
      <c r="N329" s="5">
        <v>434.0</v>
      </c>
    </row>
    <row r="330">
      <c r="A330" s="5">
        <v>109.65</v>
      </c>
      <c r="D330" s="5" t="s">
        <v>36</v>
      </c>
      <c r="E330" s="5">
        <v>142.0</v>
      </c>
      <c r="J330" s="5" t="s">
        <v>36</v>
      </c>
      <c r="K330" s="5">
        <v>34.0</v>
      </c>
      <c r="M330" s="5" t="s">
        <v>36</v>
      </c>
      <c r="N330" s="5">
        <v>65.0</v>
      </c>
    </row>
    <row r="331">
      <c r="A331" s="5">
        <v>139.42</v>
      </c>
      <c r="D331" s="5" t="s">
        <v>38</v>
      </c>
      <c r="E331" s="5">
        <v>0.1847</v>
      </c>
      <c r="J331" s="5" t="s">
        <v>38</v>
      </c>
      <c r="K331" s="5">
        <v>0.1529</v>
      </c>
      <c r="M331" s="5" t="s">
        <v>38</v>
      </c>
      <c r="N331" s="5">
        <v>0.065</v>
      </c>
    </row>
    <row r="332">
      <c r="A332" s="5">
        <v>197.57</v>
      </c>
      <c r="J332" s="5" t="s">
        <v>9</v>
      </c>
    </row>
    <row r="333">
      <c r="A333" s="5">
        <v>238.24</v>
      </c>
      <c r="J333" s="5" t="s">
        <v>5</v>
      </c>
      <c r="K333" s="5">
        <v>2129.8</v>
      </c>
    </row>
    <row r="334">
      <c r="A334" s="5">
        <v>568.63</v>
      </c>
      <c r="J334" s="6" t="s">
        <v>7</v>
      </c>
      <c r="K334" s="5">
        <v>1120.294</v>
      </c>
      <c r="M334" s="35"/>
    </row>
    <row r="335">
      <c r="A335" s="5">
        <v>598.84</v>
      </c>
      <c r="J335" s="5" t="s">
        <v>63</v>
      </c>
      <c r="K335" s="5">
        <v>148.0</v>
      </c>
    </row>
    <row r="336">
      <c r="A336" s="5">
        <v>695.38</v>
      </c>
      <c r="J336" s="5" t="s">
        <v>36</v>
      </c>
      <c r="K336" s="5">
        <v>57.0</v>
      </c>
    </row>
    <row r="337">
      <c r="A337" s="5">
        <v>770.85</v>
      </c>
      <c r="J337" s="5" t="s">
        <v>38</v>
      </c>
      <c r="K337" s="5">
        <v>0.149</v>
      </c>
    </row>
    <row r="339">
      <c r="A339" s="5">
        <v>1327.11</v>
      </c>
    </row>
    <row r="340">
      <c r="A340" s="5">
        <v>1592.92</v>
      </c>
      <c r="J340" s="35"/>
    </row>
    <row r="341">
      <c r="A341" s="5">
        <v>2103.95</v>
      </c>
    </row>
    <row r="343">
      <c r="A343" s="36" t="s">
        <v>65</v>
      </c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</row>
    <row r="345">
      <c r="A345" s="38" t="s">
        <v>18</v>
      </c>
      <c r="B345" s="39"/>
      <c r="D345" s="38" t="s">
        <v>19</v>
      </c>
      <c r="E345" s="39"/>
      <c r="G345" s="38" t="s">
        <v>20</v>
      </c>
      <c r="H345" s="39"/>
      <c r="J345" s="38" t="s">
        <v>49</v>
      </c>
      <c r="K345" s="39"/>
      <c r="M345" s="38" t="s">
        <v>52</v>
      </c>
      <c r="N345" s="39"/>
      <c r="P345" s="38" t="s">
        <v>66</v>
      </c>
      <c r="Q345" s="39"/>
      <c r="S345" s="38" t="s">
        <v>67</v>
      </c>
      <c r="T345" s="39"/>
      <c r="V345" s="38" t="s">
        <v>53</v>
      </c>
      <c r="W345" s="39"/>
      <c r="Y345" s="38" t="s">
        <v>68</v>
      </c>
      <c r="Z345" s="39"/>
      <c r="AB345" s="38" t="s">
        <v>69</v>
      </c>
      <c r="AC345" s="39"/>
      <c r="AE345" s="38" t="s">
        <v>70</v>
      </c>
      <c r="AF345" s="39"/>
      <c r="AH345" s="38" t="s">
        <v>71</v>
      </c>
      <c r="AI345" s="39"/>
      <c r="AK345" s="38" t="s">
        <v>72</v>
      </c>
      <c r="AL345" s="39"/>
      <c r="AN345" s="38" t="s">
        <v>73</v>
      </c>
      <c r="AO345" s="39"/>
      <c r="AQ345" s="40" t="s">
        <v>74</v>
      </c>
      <c r="AR345" s="41"/>
      <c r="AS345" s="41"/>
      <c r="AT345" s="41"/>
      <c r="AU345" s="41"/>
      <c r="AV345" s="39"/>
    </row>
    <row r="346">
      <c r="A346" s="42" t="s">
        <v>6</v>
      </c>
      <c r="B346" s="43"/>
      <c r="D346" s="42" t="s">
        <v>6</v>
      </c>
      <c r="E346" s="43"/>
      <c r="G346" s="42" t="s">
        <v>6</v>
      </c>
      <c r="H346" s="43"/>
      <c r="J346" s="42" t="s">
        <v>6</v>
      </c>
      <c r="K346" s="43"/>
      <c r="M346" s="42" t="s">
        <v>6</v>
      </c>
      <c r="N346" s="44"/>
      <c r="P346" s="42" t="s">
        <v>6</v>
      </c>
      <c r="Q346" s="43"/>
      <c r="S346" s="42" t="s">
        <v>6</v>
      </c>
      <c r="T346" s="43"/>
      <c r="V346" s="42" t="s">
        <v>6</v>
      </c>
      <c r="W346" s="45"/>
      <c r="Y346" s="42" t="s">
        <v>6</v>
      </c>
      <c r="Z346" s="43"/>
      <c r="AB346" s="42" t="s">
        <v>6</v>
      </c>
      <c r="AC346" s="43"/>
      <c r="AE346" s="42" t="s">
        <v>6</v>
      </c>
      <c r="AF346" s="43"/>
      <c r="AH346" s="42" t="s">
        <v>6</v>
      </c>
      <c r="AI346" s="43"/>
      <c r="AK346" s="42" t="s">
        <v>6</v>
      </c>
      <c r="AL346" s="43"/>
      <c r="AN346" s="42" t="s">
        <v>6</v>
      </c>
      <c r="AO346" s="43"/>
      <c r="AQ346" s="46"/>
      <c r="AR346" s="46"/>
    </row>
    <row r="347">
      <c r="A347" s="42" t="s">
        <v>5</v>
      </c>
      <c r="B347" s="42">
        <v>2787.82</v>
      </c>
      <c r="D347" s="42" t="s">
        <v>5</v>
      </c>
      <c r="E347" s="42">
        <v>3108.83</v>
      </c>
      <c r="G347" s="42" t="s">
        <v>5</v>
      </c>
      <c r="H347" s="42">
        <v>1569.84</v>
      </c>
      <c r="J347" s="42" t="s">
        <v>5</v>
      </c>
      <c r="K347" s="42">
        <v>2277.32</v>
      </c>
      <c r="M347" s="42" t="s">
        <v>5</v>
      </c>
      <c r="N347" s="47">
        <v>2712.4</v>
      </c>
      <c r="P347" s="42" t="s">
        <v>5</v>
      </c>
      <c r="Q347" s="42">
        <v>3255.83</v>
      </c>
      <c r="S347" s="42" t="s">
        <v>5</v>
      </c>
      <c r="T347" s="42">
        <v>2233.72</v>
      </c>
      <c r="V347" s="42" t="s">
        <v>5</v>
      </c>
      <c r="W347" s="48">
        <v>2187.49</v>
      </c>
      <c r="Y347" s="42" t="s">
        <v>5</v>
      </c>
      <c r="Z347" s="42">
        <v>2640.57</v>
      </c>
      <c r="AB347" s="42" t="s">
        <v>5</v>
      </c>
      <c r="AC347" s="42">
        <v>162.73</v>
      </c>
      <c r="AE347" s="42" t="s">
        <v>5</v>
      </c>
      <c r="AF347" s="42">
        <v>665.16</v>
      </c>
      <c r="AH347" s="42" t="s">
        <v>5</v>
      </c>
      <c r="AI347" s="42">
        <v>271.66</v>
      </c>
      <c r="AK347" s="42" t="s">
        <v>5</v>
      </c>
      <c r="AL347" s="42">
        <v>184.82</v>
      </c>
      <c r="AN347" s="42" t="s">
        <v>5</v>
      </c>
      <c r="AO347" s="42">
        <v>1133.75</v>
      </c>
      <c r="AQ347" s="42" t="s">
        <v>75</v>
      </c>
      <c r="AR347" s="43"/>
      <c r="AU347" s="42" t="s">
        <v>75</v>
      </c>
      <c r="AV347" s="43"/>
    </row>
    <row r="348">
      <c r="A348" s="49" t="s">
        <v>7</v>
      </c>
      <c r="B348" s="49">
        <v>1368.85</v>
      </c>
      <c r="D348" s="49" t="s">
        <v>7</v>
      </c>
      <c r="E348" s="49">
        <v>1524.71</v>
      </c>
      <c r="G348" s="49" t="s">
        <v>7</v>
      </c>
      <c r="H348" s="49">
        <v>776.42</v>
      </c>
      <c r="J348" s="49" t="s">
        <v>7</v>
      </c>
      <c r="K348" s="49">
        <v>1120.545</v>
      </c>
      <c r="M348" s="49" t="s">
        <v>7</v>
      </c>
      <c r="N348" s="50">
        <v>1332.492</v>
      </c>
      <c r="P348" s="49" t="s">
        <v>7</v>
      </c>
      <c r="Q348" s="49">
        <v>1596.21</v>
      </c>
      <c r="S348" s="49" t="s">
        <v>7</v>
      </c>
      <c r="T348" s="49">
        <v>1099.245</v>
      </c>
      <c r="V348" s="49" t="s">
        <v>7</v>
      </c>
      <c r="W348" s="51">
        <v>1077.0</v>
      </c>
      <c r="Y348" s="49" t="s">
        <v>7</v>
      </c>
      <c r="Z348" s="49">
        <v>1297.08</v>
      </c>
      <c r="AB348" s="49" t="s">
        <v>7</v>
      </c>
      <c r="AC348" s="49">
        <v>93.124</v>
      </c>
      <c r="AE348" s="49" t="s">
        <v>7</v>
      </c>
      <c r="AF348" s="49">
        <v>336.24</v>
      </c>
      <c r="AH348" s="49" t="s">
        <v>7</v>
      </c>
      <c r="AI348" s="49">
        <v>145.4433</v>
      </c>
      <c r="AK348" s="49" t="s">
        <v>7</v>
      </c>
      <c r="AL348" s="49">
        <v>103.18012</v>
      </c>
      <c r="AN348" s="49" t="s">
        <v>7</v>
      </c>
      <c r="AO348" s="49">
        <v>564.24</v>
      </c>
      <c r="AQ348" s="42" t="s">
        <v>5</v>
      </c>
      <c r="AR348" s="42">
        <v>226.79</v>
      </c>
      <c r="AU348" s="42" t="s">
        <v>5</v>
      </c>
      <c r="AV348" s="42">
        <v>3450.73</v>
      </c>
      <c r="AW348" s="35"/>
      <c r="AX348" s="35"/>
    </row>
    <row r="349">
      <c r="A349" s="42" t="s">
        <v>30</v>
      </c>
      <c r="B349" s="43"/>
      <c r="D349" s="42" t="s">
        <v>30</v>
      </c>
      <c r="E349" s="43"/>
      <c r="G349" s="42" t="s">
        <v>30</v>
      </c>
      <c r="H349" s="43"/>
      <c r="J349" s="43"/>
      <c r="K349" s="43"/>
      <c r="M349" s="52" t="s">
        <v>54</v>
      </c>
      <c r="N349" s="44"/>
      <c r="P349" s="42" t="s">
        <v>63</v>
      </c>
      <c r="Q349" s="42">
        <v>83504.0</v>
      </c>
      <c r="S349" s="42" t="s">
        <v>63</v>
      </c>
      <c r="T349" s="42">
        <v>9782.0</v>
      </c>
      <c r="V349" s="52" t="s">
        <v>54</v>
      </c>
      <c r="W349" s="45"/>
      <c r="Y349" s="42" t="s">
        <v>63</v>
      </c>
      <c r="Z349" s="42">
        <v>31486.0</v>
      </c>
      <c r="AB349" s="42" t="s">
        <v>63</v>
      </c>
      <c r="AC349" s="42">
        <v>140232.0</v>
      </c>
      <c r="AE349" s="42" t="s">
        <v>63</v>
      </c>
      <c r="AF349" s="42">
        <v>52952.0</v>
      </c>
      <c r="AH349" s="42" t="s">
        <v>63</v>
      </c>
      <c r="AI349" s="42">
        <v>10653.0</v>
      </c>
      <c r="AK349" s="42" t="s">
        <v>63</v>
      </c>
      <c r="AL349" s="42">
        <v>418113.0</v>
      </c>
      <c r="AN349" s="42" t="s">
        <v>63</v>
      </c>
      <c r="AO349" s="42">
        <v>233237.0</v>
      </c>
      <c r="AQ349" s="49" t="s">
        <v>7</v>
      </c>
      <c r="AR349" s="49">
        <v>123.82</v>
      </c>
      <c r="AS349" s="5" t="s">
        <v>76</v>
      </c>
      <c r="AT349" s="5" t="s">
        <v>77</v>
      </c>
      <c r="AU349" s="49" t="s">
        <v>7</v>
      </c>
      <c r="AV349" s="49">
        <v>1690.47</v>
      </c>
      <c r="AW349" s="53"/>
      <c r="AX349" s="53"/>
    </row>
    <row r="350">
      <c r="A350" s="42" t="s">
        <v>31</v>
      </c>
      <c r="B350" s="43"/>
      <c r="D350" s="42" t="s">
        <v>31</v>
      </c>
      <c r="E350" s="43"/>
      <c r="G350" s="42" t="s">
        <v>31</v>
      </c>
      <c r="H350" s="43"/>
      <c r="J350" s="43"/>
      <c r="K350" s="43"/>
      <c r="M350" s="42" t="s">
        <v>35</v>
      </c>
      <c r="N350" s="47">
        <v>10266.0</v>
      </c>
      <c r="P350" s="42" t="s">
        <v>36</v>
      </c>
      <c r="Q350" s="42">
        <v>481.0</v>
      </c>
      <c r="S350" s="42" t="s">
        <v>36</v>
      </c>
      <c r="T350" s="42">
        <v>434.0</v>
      </c>
      <c r="V350" s="42" t="s">
        <v>35</v>
      </c>
      <c r="W350" s="48">
        <v>1352.0</v>
      </c>
      <c r="Y350" s="42" t="s">
        <v>36</v>
      </c>
      <c r="Z350" s="42">
        <v>443.0</v>
      </c>
      <c r="AB350" s="42" t="s">
        <v>36</v>
      </c>
      <c r="AC350" s="42">
        <v>1546.0</v>
      </c>
      <c r="AE350" s="42" t="s">
        <v>36</v>
      </c>
      <c r="AF350" s="42">
        <v>1062.0</v>
      </c>
      <c r="AH350" s="42" t="s">
        <v>36</v>
      </c>
      <c r="AI350" s="42">
        <v>4311.0</v>
      </c>
      <c r="AK350" s="42" t="s">
        <v>36</v>
      </c>
      <c r="AL350" s="42">
        <v>4516.0</v>
      </c>
      <c r="AN350" s="42" t="s">
        <v>36</v>
      </c>
      <c r="AO350" s="42">
        <v>1172.0</v>
      </c>
      <c r="AQ350" s="42" t="s">
        <v>63</v>
      </c>
      <c r="AR350" s="42">
        <v>46127.0</v>
      </c>
      <c r="AU350" s="42" t="s">
        <v>63</v>
      </c>
      <c r="AV350" s="42">
        <v>6962.0</v>
      </c>
      <c r="AW350" s="53"/>
      <c r="AX350" s="53"/>
    </row>
    <row r="351">
      <c r="A351" s="52" t="s">
        <v>33</v>
      </c>
      <c r="B351" s="54"/>
      <c r="D351" s="52" t="s">
        <v>33</v>
      </c>
      <c r="E351" s="54"/>
      <c r="G351" s="52" t="s">
        <v>33</v>
      </c>
      <c r="H351" s="54"/>
      <c r="J351" s="52"/>
      <c r="K351" s="43"/>
      <c r="M351" s="42" t="s">
        <v>36</v>
      </c>
      <c r="N351" s="47">
        <v>690.0</v>
      </c>
      <c r="P351" s="42" t="s">
        <v>38</v>
      </c>
      <c r="Q351" s="42">
        <v>0.954</v>
      </c>
      <c r="S351" s="42" t="s">
        <v>38</v>
      </c>
      <c r="T351" s="43"/>
      <c r="V351" s="42" t="s">
        <v>36</v>
      </c>
      <c r="W351" s="48">
        <v>231.0</v>
      </c>
      <c r="Y351" s="42" t="s">
        <v>38</v>
      </c>
      <c r="Z351" s="42">
        <v>0.67</v>
      </c>
      <c r="AB351" s="42" t="s">
        <v>38</v>
      </c>
      <c r="AC351" s="42">
        <v>0.047</v>
      </c>
      <c r="AE351" s="42" t="s">
        <v>38</v>
      </c>
      <c r="AF351" s="42">
        <v>0.4602</v>
      </c>
      <c r="AH351" s="42" t="s">
        <v>38</v>
      </c>
      <c r="AI351" s="42">
        <v>0.483</v>
      </c>
      <c r="AK351" s="42" t="s">
        <v>38</v>
      </c>
      <c r="AL351" s="42">
        <v>0.2914</v>
      </c>
      <c r="AN351" s="42" t="s">
        <v>38</v>
      </c>
      <c r="AO351" s="42">
        <v>0.7068</v>
      </c>
      <c r="AQ351" s="42" t="s">
        <v>36</v>
      </c>
      <c r="AR351" s="42">
        <v>4419.0</v>
      </c>
      <c r="AU351" s="42" t="s">
        <v>36</v>
      </c>
      <c r="AV351" s="42">
        <v>363.0</v>
      </c>
      <c r="AW351" s="53"/>
      <c r="AX351" s="53"/>
    </row>
    <row r="352">
      <c r="A352" s="42" t="s">
        <v>35</v>
      </c>
      <c r="B352" s="42">
        <v>1285576.0</v>
      </c>
      <c r="D352" s="42" t="s">
        <v>35</v>
      </c>
      <c r="E352" s="42">
        <v>616157.0</v>
      </c>
      <c r="G352" s="42" t="s">
        <v>35</v>
      </c>
      <c r="H352" s="42">
        <v>5507086.0</v>
      </c>
      <c r="J352" s="42" t="s">
        <v>35</v>
      </c>
      <c r="K352" s="42">
        <v>75944.0</v>
      </c>
      <c r="M352" s="42" t="s">
        <v>38</v>
      </c>
      <c r="N352" s="47">
        <v>0.999826</v>
      </c>
      <c r="P352" s="42" t="s">
        <v>8</v>
      </c>
      <c r="Q352" s="43"/>
      <c r="S352" s="42" t="s">
        <v>8</v>
      </c>
      <c r="T352" s="43"/>
      <c r="V352" s="42" t="s">
        <v>38</v>
      </c>
      <c r="W352" s="48">
        <v>0.0864</v>
      </c>
      <c r="Y352" s="42" t="s">
        <v>8</v>
      </c>
      <c r="Z352" s="43"/>
      <c r="AB352" s="42" t="s">
        <v>8</v>
      </c>
      <c r="AC352" s="43"/>
      <c r="AE352" s="42" t="s">
        <v>8</v>
      </c>
      <c r="AF352" s="43"/>
      <c r="AH352" s="55" t="s">
        <v>78</v>
      </c>
      <c r="AI352" s="39"/>
      <c r="AK352" s="55" t="s">
        <v>78</v>
      </c>
      <c r="AL352" s="39"/>
      <c r="AN352" s="55" t="s">
        <v>78</v>
      </c>
      <c r="AO352" s="39"/>
      <c r="AW352" s="53"/>
      <c r="AX352" s="53"/>
    </row>
    <row r="353">
      <c r="A353" s="42" t="s">
        <v>36</v>
      </c>
      <c r="B353" s="42">
        <v>1319.0</v>
      </c>
      <c r="D353" s="42" t="s">
        <v>36</v>
      </c>
      <c r="E353" s="42">
        <v>925.0</v>
      </c>
      <c r="G353" s="42" t="s">
        <v>36</v>
      </c>
      <c r="H353" s="42">
        <v>2760.0</v>
      </c>
      <c r="J353" s="42" t="s">
        <v>36</v>
      </c>
      <c r="K353" s="42">
        <v>1158.0</v>
      </c>
      <c r="M353" s="42" t="s">
        <v>8</v>
      </c>
      <c r="N353" s="44"/>
      <c r="P353" s="42" t="s">
        <v>5</v>
      </c>
      <c r="Q353" s="42">
        <v>974.59</v>
      </c>
      <c r="S353" s="42" t="s">
        <v>5</v>
      </c>
      <c r="T353" s="42">
        <v>2629.5</v>
      </c>
      <c r="V353" s="56" t="s">
        <v>78</v>
      </c>
      <c r="W353" s="39"/>
      <c r="Y353" s="42" t="s">
        <v>5</v>
      </c>
      <c r="Z353" s="42">
        <v>1633.96</v>
      </c>
      <c r="AB353" s="42" t="s">
        <v>5</v>
      </c>
      <c r="AC353" s="42">
        <v>1609.65</v>
      </c>
      <c r="AE353" s="42" t="s">
        <v>5</v>
      </c>
      <c r="AF353" s="42">
        <v>1058.38</v>
      </c>
      <c r="AH353" s="44" t="s">
        <v>42</v>
      </c>
      <c r="AI353" s="42">
        <v>0.88449</v>
      </c>
      <c r="AK353" s="44" t="s">
        <v>42</v>
      </c>
      <c r="AL353" s="42">
        <v>0.2674</v>
      </c>
      <c r="AN353" s="44" t="s">
        <v>42</v>
      </c>
      <c r="AO353" s="42">
        <v>0.5721</v>
      </c>
      <c r="AQ353" s="42" t="s">
        <v>75</v>
      </c>
      <c r="AR353" s="43"/>
      <c r="AU353" s="42" t="s">
        <v>75</v>
      </c>
      <c r="AV353" s="43"/>
      <c r="AW353" s="53"/>
      <c r="AX353" s="53"/>
    </row>
    <row r="354">
      <c r="A354" s="42" t="s">
        <v>38</v>
      </c>
      <c r="B354" s="42">
        <v>0.99994</v>
      </c>
      <c r="D354" s="42" t="s">
        <v>38</v>
      </c>
      <c r="E354" s="42">
        <v>0.1808</v>
      </c>
      <c r="G354" s="42" t="s">
        <v>38</v>
      </c>
      <c r="H354" s="42">
        <v>0.836</v>
      </c>
      <c r="J354" s="42" t="s">
        <v>38</v>
      </c>
      <c r="K354" s="42">
        <v>0.99987</v>
      </c>
      <c r="M354" s="42" t="s">
        <v>5</v>
      </c>
      <c r="N354" s="47">
        <v>2385.89</v>
      </c>
      <c r="P354" s="49" t="s">
        <v>7</v>
      </c>
      <c r="Q354" s="49">
        <v>487.2</v>
      </c>
      <c r="S354" s="49" t="s">
        <v>7</v>
      </c>
      <c r="T354" s="49">
        <v>1291.59</v>
      </c>
      <c r="V354" s="44" t="s">
        <v>42</v>
      </c>
      <c r="W354" s="47">
        <v>0.7217</v>
      </c>
      <c r="Y354" s="49" t="s">
        <v>7</v>
      </c>
      <c r="Z354" s="49">
        <v>807.86</v>
      </c>
      <c r="AB354" s="49" t="s">
        <v>7</v>
      </c>
      <c r="AC354" s="49">
        <v>796.46</v>
      </c>
      <c r="AE354" s="49" t="s">
        <v>7</v>
      </c>
      <c r="AF354" s="49">
        <v>527.901</v>
      </c>
      <c r="AH354" s="44" t="s">
        <v>44</v>
      </c>
      <c r="AI354" s="42">
        <v>139.905448</v>
      </c>
      <c r="AK354" s="44" t="s">
        <v>44</v>
      </c>
      <c r="AL354" s="42">
        <v>151.919739</v>
      </c>
      <c r="AN354" s="44" t="s">
        <v>44</v>
      </c>
      <c r="AO354" s="42">
        <v>120.903811</v>
      </c>
      <c r="AQ354" s="42" t="s">
        <v>5</v>
      </c>
      <c r="AR354" s="42">
        <v>300.56</v>
      </c>
      <c r="AU354" s="42" t="s">
        <v>5</v>
      </c>
      <c r="AV354" s="42">
        <v>3534.85</v>
      </c>
      <c r="AW354" s="35"/>
      <c r="AX354" s="35"/>
    </row>
    <row r="355">
      <c r="A355" s="55" t="s">
        <v>78</v>
      </c>
      <c r="B355" s="39"/>
      <c r="D355" s="42" t="s">
        <v>8</v>
      </c>
      <c r="E355" s="43"/>
      <c r="G355" s="42" t="s">
        <v>8</v>
      </c>
      <c r="H355" s="43"/>
      <c r="J355" s="42" t="s">
        <v>8</v>
      </c>
      <c r="K355" s="43"/>
      <c r="M355" s="49" t="s">
        <v>7</v>
      </c>
      <c r="N355" s="50">
        <v>1173.228</v>
      </c>
      <c r="P355" s="42" t="s">
        <v>63</v>
      </c>
      <c r="Q355" s="42">
        <v>108025.0</v>
      </c>
      <c r="S355" s="42" t="s">
        <v>63</v>
      </c>
      <c r="T355" s="42">
        <v>1707.0</v>
      </c>
      <c r="V355" s="44" t="s">
        <v>44</v>
      </c>
      <c r="W355" s="42">
        <v>84.91179</v>
      </c>
      <c r="Y355" s="42" t="s">
        <v>63</v>
      </c>
      <c r="Z355" s="42">
        <v>9250.0</v>
      </c>
      <c r="AB355" s="42" t="s">
        <v>63</v>
      </c>
      <c r="AC355" s="42">
        <v>3915.0</v>
      </c>
      <c r="AE355" s="42" t="s">
        <v>63</v>
      </c>
      <c r="AF355" s="42">
        <v>25259.0</v>
      </c>
      <c r="AH355" s="44" t="s">
        <v>45</v>
      </c>
      <c r="AI355" s="57">
        <f>0.55*10^-24</f>
        <v>0</v>
      </c>
      <c r="AK355" s="44" t="s">
        <v>45</v>
      </c>
      <c r="AL355" s="57">
        <f>2978*10^-24</f>
        <v>0</v>
      </c>
      <c r="AN355" s="44" t="s">
        <v>45</v>
      </c>
      <c r="AO355" s="57">
        <f>205*10^-24</f>
        <v>0</v>
      </c>
      <c r="AQ355" s="49" t="s">
        <v>7</v>
      </c>
      <c r="AR355" s="49">
        <v>159.66</v>
      </c>
      <c r="AU355" s="49" t="s">
        <v>7</v>
      </c>
      <c r="AV355" s="49">
        <v>1731.34</v>
      </c>
      <c r="AW355" s="53"/>
      <c r="AX355" s="53"/>
    </row>
    <row r="356">
      <c r="A356" s="44" t="s">
        <v>42</v>
      </c>
      <c r="B356" s="42">
        <v>1.0</v>
      </c>
      <c r="D356" s="42" t="s">
        <v>43</v>
      </c>
      <c r="E356" s="42">
        <v>615.48</v>
      </c>
      <c r="G356" s="42" t="s">
        <v>5</v>
      </c>
      <c r="H356" s="42">
        <v>1112.88</v>
      </c>
      <c r="J356" s="42" t="s">
        <v>5</v>
      </c>
      <c r="K356" s="42">
        <v>1801.8</v>
      </c>
      <c r="M356" s="52" t="s">
        <v>54</v>
      </c>
      <c r="N356" s="44"/>
      <c r="P356" s="42" t="s">
        <v>36</v>
      </c>
      <c r="Q356" s="42">
        <v>2735.0</v>
      </c>
      <c r="S356" s="42" t="s">
        <v>36</v>
      </c>
      <c r="T356" s="42">
        <v>175.0</v>
      </c>
      <c r="V356" s="44" t="s">
        <v>45</v>
      </c>
      <c r="W356" s="57">
        <f>6.83*10^-24</f>
        <v>0</v>
      </c>
      <c r="Y356" s="42" t="s">
        <v>36</v>
      </c>
      <c r="Z356" s="42">
        <v>1382.0</v>
      </c>
      <c r="AB356" s="42" t="s">
        <v>36</v>
      </c>
      <c r="AC356" s="42">
        <v>1382.0</v>
      </c>
      <c r="AE356" s="42" t="s">
        <v>36</v>
      </c>
      <c r="AF356" s="42">
        <v>926.0</v>
      </c>
      <c r="AH356" s="44" t="s">
        <v>46</v>
      </c>
      <c r="AI356" s="57">
        <f>0.51*10^-24</f>
        <v>0</v>
      </c>
      <c r="AK356" s="44" t="s">
        <v>46</v>
      </c>
      <c r="AL356" s="57">
        <f>206*10^-24</f>
        <v>0</v>
      </c>
      <c r="AN356" s="44" t="s">
        <v>46</v>
      </c>
      <c r="AO356" s="57">
        <f>5.77*10^-24</f>
        <v>0</v>
      </c>
      <c r="AQ356" s="42" t="s">
        <v>63</v>
      </c>
      <c r="AR356" s="42">
        <v>285009.0</v>
      </c>
      <c r="AU356" s="42" t="s">
        <v>63</v>
      </c>
      <c r="AV356" s="42">
        <v>95152.0</v>
      </c>
      <c r="AW356" s="53"/>
      <c r="AX356" s="53"/>
    </row>
    <row r="357">
      <c r="A357" s="44" t="s">
        <v>44</v>
      </c>
      <c r="B357" s="42">
        <v>22.989769</v>
      </c>
      <c r="D357" s="49" t="s">
        <v>7</v>
      </c>
      <c r="E357" s="49">
        <v>312.76</v>
      </c>
      <c r="G357" s="49" t="s">
        <v>7</v>
      </c>
      <c r="H357" s="49">
        <v>554.3</v>
      </c>
      <c r="J357" s="49" t="s">
        <v>7</v>
      </c>
      <c r="K357" s="49">
        <v>889.277</v>
      </c>
      <c r="M357" s="42" t="s">
        <v>35</v>
      </c>
      <c r="N357" s="47">
        <v>9484.0</v>
      </c>
      <c r="P357" s="42" t="s">
        <v>38</v>
      </c>
      <c r="Q357" s="42">
        <v>0.455</v>
      </c>
      <c r="S357" s="42" t="s">
        <v>38</v>
      </c>
      <c r="T357" s="42">
        <v>0.432</v>
      </c>
      <c r="V357" s="44" t="s">
        <v>46</v>
      </c>
      <c r="W357" s="57">
        <f>0.494*10^-24</f>
        <v>0</v>
      </c>
      <c r="Y357" s="42" t="s">
        <v>38</v>
      </c>
      <c r="Z357" s="42">
        <v>0.059</v>
      </c>
      <c r="AB357" s="42" t="s">
        <v>38</v>
      </c>
      <c r="AC357" s="42">
        <v>6.49E-4</v>
      </c>
      <c r="AE357" s="42" t="s">
        <v>38</v>
      </c>
      <c r="AF357" s="42">
        <v>0.2745</v>
      </c>
      <c r="AH357" s="44" t="s">
        <v>47</v>
      </c>
      <c r="AI357" s="57">
        <f>2.4682*10^-7</f>
        <v>0.00000024682</v>
      </c>
      <c r="AK357" s="44" t="s">
        <v>47</v>
      </c>
      <c r="AL357" s="57">
        <f>4.16*10^-6</f>
        <v>0.00000416</v>
      </c>
      <c r="AN357" s="44" t="s">
        <v>47</v>
      </c>
      <c r="AO357" s="57">
        <f>2.94535*10^-6</f>
        <v>0.00000294535</v>
      </c>
      <c r="AQ357" s="42" t="s">
        <v>36</v>
      </c>
      <c r="AR357" s="42">
        <v>4212.0</v>
      </c>
      <c r="AU357" s="42" t="s">
        <v>36</v>
      </c>
      <c r="AV357" s="42">
        <v>487.0</v>
      </c>
      <c r="AW357" s="53"/>
      <c r="AX357" s="53"/>
    </row>
    <row r="358">
      <c r="A358" s="44" t="s">
        <v>45</v>
      </c>
      <c r="B358" s="58">
        <f>0.312*10^-24</f>
        <v>0</v>
      </c>
      <c r="D358" s="42" t="s">
        <v>30</v>
      </c>
      <c r="E358" s="43"/>
      <c r="G358" s="42" t="s">
        <v>30</v>
      </c>
      <c r="H358" s="43"/>
      <c r="J358" s="42" t="s">
        <v>30</v>
      </c>
      <c r="K358" s="43"/>
      <c r="M358" s="42" t="s">
        <v>36</v>
      </c>
      <c r="N358" s="47">
        <v>945.0</v>
      </c>
      <c r="P358" s="42" t="s">
        <v>9</v>
      </c>
      <c r="Q358" s="43"/>
      <c r="S358" s="55" t="s">
        <v>78</v>
      </c>
      <c r="T358" s="39"/>
      <c r="V358" s="44" t="s">
        <v>47</v>
      </c>
      <c r="W358" s="57">
        <f>4.1695*10^-9</f>
        <v>0.0000000041695</v>
      </c>
      <c r="Y358" s="55" t="s">
        <v>78</v>
      </c>
      <c r="Z358" s="39"/>
      <c r="AB358" s="55" t="s">
        <v>78</v>
      </c>
      <c r="AC358" s="39"/>
      <c r="AE358" s="55" t="s">
        <v>78</v>
      </c>
      <c r="AF358" s="39"/>
      <c r="AW358" s="53"/>
      <c r="AX358" s="53"/>
    </row>
    <row r="359">
      <c r="A359" s="44" t="s">
        <v>46</v>
      </c>
      <c r="B359" s="58">
        <f>0.525*10^-24</f>
        <v>0</v>
      </c>
      <c r="D359" s="42" t="s">
        <v>31</v>
      </c>
      <c r="E359" s="43"/>
      <c r="G359" s="42" t="s">
        <v>31</v>
      </c>
      <c r="H359" s="43"/>
      <c r="J359" s="42" t="s">
        <v>31</v>
      </c>
      <c r="K359" s="43"/>
      <c r="M359" s="42" t="s">
        <v>38</v>
      </c>
      <c r="N359" s="47">
        <v>0.9985</v>
      </c>
      <c r="P359" s="42" t="s">
        <v>5</v>
      </c>
      <c r="Q359" s="42">
        <v>1650.65</v>
      </c>
      <c r="S359" s="44" t="s">
        <v>42</v>
      </c>
      <c r="T359" s="42">
        <v>0.00282</v>
      </c>
      <c r="Y359" s="44" t="s">
        <v>42</v>
      </c>
      <c r="Z359" s="42">
        <v>4.0E-5</v>
      </c>
      <c r="AB359" s="44" t="s">
        <v>42</v>
      </c>
      <c r="AC359" s="42">
        <v>0.01245</v>
      </c>
      <c r="AE359" s="44" t="s">
        <v>42</v>
      </c>
      <c r="AF359" s="42">
        <v>0.28754</v>
      </c>
      <c r="AQ359" s="42" t="s">
        <v>75</v>
      </c>
      <c r="AR359" s="43"/>
      <c r="AU359" s="42" t="s">
        <v>75</v>
      </c>
      <c r="AV359" s="43"/>
      <c r="AW359" s="35"/>
      <c r="AX359" s="35"/>
    </row>
    <row r="360">
      <c r="A360" s="44" t="s">
        <v>47</v>
      </c>
      <c r="B360" s="42">
        <f>1.28738*10^-5</f>
        <v>0.0000128738</v>
      </c>
      <c r="D360" s="52" t="s">
        <v>33</v>
      </c>
      <c r="E360" s="54"/>
      <c r="G360" s="52" t="s">
        <v>33</v>
      </c>
      <c r="H360" s="54"/>
      <c r="J360" s="52" t="s">
        <v>33</v>
      </c>
      <c r="K360" s="43"/>
      <c r="M360" s="55" t="s">
        <v>78</v>
      </c>
      <c r="N360" s="39"/>
      <c r="P360" s="49" t="s">
        <v>7</v>
      </c>
      <c r="Q360" s="49">
        <v>815.772</v>
      </c>
      <c r="S360" s="44" t="s">
        <v>44</v>
      </c>
      <c r="T360" s="42">
        <v>57.933274</v>
      </c>
      <c r="Y360" s="44" t="s">
        <v>44</v>
      </c>
      <c r="Z360" s="42">
        <v>45.953688</v>
      </c>
      <c r="AB360" s="44" t="s">
        <v>44</v>
      </c>
      <c r="AC360" s="42">
        <v>105.90646</v>
      </c>
      <c r="AE360" s="44" t="s">
        <v>44</v>
      </c>
      <c r="AF360" s="42">
        <v>113.903365</v>
      </c>
      <c r="AQ360" s="42" t="s">
        <v>5</v>
      </c>
      <c r="AR360" s="42">
        <v>535.29</v>
      </c>
      <c r="AU360" s="42" t="s">
        <v>5</v>
      </c>
      <c r="AV360" s="42">
        <v>3822.31</v>
      </c>
      <c r="AW360" s="35"/>
      <c r="AX360" s="35"/>
    </row>
    <row r="361">
      <c r="D361" s="42" t="s">
        <v>35</v>
      </c>
      <c r="E361" s="42">
        <v>60064.0</v>
      </c>
      <c r="G361" s="42" t="s">
        <v>35</v>
      </c>
      <c r="H361" s="42">
        <v>6300067.0</v>
      </c>
      <c r="J361" s="42" t="s">
        <v>35</v>
      </c>
      <c r="K361" s="42">
        <v>64374.0</v>
      </c>
      <c r="M361" s="44" t="s">
        <v>42</v>
      </c>
      <c r="N361" s="42">
        <v>1.0</v>
      </c>
      <c r="P361" s="42" t="s">
        <v>63</v>
      </c>
      <c r="Q361" s="42">
        <v>35073.0</v>
      </c>
      <c r="S361" s="44" t="s">
        <v>45</v>
      </c>
      <c r="T361" s="57">
        <f>1.5*10^-24</f>
        <v>0</v>
      </c>
      <c r="Y361" s="44" t="s">
        <v>45</v>
      </c>
      <c r="Z361" s="57">
        <f>0.96*10^-24</f>
        <v>0</v>
      </c>
      <c r="AB361" s="44" t="s">
        <v>45</v>
      </c>
      <c r="AC361" s="57">
        <f>6.1*10^-24</f>
        <v>0</v>
      </c>
      <c r="AE361" s="44" t="s">
        <v>45</v>
      </c>
      <c r="AF361" s="57">
        <f>12.2*10^-24</f>
        <v>0</v>
      </c>
      <c r="AQ361" s="49" t="s">
        <v>7</v>
      </c>
      <c r="AR361" s="49">
        <v>273.73</v>
      </c>
      <c r="AU361" s="49" t="s">
        <v>7</v>
      </c>
      <c r="AV361" s="49">
        <v>1871.03</v>
      </c>
      <c r="AW361" s="35"/>
      <c r="AX361" s="35"/>
    </row>
    <row r="362">
      <c r="D362" s="42" t="s">
        <v>36</v>
      </c>
      <c r="E362" s="42">
        <v>3604.0</v>
      </c>
      <c r="G362" s="42" t="s">
        <v>36</v>
      </c>
      <c r="H362" s="42">
        <v>3377.0</v>
      </c>
      <c r="J362" s="42" t="s">
        <v>36</v>
      </c>
      <c r="K362" s="42">
        <v>1224.0</v>
      </c>
      <c r="M362" s="44" t="s">
        <v>44</v>
      </c>
      <c r="N362" s="42">
        <v>58.933194</v>
      </c>
      <c r="P362" s="42" t="s">
        <v>36</v>
      </c>
      <c r="Q362" s="42">
        <v>1391.0</v>
      </c>
      <c r="S362" s="44" t="s">
        <v>46</v>
      </c>
      <c r="T362" s="57">
        <f>1.32*10^-24</f>
        <v>0</v>
      </c>
      <c r="Y362" s="44" t="s">
        <v>46</v>
      </c>
      <c r="Z362" s="57">
        <f>0.74*10^-24</f>
        <v>0</v>
      </c>
      <c r="AB362" s="44" t="s">
        <v>46</v>
      </c>
      <c r="AC362" s="57">
        <f>1*10^-24</f>
        <v>0</v>
      </c>
      <c r="AE362" s="44" t="s">
        <v>46</v>
      </c>
      <c r="AF362" s="57">
        <f>0.33*10^-24</f>
        <v>0</v>
      </c>
      <c r="AO362" s="59"/>
      <c r="AQ362" s="42" t="s">
        <v>63</v>
      </c>
      <c r="AR362" s="42">
        <v>141542.0</v>
      </c>
      <c r="AU362" s="42" t="s">
        <v>63</v>
      </c>
      <c r="AV362" s="42">
        <v>2297.0</v>
      </c>
      <c r="AW362" s="35"/>
      <c r="AX362" s="35"/>
    </row>
    <row r="363">
      <c r="D363" s="42" t="s">
        <v>38</v>
      </c>
      <c r="E363" s="42">
        <v>0.00336</v>
      </c>
      <c r="G363" s="42" t="s">
        <v>38</v>
      </c>
      <c r="H363" s="42">
        <v>0.717</v>
      </c>
      <c r="J363" s="42" t="s">
        <v>38</v>
      </c>
      <c r="K363" s="42">
        <v>0.99984</v>
      </c>
      <c r="M363" s="44" t="s">
        <v>45</v>
      </c>
      <c r="N363" s="57">
        <f>75.8*10^-24</f>
        <v>0</v>
      </c>
      <c r="P363" s="42" t="s">
        <v>38</v>
      </c>
      <c r="Q363" s="42">
        <v>0.2328</v>
      </c>
      <c r="S363" s="44" t="s">
        <v>47</v>
      </c>
      <c r="T363" s="57">
        <f>1.8032*10^-7</f>
        <v>0.00000018032</v>
      </c>
      <c r="Y363" s="44" t="s">
        <v>47</v>
      </c>
      <c r="Z363" s="57">
        <f>1.7686*10^-6</f>
        <v>0.0000017686</v>
      </c>
      <c r="AB363" s="44" t="s">
        <v>47</v>
      </c>
      <c r="AC363" s="57">
        <f>2.962*10^-5</f>
        <v>0.00002962</v>
      </c>
      <c r="AE363" s="44" t="s">
        <v>47</v>
      </c>
      <c r="AF363" s="57">
        <f>3.6016*10^-6</f>
        <v>0.0000036016</v>
      </c>
      <c r="AQ363" s="42" t="s">
        <v>36</v>
      </c>
      <c r="AR363" s="42">
        <v>3842.0</v>
      </c>
      <c r="AU363" s="42" t="s">
        <v>36</v>
      </c>
      <c r="AV363" s="42">
        <v>312.0</v>
      </c>
      <c r="AW363" s="53"/>
      <c r="AX363" s="53"/>
    </row>
    <row r="364">
      <c r="D364" s="55" t="s">
        <v>78</v>
      </c>
      <c r="E364" s="39"/>
      <c r="G364" s="42" t="s">
        <v>9</v>
      </c>
      <c r="H364" s="43"/>
      <c r="J364" s="55" t="s">
        <v>78</v>
      </c>
      <c r="K364" s="39"/>
      <c r="M364" s="44" t="s">
        <v>46</v>
      </c>
      <c r="N364" s="57">
        <f>37.18*10^-24</f>
        <v>0</v>
      </c>
      <c r="P364" s="42" t="s">
        <v>10</v>
      </c>
      <c r="Q364" s="43"/>
      <c r="AW364" s="53"/>
      <c r="AX364" s="53"/>
    </row>
    <row r="365">
      <c r="D365" s="44" t="s">
        <v>42</v>
      </c>
      <c r="E365" s="42">
        <v>0.067302</v>
      </c>
      <c r="G365" s="42" t="s">
        <v>5</v>
      </c>
      <c r="H365" s="42">
        <v>1246.08</v>
      </c>
      <c r="J365" s="44" t="s">
        <v>42</v>
      </c>
      <c r="K365" s="42">
        <v>1.0</v>
      </c>
      <c r="M365" s="44" t="s">
        <v>47</v>
      </c>
      <c r="N365" s="58">
        <f>4.16695*10^-9</f>
        <v>0.00000000416695</v>
      </c>
      <c r="P365" s="42" t="s">
        <v>5</v>
      </c>
      <c r="Q365" s="42">
        <v>648.99</v>
      </c>
      <c r="AQ365" s="42" t="s">
        <v>75</v>
      </c>
      <c r="AR365" s="43"/>
      <c r="AU365" s="42" t="s">
        <v>75</v>
      </c>
      <c r="AV365" s="43"/>
      <c r="AW365" s="35"/>
      <c r="AX365" s="35"/>
    </row>
    <row r="366">
      <c r="D366" s="44" t="s">
        <v>44</v>
      </c>
      <c r="E366" s="42">
        <v>40.961825</v>
      </c>
      <c r="G366" s="49" t="s">
        <v>7</v>
      </c>
      <c r="H366" s="60">
        <v>619.105</v>
      </c>
      <c r="J366" s="44" t="s">
        <v>44</v>
      </c>
      <c r="K366" s="42">
        <v>44.955907</v>
      </c>
      <c r="P366" s="49" t="s">
        <v>7</v>
      </c>
      <c r="Q366" s="49">
        <v>328.762</v>
      </c>
      <c r="AM366" s="59"/>
      <c r="AQ366" s="42" t="s">
        <v>5</v>
      </c>
      <c r="AR366" s="42">
        <v>7740.8</v>
      </c>
      <c r="AU366" s="42" t="s">
        <v>5</v>
      </c>
      <c r="AV366" s="42">
        <v>1736.48</v>
      </c>
      <c r="AW366" s="35"/>
      <c r="AX366" s="35"/>
    </row>
    <row r="367">
      <c r="D367" s="44" t="s">
        <v>45</v>
      </c>
      <c r="E367" s="58">
        <f>0.98*10^-24</f>
        <v>0</v>
      </c>
      <c r="G367" s="42" t="s">
        <v>30</v>
      </c>
      <c r="H367" s="43"/>
      <c r="J367" s="44" t="s">
        <v>45</v>
      </c>
      <c r="K367" s="58">
        <f>12.1*10^-24</f>
        <v>0</v>
      </c>
      <c r="P367" s="42" t="s">
        <v>63</v>
      </c>
      <c r="Q367" s="42">
        <v>31194.0</v>
      </c>
      <c r="AQ367" s="49" t="s">
        <v>7</v>
      </c>
      <c r="AR367" s="49">
        <v>373.6</v>
      </c>
      <c r="AU367" s="49" t="s">
        <v>7</v>
      </c>
      <c r="AV367" s="49">
        <v>857.44</v>
      </c>
      <c r="AW367" s="35"/>
      <c r="AX367" s="35"/>
    </row>
    <row r="368">
      <c r="D368" s="44" t="s">
        <v>46</v>
      </c>
      <c r="E368" s="58">
        <f>1.46*10^-24</f>
        <v>0</v>
      </c>
      <c r="G368" s="42" t="s">
        <v>31</v>
      </c>
      <c r="H368" s="43"/>
      <c r="J368" s="44" t="s">
        <v>46</v>
      </c>
      <c r="K368" s="58">
        <f>27.2*10^-24</f>
        <v>0</v>
      </c>
      <c r="P368" s="42" t="s">
        <v>36</v>
      </c>
      <c r="Q368" s="42">
        <v>903.0</v>
      </c>
      <c r="AQ368" s="42" t="s">
        <v>63</v>
      </c>
      <c r="AR368" s="42">
        <v>58844.0</v>
      </c>
      <c r="AU368" s="42" t="s">
        <v>63</v>
      </c>
      <c r="AV368" s="42">
        <v>6697.0</v>
      </c>
      <c r="AW368" s="35"/>
      <c r="AX368" s="35"/>
    </row>
    <row r="369">
      <c r="D369" s="44" t="s">
        <v>47</v>
      </c>
      <c r="E369" s="42">
        <f>1.5584*10^-5</f>
        <v>0.000015584</v>
      </c>
      <c r="G369" s="52" t="s">
        <v>33</v>
      </c>
      <c r="H369" s="54"/>
      <c r="J369" s="44" t="s">
        <v>47</v>
      </c>
      <c r="K369" s="57">
        <f>9.575*10^-8</f>
        <v>0.00000009575</v>
      </c>
      <c r="P369" s="42" t="s">
        <v>38</v>
      </c>
      <c r="Q369" s="42">
        <v>0.203</v>
      </c>
      <c r="AQ369" s="42" t="s">
        <v>36</v>
      </c>
      <c r="AR369" s="42">
        <v>3497.0</v>
      </c>
      <c r="AU369" s="42" t="s">
        <v>36</v>
      </c>
      <c r="AV369" s="42">
        <v>1248.0</v>
      </c>
      <c r="AW369" s="53"/>
      <c r="AX369" s="53"/>
    </row>
    <row r="370">
      <c r="G370" s="42" t="s">
        <v>35</v>
      </c>
      <c r="H370" s="42">
        <v>3493356.0</v>
      </c>
      <c r="P370" s="42" t="s">
        <v>11</v>
      </c>
      <c r="Q370" s="43"/>
      <c r="AW370" s="53"/>
      <c r="AX370" s="53"/>
    </row>
    <row r="371">
      <c r="G371" s="42" t="s">
        <v>36</v>
      </c>
      <c r="H371" s="42">
        <v>2567.0</v>
      </c>
      <c r="P371" s="42" t="s">
        <v>5</v>
      </c>
      <c r="Q371" s="42">
        <v>1875.8</v>
      </c>
      <c r="AQ371" s="42" t="s">
        <v>75</v>
      </c>
      <c r="AR371" s="43"/>
      <c r="AU371" s="42" t="s">
        <v>75</v>
      </c>
      <c r="AV371" s="43"/>
      <c r="AW371" s="35"/>
      <c r="AX371" s="35"/>
    </row>
    <row r="372">
      <c r="G372" s="42" t="s">
        <v>38</v>
      </c>
      <c r="H372" s="42">
        <v>0.437</v>
      </c>
      <c r="P372" s="49" t="s">
        <v>7</v>
      </c>
      <c r="Q372" s="49">
        <v>925.189</v>
      </c>
      <c r="AQ372" s="42" t="s">
        <v>5</v>
      </c>
      <c r="AR372" s="42">
        <v>993.56</v>
      </c>
      <c r="AT372" s="59"/>
      <c r="AU372" s="42" t="s">
        <v>5</v>
      </c>
      <c r="AV372" s="42">
        <v>1486.24</v>
      </c>
      <c r="AW372" s="35"/>
      <c r="AX372" s="35"/>
    </row>
    <row r="373">
      <c r="G373" s="42" t="s">
        <v>10</v>
      </c>
      <c r="H373" s="43"/>
      <c r="P373" s="42" t="s">
        <v>63</v>
      </c>
      <c r="Q373" s="42">
        <v>5760.0</v>
      </c>
      <c r="AQ373" s="49" t="s">
        <v>7</v>
      </c>
      <c r="AR373" s="49">
        <v>496.42</v>
      </c>
      <c r="AS373" s="5" t="s">
        <v>79</v>
      </c>
      <c r="AU373" s="49" t="s">
        <v>7</v>
      </c>
      <c r="AV373" s="49">
        <v>735.84</v>
      </c>
      <c r="AW373" s="35"/>
      <c r="AX373" s="35"/>
    </row>
    <row r="374">
      <c r="G374" s="42" t="s">
        <v>5</v>
      </c>
      <c r="H374" s="42">
        <v>1409.11</v>
      </c>
      <c r="P374" s="42" t="s">
        <v>36</v>
      </c>
      <c r="Q374" s="42">
        <v>1164.0</v>
      </c>
      <c r="AQ374" s="42" t="s">
        <v>63</v>
      </c>
      <c r="AR374" s="42">
        <v>7397.0</v>
      </c>
      <c r="AU374" s="42" t="s">
        <v>63</v>
      </c>
      <c r="AV374" s="42">
        <v>6079.0</v>
      </c>
      <c r="AW374" s="35"/>
      <c r="AX374" s="35"/>
    </row>
    <row r="375">
      <c r="G375" s="49" t="s">
        <v>7</v>
      </c>
      <c r="H375" s="49">
        <v>698.38</v>
      </c>
      <c r="P375" s="42" t="s">
        <v>38</v>
      </c>
      <c r="Q375" s="42">
        <v>0.069</v>
      </c>
      <c r="AQ375" s="42" t="s">
        <v>36</v>
      </c>
      <c r="AR375" s="42">
        <v>2702.0</v>
      </c>
      <c r="AU375" s="42" t="s">
        <v>36</v>
      </c>
      <c r="AV375" s="42">
        <v>1578.0</v>
      </c>
      <c r="AW375" s="53"/>
      <c r="AX375" s="53"/>
    </row>
    <row r="376">
      <c r="G376" s="42" t="s">
        <v>30</v>
      </c>
      <c r="H376" s="43"/>
      <c r="P376" s="42" t="s">
        <v>12</v>
      </c>
      <c r="Q376" s="43"/>
      <c r="AW376" s="53"/>
      <c r="AX376" s="53"/>
    </row>
    <row r="377">
      <c r="G377" s="42" t="s">
        <v>31</v>
      </c>
      <c r="H377" s="43"/>
      <c r="P377" s="42" t="s">
        <v>5</v>
      </c>
      <c r="Q377" s="42">
        <v>1757.91</v>
      </c>
      <c r="AQ377" s="42" t="s">
        <v>75</v>
      </c>
      <c r="AR377" s="43"/>
      <c r="AW377" s="46"/>
      <c r="AX377" s="35"/>
    </row>
    <row r="378">
      <c r="G378" s="52" t="s">
        <v>33</v>
      </c>
      <c r="H378" s="54"/>
      <c r="P378" s="49" t="s">
        <v>7</v>
      </c>
      <c r="Q378" s="49">
        <v>867.846</v>
      </c>
      <c r="AM378" s="59"/>
      <c r="AQ378" s="42" t="s">
        <v>5</v>
      </c>
      <c r="AR378" s="42">
        <v>1955.4</v>
      </c>
      <c r="AW378" s="46"/>
      <c r="AX378" s="35"/>
    </row>
    <row r="379">
      <c r="G379" s="42" t="s">
        <v>35</v>
      </c>
      <c r="H379" s="42">
        <v>2034263.0</v>
      </c>
      <c r="P379" s="42" t="s">
        <v>63</v>
      </c>
      <c r="Q379" s="42">
        <v>7227.0</v>
      </c>
      <c r="AQ379" s="49" t="s">
        <v>7</v>
      </c>
      <c r="AR379" s="49">
        <v>963.82</v>
      </c>
      <c r="AW379" s="46"/>
      <c r="AX379" s="35"/>
    </row>
    <row r="380">
      <c r="G380" s="42" t="s">
        <v>36</v>
      </c>
      <c r="H380" s="42">
        <v>2213.0</v>
      </c>
      <c r="P380" s="42" t="s">
        <v>36</v>
      </c>
      <c r="Q380" s="42">
        <v>1234.0</v>
      </c>
      <c r="AQ380" s="42" t="s">
        <v>63</v>
      </c>
      <c r="AR380" s="42">
        <v>3816.0</v>
      </c>
      <c r="AW380" s="46"/>
      <c r="AX380" s="35"/>
    </row>
    <row r="381">
      <c r="G381" s="42" t="s">
        <v>38</v>
      </c>
      <c r="H381" s="42">
        <v>0.284</v>
      </c>
      <c r="P381" s="42" t="s">
        <v>38</v>
      </c>
      <c r="Q381" s="42">
        <v>0.055</v>
      </c>
      <c r="AQ381" s="42" t="s">
        <v>36</v>
      </c>
      <c r="AR381" s="42">
        <v>664.0</v>
      </c>
      <c r="AX381" s="53"/>
    </row>
    <row r="382">
      <c r="G382" s="42" t="s">
        <v>11</v>
      </c>
      <c r="H382" s="43"/>
      <c r="P382" s="42" t="s">
        <v>13</v>
      </c>
      <c r="Q382" s="43"/>
      <c r="AX382" s="53"/>
    </row>
    <row r="383">
      <c r="G383" s="42" t="s">
        <v>5</v>
      </c>
      <c r="H383" s="42">
        <v>2120.02</v>
      </c>
      <c r="P383" s="42" t="s">
        <v>5</v>
      </c>
      <c r="Q383" s="42">
        <v>1518.61</v>
      </c>
      <c r="AX383" s="53"/>
    </row>
    <row r="384">
      <c r="G384" s="49" t="s">
        <v>7</v>
      </c>
      <c r="H384" s="49">
        <v>1044.12</v>
      </c>
      <c r="P384" s="49" t="s">
        <v>7</v>
      </c>
      <c r="Q384" s="49">
        <v>751.637</v>
      </c>
      <c r="AU384" s="46"/>
      <c r="AV384" s="46"/>
      <c r="AW384" s="46"/>
      <c r="AX384" s="35"/>
    </row>
    <row r="385">
      <c r="G385" s="42" t="s">
        <v>30</v>
      </c>
      <c r="H385" s="43"/>
      <c r="P385" s="42" t="s">
        <v>63</v>
      </c>
      <c r="Q385" s="42">
        <v>4835.0</v>
      </c>
      <c r="AX385" s="53"/>
    </row>
    <row r="386">
      <c r="G386" s="42" t="s">
        <v>31</v>
      </c>
      <c r="H386" s="43"/>
      <c r="P386" s="42" t="s">
        <v>36</v>
      </c>
      <c r="Q386" s="42">
        <v>1572.0</v>
      </c>
      <c r="AX386" s="53"/>
    </row>
    <row r="387">
      <c r="G387" s="52" t="s">
        <v>33</v>
      </c>
      <c r="H387" s="54"/>
      <c r="P387" s="42" t="s">
        <v>38</v>
      </c>
      <c r="Q387" s="42">
        <v>0.0433</v>
      </c>
      <c r="AX387" s="53"/>
    </row>
    <row r="388">
      <c r="G388" s="42" t="s">
        <v>35</v>
      </c>
      <c r="H388" s="42">
        <v>1406003.0</v>
      </c>
      <c r="P388" s="55" t="s">
        <v>78</v>
      </c>
      <c r="Q388" s="39"/>
      <c r="AX388" s="53"/>
    </row>
    <row r="389">
      <c r="G389" s="42" t="s">
        <v>36</v>
      </c>
      <c r="H389" s="42">
        <v>1680.0</v>
      </c>
      <c r="P389" s="44" t="s">
        <v>42</v>
      </c>
      <c r="Q389" s="42">
        <v>0.9991119</v>
      </c>
      <c r="AX389" s="53"/>
    </row>
    <row r="390">
      <c r="G390" s="42" t="s">
        <v>38</v>
      </c>
      <c r="H390" s="42">
        <v>0.276</v>
      </c>
      <c r="P390" s="44" t="s">
        <v>44</v>
      </c>
      <c r="Q390" s="42">
        <v>138.906363</v>
      </c>
      <c r="AM390" s="59"/>
      <c r="AU390" s="46"/>
      <c r="AV390" s="46"/>
      <c r="AW390" s="46"/>
      <c r="AX390" s="35"/>
    </row>
    <row r="391">
      <c r="G391" s="42" t="s">
        <v>12</v>
      </c>
      <c r="H391" s="43"/>
      <c r="P391" s="44" t="s">
        <v>45</v>
      </c>
      <c r="Q391" s="57">
        <f>12.1*10^-24</f>
        <v>0</v>
      </c>
      <c r="AQ391" s="46"/>
      <c r="AR391" s="46"/>
      <c r="AX391" s="53"/>
    </row>
    <row r="392">
      <c r="G392" s="42" t="s">
        <v>5</v>
      </c>
      <c r="H392" s="42">
        <v>2682.55</v>
      </c>
      <c r="P392" s="44" t="s">
        <v>46</v>
      </c>
      <c r="Q392" s="57">
        <f>9.21*10^-24</f>
        <v>0</v>
      </c>
      <c r="AX392" s="53"/>
    </row>
    <row r="393">
      <c r="G393" s="49" t="s">
        <v>7</v>
      </c>
      <c r="H393" s="49">
        <v>1317.88</v>
      </c>
      <c r="P393" s="44" t="s">
        <v>47</v>
      </c>
      <c r="Q393" s="57">
        <f>4.7794*10^-6</f>
        <v>0.0000047794</v>
      </c>
      <c r="AX393" s="53"/>
    </row>
    <row r="394">
      <c r="G394" s="42" t="s">
        <v>30</v>
      </c>
      <c r="H394" s="43"/>
      <c r="AX394" s="53"/>
    </row>
    <row r="395">
      <c r="G395" s="42" t="s">
        <v>31</v>
      </c>
      <c r="H395" s="43"/>
      <c r="AW395" s="46"/>
      <c r="AX395" s="35"/>
    </row>
    <row r="396">
      <c r="G396" s="52" t="s">
        <v>33</v>
      </c>
      <c r="H396" s="54"/>
      <c r="AW396" s="46"/>
      <c r="AX396" s="35"/>
    </row>
    <row r="397">
      <c r="G397" s="42" t="s">
        <v>35</v>
      </c>
      <c r="H397" s="42">
        <v>1114511.0</v>
      </c>
      <c r="AW397" s="46"/>
      <c r="AX397" s="35"/>
    </row>
    <row r="398">
      <c r="G398" s="42" t="s">
        <v>36</v>
      </c>
      <c r="H398" s="42">
        <v>1297.0</v>
      </c>
      <c r="AW398" s="46"/>
      <c r="AX398" s="35"/>
    </row>
    <row r="399">
      <c r="G399" s="42" t="s">
        <v>38</v>
      </c>
      <c r="H399" s="42">
        <v>0.269</v>
      </c>
      <c r="AX399" s="53"/>
    </row>
    <row r="400">
      <c r="G400" s="42" t="s">
        <v>13</v>
      </c>
      <c r="H400" s="43"/>
      <c r="AX400" s="53"/>
    </row>
    <row r="401">
      <c r="G401" s="42" t="s">
        <v>5</v>
      </c>
      <c r="H401" s="42">
        <v>1675.42</v>
      </c>
      <c r="AX401" s="53"/>
    </row>
    <row r="402">
      <c r="G402" s="49" t="s">
        <v>7</v>
      </c>
      <c r="H402" s="49">
        <v>827.72</v>
      </c>
      <c r="AM402" s="59"/>
      <c r="AU402" s="46"/>
      <c r="AV402" s="46"/>
      <c r="AW402" s="46"/>
      <c r="AX402" s="35"/>
    </row>
    <row r="403">
      <c r="G403" s="42" t="s">
        <v>30</v>
      </c>
      <c r="H403" s="43"/>
      <c r="AQ403" s="46"/>
      <c r="AR403" s="46"/>
      <c r="AX403" s="53"/>
    </row>
    <row r="404">
      <c r="G404" s="42" t="s">
        <v>31</v>
      </c>
      <c r="H404" s="43"/>
      <c r="AX404" s="53"/>
    </row>
    <row r="405">
      <c r="G405" s="52" t="s">
        <v>33</v>
      </c>
      <c r="H405" s="54"/>
      <c r="AX405" s="53"/>
    </row>
    <row r="406">
      <c r="G406" s="42" t="s">
        <v>35</v>
      </c>
      <c r="H406" s="42">
        <v>1490103.0</v>
      </c>
      <c r="AX406" s="53"/>
    </row>
    <row r="407">
      <c r="G407" s="42" t="s">
        <v>36</v>
      </c>
      <c r="H407" s="42">
        <v>1848.0</v>
      </c>
      <c r="AX407" s="53"/>
    </row>
    <row r="408">
      <c r="G408" s="42" t="s">
        <v>38</v>
      </c>
      <c r="H408" s="42">
        <v>0.242</v>
      </c>
      <c r="AX408" s="53"/>
    </row>
    <row r="409">
      <c r="G409" s="42" t="s">
        <v>14</v>
      </c>
      <c r="H409" s="43"/>
      <c r="AQ409" s="46"/>
      <c r="AR409" s="46"/>
      <c r="AS409" s="46"/>
      <c r="AX409" s="53"/>
    </row>
    <row r="410">
      <c r="G410" s="42" t="s">
        <v>5</v>
      </c>
      <c r="H410" s="42">
        <v>3006.29</v>
      </c>
      <c r="AX410" s="53"/>
    </row>
    <row r="411">
      <c r="G411" s="49" t="s">
        <v>7</v>
      </c>
      <c r="H411" s="49">
        <v>1475.15</v>
      </c>
      <c r="AX411" s="53"/>
    </row>
    <row r="412">
      <c r="G412" s="42" t="s">
        <v>30</v>
      </c>
      <c r="H412" s="43"/>
      <c r="AW412" s="53"/>
      <c r="AX412" s="53"/>
    </row>
    <row r="413">
      <c r="G413" s="42" t="s">
        <v>31</v>
      </c>
      <c r="H413" s="43"/>
      <c r="AW413" s="53"/>
      <c r="AX413" s="53"/>
    </row>
    <row r="414">
      <c r="G414" s="52" t="s">
        <v>33</v>
      </c>
      <c r="H414" s="54"/>
      <c r="AW414" s="53"/>
      <c r="AX414" s="53"/>
    </row>
    <row r="415">
      <c r="G415" s="42" t="s">
        <v>35</v>
      </c>
      <c r="H415" s="42">
        <v>615883.0</v>
      </c>
      <c r="AW415" s="53"/>
      <c r="AX415" s="53"/>
    </row>
    <row r="416">
      <c r="G416" s="42" t="s">
        <v>36</v>
      </c>
      <c r="H416" s="42">
        <v>944.0</v>
      </c>
      <c r="AW416" s="53"/>
      <c r="AX416" s="53"/>
    </row>
    <row r="417">
      <c r="G417" s="42" t="s">
        <v>38</v>
      </c>
      <c r="H417" s="42">
        <v>0.1639</v>
      </c>
      <c r="AW417" s="53"/>
      <c r="AX417" s="53"/>
    </row>
    <row r="418">
      <c r="G418" s="55" t="s">
        <v>78</v>
      </c>
      <c r="H418" s="39"/>
      <c r="AW418" s="53"/>
      <c r="AX418" s="53"/>
    </row>
    <row r="419">
      <c r="G419" s="44" t="s">
        <v>42</v>
      </c>
      <c r="H419" s="42">
        <v>0.4935</v>
      </c>
    </row>
    <row r="420">
      <c r="G420" s="44" t="s">
        <v>44</v>
      </c>
      <c r="H420" s="42">
        <v>80.916288</v>
      </c>
      <c r="AM420" s="59"/>
    </row>
    <row r="421">
      <c r="G421" s="44" t="s">
        <v>45</v>
      </c>
      <c r="H421" s="58">
        <f>46*10^-24</f>
        <v>0</v>
      </c>
    </row>
    <row r="422">
      <c r="G422" s="44" t="s">
        <v>46</v>
      </c>
      <c r="H422" s="58">
        <f>2.36*10^-24</f>
        <v>0</v>
      </c>
    </row>
    <row r="423">
      <c r="G423" s="44" t="s">
        <v>47</v>
      </c>
      <c r="H423" s="43">
        <f>5.4572*10^-6</f>
        <v>0.0000054572</v>
      </c>
    </row>
  </sheetData>
  <mergeCells count="29">
    <mergeCell ref="AH345:AI345"/>
    <mergeCell ref="AH352:AI352"/>
    <mergeCell ref="AK352:AL352"/>
    <mergeCell ref="AN352:AO352"/>
    <mergeCell ref="V353:W353"/>
    <mergeCell ref="V345:W345"/>
    <mergeCell ref="Y345:Z345"/>
    <mergeCell ref="AB345:AC345"/>
    <mergeCell ref="AE345:AF345"/>
    <mergeCell ref="AK345:AL345"/>
    <mergeCell ref="AN345:AO345"/>
    <mergeCell ref="AQ345:AV345"/>
    <mergeCell ref="S345:T345"/>
    <mergeCell ref="S358:T358"/>
    <mergeCell ref="Y358:Z358"/>
    <mergeCell ref="AB358:AC358"/>
    <mergeCell ref="AE358:AF358"/>
    <mergeCell ref="D345:E345"/>
    <mergeCell ref="D364:E364"/>
    <mergeCell ref="G418:H418"/>
    <mergeCell ref="P345:Q345"/>
    <mergeCell ref="P388:Q388"/>
    <mergeCell ref="A345:B345"/>
    <mergeCell ref="G345:H345"/>
    <mergeCell ref="J345:K345"/>
    <mergeCell ref="M345:N345"/>
    <mergeCell ref="A355:B355"/>
    <mergeCell ref="M360:N360"/>
    <mergeCell ref="J364:K364"/>
  </mergeCells>
  <drawing r:id="rId1"/>
</worksheet>
</file>