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edia\Civil Engeenering\Arshad\Thesis\Concrete Damage Plasticity\"/>
    </mc:Choice>
  </mc:AlternateContent>
  <xr:revisionPtr revIDLastSave="0" documentId="13_ncr:1_{E1BA9B0E-263D-473D-9054-D49CB915B10E}" xr6:coauthVersionLast="47" xr6:coauthVersionMax="47" xr10:uidLastSave="{00000000-0000-0000-0000-000000000000}"/>
  <workbookProtection workbookAlgorithmName="SHA-512" workbookHashValue="CSIKMHr4EiW1jQv8H+pr1YiXymKcJehggJCRtrQH1Dx7CpQ4f+ZpgGtdFCTvK4MjxW+w2FNyV7lvKoKpRBYmqQ==" workbookSaltValue="38LOQf9yUgAlNq19GK+gNw==" workbookSpinCount="100000" lockStructure="1"/>
  <bookViews>
    <workbookView xWindow="7200" yWindow="1530" windowWidth="18285" windowHeight="11205" xr2:uid="{00000000-000D-0000-FFFF-FFFF00000000}"/>
  </bookViews>
  <sheets>
    <sheet name="C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M9" i="1"/>
  <c r="N9" i="1" s="1"/>
  <c r="N10" i="1"/>
  <c r="N11" i="1"/>
  <c r="N8" i="1"/>
  <c r="L8" i="1"/>
  <c r="C8" i="1"/>
  <c r="C22" i="1" s="1"/>
  <c r="I22" i="1" s="1"/>
  <c r="G19" i="1"/>
  <c r="H19" i="1"/>
  <c r="G20" i="1"/>
  <c r="H20" i="1"/>
  <c r="G21" i="1"/>
  <c r="H21" i="1"/>
  <c r="G22" i="1"/>
  <c r="H22" i="1"/>
  <c r="G18" i="1"/>
  <c r="H18" i="1"/>
  <c r="H3" i="1"/>
  <c r="H9" i="1"/>
  <c r="H10" i="1"/>
  <c r="H11" i="1"/>
  <c r="H12" i="1"/>
  <c r="H13" i="1"/>
  <c r="H14" i="1"/>
  <c r="H15" i="1"/>
  <c r="H16" i="1"/>
  <c r="H17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8" i="1"/>
  <c r="G9" i="1"/>
  <c r="G10" i="1"/>
  <c r="G11" i="1"/>
  <c r="G12" i="1"/>
  <c r="G13" i="1"/>
  <c r="G14" i="1"/>
  <c r="G15" i="1"/>
  <c r="G16" i="1"/>
  <c r="G17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8" i="1"/>
  <c r="M8" i="1"/>
  <c r="M11" i="1" s="1"/>
  <c r="O11" i="1" s="1"/>
  <c r="C19" i="1" l="1"/>
  <c r="I19" i="1" s="1"/>
  <c r="K19" i="1" s="1"/>
  <c r="C20" i="1"/>
  <c r="I20" i="1" s="1"/>
  <c r="K20" i="1" s="1"/>
  <c r="C21" i="1"/>
  <c r="I21" i="1" s="1"/>
  <c r="J21" i="1" s="1"/>
  <c r="C23" i="1"/>
  <c r="C35" i="1" s="1"/>
  <c r="J22" i="1"/>
  <c r="K22" i="1"/>
  <c r="C18" i="1"/>
  <c r="I18" i="1" s="1"/>
  <c r="J18" i="1" s="1"/>
  <c r="O8" i="1"/>
  <c r="O9" i="1"/>
  <c r="M10" i="1"/>
  <c r="O10" i="1" s="1"/>
  <c r="C10" i="1"/>
  <c r="I10" i="1" s="1"/>
  <c r="J10" i="1" s="1"/>
  <c r="I8" i="1"/>
  <c r="C9" i="1"/>
  <c r="I9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J19" i="1" l="1"/>
  <c r="B19" i="1" s="1"/>
  <c r="J20" i="1"/>
  <c r="B20" i="1" s="1"/>
  <c r="K21" i="1"/>
  <c r="B21" i="1" s="1"/>
  <c r="C36" i="1"/>
  <c r="I36" i="1" s="1"/>
  <c r="C39" i="1"/>
  <c r="E39" i="1" s="1"/>
  <c r="C32" i="1"/>
  <c r="E32" i="1" s="1"/>
  <c r="C38" i="1"/>
  <c r="I38" i="1" s="1"/>
  <c r="E23" i="1"/>
  <c r="C34" i="1"/>
  <c r="I34" i="1" s="1"/>
  <c r="K34" i="1" s="1"/>
  <c r="E41" i="1"/>
  <c r="I23" i="1"/>
  <c r="J23" i="1" s="1"/>
  <c r="C43" i="1"/>
  <c r="I43" i="1" s="1"/>
  <c r="C30" i="1"/>
  <c r="E30" i="1" s="1"/>
  <c r="C42" i="1"/>
  <c r="I42" i="1" s="1"/>
  <c r="C33" i="1"/>
  <c r="E33" i="1" s="1"/>
  <c r="C40" i="1"/>
  <c r="I40" i="1" s="1"/>
  <c r="J40" i="1" s="1"/>
  <c r="C25" i="1"/>
  <c r="E25" i="1" s="1"/>
  <c r="C26" i="1"/>
  <c r="E26" i="1" s="1"/>
  <c r="C31" i="1"/>
  <c r="E31" i="1" s="1"/>
  <c r="C27" i="1"/>
  <c r="E27" i="1" s="1"/>
  <c r="C29" i="1"/>
  <c r="E29" i="1" s="1"/>
  <c r="C24" i="1"/>
  <c r="E24" i="1" s="1"/>
  <c r="C28" i="1"/>
  <c r="I28" i="1" s="1"/>
  <c r="C37" i="1"/>
  <c r="I37" i="1" s="1"/>
  <c r="J37" i="1" s="1"/>
  <c r="B22" i="1"/>
  <c r="K18" i="1"/>
  <c r="B18" i="1" s="1"/>
  <c r="K10" i="1"/>
  <c r="B10" i="1" s="1"/>
  <c r="I35" i="1"/>
  <c r="E35" i="1"/>
  <c r="K13" i="1"/>
  <c r="J13" i="1"/>
  <c r="J11" i="1"/>
  <c r="K11" i="1"/>
  <c r="J8" i="1"/>
  <c r="K8" i="1"/>
  <c r="J12" i="1"/>
  <c r="K12" i="1"/>
  <c r="J17" i="1"/>
  <c r="K17" i="1"/>
  <c r="J16" i="1"/>
  <c r="K16" i="1"/>
  <c r="J14" i="1"/>
  <c r="K14" i="1"/>
  <c r="K9" i="1"/>
  <c r="J9" i="1"/>
  <c r="J15" i="1"/>
  <c r="K15" i="1"/>
  <c r="I30" i="1" l="1"/>
  <c r="K30" i="1" s="1"/>
  <c r="I31" i="1"/>
  <c r="J31" i="1" s="1"/>
  <c r="E38" i="1"/>
  <c r="E36" i="1"/>
  <c r="E42" i="1"/>
  <c r="K40" i="1"/>
  <c r="B40" i="1" s="1"/>
  <c r="K37" i="1"/>
  <c r="B37" i="1" s="1"/>
  <c r="I29" i="1"/>
  <c r="J29" i="1" s="1"/>
  <c r="E37" i="1"/>
  <c r="E28" i="1"/>
  <c r="I41" i="1"/>
  <c r="J41" i="1" s="1"/>
  <c r="E43" i="1"/>
  <c r="E34" i="1"/>
  <c r="I25" i="1"/>
  <c r="K25" i="1" s="1"/>
  <c r="K23" i="1"/>
  <c r="B23" i="1" s="1"/>
  <c r="I39" i="1"/>
  <c r="K39" i="1" s="1"/>
  <c r="E40" i="1"/>
  <c r="I32" i="1"/>
  <c r="K32" i="1" s="1"/>
  <c r="I26" i="1"/>
  <c r="K26" i="1" s="1"/>
  <c r="I24" i="1"/>
  <c r="K24" i="1" s="1"/>
  <c r="I27" i="1"/>
  <c r="J27" i="1" s="1"/>
  <c r="I33" i="1"/>
  <c r="J33" i="1" s="1"/>
  <c r="J34" i="1"/>
  <c r="B34" i="1" s="1"/>
  <c r="B9" i="1"/>
  <c r="J43" i="1"/>
  <c r="K43" i="1"/>
  <c r="K38" i="1"/>
  <c r="J38" i="1"/>
  <c r="J42" i="1"/>
  <c r="K42" i="1"/>
  <c r="B8" i="1"/>
  <c r="B11" i="1"/>
  <c r="B13" i="1"/>
  <c r="J35" i="1"/>
  <c r="K35" i="1"/>
  <c r="K28" i="1"/>
  <c r="J28" i="1"/>
  <c r="B15" i="1"/>
  <c r="B12" i="1"/>
  <c r="B16" i="1"/>
  <c r="J36" i="1"/>
  <c r="K36" i="1"/>
  <c r="B17" i="1"/>
  <c r="B14" i="1"/>
  <c r="J30" i="1" l="1"/>
  <c r="B30" i="1" s="1"/>
  <c r="H5" i="1"/>
  <c r="K31" i="1"/>
  <c r="B31" i="1" s="1"/>
  <c r="J26" i="1"/>
  <c r="B26" i="1" s="1"/>
  <c r="K29" i="1"/>
  <c r="B29" i="1" s="1"/>
  <c r="J24" i="1"/>
  <c r="B24" i="1" s="1"/>
  <c r="K41" i="1"/>
  <c r="B41" i="1" s="1"/>
  <c r="D41" i="1" s="1"/>
  <c r="J25" i="1"/>
  <c r="B25" i="1" s="1"/>
  <c r="D25" i="1" s="1"/>
  <c r="J32" i="1"/>
  <c r="B32" i="1" s="1"/>
  <c r="K33" i="1"/>
  <c r="B33" i="1" s="1"/>
  <c r="J39" i="1"/>
  <c r="B39" i="1" s="1"/>
  <c r="K27" i="1"/>
  <c r="B27" i="1" s="1"/>
  <c r="D27" i="1" s="1"/>
  <c r="B43" i="1"/>
  <c r="B38" i="1"/>
  <c r="B28" i="1"/>
  <c r="B42" i="1"/>
  <c r="B36" i="1"/>
  <c r="B35" i="1"/>
  <c r="D29" i="1" l="1"/>
  <c r="F29" i="1" s="1"/>
  <c r="D26" i="1"/>
  <c r="F26" i="1" s="1"/>
  <c r="D30" i="1"/>
  <c r="F30" i="1" s="1"/>
  <c r="D35" i="1"/>
  <c r="F35" i="1" s="1"/>
  <c r="D42" i="1"/>
  <c r="F42" i="1" s="1"/>
  <c r="D23" i="1"/>
  <c r="F23" i="1" s="1"/>
  <c r="D24" i="1"/>
  <c r="F24" i="1" s="1"/>
  <c r="D36" i="1"/>
  <c r="F36" i="1" s="1"/>
  <c r="D28" i="1"/>
  <c r="F28" i="1" s="1"/>
  <c r="D38" i="1"/>
  <c r="F38" i="1" s="1"/>
  <c r="D16" i="1"/>
  <c r="F16" i="1" s="1"/>
  <c r="D43" i="1"/>
  <c r="F43" i="1" s="1"/>
  <c r="D17" i="1"/>
  <c r="F17" i="1" s="1"/>
  <c r="D12" i="1"/>
  <c r="F12" i="1" s="1"/>
  <c r="D39" i="1"/>
  <c r="F39" i="1" s="1"/>
  <c r="D40" i="1"/>
  <c r="F40" i="1" s="1"/>
  <c r="D33" i="1"/>
  <c r="F33" i="1" s="1"/>
  <c r="D34" i="1"/>
  <c r="F34" i="1" s="1"/>
  <c r="D32" i="1"/>
  <c r="F32" i="1" s="1"/>
  <c r="D37" i="1"/>
  <c r="F37" i="1" s="1"/>
  <c r="D13" i="1"/>
  <c r="F13" i="1" s="1"/>
  <c r="D9" i="1"/>
  <c r="F9" i="1" s="1"/>
  <c r="D22" i="1"/>
  <c r="F22" i="1" s="1"/>
  <c r="D19" i="1"/>
  <c r="F19" i="1" s="1"/>
  <c r="D21" i="1"/>
  <c r="F21" i="1" s="1"/>
  <c r="D18" i="1"/>
  <c r="F18" i="1" s="1"/>
  <c r="D20" i="1"/>
  <c r="F20" i="1" s="1"/>
  <c r="D10" i="1"/>
  <c r="F10" i="1" s="1"/>
  <c r="D8" i="1"/>
  <c r="F8" i="1" s="1"/>
  <c r="D31" i="1"/>
  <c r="F31" i="1" s="1"/>
  <c r="D14" i="1"/>
  <c r="F14" i="1" s="1"/>
  <c r="D15" i="1"/>
  <c r="F15" i="1" s="1"/>
  <c r="D11" i="1"/>
  <c r="F11" i="1" s="1"/>
  <c r="F41" i="1"/>
  <c r="F27" i="1"/>
  <c r="F25" i="1"/>
  <c r="P8" i="1" l="1"/>
  <c r="L10" i="1"/>
  <c r="P10" i="1" s="1"/>
  <c r="L9" i="1"/>
  <c r="P9" i="1" s="1"/>
  <c r="L11" i="1"/>
  <c r="P11" i="1" s="1"/>
</calcChain>
</file>

<file path=xl/sharedStrings.xml><?xml version="1.0" encoding="utf-8"?>
<sst xmlns="http://schemas.openxmlformats.org/spreadsheetml/2006/main" count="26" uniqueCount="20">
  <si>
    <t>Compressive</t>
  </si>
  <si>
    <t>Strain</t>
  </si>
  <si>
    <t>Inelastic Strain</t>
  </si>
  <si>
    <t>Yield Stress</t>
  </si>
  <si>
    <t>Damage Parameter</t>
  </si>
  <si>
    <t>0.5*C</t>
  </si>
  <si>
    <t>C</t>
  </si>
  <si>
    <t>A</t>
  </si>
  <si>
    <t>B</t>
  </si>
  <si>
    <t>X1</t>
  </si>
  <si>
    <t>X2</t>
  </si>
  <si>
    <t>Quadratic Equation</t>
  </si>
  <si>
    <t>E (Mpa)</t>
  </si>
  <si>
    <t>0.2*C</t>
  </si>
  <si>
    <t>Tensile</t>
  </si>
  <si>
    <t>Compressive Strength (Mpa)</t>
  </si>
  <si>
    <t>εc</t>
  </si>
  <si>
    <t>Cracking Strain</t>
  </si>
  <si>
    <t>Usable:</t>
  </si>
  <si>
    <t>Mohammad Sajednia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</si>
</sst>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22"/>
      <color theme="7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6" borderId="10" xfId="0" applyFont="1" applyFill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locked="0" hidden="1"/>
    </xf>
    <xf numFmtId="0" fontId="1" fillId="7" borderId="1" xfId="0" applyFont="1" applyFill="1" applyBorder="1" applyAlignment="1" applyProtection="1">
      <alignment horizontal="center" vertical="center"/>
      <protection locked="0" hidden="1"/>
    </xf>
    <xf numFmtId="0" fontId="1" fillId="7" borderId="10" xfId="0" applyFont="1" applyFill="1" applyBorder="1" applyAlignment="1" applyProtection="1">
      <alignment horizontal="center" vertical="center"/>
      <protection locked="0" hidden="1"/>
    </xf>
    <xf numFmtId="0" fontId="1" fillId="2" borderId="12" xfId="0" applyFont="1" applyFill="1" applyBorder="1" applyAlignment="1" applyProtection="1">
      <alignment horizontal="center" vertical="center"/>
      <protection locked="0" hidden="1"/>
    </xf>
    <xf numFmtId="0" fontId="1" fillId="7" borderId="12" xfId="0" applyFont="1" applyFill="1" applyBorder="1" applyAlignment="1" applyProtection="1">
      <alignment horizontal="center" vertical="center"/>
      <protection locked="0" hidden="1"/>
    </xf>
    <xf numFmtId="0" fontId="1" fillId="7" borderId="13" xfId="0" applyFont="1" applyFill="1" applyBorder="1" applyAlignment="1" applyProtection="1">
      <alignment horizontal="center" vertical="center"/>
      <protection locked="0" hidden="1"/>
    </xf>
    <xf numFmtId="0" fontId="2" fillId="4" borderId="6" xfId="0" applyFont="1" applyFill="1" applyBorder="1" applyAlignment="1" applyProtection="1">
      <alignment horizontal="center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8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hidden="1"/>
    </xf>
    <xf numFmtId="0" fontId="1" fillId="3" borderId="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Q242"/>
  <sheetViews>
    <sheetView tabSelected="1" zoomScale="85" zoomScaleNormal="85" workbookViewId="0">
      <selection activeCell="P9" sqref="P9"/>
    </sheetView>
  </sheetViews>
  <sheetFormatPr defaultRowHeight="15.75" x14ac:dyDescent="0.25"/>
  <cols>
    <col min="1" max="1" width="9.140625" style="1"/>
    <col min="2" max="16" width="20.28515625" style="2" customWidth="1"/>
    <col min="17" max="24" width="17.5703125" style="2" customWidth="1"/>
    <col min="25" max="26" width="10.85546875" style="2" customWidth="1"/>
    <col min="27" max="43" width="9.140625" style="2"/>
  </cols>
  <sheetData>
    <row r="2" spans="1:16" ht="21.75" customHeight="1" thickBot="1" x14ac:dyDescent="0.3"/>
    <row r="3" spans="1:16" ht="21.75" customHeight="1" x14ac:dyDescent="0.25">
      <c r="B3" s="25" t="s">
        <v>15</v>
      </c>
      <c r="C3" s="25"/>
      <c r="D3" s="19">
        <v>43.9</v>
      </c>
      <c r="E3" s="21" t="s">
        <v>16</v>
      </c>
      <c r="F3" s="26">
        <v>2E-3</v>
      </c>
      <c r="G3" s="23" t="s">
        <v>12</v>
      </c>
      <c r="H3" s="28">
        <f>4700*SQRT(D3)</f>
        <v>31140.825294137598</v>
      </c>
      <c r="J3" s="29" t="s">
        <v>19</v>
      </c>
      <c r="K3" s="30"/>
      <c r="L3" s="31"/>
    </row>
    <row r="4" spans="1:16" ht="21.75" customHeight="1" thickBot="1" x14ac:dyDescent="0.3">
      <c r="B4" s="25"/>
      <c r="C4" s="25"/>
      <c r="D4" s="20"/>
      <c r="E4" s="22"/>
      <c r="F4" s="26"/>
      <c r="G4" s="24"/>
      <c r="H4" s="28"/>
      <c r="J4" s="32"/>
      <c r="K4" s="33"/>
      <c r="L4" s="34"/>
    </row>
    <row r="5" spans="1:16" ht="21.75" customHeight="1" thickBot="1" x14ac:dyDescent="0.3">
      <c r="G5" s="2" t="s">
        <v>18</v>
      </c>
      <c r="H5" s="2">
        <f>C8/B8</f>
        <v>37470.993847044723</v>
      </c>
    </row>
    <row r="6" spans="1:16" ht="35.25" customHeight="1" x14ac:dyDescent="0.25">
      <c r="A6" s="3"/>
      <c r="B6" s="16" t="s">
        <v>0</v>
      </c>
      <c r="C6" s="17"/>
      <c r="D6" s="17"/>
      <c r="E6" s="17"/>
      <c r="F6" s="18"/>
      <c r="G6" s="27" t="s">
        <v>11</v>
      </c>
      <c r="H6" s="27"/>
      <c r="I6" s="27"/>
      <c r="J6" s="27"/>
      <c r="K6" s="27"/>
      <c r="L6" s="16" t="s">
        <v>14</v>
      </c>
      <c r="M6" s="17"/>
      <c r="N6" s="17"/>
      <c r="O6" s="17"/>
      <c r="P6" s="18"/>
    </row>
    <row r="7" spans="1:16" ht="28.5" customHeight="1" x14ac:dyDescent="0.25">
      <c r="A7" s="3"/>
      <c r="B7" s="5" t="s">
        <v>1</v>
      </c>
      <c r="C7" s="6" t="s">
        <v>3</v>
      </c>
      <c r="D7" s="6" t="s">
        <v>2</v>
      </c>
      <c r="E7" s="7" t="s">
        <v>4</v>
      </c>
      <c r="F7" s="8" t="s">
        <v>2</v>
      </c>
      <c r="G7" s="4" t="s">
        <v>7</v>
      </c>
      <c r="H7" s="4" t="s">
        <v>8</v>
      </c>
      <c r="I7" s="4" t="s">
        <v>6</v>
      </c>
      <c r="J7" s="4" t="s">
        <v>9</v>
      </c>
      <c r="K7" s="4" t="s">
        <v>10</v>
      </c>
      <c r="L7" s="5" t="s">
        <v>1</v>
      </c>
      <c r="M7" s="6" t="s">
        <v>3</v>
      </c>
      <c r="N7" s="6" t="s">
        <v>17</v>
      </c>
      <c r="O7" s="7" t="s">
        <v>4</v>
      </c>
      <c r="P7" s="8" t="s">
        <v>17</v>
      </c>
    </row>
    <row r="8" spans="1:16" ht="21.75" customHeight="1" x14ac:dyDescent="0.25">
      <c r="A8" s="3" t="s">
        <v>5</v>
      </c>
      <c r="B8" s="5">
        <f>MIN(J8:K8)</f>
        <v>5.8578643762690491E-4</v>
      </c>
      <c r="C8" s="10">
        <f>0.5*D3</f>
        <v>21.95</v>
      </c>
      <c r="D8" s="10">
        <f>B8-C8/$H$5</f>
        <v>0</v>
      </c>
      <c r="E8" s="11">
        <v>0</v>
      </c>
      <c r="F8" s="12">
        <f>D8</f>
        <v>0</v>
      </c>
      <c r="G8" s="4">
        <f>1/$F$3^2</f>
        <v>250000</v>
      </c>
      <c r="H8" s="4">
        <f>-2/$F$3</f>
        <v>-1000</v>
      </c>
      <c r="I8" s="4">
        <f>C8/$D$3</f>
        <v>0.5</v>
      </c>
      <c r="J8" s="4">
        <f>(-H8+SQRT(H8^2-4*G8*I8))/(2*G8)</f>
        <v>3.4142135623730953E-3</v>
      </c>
      <c r="K8" s="4">
        <f>(-H8-SQRT(H8^2-4*G8*I8))/(2*G8)</f>
        <v>5.8578643762690491E-4</v>
      </c>
      <c r="L8" s="5">
        <f>M8/$H$3</f>
        <v>1.4893617021276596E-4</v>
      </c>
      <c r="M8" s="10">
        <f>0.7*SQRT($D$3)</f>
        <v>4.6379952565736851</v>
      </c>
      <c r="N8" s="10">
        <f>L8-M8/$H$3</f>
        <v>0</v>
      </c>
      <c r="O8" s="11">
        <f>1-(M8/$M$8)</f>
        <v>0</v>
      </c>
      <c r="P8" s="12">
        <f>N8</f>
        <v>0</v>
      </c>
    </row>
    <row r="9" spans="1:16" ht="21.75" customHeight="1" x14ac:dyDescent="0.25">
      <c r="A9" s="3"/>
      <c r="B9" s="5">
        <f t="shared" ref="B9:B23" si="0">MIN(J9:K9)</f>
        <v>6.5835921350012607E-4</v>
      </c>
      <c r="C9" s="10">
        <f>C8*1.1</f>
        <v>24.145</v>
      </c>
      <c r="D9" s="10">
        <f t="shared" ref="D9:D43" si="1">B9-C9/$H$5</f>
        <v>1.3994132110530769E-5</v>
      </c>
      <c r="E9" s="11">
        <v>0</v>
      </c>
      <c r="F9" s="12">
        <f t="shared" ref="F9:F37" si="2">D9</f>
        <v>1.3994132110530769E-5</v>
      </c>
      <c r="G9" s="4">
        <f t="shared" ref="G9:G43" si="3">1/$F$3^2</f>
        <v>250000</v>
      </c>
      <c r="H9" s="4">
        <f t="shared" ref="H9:H43" si="4">-2/$F$3</f>
        <v>-1000</v>
      </c>
      <c r="I9" s="4">
        <f t="shared" ref="I9:I37" si="5">C9/$D$3</f>
        <v>0.55000000000000004</v>
      </c>
      <c r="J9" s="4">
        <f t="shared" ref="J9:J37" si="6">(-H9+SQRT(H9^2-4*G9*I9))/(2*G9)</f>
        <v>3.3416407864998738E-3</v>
      </c>
      <c r="K9" s="4">
        <f t="shared" ref="K9:K37" si="7">(-H9-SQRT(H9^2-4*G9*I9))/(2*G9)</f>
        <v>6.5835921350012607E-4</v>
      </c>
      <c r="L9" s="5">
        <f>3*L8</f>
        <v>4.4680851063829785E-4</v>
      </c>
      <c r="M9" s="10">
        <f>2*M8/3</f>
        <v>3.09199683771579</v>
      </c>
      <c r="N9" s="10">
        <f t="shared" ref="N9:N11" si="8">L9-M9/$H$3</f>
        <v>3.4751773049645389E-4</v>
      </c>
      <c r="O9" s="11">
        <f t="shared" ref="O9:O11" si="9">1-(M9/$M$8)</f>
        <v>0.33333333333333337</v>
      </c>
      <c r="P9" s="12">
        <f t="shared" ref="P9:P11" si="10">N9</f>
        <v>3.4751773049645389E-4</v>
      </c>
    </row>
    <row r="10" spans="1:16" ht="21.75" customHeight="1" x14ac:dyDescent="0.25">
      <c r="A10" s="3"/>
      <c r="B10" s="5">
        <f t="shared" si="0"/>
        <v>7.3508893593264818E-4</v>
      </c>
      <c r="C10" s="10">
        <f>C8*1.2</f>
        <v>26.34</v>
      </c>
      <c r="D10" s="10">
        <f t="shared" si="1"/>
        <v>3.2145210780362373E-5</v>
      </c>
      <c r="E10" s="11">
        <v>0</v>
      </c>
      <c r="F10" s="12">
        <f t="shared" si="2"/>
        <v>3.2145210780362373E-5</v>
      </c>
      <c r="G10" s="4">
        <f t="shared" si="3"/>
        <v>250000</v>
      </c>
      <c r="H10" s="4">
        <f t="shared" si="4"/>
        <v>-1000</v>
      </c>
      <c r="I10" s="4">
        <f t="shared" si="5"/>
        <v>0.6</v>
      </c>
      <c r="J10" s="4">
        <f t="shared" si="6"/>
        <v>3.2649110640673518E-3</v>
      </c>
      <c r="K10" s="4">
        <f t="shared" si="7"/>
        <v>7.3508893593264818E-4</v>
      </c>
      <c r="L10" s="5">
        <f>5.875*L8</f>
        <v>8.7500000000000002E-4</v>
      </c>
      <c r="M10" s="10">
        <f>3*M8/8</f>
        <v>1.7392482212151319</v>
      </c>
      <c r="N10" s="10">
        <f t="shared" si="8"/>
        <v>8.1914893617021276E-4</v>
      </c>
      <c r="O10" s="11">
        <f t="shared" si="9"/>
        <v>0.625</v>
      </c>
      <c r="P10" s="12">
        <f t="shared" si="10"/>
        <v>8.1914893617021276E-4</v>
      </c>
    </row>
    <row r="11" spans="1:16" ht="21.75" customHeight="1" thickBot="1" x14ac:dyDescent="0.3">
      <c r="A11" s="3"/>
      <c r="B11" s="5">
        <f t="shared" si="0"/>
        <v>8.1678404338007685E-4</v>
      </c>
      <c r="C11" s="10">
        <f>C8*1.3</f>
        <v>28.535</v>
      </c>
      <c r="D11" s="10">
        <f t="shared" si="1"/>
        <v>5.5261674465100549E-5</v>
      </c>
      <c r="E11" s="11">
        <v>0</v>
      </c>
      <c r="F11" s="12">
        <f t="shared" si="2"/>
        <v>5.5261674465100549E-5</v>
      </c>
      <c r="G11" s="4">
        <f t="shared" si="3"/>
        <v>250000</v>
      </c>
      <c r="H11" s="4">
        <f t="shared" si="4"/>
        <v>-1000</v>
      </c>
      <c r="I11" s="4">
        <f t="shared" si="5"/>
        <v>0.65</v>
      </c>
      <c r="J11" s="4">
        <f t="shared" si="6"/>
        <v>3.1832159566199236E-3</v>
      </c>
      <c r="K11" s="4">
        <f t="shared" si="7"/>
        <v>8.1678404338007685E-4</v>
      </c>
      <c r="L11" s="9">
        <f>10.5*L8</f>
        <v>1.5638297872340426E-3</v>
      </c>
      <c r="M11" s="13">
        <f>M8/6</f>
        <v>0.77299920942894751</v>
      </c>
      <c r="N11" s="10">
        <f t="shared" si="8"/>
        <v>1.5390070921985817E-3</v>
      </c>
      <c r="O11" s="14">
        <f t="shared" si="9"/>
        <v>0.83333333333333337</v>
      </c>
      <c r="P11" s="15">
        <f t="shared" si="10"/>
        <v>1.5390070921985817E-3</v>
      </c>
    </row>
    <row r="12" spans="1:16" ht="21.75" customHeight="1" x14ac:dyDescent="0.25">
      <c r="A12" s="3"/>
      <c r="B12" s="5">
        <f t="shared" si="0"/>
        <v>9.0455488498966772E-4</v>
      </c>
      <c r="C12" s="10">
        <f>C8*1.4</f>
        <v>30.729999999999997</v>
      </c>
      <c r="D12" s="10">
        <f t="shared" si="1"/>
        <v>8.445387231200102E-5</v>
      </c>
      <c r="E12" s="11">
        <v>0</v>
      </c>
      <c r="F12" s="12">
        <f t="shared" si="2"/>
        <v>8.445387231200102E-5</v>
      </c>
      <c r="G12" s="4">
        <f t="shared" si="3"/>
        <v>250000</v>
      </c>
      <c r="H12" s="4">
        <f t="shared" si="4"/>
        <v>-1000</v>
      </c>
      <c r="I12" s="4">
        <f t="shared" si="5"/>
        <v>0.7</v>
      </c>
      <c r="J12" s="4">
        <f t="shared" si="6"/>
        <v>3.0954451150103325E-3</v>
      </c>
      <c r="K12" s="4">
        <f t="shared" si="7"/>
        <v>9.0455488498966772E-4</v>
      </c>
      <c r="L12" s="4"/>
      <c r="M12" s="4"/>
      <c r="N12" s="4"/>
      <c r="O12" s="4"/>
      <c r="P12" s="4"/>
    </row>
    <row r="13" spans="1:16" ht="21.75" customHeight="1" x14ac:dyDescent="0.25">
      <c r="A13" s="3"/>
      <c r="B13" s="5">
        <f t="shared" si="0"/>
        <v>1E-3</v>
      </c>
      <c r="C13" s="10">
        <f>C8*1.5</f>
        <v>32.924999999999997</v>
      </c>
      <c r="D13" s="10">
        <f t="shared" si="1"/>
        <v>1.2132034355964282E-4</v>
      </c>
      <c r="E13" s="11">
        <v>0</v>
      </c>
      <c r="F13" s="12">
        <f t="shared" si="2"/>
        <v>1.2132034355964282E-4</v>
      </c>
      <c r="G13" s="4">
        <f t="shared" si="3"/>
        <v>250000</v>
      </c>
      <c r="H13" s="4">
        <f t="shared" si="4"/>
        <v>-1000</v>
      </c>
      <c r="I13" s="4">
        <f t="shared" si="5"/>
        <v>0.75</v>
      </c>
      <c r="J13" s="4">
        <f t="shared" si="6"/>
        <v>3.0000000000000001E-3</v>
      </c>
      <c r="K13" s="4">
        <f t="shared" si="7"/>
        <v>1E-3</v>
      </c>
      <c r="L13" s="4"/>
      <c r="M13" s="4"/>
      <c r="N13" s="4"/>
      <c r="O13" s="4"/>
      <c r="P13" s="4"/>
    </row>
    <row r="14" spans="1:16" ht="21.75" customHeight="1" x14ac:dyDescent="0.25">
      <c r="A14" s="3"/>
      <c r="B14" s="5">
        <f t="shared" si="0"/>
        <v>1.1055728090000839E-3</v>
      </c>
      <c r="C14" s="10">
        <f>C8*1.6</f>
        <v>35.119999999999997</v>
      </c>
      <c r="D14" s="10">
        <f t="shared" si="1"/>
        <v>1.6831450879703622E-4</v>
      </c>
      <c r="E14" s="11">
        <v>0</v>
      </c>
      <c r="F14" s="12">
        <f t="shared" si="2"/>
        <v>1.6831450879703622E-4</v>
      </c>
      <c r="G14" s="4">
        <f t="shared" si="3"/>
        <v>250000</v>
      </c>
      <c r="H14" s="4">
        <f t="shared" si="4"/>
        <v>-1000</v>
      </c>
      <c r="I14" s="4">
        <f t="shared" si="5"/>
        <v>0.79999999999999993</v>
      </c>
      <c r="J14" s="4">
        <f t="shared" si="6"/>
        <v>2.8944271909999162E-3</v>
      </c>
      <c r="K14" s="4">
        <f t="shared" si="7"/>
        <v>1.1055728090000839E-3</v>
      </c>
      <c r="L14" s="4"/>
      <c r="M14" s="4"/>
      <c r="N14" s="4"/>
      <c r="O14" s="4"/>
      <c r="P14" s="4"/>
    </row>
    <row r="15" spans="1:16" ht="21.75" customHeight="1" x14ac:dyDescent="0.25">
      <c r="A15" s="3"/>
      <c r="B15" s="5">
        <f t="shared" si="0"/>
        <v>1.2254033307585166E-3</v>
      </c>
      <c r="C15" s="10">
        <f>C8*1.7</f>
        <v>37.314999999999998</v>
      </c>
      <c r="D15" s="10">
        <f t="shared" si="1"/>
        <v>2.2956638679277842E-4</v>
      </c>
      <c r="E15" s="11">
        <v>0</v>
      </c>
      <c r="F15" s="12">
        <f t="shared" si="2"/>
        <v>2.2956638679277842E-4</v>
      </c>
      <c r="G15" s="4">
        <f t="shared" si="3"/>
        <v>250000</v>
      </c>
      <c r="H15" s="4">
        <f t="shared" si="4"/>
        <v>-1000</v>
      </c>
      <c r="I15" s="4">
        <f t="shared" si="5"/>
        <v>0.85</v>
      </c>
      <c r="J15" s="4">
        <f t="shared" si="6"/>
        <v>2.7745966692414832E-3</v>
      </c>
      <c r="K15" s="4">
        <f t="shared" si="7"/>
        <v>1.2254033307585166E-3</v>
      </c>
      <c r="L15" s="4"/>
      <c r="M15" s="4"/>
      <c r="N15" s="4"/>
      <c r="O15" s="4"/>
      <c r="P15" s="4"/>
    </row>
    <row r="16" spans="1:16" ht="21.75" customHeight="1" x14ac:dyDescent="0.25">
      <c r="A16" s="3"/>
      <c r="B16" s="5">
        <f t="shared" si="0"/>
        <v>1.3675444679663242E-3</v>
      </c>
      <c r="C16" s="10">
        <f>C8*1.8</f>
        <v>39.51</v>
      </c>
      <c r="D16" s="10">
        <f t="shared" si="1"/>
        <v>3.1312888023789535E-4</v>
      </c>
      <c r="E16" s="11">
        <v>0</v>
      </c>
      <c r="F16" s="12">
        <f t="shared" si="2"/>
        <v>3.1312888023789535E-4</v>
      </c>
      <c r="G16" s="4">
        <f t="shared" si="3"/>
        <v>250000</v>
      </c>
      <c r="H16" s="4">
        <f t="shared" si="4"/>
        <v>-1000</v>
      </c>
      <c r="I16" s="4">
        <f t="shared" si="5"/>
        <v>0.9</v>
      </c>
      <c r="J16" s="4">
        <f t="shared" si="6"/>
        <v>2.6324555320336759E-3</v>
      </c>
      <c r="K16" s="4">
        <f t="shared" si="7"/>
        <v>1.3675444679663242E-3</v>
      </c>
      <c r="L16" s="4"/>
      <c r="M16" s="4"/>
      <c r="N16" s="4"/>
      <c r="O16" s="4"/>
      <c r="P16" s="4"/>
    </row>
    <row r="17" spans="1:16" ht="21.75" customHeight="1" x14ac:dyDescent="0.25">
      <c r="A17" s="3"/>
      <c r="B17" s="5">
        <f t="shared" si="0"/>
        <v>1.552786404500042E-3</v>
      </c>
      <c r="C17" s="10">
        <f>C8*1.9</f>
        <v>41.704999999999998</v>
      </c>
      <c r="D17" s="10">
        <f t="shared" si="1"/>
        <v>4.3979217300892277E-4</v>
      </c>
      <c r="E17" s="11">
        <v>0</v>
      </c>
      <c r="F17" s="12">
        <f t="shared" si="2"/>
        <v>4.3979217300892277E-4</v>
      </c>
      <c r="G17" s="4">
        <f t="shared" si="3"/>
        <v>250000</v>
      </c>
      <c r="H17" s="4">
        <f t="shared" si="4"/>
        <v>-1000</v>
      </c>
      <c r="I17" s="4">
        <f t="shared" si="5"/>
        <v>0.95</v>
      </c>
      <c r="J17" s="4">
        <f t="shared" si="6"/>
        <v>2.4472135954999581E-3</v>
      </c>
      <c r="K17" s="4">
        <f t="shared" si="7"/>
        <v>1.552786404500042E-3</v>
      </c>
      <c r="L17" s="4"/>
      <c r="M17" s="4"/>
      <c r="N17" s="4"/>
      <c r="O17" s="4"/>
      <c r="P17" s="4"/>
    </row>
    <row r="18" spans="1:16" ht="21.75" customHeight="1" x14ac:dyDescent="0.25">
      <c r="A18" s="3"/>
      <c r="B18" s="5">
        <f t="shared" si="0"/>
        <v>1.6837722339831615E-3</v>
      </c>
      <c r="C18" s="10">
        <f>C8*1.95</f>
        <v>42.802499999999995</v>
      </c>
      <c r="D18" s="10">
        <f t="shared" si="1"/>
        <v>5.4148868061069705E-4</v>
      </c>
      <c r="E18" s="11">
        <v>0</v>
      </c>
      <c r="F18" s="12">
        <f t="shared" ref="F18" si="11">D18</f>
        <v>5.4148868061069705E-4</v>
      </c>
      <c r="G18" s="4">
        <f t="shared" si="3"/>
        <v>250000</v>
      </c>
      <c r="H18" s="4">
        <f t="shared" si="4"/>
        <v>-1000</v>
      </c>
      <c r="I18" s="4">
        <f t="shared" ref="I18" si="12">C18/$D$3</f>
        <v>0.97499999999999987</v>
      </c>
      <c r="J18" s="4">
        <f t="shared" ref="J18" si="13">(-H18+SQRT(H18^2-4*G18*I18))/(2*G18)</f>
        <v>2.3162277660168386E-3</v>
      </c>
      <c r="K18" s="4">
        <f t="shared" ref="K18" si="14">(-H18-SQRT(H18^2-4*G18*I18))/(2*G18)</f>
        <v>1.6837722339831615E-3</v>
      </c>
      <c r="L18" s="4"/>
      <c r="M18" s="4"/>
      <c r="N18" s="4"/>
      <c r="O18" s="4"/>
      <c r="P18" s="4"/>
    </row>
    <row r="19" spans="1:16" ht="21.75" customHeight="1" x14ac:dyDescent="0.25">
      <c r="A19" s="3"/>
      <c r="B19" s="5">
        <f t="shared" ref="B19:B22" si="15">MIN(J19:K19)</f>
        <v>1.7171572875253811E-3</v>
      </c>
      <c r="C19" s="10">
        <f>C8*1.96</f>
        <v>43.021999999999998</v>
      </c>
      <c r="D19" s="10">
        <f t="shared" si="1"/>
        <v>5.690158697766476E-4</v>
      </c>
      <c r="E19" s="11">
        <v>0</v>
      </c>
      <c r="F19" s="12">
        <f t="shared" ref="F19:F22" si="16">D19</f>
        <v>5.690158697766476E-4</v>
      </c>
      <c r="G19" s="4">
        <f t="shared" si="3"/>
        <v>250000</v>
      </c>
      <c r="H19" s="4">
        <f t="shared" si="4"/>
        <v>-1000</v>
      </c>
      <c r="I19" s="4">
        <f t="shared" ref="I19:I22" si="17">C19/$D$3</f>
        <v>0.98</v>
      </c>
      <c r="J19" s="4">
        <f t="shared" ref="J19" si="18">(-H19+SQRT(H19^2-4*G19*I19))/(2*G19)</f>
        <v>2.282842712474619E-3</v>
      </c>
      <c r="K19" s="4">
        <f t="shared" ref="K19" si="19">(-H19-SQRT(H19^2-4*G19*I19))/(2*G19)</f>
        <v>1.7171572875253811E-3</v>
      </c>
      <c r="L19" s="4"/>
      <c r="M19" s="4"/>
      <c r="N19" s="4"/>
      <c r="O19" s="4"/>
      <c r="P19" s="4"/>
    </row>
    <row r="20" spans="1:16" ht="21.75" customHeight="1" x14ac:dyDescent="0.25">
      <c r="A20" s="3"/>
      <c r="B20" s="5">
        <f t="shared" si="15"/>
        <v>1.7550510257216814E-3</v>
      </c>
      <c r="C20" s="10">
        <f>C8*1.97</f>
        <v>43.241499999999995</v>
      </c>
      <c r="D20" s="10">
        <f t="shared" si="1"/>
        <v>6.0105174359667882E-4</v>
      </c>
      <c r="E20" s="11">
        <v>0</v>
      </c>
      <c r="F20" s="12">
        <f t="shared" si="16"/>
        <v>6.0105174359667882E-4</v>
      </c>
      <c r="G20" s="4">
        <f t="shared" si="3"/>
        <v>250000</v>
      </c>
      <c r="H20" s="4">
        <f t="shared" si="4"/>
        <v>-1000</v>
      </c>
      <c r="I20" s="4">
        <f t="shared" si="17"/>
        <v>0.98499999999999988</v>
      </c>
      <c r="J20" s="4">
        <f t="shared" ref="J20:J22" si="20">(-H20+SQRT(H20^2-4*G20*I20))/(2*G20)</f>
        <v>2.2449489742783191E-3</v>
      </c>
      <c r="K20" s="4">
        <f t="shared" ref="K20:K22" si="21">(-H20-SQRT(H20^2-4*G20*I20))/(2*G20)</f>
        <v>1.7550510257216814E-3</v>
      </c>
      <c r="L20" s="4"/>
      <c r="M20" s="4"/>
      <c r="N20" s="4"/>
      <c r="O20" s="4"/>
      <c r="P20" s="4"/>
    </row>
    <row r="21" spans="1:16" ht="21.75" customHeight="1" x14ac:dyDescent="0.25">
      <c r="A21" s="3"/>
      <c r="B21" s="5">
        <f t="shared" si="15"/>
        <v>1.8E-3</v>
      </c>
      <c r="C21" s="10">
        <f>C8*1.98</f>
        <v>43.460999999999999</v>
      </c>
      <c r="D21" s="10">
        <f t="shared" si="1"/>
        <v>6.401428534987283E-4</v>
      </c>
      <c r="E21" s="11">
        <v>0</v>
      </c>
      <c r="F21" s="12">
        <f t="shared" si="16"/>
        <v>6.401428534987283E-4</v>
      </c>
      <c r="G21" s="4">
        <f t="shared" si="3"/>
        <v>250000</v>
      </c>
      <c r="H21" s="4">
        <f t="shared" si="4"/>
        <v>-1000</v>
      </c>
      <c r="I21" s="4">
        <f t="shared" si="17"/>
        <v>0.99</v>
      </c>
      <c r="J21" s="4">
        <f t="shared" si="20"/>
        <v>2.2000000000000001E-3</v>
      </c>
      <c r="K21" s="4">
        <f t="shared" si="21"/>
        <v>1.8E-3</v>
      </c>
      <c r="L21" s="4"/>
      <c r="M21" s="4"/>
      <c r="N21" s="4"/>
      <c r="O21" s="4"/>
      <c r="P21" s="4"/>
    </row>
    <row r="22" spans="1:16" ht="21.75" customHeight="1" x14ac:dyDescent="0.25">
      <c r="A22" s="3"/>
      <c r="B22" s="5">
        <f t="shared" si="15"/>
        <v>1.8585786437626888E-3</v>
      </c>
      <c r="C22" s="10">
        <f>C8*1.99</f>
        <v>43.680499999999995</v>
      </c>
      <c r="D22" s="10">
        <f t="shared" si="1"/>
        <v>6.9286363288514831E-4</v>
      </c>
      <c r="E22" s="11">
        <v>0</v>
      </c>
      <c r="F22" s="12">
        <f t="shared" si="16"/>
        <v>6.9286363288514831E-4</v>
      </c>
      <c r="G22" s="4">
        <f t="shared" si="3"/>
        <v>250000</v>
      </c>
      <c r="H22" s="4">
        <f t="shared" si="4"/>
        <v>-1000</v>
      </c>
      <c r="I22" s="4">
        <f t="shared" si="17"/>
        <v>0.99499999999999988</v>
      </c>
      <c r="J22" s="4">
        <f t="shared" si="20"/>
        <v>2.141421356237311E-3</v>
      </c>
      <c r="K22" s="4">
        <f t="shared" si="21"/>
        <v>1.8585786437626888E-3</v>
      </c>
      <c r="L22" s="4"/>
      <c r="M22" s="4"/>
      <c r="N22" s="4"/>
      <c r="O22" s="4"/>
      <c r="P22" s="4"/>
    </row>
    <row r="23" spans="1:16" ht="21.75" customHeight="1" x14ac:dyDescent="0.25">
      <c r="A23" s="3" t="s">
        <v>6</v>
      </c>
      <c r="B23" s="5">
        <f t="shared" si="0"/>
        <v>2E-3</v>
      </c>
      <c r="C23" s="10">
        <f>C8/0.5</f>
        <v>43.9</v>
      </c>
      <c r="D23" s="10">
        <f t="shared" si="1"/>
        <v>8.2842712474619044E-4</v>
      </c>
      <c r="E23" s="11">
        <f>1-(C23/$D$3)</f>
        <v>0</v>
      </c>
      <c r="F23" s="12">
        <f t="shared" si="2"/>
        <v>8.2842712474619044E-4</v>
      </c>
      <c r="G23" s="4">
        <f t="shared" si="3"/>
        <v>250000</v>
      </c>
      <c r="H23" s="4">
        <f t="shared" si="4"/>
        <v>-1000</v>
      </c>
      <c r="I23" s="4">
        <f t="shared" si="5"/>
        <v>1</v>
      </c>
      <c r="J23" s="4">
        <f t="shared" si="6"/>
        <v>2E-3</v>
      </c>
      <c r="K23" s="4">
        <f t="shared" si="7"/>
        <v>2E-3</v>
      </c>
      <c r="L23" s="4"/>
      <c r="M23" s="4"/>
      <c r="N23" s="4"/>
      <c r="O23" s="4"/>
      <c r="P23" s="4"/>
    </row>
    <row r="24" spans="1:16" ht="21.75" customHeight="1" x14ac:dyDescent="0.25">
      <c r="A24" s="3"/>
      <c r="B24" s="5">
        <f t="shared" ref="B24:B27" si="22">MAX(J24:K24)</f>
        <v>2.2000000000000001E-3</v>
      </c>
      <c r="C24" s="10">
        <f>C23*0.99</f>
        <v>43.460999999999999</v>
      </c>
      <c r="D24" s="10">
        <f t="shared" si="1"/>
        <v>1.0401428534987285E-3</v>
      </c>
      <c r="E24" s="11">
        <f t="shared" ref="E24:E27" si="23">1-(C24/$D$3)</f>
        <v>1.0000000000000009E-2</v>
      </c>
      <c r="F24" s="12">
        <f t="shared" ref="F24:F27" si="24">D24</f>
        <v>1.0401428534987285E-3</v>
      </c>
      <c r="G24" s="4">
        <f t="shared" si="3"/>
        <v>250000</v>
      </c>
      <c r="H24" s="4">
        <f t="shared" si="4"/>
        <v>-1000</v>
      </c>
      <c r="I24" s="4">
        <f t="shared" ref="I24:I27" si="25">C24/$D$3</f>
        <v>0.99</v>
      </c>
      <c r="J24" s="4">
        <f t="shared" ref="J24:J27" si="26">(-H24+SQRT(H24^2-4*G24*I24))/(2*G24)</f>
        <v>2.2000000000000001E-3</v>
      </c>
      <c r="K24" s="4">
        <f t="shared" ref="K24:K27" si="27">(-H24-SQRT(H24^2-4*G24*I24))/(2*G24)</f>
        <v>1.8E-3</v>
      </c>
      <c r="L24" s="4"/>
      <c r="M24" s="4"/>
      <c r="N24" s="4"/>
      <c r="O24" s="4"/>
      <c r="P24" s="4"/>
    </row>
    <row r="25" spans="1:16" ht="21.75" customHeight="1" x14ac:dyDescent="0.25">
      <c r="A25" s="3"/>
      <c r="B25" s="5">
        <f t="shared" si="22"/>
        <v>2.282842712474619E-3</v>
      </c>
      <c r="C25" s="10">
        <f>C23*0.98</f>
        <v>43.021999999999998</v>
      </c>
      <c r="D25" s="10">
        <f t="shared" si="1"/>
        <v>1.1347012947258855E-3</v>
      </c>
      <c r="E25" s="11">
        <f t="shared" si="23"/>
        <v>2.0000000000000018E-2</v>
      </c>
      <c r="F25" s="12">
        <f t="shared" si="24"/>
        <v>1.1347012947258855E-3</v>
      </c>
      <c r="G25" s="4">
        <f t="shared" si="3"/>
        <v>250000</v>
      </c>
      <c r="H25" s="4">
        <f t="shared" si="4"/>
        <v>-1000</v>
      </c>
      <c r="I25" s="4">
        <f t="shared" si="25"/>
        <v>0.98</v>
      </c>
      <c r="J25" s="4">
        <f t="shared" si="26"/>
        <v>2.282842712474619E-3</v>
      </c>
      <c r="K25" s="4">
        <f t="shared" si="27"/>
        <v>1.7171572875253811E-3</v>
      </c>
      <c r="L25" s="4"/>
      <c r="M25" s="4"/>
      <c r="N25" s="4"/>
      <c r="O25" s="4"/>
      <c r="P25" s="4"/>
    </row>
    <row r="26" spans="1:16" ht="21.75" customHeight="1" x14ac:dyDescent="0.25">
      <c r="A26" s="3"/>
      <c r="B26" s="5">
        <f t="shared" si="22"/>
        <v>2.3464101615137756E-3</v>
      </c>
      <c r="C26" s="10">
        <f>C23*0.97</f>
        <v>42.582999999999998</v>
      </c>
      <c r="D26" s="10">
        <f t="shared" si="1"/>
        <v>1.2099844725175803E-3</v>
      </c>
      <c r="E26" s="11">
        <f t="shared" si="23"/>
        <v>3.0000000000000027E-2</v>
      </c>
      <c r="F26" s="12">
        <f t="shared" si="24"/>
        <v>1.2099844725175803E-3</v>
      </c>
      <c r="G26" s="4">
        <f t="shared" si="3"/>
        <v>250000</v>
      </c>
      <c r="H26" s="4">
        <f t="shared" si="4"/>
        <v>-1000</v>
      </c>
      <c r="I26" s="4">
        <f t="shared" si="25"/>
        <v>0.97</v>
      </c>
      <c r="J26" s="4">
        <f t="shared" si="26"/>
        <v>2.3464101615137756E-3</v>
      </c>
      <c r="K26" s="4">
        <f t="shared" si="27"/>
        <v>1.6535898384862247E-3</v>
      </c>
      <c r="L26" s="4"/>
      <c r="M26" s="4"/>
      <c r="N26" s="4"/>
      <c r="O26" s="4"/>
      <c r="P26" s="4"/>
    </row>
    <row r="27" spans="1:16" ht="21.75" customHeight="1" x14ac:dyDescent="0.25">
      <c r="A27" s="3"/>
      <c r="B27" s="5">
        <f t="shared" si="22"/>
        <v>2.3999999999999998E-3</v>
      </c>
      <c r="C27" s="10">
        <f>C23*0.96</f>
        <v>42.143999999999998</v>
      </c>
      <c r="D27" s="10">
        <f t="shared" si="1"/>
        <v>1.2752900397563424E-3</v>
      </c>
      <c r="E27" s="11">
        <f t="shared" si="23"/>
        <v>4.0000000000000036E-2</v>
      </c>
      <c r="F27" s="12">
        <f t="shared" si="24"/>
        <v>1.2752900397563424E-3</v>
      </c>
      <c r="G27" s="4">
        <f t="shared" si="3"/>
        <v>250000</v>
      </c>
      <c r="H27" s="4">
        <f t="shared" si="4"/>
        <v>-1000</v>
      </c>
      <c r="I27" s="4">
        <f t="shared" si="25"/>
        <v>0.96</v>
      </c>
      <c r="J27" s="4">
        <f t="shared" si="26"/>
        <v>2.3999999999999998E-3</v>
      </c>
      <c r="K27" s="4">
        <f t="shared" si="27"/>
        <v>1.6000000000000001E-3</v>
      </c>
      <c r="L27" s="4"/>
      <c r="M27" s="4"/>
      <c r="N27" s="4"/>
      <c r="O27" s="4"/>
      <c r="P27" s="4"/>
    </row>
    <row r="28" spans="1:16" ht="21.75" customHeight="1" x14ac:dyDescent="0.25">
      <c r="A28" s="3"/>
      <c r="B28" s="5">
        <f>MAX(J28:K28)</f>
        <v>2.4472135954999581E-3</v>
      </c>
      <c r="C28" s="10">
        <f>C23*0.95</f>
        <v>41.704999999999998</v>
      </c>
      <c r="D28" s="10">
        <f t="shared" si="1"/>
        <v>1.3342193640088389E-3</v>
      </c>
      <c r="E28" s="11">
        <f t="shared" ref="E28:E37" si="28">1-(C28/$D$3)</f>
        <v>5.0000000000000044E-2</v>
      </c>
      <c r="F28" s="12">
        <f t="shared" si="2"/>
        <v>1.3342193640088389E-3</v>
      </c>
      <c r="G28" s="4">
        <f t="shared" si="3"/>
        <v>250000</v>
      </c>
      <c r="H28" s="4">
        <f t="shared" si="4"/>
        <v>-1000</v>
      </c>
      <c r="I28" s="4">
        <f t="shared" si="5"/>
        <v>0.95</v>
      </c>
      <c r="J28" s="4">
        <f t="shared" si="6"/>
        <v>2.4472135954999581E-3</v>
      </c>
      <c r="K28" s="4">
        <f t="shared" si="7"/>
        <v>1.552786404500042E-3</v>
      </c>
      <c r="L28" s="4"/>
      <c r="M28" s="4"/>
      <c r="N28" s="4"/>
      <c r="O28" s="4"/>
      <c r="P28" s="4"/>
    </row>
    <row r="29" spans="1:16" ht="21.75" customHeight="1" x14ac:dyDescent="0.25">
      <c r="A29" s="3"/>
      <c r="B29" s="5">
        <f t="shared" ref="B29:B43" si="29">MAX(J29:K29)</f>
        <v>2.6324555320336759E-3</v>
      </c>
      <c r="C29" s="10">
        <f>C23*0.9</f>
        <v>39.51</v>
      </c>
      <c r="D29" s="10">
        <f t="shared" si="1"/>
        <v>1.5780399443052471E-3</v>
      </c>
      <c r="E29" s="11">
        <f t="shared" si="28"/>
        <v>9.9999999999999978E-2</v>
      </c>
      <c r="F29" s="12">
        <f t="shared" si="2"/>
        <v>1.5780399443052471E-3</v>
      </c>
      <c r="G29" s="4">
        <f t="shared" si="3"/>
        <v>250000</v>
      </c>
      <c r="H29" s="4">
        <f t="shared" si="4"/>
        <v>-1000</v>
      </c>
      <c r="I29" s="4">
        <f t="shared" si="5"/>
        <v>0.9</v>
      </c>
      <c r="J29" s="4">
        <f t="shared" si="6"/>
        <v>2.6324555320336759E-3</v>
      </c>
      <c r="K29" s="4">
        <f t="shared" si="7"/>
        <v>1.3675444679663242E-3</v>
      </c>
      <c r="L29" s="4"/>
      <c r="M29" s="4"/>
      <c r="N29" s="4"/>
      <c r="O29" s="4"/>
      <c r="P29" s="4"/>
    </row>
    <row r="30" spans="1:16" ht="21.75" customHeight="1" x14ac:dyDescent="0.25">
      <c r="A30" s="3"/>
      <c r="B30" s="5">
        <f t="shared" si="29"/>
        <v>2.7745966692414832E-3</v>
      </c>
      <c r="C30" s="10">
        <f>C23*0.85</f>
        <v>37.314999999999998</v>
      </c>
      <c r="D30" s="10">
        <f t="shared" si="1"/>
        <v>1.778759725275745E-3</v>
      </c>
      <c r="E30" s="11">
        <f t="shared" si="28"/>
        <v>0.15000000000000002</v>
      </c>
      <c r="F30" s="12">
        <f t="shared" si="2"/>
        <v>1.778759725275745E-3</v>
      </c>
      <c r="G30" s="4">
        <f t="shared" si="3"/>
        <v>250000</v>
      </c>
      <c r="H30" s="4">
        <f t="shared" si="4"/>
        <v>-1000</v>
      </c>
      <c r="I30" s="4">
        <f t="shared" si="5"/>
        <v>0.85</v>
      </c>
      <c r="J30" s="4">
        <f t="shared" si="6"/>
        <v>2.7745966692414832E-3</v>
      </c>
      <c r="K30" s="4">
        <f t="shared" si="7"/>
        <v>1.2254033307585166E-3</v>
      </c>
      <c r="L30" s="4"/>
      <c r="M30" s="4"/>
      <c r="N30" s="4"/>
      <c r="O30" s="4"/>
      <c r="P30" s="4"/>
    </row>
    <row r="31" spans="1:16" ht="21.75" customHeight="1" x14ac:dyDescent="0.25">
      <c r="A31" s="3"/>
      <c r="B31" s="5">
        <f t="shared" si="29"/>
        <v>2.8944271909999162E-3</v>
      </c>
      <c r="C31" s="10">
        <f>C23*0.8</f>
        <v>35.119999999999997</v>
      </c>
      <c r="D31" s="10">
        <f t="shared" si="1"/>
        <v>1.9571688907968686E-3</v>
      </c>
      <c r="E31" s="11">
        <f t="shared" si="28"/>
        <v>0.20000000000000007</v>
      </c>
      <c r="F31" s="12">
        <f t="shared" si="2"/>
        <v>1.9571688907968686E-3</v>
      </c>
      <c r="G31" s="4">
        <f t="shared" si="3"/>
        <v>250000</v>
      </c>
      <c r="H31" s="4">
        <f t="shared" si="4"/>
        <v>-1000</v>
      </c>
      <c r="I31" s="4">
        <f t="shared" si="5"/>
        <v>0.79999999999999993</v>
      </c>
      <c r="J31" s="4">
        <f t="shared" si="6"/>
        <v>2.8944271909999162E-3</v>
      </c>
      <c r="K31" s="4">
        <f t="shared" si="7"/>
        <v>1.1055728090000839E-3</v>
      </c>
      <c r="L31" s="4"/>
      <c r="M31" s="4"/>
      <c r="N31" s="4"/>
      <c r="O31" s="4"/>
      <c r="P31" s="4"/>
    </row>
    <row r="32" spans="1:16" ht="21.75" customHeight="1" x14ac:dyDescent="0.25">
      <c r="A32" s="3"/>
      <c r="B32" s="5">
        <f t="shared" si="29"/>
        <v>3.0000000000000001E-3</v>
      </c>
      <c r="C32" s="10">
        <f>C23*0.75</f>
        <v>32.924999999999997</v>
      </c>
      <c r="D32" s="10">
        <f t="shared" si="1"/>
        <v>2.1213203435596429E-3</v>
      </c>
      <c r="E32" s="11">
        <f t="shared" si="28"/>
        <v>0.25</v>
      </c>
      <c r="F32" s="12">
        <f t="shared" si="2"/>
        <v>2.1213203435596429E-3</v>
      </c>
      <c r="G32" s="4">
        <f t="shared" si="3"/>
        <v>250000</v>
      </c>
      <c r="H32" s="4">
        <f t="shared" si="4"/>
        <v>-1000</v>
      </c>
      <c r="I32" s="4">
        <f t="shared" si="5"/>
        <v>0.75</v>
      </c>
      <c r="J32" s="4">
        <f t="shared" si="6"/>
        <v>3.0000000000000001E-3</v>
      </c>
      <c r="K32" s="4">
        <f t="shared" si="7"/>
        <v>1E-3</v>
      </c>
      <c r="L32" s="4"/>
      <c r="M32" s="4"/>
      <c r="N32" s="4"/>
      <c r="O32" s="4"/>
      <c r="P32" s="4"/>
    </row>
    <row r="33" spans="1:16" ht="21.75" customHeight="1" x14ac:dyDescent="0.25">
      <c r="A33" s="3"/>
      <c r="B33" s="5">
        <f t="shared" si="29"/>
        <v>3.0954451150103325E-3</v>
      </c>
      <c r="C33" s="10">
        <f>C23*0.7</f>
        <v>30.729999999999997</v>
      </c>
      <c r="D33" s="10">
        <f t="shared" si="1"/>
        <v>2.2753441023326657E-3</v>
      </c>
      <c r="E33" s="11">
        <f t="shared" si="28"/>
        <v>0.30000000000000004</v>
      </c>
      <c r="F33" s="12">
        <f t="shared" si="2"/>
        <v>2.2753441023326657E-3</v>
      </c>
      <c r="G33" s="4">
        <f t="shared" si="3"/>
        <v>250000</v>
      </c>
      <c r="H33" s="4">
        <f t="shared" si="4"/>
        <v>-1000</v>
      </c>
      <c r="I33" s="4">
        <f t="shared" si="5"/>
        <v>0.7</v>
      </c>
      <c r="J33" s="4">
        <f t="shared" si="6"/>
        <v>3.0954451150103325E-3</v>
      </c>
      <c r="K33" s="4">
        <f t="shared" si="7"/>
        <v>9.0455488498966772E-4</v>
      </c>
      <c r="L33" s="4"/>
      <c r="M33" s="4"/>
      <c r="N33" s="4"/>
      <c r="O33" s="4"/>
      <c r="P33" s="4"/>
    </row>
    <row r="34" spans="1:16" ht="21.75" customHeight="1" x14ac:dyDescent="0.25">
      <c r="A34" s="3"/>
      <c r="B34" s="5">
        <f t="shared" si="29"/>
        <v>3.1832159566199236E-3</v>
      </c>
      <c r="C34" s="10">
        <f>C23*0.65</f>
        <v>28.535</v>
      </c>
      <c r="D34" s="10">
        <f t="shared" si="1"/>
        <v>2.4216935877049471E-3</v>
      </c>
      <c r="E34" s="11">
        <f t="shared" si="28"/>
        <v>0.35</v>
      </c>
      <c r="F34" s="12">
        <f t="shared" si="2"/>
        <v>2.4216935877049471E-3</v>
      </c>
      <c r="G34" s="4">
        <f t="shared" si="3"/>
        <v>250000</v>
      </c>
      <c r="H34" s="4">
        <f t="shared" si="4"/>
        <v>-1000</v>
      </c>
      <c r="I34" s="4">
        <f t="shared" si="5"/>
        <v>0.65</v>
      </c>
      <c r="J34" s="4">
        <f t="shared" si="6"/>
        <v>3.1832159566199236E-3</v>
      </c>
      <c r="K34" s="4">
        <f t="shared" si="7"/>
        <v>8.1678404338007685E-4</v>
      </c>
      <c r="L34" s="4"/>
      <c r="M34" s="4"/>
      <c r="N34" s="4"/>
      <c r="O34" s="4"/>
      <c r="P34" s="4"/>
    </row>
    <row r="35" spans="1:16" ht="21.75" customHeight="1" x14ac:dyDescent="0.25">
      <c r="A35" s="3"/>
      <c r="B35" s="5">
        <f t="shared" si="29"/>
        <v>3.2649110640673518E-3</v>
      </c>
      <c r="C35" s="10">
        <f>C23*0.6</f>
        <v>26.34</v>
      </c>
      <c r="D35" s="10">
        <f t="shared" si="1"/>
        <v>2.5619673389150662E-3</v>
      </c>
      <c r="E35" s="11">
        <f t="shared" si="28"/>
        <v>0.4</v>
      </c>
      <c r="F35" s="12">
        <f t="shared" si="2"/>
        <v>2.5619673389150662E-3</v>
      </c>
      <c r="G35" s="4">
        <f t="shared" si="3"/>
        <v>250000</v>
      </c>
      <c r="H35" s="4">
        <f t="shared" si="4"/>
        <v>-1000</v>
      </c>
      <c r="I35" s="4">
        <f t="shared" si="5"/>
        <v>0.6</v>
      </c>
      <c r="J35" s="4">
        <f t="shared" si="6"/>
        <v>3.2649110640673518E-3</v>
      </c>
      <c r="K35" s="4">
        <f t="shared" si="7"/>
        <v>7.3508893593264818E-4</v>
      </c>
      <c r="L35" s="4"/>
      <c r="M35" s="4"/>
      <c r="N35" s="4"/>
      <c r="O35" s="4"/>
      <c r="P35" s="4"/>
    </row>
    <row r="36" spans="1:16" ht="21.75" customHeight="1" x14ac:dyDescent="0.25">
      <c r="A36" s="3"/>
      <c r="B36" s="5">
        <f t="shared" si="29"/>
        <v>3.3416407864998738E-3</v>
      </c>
      <c r="C36" s="10">
        <f>C23*0.55</f>
        <v>24.145</v>
      </c>
      <c r="D36" s="10">
        <f t="shared" si="1"/>
        <v>2.6972757051102786E-3</v>
      </c>
      <c r="E36" s="11">
        <f t="shared" si="28"/>
        <v>0.44999999999999996</v>
      </c>
      <c r="F36" s="12">
        <f t="shared" si="2"/>
        <v>2.6972757051102786E-3</v>
      </c>
      <c r="G36" s="4">
        <f t="shared" si="3"/>
        <v>250000</v>
      </c>
      <c r="H36" s="4">
        <f t="shared" si="4"/>
        <v>-1000</v>
      </c>
      <c r="I36" s="4">
        <f t="shared" si="5"/>
        <v>0.55000000000000004</v>
      </c>
      <c r="J36" s="4">
        <f t="shared" si="6"/>
        <v>3.3416407864998738E-3</v>
      </c>
      <c r="K36" s="4">
        <f t="shared" si="7"/>
        <v>6.5835921350012607E-4</v>
      </c>
      <c r="L36" s="4"/>
      <c r="M36" s="4"/>
      <c r="N36" s="4"/>
      <c r="O36" s="4"/>
      <c r="P36" s="4"/>
    </row>
    <row r="37" spans="1:16" ht="21.75" customHeight="1" x14ac:dyDescent="0.25">
      <c r="A37" s="3"/>
      <c r="B37" s="5">
        <f t="shared" si="29"/>
        <v>3.4142135623730953E-3</v>
      </c>
      <c r="C37" s="10">
        <f>C23*0.5</f>
        <v>21.95</v>
      </c>
      <c r="D37" s="10">
        <f t="shared" si="1"/>
        <v>2.8284271247461905E-3</v>
      </c>
      <c r="E37" s="11">
        <f t="shared" si="28"/>
        <v>0.5</v>
      </c>
      <c r="F37" s="12">
        <f t="shared" si="2"/>
        <v>2.8284271247461905E-3</v>
      </c>
      <c r="G37" s="4">
        <f t="shared" si="3"/>
        <v>250000</v>
      </c>
      <c r="H37" s="4">
        <f t="shared" si="4"/>
        <v>-1000</v>
      </c>
      <c r="I37" s="4">
        <f t="shared" si="5"/>
        <v>0.5</v>
      </c>
      <c r="J37" s="4">
        <f t="shared" si="6"/>
        <v>3.4142135623730953E-3</v>
      </c>
      <c r="K37" s="4">
        <f t="shared" si="7"/>
        <v>5.8578643762690491E-4</v>
      </c>
      <c r="L37" s="4"/>
      <c r="M37" s="4"/>
      <c r="N37" s="4"/>
      <c r="O37" s="4"/>
      <c r="P37" s="4"/>
    </row>
    <row r="38" spans="1:16" ht="21.75" customHeight="1" x14ac:dyDescent="0.25">
      <c r="A38" s="3"/>
      <c r="B38" s="5">
        <f t="shared" si="29"/>
        <v>3.4832396974191324E-3</v>
      </c>
      <c r="C38" s="10">
        <f>C23*0.45</f>
        <v>19.754999999999999</v>
      </c>
      <c r="D38" s="10">
        <f t="shared" si="1"/>
        <v>2.956031903554918E-3</v>
      </c>
      <c r="E38" s="11">
        <f t="shared" ref="E38:E40" si="30">1-(C38/$D$3)</f>
        <v>0.55000000000000004</v>
      </c>
      <c r="F38" s="12">
        <f t="shared" ref="F38:F40" si="31">D38</f>
        <v>2.956031903554918E-3</v>
      </c>
      <c r="G38" s="4">
        <f t="shared" si="3"/>
        <v>250000</v>
      </c>
      <c r="H38" s="4">
        <f t="shared" si="4"/>
        <v>-1000</v>
      </c>
      <c r="I38" s="4">
        <f t="shared" ref="I38:I40" si="32">C38/$D$3</f>
        <v>0.45</v>
      </c>
      <c r="J38" s="4">
        <f t="shared" ref="J38:J40" si="33">(-H38+SQRT(H38^2-4*G38*I38))/(2*G38)</f>
        <v>3.4832396974191324E-3</v>
      </c>
      <c r="K38" s="4">
        <f t="shared" ref="K38:K40" si="34">(-H38-SQRT(H38^2-4*G38*I38))/(2*G38)</f>
        <v>5.1676030258086738E-4</v>
      </c>
      <c r="L38" s="4"/>
      <c r="M38" s="4"/>
      <c r="N38" s="4"/>
      <c r="O38" s="4"/>
      <c r="P38" s="4"/>
    </row>
    <row r="39" spans="1:16" ht="21.75" customHeight="1" x14ac:dyDescent="0.25">
      <c r="A39" s="3"/>
      <c r="B39" s="5">
        <f t="shared" si="29"/>
        <v>3.5491933384829669E-3</v>
      </c>
      <c r="C39" s="10">
        <f>C23*0.4</f>
        <v>17.559999999999999</v>
      </c>
      <c r="D39" s="10">
        <f t="shared" si="1"/>
        <v>3.0805641883814429E-3</v>
      </c>
      <c r="E39" s="11">
        <f t="shared" si="30"/>
        <v>0.60000000000000009</v>
      </c>
      <c r="F39" s="12">
        <f t="shared" si="31"/>
        <v>3.0805641883814429E-3</v>
      </c>
      <c r="G39" s="4">
        <f t="shared" si="3"/>
        <v>250000</v>
      </c>
      <c r="H39" s="4">
        <f t="shared" si="4"/>
        <v>-1000</v>
      </c>
      <c r="I39" s="4">
        <f t="shared" si="32"/>
        <v>0.39999999999999997</v>
      </c>
      <c r="J39" s="4">
        <f t="shared" si="33"/>
        <v>3.5491933384829669E-3</v>
      </c>
      <c r="K39" s="4">
        <f t="shared" si="34"/>
        <v>4.5080666151703326E-4</v>
      </c>
      <c r="L39" s="4"/>
      <c r="M39" s="4"/>
      <c r="N39" s="4"/>
      <c r="O39" s="4"/>
      <c r="P39" s="4"/>
    </row>
    <row r="40" spans="1:16" ht="21.75" customHeight="1" x14ac:dyDescent="0.25">
      <c r="A40" s="3"/>
      <c r="B40" s="5">
        <f t="shared" si="29"/>
        <v>3.6124515496597097E-3</v>
      </c>
      <c r="C40" s="10">
        <f>C23*0.35</f>
        <v>15.364999999999998</v>
      </c>
      <c r="D40" s="10">
        <f t="shared" si="1"/>
        <v>3.2024010433208765E-3</v>
      </c>
      <c r="E40" s="11">
        <f t="shared" si="30"/>
        <v>0.65</v>
      </c>
      <c r="F40" s="12">
        <f t="shared" si="31"/>
        <v>3.2024010433208765E-3</v>
      </c>
      <c r="G40" s="4">
        <f t="shared" si="3"/>
        <v>250000</v>
      </c>
      <c r="H40" s="4">
        <f t="shared" si="4"/>
        <v>-1000</v>
      </c>
      <c r="I40" s="4">
        <f t="shared" si="32"/>
        <v>0.35</v>
      </c>
      <c r="J40" s="4">
        <f t="shared" si="33"/>
        <v>3.6124515496597097E-3</v>
      </c>
      <c r="K40" s="4">
        <f t="shared" si="34"/>
        <v>3.8754845034029016E-4</v>
      </c>
      <c r="L40" s="4"/>
      <c r="M40" s="4"/>
      <c r="N40" s="4"/>
      <c r="O40" s="4"/>
      <c r="P40" s="4"/>
    </row>
    <row r="41" spans="1:16" ht="21.75" customHeight="1" x14ac:dyDescent="0.25">
      <c r="A41" s="3"/>
      <c r="B41" s="5">
        <f t="shared" si="29"/>
        <v>3.6733200530681509E-3</v>
      </c>
      <c r="C41" s="10">
        <f>C23*0.3</f>
        <v>13.17</v>
      </c>
      <c r="D41" s="10">
        <f t="shared" si="1"/>
        <v>3.3218481904920081E-3</v>
      </c>
      <c r="E41" s="11">
        <f t="shared" ref="E41:E43" si="35">1-(C41/$D$3)</f>
        <v>0.7</v>
      </c>
      <c r="F41" s="12">
        <f t="shared" ref="F41:F43" si="36">D41</f>
        <v>3.3218481904920081E-3</v>
      </c>
      <c r="G41" s="4">
        <f t="shared" si="3"/>
        <v>250000</v>
      </c>
      <c r="H41" s="4">
        <f t="shared" si="4"/>
        <v>-1000</v>
      </c>
      <c r="I41" s="4">
        <f t="shared" ref="I41:I43" si="37">C41/$D$3</f>
        <v>0.3</v>
      </c>
      <c r="J41" s="4">
        <f t="shared" ref="J41:J43" si="38">(-H41+SQRT(H41^2-4*G41*I41))/(2*G41)</f>
        <v>3.6733200530681509E-3</v>
      </c>
      <c r="K41" s="4">
        <f t="shared" ref="K41:K43" si="39">(-H41-SQRT(H41^2-4*G41*I41))/(2*G41)</f>
        <v>3.2667994693184893E-4</v>
      </c>
      <c r="L41" s="4"/>
      <c r="M41" s="4"/>
      <c r="N41" s="4"/>
      <c r="O41" s="4"/>
      <c r="P41" s="4"/>
    </row>
    <row r="42" spans="1:16" ht="21.75" customHeight="1" x14ac:dyDescent="0.25">
      <c r="A42" s="3"/>
      <c r="B42" s="5">
        <f t="shared" si="29"/>
        <v>3.732050807568877E-3</v>
      </c>
      <c r="C42" s="10">
        <f>C23*0.25</f>
        <v>10.975</v>
      </c>
      <c r="D42" s="10">
        <f t="shared" si="1"/>
        <v>3.4391575887554246E-3</v>
      </c>
      <c r="E42" s="11">
        <f t="shared" si="35"/>
        <v>0.75</v>
      </c>
      <c r="F42" s="12">
        <f t="shared" si="36"/>
        <v>3.4391575887554246E-3</v>
      </c>
      <c r="G42" s="4">
        <f t="shared" si="3"/>
        <v>250000</v>
      </c>
      <c r="H42" s="4">
        <f t="shared" si="4"/>
        <v>-1000</v>
      </c>
      <c r="I42" s="4">
        <f t="shared" si="37"/>
        <v>0.25</v>
      </c>
      <c r="J42" s="4">
        <f t="shared" si="38"/>
        <v>3.732050807568877E-3</v>
      </c>
      <c r="K42" s="4">
        <f t="shared" si="39"/>
        <v>2.6794919243112281E-4</v>
      </c>
      <c r="L42" s="4"/>
      <c r="M42" s="4"/>
      <c r="N42" s="4"/>
      <c r="O42" s="4"/>
      <c r="P42" s="4"/>
    </row>
    <row r="43" spans="1:16" ht="21.75" customHeight="1" thickBot="1" x14ac:dyDescent="0.3">
      <c r="A43" s="3" t="s">
        <v>13</v>
      </c>
      <c r="B43" s="9">
        <f t="shared" si="29"/>
        <v>3.7888543819998319E-3</v>
      </c>
      <c r="C43" s="13">
        <f>C23*0.2</f>
        <v>8.7799999999999994</v>
      </c>
      <c r="D43" s="10">
        <f t="shared" si="1"/>
        <v>3.5545398069490699E-3</v>
      </c>
      <c r="E43" s="14">
        <f t="shared" si="35"/>
        <v>0.8</v>
      </c>
      <c r="F43" s="15">
        <f t="shared" si="36"/>
        <v>3.5545398069490699E-3</v>
      </c>
      <c r="G43" s="4">
        <f t="shared" si="3"/>
        <v>250000</v>
      </c>
      <c r="H43" s="4">
        <f t="shared" si="4"/>
        <v>-1000</v>
      </c>
      <c r="I43" s="4">
        <f t="shared" si="37"/>
        <v>0.19999999999999998</v>
      </c>
      <c r="J43" s="4">
        <f t="shared" si="38"/>
        <v>3.7888543819998319E-3</v>
      </c>
      <c r="K43" s="4">
        <f t="shared" si="39"/>
        <v>2.1114561800016828E-4</v>
      </c>
      <c r="L43" s="4"/>
      <c r="M43" s="4"/>
      <c r="N43" s="4"/>
      <c r="O43" s="4"/>
      <c r="P43" s="4"/>
    </row>
    <row r="44" spans="1:16" ht="21.75" customHeigh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21.75" customHeight="1" x14ac:dyDescent="0.25"/>
    <row r="46" spans="1:16" ht="21.75" customHeight="1" x14ac:dyDescent="0.25"/>
    <row r="47" spans="1:16" ht="21.75" customHeight="1" x14ac:dyDescent="0.25"/>
    <row r="48" spans="1:16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  <row r="125" ht="21.75" customHeight="1" x14ac:dyDescent="0.25"/>
    <row r="126" ht="21.75" customHeight="1" x14ac:dyDescent="0.25"/>
    <row r="127" ht="21.75" customHeight="1" x14ac:dyDescent="0.25"/>
    <row r="128" ht="21.75" customHeight="1" x14ac:dyDescent="0.25"/>
    <row r="129" ht="21.75" customHeight="1" x14ac:dyDescent="0.25"/>
    <row r="130" ht="21.75" customHeight="1" x14ac:dyDescent="0.25"/>
    <row r="131" ht="21.75" customHeight="1" x14ac:dyDescent="0.25"/>
    <row r="132" ht="21.75" customHeight="1" x14ac:dyDescent="0.25"/>
    <row r="133" ht="21.75" customHeight="1" x14ac:dyDescent="0.25"/>
    <row r="134" ht="21.75" customHeight="1" x14ac:dyDescent="0.25"/>
    <row r="135" ht="21.75" customHeight="1" x14ac:dyDescent="0.25"/>
    <row r="136" ht="21.75" customHeight="1" x14ac:dyDescent="0.25"/>
    <row r="137" ht="21.75" customHeight="1" x14ac:dyDescent="0.25"/>
    <row r="138" ht="21.75" customHeight="1" x14ac:dyDescent="0.25"/>
    <row r="139" ht="21.75" customHeight="1" x14ac:dyDescent="0.25"/>
    <row r="140" ht="21.75" customHeight="1" x14ac:dyDescent="0.25"/>
    <row r="141" ht="21.75" customHeight="1" x14ac:dyDescent="0.25"/>
    <row r="142" ht="21.75" customHeight="1" x14ac:dyDescent="0.25"/>
    <row r="143" ht="21.75" customHeight="1" x14ac:dyDescent="0.25"/>
    <row r="144" ht="21.75" customHeight="1" x14ac:dyDescent="0.25"/>
    <row r="145" ht="21.75" customHeight="1" x14ac:dyDescent="0.25"/>
    <row r="146" ht="21.75" customHeight="1" x14ac:dyDescent="0.25"/>
    <row r="147" ht="21.75" customHeight="1" x14ac:dyDescent="0.25"/>
    <row r="148" ht="21.75" customHeight="1" x14ac:dyDescent="0.25"/>
    <row r="149" ht="21.75" customHeight="1" x14ac:dyDescent="0.25"/>
    <row r="150" ht="21.75" customHeight="1" x14ac:dyDescent="0.25"/>
    <row r="151" ht="21.75" customHeight="1" x14ac:dyDescent="0.25"/>
    <row r="152" ht="21.75" customHeight="1" x14ac:dyDescent="0.25"/>
    <row r="153" ht="21.75" customHeight="1" x14ac:dyDescent="0.25"/>
    <row r="154" ht="21.75" customHeight="1" x14ac:dyDescent="0.25"/>
    <row r="155" ht="21.75" customHeight="1" x14ac:dyDescent="0.25"/>
    <row r="156" ht="21.75" customHeight="1" x14ac:dyDescent="0.25"/>
    <row r="157" ht="21.75" customHeight="1" x14ac:dyDescent="0.25"/>
    <row r="158" ht="21.75" customHeight="1" x14ac:dyDescent="0.25"/>
    <row r="159" ht="21.75" customHeight="1" x14ac:dyDescent="0.25"/>
    <row r="160" ht="21.75" customHeight="1" x14ac:dyDescent="0.25"/>
    <row r="161" ht="21.75" customHeight="1" x14ac:dyDescent="0.25"/>
    <row r="162" ht="21.75" customHeight="1" x14ac:dyDescent="0.25"/>
    <row r="163" ht="21.75" customHeight="1" x14ac:dyDescent="0.25"/>
    <row r="164" ht="21.75" customHeight="1" x14ac:dyDescent="0.25"/>
    <row r="165" ht="21.75" customHeight="1" x14ac:dyDescent="0.25"/>
    <row r="166" ht="21.75" customHeight="1" x14ac:dyDescent="0.25"/>
    <row r="167" ht="21.75" customHeight="1" x14ac:dyDescent="0.25"/>
    <row r="168" ht="21.75" customHeight="1" x14ac:dyDescent="0.25"/>
    <row r="169" ht="21.75" customHeight="1" x14ac:dyDescent="0.25"/>
    <row r="170" ht="21.75" customHeight="1" x14ac:dyDescent="0.25"/>
    <row r="171" ht="21.75" customHeight="1" x14ac:dyDescent="0.25"/>
    <row r="172" ht="21.75" customHeight="1" x14ac:dyDescent="0.25"/>
    <row r="173" ht="21.75" customHeight="1" x14ac:dyDescent="0.25"/>
    <row r="174" ht="21.75" customHeight="1" x14ac:dyDescent="0.25"/>
    <row r="175" ht="21.75" customHeight="1" x14ac:dyDescent="0.25"/>
    <row r="176" ht="21.75" customHeight="1" x14ac:dyDescent="0.25"/>
    <row r="177" ht="21.75" customHeight="1" x14ac:dyDescent="0.25"/>
    <row r="178" ht="21.75" customHeight="1" x14ac:dyDescent="0.25"/>
    <row r="179" ht="21.75" customHeight="1" x14ac:dyDescent="0.25"/>
    <row r="180" ht="21.75" customHeight="1" x14ac:dyDescent="0.25"/>
    <row r="181" ht="21.75" customHeight="1" x14ac:dyDescent="0.25"/>
    <row r="182" ht="21.75" customHeight="1" x14ac:dyDescent="0.25"/>
    <row r="183" ht="21.75" customHeight="1" x14ac:dyDescent="0.25"/>
    <row r="184" ht="21.75" customHeight="1" x14ac:dyDescent="0.25"/>
    <row r="185" ht="21.75" customHeight="1" x14ac:dyDescent="0.25"/>
    <row r="186" ht="21.75" customHeight="1" x14ac:dyDescent="0.25"/>
    <row r="187" ht="21.75" customHeight="1" x14ac:dyDescent="0.25"/>
    <row r="188" ht="21.75" customHeight="1" x14ac:dyDescent="0.25"/>
    <row r="189" ht="21.75" customHeight="1" x14ac:dyDescent="0.25"/>
    <row r="190" ht="21.75" customHeight="1" x14ac:dyDescent="0.25"/>
    <row r="191" ht="21.75" customHeight="1" x14ac:dyDescent="0.25"/>
    <row r="192" ht="21.75" customHeight="1" x14ac:dyDescent="0.25"/>
    <row r="193" ht="21.75" customHeight="1" x14ac:dyDescent="0.25"/>
    <row r="194" ht="21.75" customHeight="1" x14ac:dyDescent="0.25"/>
    <row r="195" ht="21.75" customHeight="1" x14ac:dyDescent="0.25"/>
    <row r="196" ht="21.75" customHeight="1" x14ac:dyDescent="0.25"/>
    <row r="197" ht="21.75" customHeight="1" x14ac:dyDescent="0.25"/>
    <row r="198" ht="21.75" customHeight="1" x14ac:dyDescent="0.25"/>
    <row r="199" ht="21.75" customHeight="1" x14ac:dyDescent="0.25"/>
    <row r="200" ht="21.75" customHeight="1" x14ac:dyDescent="0.25"/>
    <row r="201" ht="21.75" customHeight="1" x14ac:dyDescent="0.25"/>
    <row r="202" ht="21.75" customHeight="1" x14ac:dyDescent="0.25"/>
    <row r="203" ht="21.75" customHeight="1" x14ac:dyDescent="0.25"/>
    <row r="204" ht="21.75" customHeight="1" x14ac:dyDescent="0.25"/>
    <row r="205" ht="21.75" customHeight="1" x14ac:dyDescent="0.25"/>
    <row r="206" ht="21.75" customHeight="1" x14ac:dyDescent="0.25"/>
    <row r="207" ht="21.75" customHeight="1" x14ac:dyDescent="0.25"/>
    <row r="208" ht="21.75" customHeight="1" x14ac:dyDescent="0.25"/>
    <row r="209" ht="21.75" customHeight="1" x14ac:dyDescent="0.25"/>
    <row r="210" ht="21.75" customHeight="1" x14ac:dyDescent="0.25"/>
    <row r="211" ht="21.75" customHeight="1" x14ac:dyDescent="0.25"/>
    <row r="212" ht="21.75" customHeight="1" x14ac:dyDescent="0.25"/>
    <row r="213" ht="21.75" customHeight="1" x14ac:dyDescent="0.25"/>
    <row r="214" ht="21.75" customHeight="1" x14ac:dyDescent="0.25"/>
    <row r="215" ht="21.75" customHeight="1" x14ac:dyDescent="0.25"/>
    <row r="216" ht="21.75" customHeight="1" x14ac:dyDescent="0.25"/>
    <row r="217" ht="21.75" customHeight="1" x14ac:dyDescent="0.25"/>
    <row r="218" ht="21.75" customHeight="1" x14ac:dyDescent="0.25"/>
    <row r="219" ht="21.75" customHeight="1" x14ac:dyDescent="0.25"/>
    <row r="220" ht="21.75" customHeight="1" x14ac:dyDescent="0.25"/>
    <row r="221" ht="21.75" customHeight="1" x14ac:dyDescent="0.25"/>
    <row r="222" ht="21.75" customHeight="1" x14ac:dyDescent="0.25"/>
    <row r="223" ht="21.75" customHeight="1" x14ac:dyDescent="0.25"/>
    <row r="224" ht="21.75" customHeight="1" x14ac:dyDescent="0.25"/>
    <row r="225" ht="21.75" customHeight="1" x14ac:dyDescent="0.25"/>
    <row r="226" ht="21.75" customHeight="1" x14ac:dyDescent="0.25"/>
    <row r="227" ht="21.75" customHeight="1" x14ac:dyDescent="0.25"/>
    <row r="228" ht="21.75" customHeight="1" x14ac:dyDescent="0.25"/>
    <row r="229" ht="21.75" customHeight="1" x14ac:dyDescent="0.25"/>
    <row r="230" ht="21.75" customHeight="1" x14ac:dyDescent="0.25"/>
    <row r="231" ht="21.75" customHeight="1" x14ac:dyDescent="0.25"/>
    <row r="232" ht="21.75" customHeight="1" x14ac:dyDescent="0.25"/>
    <row r="233" ht="21.75" customHeight="1" x14ac:dyDescent="0.25"/>
    <row r="234" ht="21.75" customHeight="1" x14ac:dyDescent="0.25"/>
    <row r="235" ht="21.75" customHeight="1" x14ac:dyDescent="0.25"/>
    <row r="236" ht="21.75" customHeight="1" x14ac:dyDescent="0.25"/>
    <row r="237" ht="21.75" customHeight="1" x14ac:dyDescent="0.25"/>
    <row r="238" ht="21.75" customHeight="1" x14ac:dyDescent="0.25"/>
    <row r="239" ht="21.75" customHeight="1" x14ac:dyDescent="0.25"/>
    <row r="240" ht="21.75" customHeight="1" x14ac:dyDescent="0.25"/>
    <row r="241" ht="21.75" customHeight="1" x14ac:dyDescent="0.25"/>
    <row r="242" ht="21.75" customHeight="1" x14ac:dyDescent="0.25"/>
  </sheetData>
  <sheetProtection algorithmName="SHA-512" hashValue="7lPh1DvFpas5PKoC49SYN3Y5B8zuqRXtKnfE+wQn41uiJ83HSv1RLtKyN4JdWPMcSWRfs+9NzF60zR+3Oarjow==" saltValue="GrwCxywLs+yQEpTYAxrcgA==" spinCount="100000" sheet="1" objects="1" scenarios="1" selectLockedCells="1"/>
  <mergeCells count="10">
    <mergeCell ref="L6:P6"/>
    <mergeCell ref="D3:D4"/>
    <mergeCell ref="E3:E4"/>
    <mergeCell ref="G3:G4"/>
    <mergeCell ref="B3:C4"/>
    <mergeCell ref="F3:F4"/>
    <mergeCell ref="B6:F6"/>
    <mergeCell ref="G6:K6"/>
    <mergeCell ref="H3:H4"/>
    <mergeCell ref="J3:L4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CDP - Sajednia</dc:title>
  <dc:creator>Mohammad Sajednia</dc:creator>
  <cp:lastModifiedBy>Mohammad Sajednia</cp:lastModifiedBy>
  <dcterms:created xsi:type="dcterms:W3CDTF">2015-06-05T18:17:20Z</dcterms:created>
  <dcterms:modified xsi:type="dcterms:W3CDTF">2024-10-15T16:36:15Z</dcterms:modified>
</cp:coreProperties>
</file>