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Users\Sakaguchi Daimon\PycharmProjects\steric-ketone0328\"/>
    </mc:Choice>
  </mc:AlternateContent>
  <xr:revisionPtr revIDLastSave="0" documentId="13_ncr:1_{0DC38FD2-7011-40C8-99E1-9AE037601DB5}" xr6:coauthVersionLast="47" xr6:coauthVersionMax="47" xr10:uidLastSave="{00000000-0000-0000-0000-000000000000}"/>
  <bookViews>
    <workbookView xWindow="-110" yWindow="-110" windowWidth="19420" windowHeight="10300" firstSheet="1" activeTab="2" xr2:uid="{00000000-000D-0000-FFFF-FFFF00000000}"/>
  </bookViews>
  <sheets>
    <sheet name="main_old" sheetId="1" r:id="rId1"/>
    <sheet name="main_iPrOH" sheetId="25" r:id="rId2"/>
    <sheet name="main" sheetId="19" r:id="rId3"/>
    <sheet name="reference" sheetId="24" r:id="rId4"/>
    <sheet name="Sheet2" sheetId="23" r:id="rId5"/>
    <sheet name="ref" sheetId="20" r:id="rId6"/>
    <sheet name="yld&amp;ref" sheetId="21" r:id="rId7"/>
    <sheet name="Sheet1" sheetId="22" r:id="rId8"/>
    <sheet name="main20210903バックアップ" sheetId="18" r:id="rId9"/>
    <sheet name="keep" sheetId="17" r:id="rId10"/>
    <sheet name="新方式" sheetId="15" r:id="rId11"/>
    <sheet name="文献" sheetId="16" r:id="rId12"/>
    <sheet name="mini" sheetId="7" r:id="rId13"/>
    <sheet name="l-selectride" sheetId="11" r:id="rId14"/>
    <sheet name="没" sheetId="5" r:id="rId15"/>
    <sheet name="テンプレ" sheetId="8" r:id="rId16"/>
    <sheet name="test" sheetId="13" r:id="rId17"/>
  </sheets>
  <definedNames>
    <definedName name="_xlnm._FilterDatabase" localSheetId="2" hidden="1">main!$A$1:$AG$143</definedName>
    <definedName name="_xlnm._FilterDatabase" localSheetId="1" hidden="1">main_iPrOH!$A$1:$W$1</definedName>
    <definedName name="_xlnm._FilterDatabase" localSheetId="0" hidden="1">main_old!$A$1:$W$45</definedName>
    <definedName name="_xlnm._FilterDatabase" localSheetId="8" hidden="1">main20210903バックアップ!$A$1:$W$51</definedName>
    <definedName name="_xlnm._FilterDatabase" localSheetId="10" hidden="1">新方式!$I$1:$I$39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53" i="19" l="1"/>
  <c r="S152" i="19"/>
  <c r="S151" i="19"/>
  <c r="T144" i="19"/>
  <c r="T149" i="19"/>
  <c r="S149" i="19"/>
  <c r="T127" i="19"/>
  <c r="T126" i="19"/>
  <c r="T109" i="19"/>
  <c r="T106" i="19"/>
  <c r="S106" i="19"/>
  <c r="S104" i="19"/>
  <c r="S105" i="19"/>
  <c r="S102" i="19"/>
  <c r="S103" i="19"/>
  <c r="T90" i="19"/>
  <c r="T89" i="19"/>
  <c r="T88" i="19"/>
  <c r="T87" i="19"/>
  <c r="T86" i="19"/>
  <c r="T85" i="19"/>
  <c r="T84" i="19"/>
  <c r="T83" i="19"/>
  <c r="S82" i="19"/>
  <c r="T82" i="19"/>
  <c r="T81" i="19"/>
  <c r="T80" i="19"/>
  <c r="T76" i="19"/>
  <c r="T77" i="19"/>
  <c r="T78" i="19"/>
  <c r="T79" i="19"/>
  <c r="T69" i="19"/>
  <c r="S80" i="19"/>
  <c r="S79" i="19"/>
  <c r="S75" i="19"/>
  <c r="S74" i="19"/>
  <c r="S73" i="19"/>
  <c r="S72" i="19"/>
  <c r="T68" i="19"/>
  <c r="T67" i="19"/>
  <c r="T66" i="19"/>
  <c r="T65" i="19"/>
  <c r="T64" i="19"/>
  <c r="T63" i="19"/>
  <c r="S63" i="19"/>
  <c r="T4" i="19"/>
  <c r="S4" i="19"/>
  <c r="T60" i="19"/>
  <c r="T59" i="19"/>
  <c r="S55" i="19"/>
  <c r="S56" i="19"/>
  <c r="T54" i="19"/>
  <c r="T53" i="19"/>
  <c r="T52" i="19"/>
  <c r="T51" i="19"/>
  <c r="T50" i="19"/>
  <c r="S50" i="19"/>
  <c r="T44" i="19"/>
  <c r="T45" i="19"/>
  <c r="T43" i="19"/>
  <c r="T42" i="19"/>
  <c r="T41" i="19"/>
  <c r="T46" i="19"/>
  <c r="T39" i="19"/>
  <c r="T38" i="19"/>
  <c r="T37" i="19"/>
  <c r="T36" i="19"/>
  <c r="T35" i="19"/>
  <c r="T34" i="19"/>
  <c r="T33" i="19"/>
  <c r="T32" i="19"/>
  <c r="S31" i="19"/>
  <c r="S30" i="19"/>
  <c r="S2" i="19"/>
  <c r="S70" i="19" l="1"/>
  <c r="T209" i="19"/>
  <c r="T208" i="19"/>
  <c r="T207" i="19"/>
  <c r="T206" i="19"/>
  <c r="T203" i="19"/>
  <c r="T202" i="19"/>
  <c r="T201" i="19"/>
  <c r="T200" i="19"/>
  <c r="S49" i="19"/>
  <c r="T198" i="19"/>
  <c r="T197" i="19"/>
  <c r="T196" i="19"/>
  <c r="T195" i="19"/>
  <c r="T194" i="19"/>
  <c r="T192" i="19"/>
  <c r="T193" i="19"/>
  <c r="S187" i="19"/>
  <c r="S183" i="19"/>
  <c r="T170" i="19"/>
  <c r="S173" i="19"/>
  <c r="T173" i="19"/>
  <c r="S188" i="19"/>
  <c r="S185" i="19"/>
  <c r="T181" i="19"/>
  <c r="T180" i="19"/>
  <c r="T178" i="19"/>
  <c r="T171" i="19"/>
  <c r="T169" i="19"/>
  <c r="T166" i="19"/>
  <c r="T179" i="19"/>
  <c r="T177" i="19"/>
  <c r="T175" i="19"/>
  <c r="T174" i="19"/>
  <c r="T141" i="19"/>
  <c r="T140" i="19"/>
  <c r="T139" i="19"/>
  <c r="J49" i="19"/>
  <c r="H49" i="19"/>
  <c r="J28" i="19"/>
  <c r="H28" i="19"/>
  <c r="H2" i="19"/>
  <c r="J2" i="19"/>
  <c r="T145" i="19"/>
  <c r="T136" i="19" l="1"/>
  <c r="T135" i="19"/>
  <c r="T134" i="19"/>
  <c r="T57" i="19"/>
  <c r="T58" i="19"/>
  <c r="T61" i="19"/>
  <c r="L10" i="25"/>
  <c r="A10" i="25"/>
  <c r="L8" i="25"/>
  <c r="L3" i="25"/>
  <c r="L4" i="25"/>
  <c r="L5" i="25"/>
  <c r="L6" i="25"/>
  <c r="L7" i="25"/>
  <c r="L2" i="25"/>
  <c r="Z1" i="25"/>
  <c r="Y1" i="25"/>
  <c r="Q132" i="19"/>
  <c r="S131" i="19"/>
  <c r="B16" i="23"/>
  <c r="B17" i="23"/>
  <c r="B18" i="23"/>
  <c r="B19" i="23"/>
  <c r="B20" i="23"/>
  <c r="B21" i="23"/>
  <c r="B22" i="23"/>
  <c r="B23" i="23"/>
  <c r="B24" i="23"/>
  <c r="B25" i="23"/>
  <c r="B26" i="23"/>
  <c r="B27" i="23"/>
  <c r="B28" i="23"/>
  <c r="B29" i="23"/>
  <c r="B30" i="23"/>
  <c r="B31" i="23"/>
  <c r="B32" i="23"/>
  <c r="B33" i="23"/>
  <c r="B34" i="23"/>
  <c r="B35" i="23"/>
  <c r="B36" i="23"/>
  <c r="B37" i="23"/>
  <c r="B38" i="23"/>
  <c r="B39" i="23"/>
  <c r="B40" i="23"/>
  <c r="B41" i="23"/>
  <c r="B42" i="23"/>
  <c r="B43" i="23"/>
  <c r="B44" i="23"/>
  <c r="B45" i="23"/>
  <c r="B46" i="23"/>
  <c r="B47" i="23"/>
  <c r="B48" i="23"/>
  <c r="B49" i="23"/>
  <c r="B50" i="23"/>
  <c r="B51" i="23"/>
  <c r="B52" i="23"/>
  <c r="B53" i="23"/>
  <c r="B54" i="23"/>
  <c r="B55" i="23"/>
  <c r="B56" i="23"/>
  <c r="B57" i="23"/>
  <c r="B58" i="23"/>
  <c r="B59" i="23"/>
  <c r="B60" i="23"/>
  <c r="B61" i="23"/>
  <c r="B62" i="23"/>
  <c r="B63" i="23"/>
  <c r="B64" i="23"/>
  <c r="B65" i="23"/>
  <c r="B66" i="23"/>
  <c r="B67" i="23"/>
  <c r="B68" i="23"/>
  <c r="B7" i="23"/>
  <c r="B8" i="23"/>
  <c r="B9" i="23"/>
  <c r="B10" i="23"/>
  <c r="B11" i="23"/>
  <c r="B12" i="23"/>
  <c r="B13" i="23"/>
  <c r="B14" i="23"/>
  <c r="B15" i="23"/>
  <c r="B4" i="23"/>
  <c r="B5" i="23"/>
  <c r="B6" i="23"/>
  <c r="B3" i="23"/>
  <c r="B2" i="23"/>
  <c r="B1" i="23"/>
  <c r="C4" i="23"/>
  <c r="C3" i="23"/>
  <c r="C2" i="23"/>
  <c r="C1" i="23"/>
  <c r="S130" i="19"/>
  <c r="T31" i="19" l="1"/>
  <c r="T30" i="19"/>
  <c r="T3" i="19"/>
  <c r="AI1" i="19"/>
  <c r="T152" i="19" s="1"/>
  <c r="AJ1" i="19"/>
  <c r="T154" i="19" s="1"/>
  <c r="B2" i="21"/>
  <c r="B3" i="21"/>
  <c r="A61" i="19"/>
  <c r="A58" i="19"/>
  <c r="A57" i="19"/>
  <c r="A56" i="19"/>
  <c r="A78" i="19"/>
  <c r="A112" i="19"/>
  <c r="T151" i="19" l="1"/>
  <c r="T142" i="19"/>
  <c r="T150" i="19"/>
  <c r="T143" i="19"/>
  <c r="T103" i="19"/>
  <c r="T102" i="19"/>
  <c r="T101" i="19"/>
  <c r="T100" i="19"/>
  <c r="T96" i="19"/>
  <c r="T99" i="19"/>
  <c r="T97" i="19"/>
  <c r="T98" i="19"/>
  <c r="T92" i="19"/>
  <c r="T95" i="19"/>
  <c r="T93" i="19"/>
  <c r="T94" i="19"/>
  <c r="T74" i="19"/>
  <c r="T75" i="19"/>
  <c r="T73" i="19"/>
  <c r="T72" i="19"/>
  <c r="T55" i="19"/>
  <c r="T71" i="19"/>
  <c r="T47" i="19"/>
  <c r="T48" i="19"/>
  <c r="T56" i="19"/>
  <c r="T91" i="19"/>
  <c r="T108" i="19"/>
  <c r="T110" i="19"/>
  <c r="T107" i="19"/>
  <c r="T105" i="19"/>
  <c r="T104" i="19"/>
  <c r="T49" i="19"/>
  <c r="T2" i="19"/>
  <c r="T138" i="19"/>
  <c r="T137" i="19"/>
  <c r="T28" i="19"/>
  <c r="T29" i="19"/>
  <c r="A113" i="19"/>
  <c r="A139" i="19"/>
  <c r="A115" i="19"/>
  <c r="A116" i="19"/>
  <c r="A117" i="19"/>
  <c r="T118" i="19"/>
  <c r="T117" i="19"/>
  <c r="T116" i="19"/>
  <c r="T115" i="19"/>
  <c r="T113" i="19"/>
  <c r="T112" i="19"/>
  <c r="A125" i="19"/>
  <c r="A69" i="19"/>
  <c r="S128" i="19"/>
  <c r="S29" i="19"/>
  <c r="A105" i="19"/>
  <c r="M3" i="18"/>
  <c r="A124" i="19"/>
  <c r="A123" i="19"/>
  <c r="A122" i="19"/>
  <c r="A121" i="19"/>
  <c r="S122" i="19"/>
  <c r="A120" i="19"/>
  <c r="S121" i="19"/>
  <c r="A118" i="19"/>
  <c r="A77" i="19"/>
  <c r="A111" i="19"/>
  <c r="A103" i="19"/>
  <c r="A126" i="19"/>
  <c r="A136" i="19"/>
  <c r="A135" i="19"/>
  <c r="A134" i="19"/>
  <c r="A128" i="19"/>
  <c r="S114" i="19"/>
  <c r="A114" i="19"/>
  <c r="S110" i="19"/>
  <c r="A110" i="19"/>
  <c r="S109" i="19"/>
  <c r="A109" i="19"/>
  <c r="A91" i="19"/>
  <c r="S54" i="19"/>
  <c r="A54" i="19"/>
  <c r="S53" i="19"/>
  <c r="A53" i="19"/>
  <c r="S52" i="19"/>
  <c r="A52" i="19"/>
  <c r="S51" i="19"/>
  <c r="A51" i="19"/>
  <c r="S62" i="19"/>
  <c r="S3" i="19"/>
  <c r="P57" i="18"/>
  <c r="O57" i="18"/>
  <c r="N57" i="18"/>
  <c r="P21" i="18"/>
  <c r="P9" i="18"/>
  <c r="M9" i="18"/>
  <c r="J9" i="18"/>
  <c r="A12" i="18"/>
  <c r="A11" i="18"/>
  <c r="A13" i="18"/>
  <c r="A8" i="18"/>
  <c r="A9" i="18"/>
  <c r="A10" i="18"/>
  <c r="P6" i="18"/>
  <c r="A6" i="18"/>
  <c r="P5" i="18"/>
  <c r="M5" i="18"/>
  <c r="P15" i="1"/>
  <c r="K54" i="18"/>
  <c r="A54" i="18"/>
  <c r="A53" i="18"/>
  <c r="A52" i="18"/>
  <c r="A51" i="18"/>
  <c r="K50" i="18"/>
  <c r="A50" i="18"/>
  <c r="K49" i="18"/>
  <c r="A49" i="18"/>
  <c r="A48" i="18"/>
  <c r="A47" i="18"/>
  <c r="A46" i="18"/>
  <c r="A45" i="18"/>
  <c r="A44" i="18"/>
  <c r="A43" i="18"/>
  <c r="A42" i="18"/>
  <c r="A41" i="18"/>
  <c r="K40" i="18"/>
  <c r="A40" i="18"/>
  <c r="A39" i="18"/>
  <c r="A38" i="18"/>
  <c r="K37" i="18"/>
  <c r="A37" i="18"/>
  <c r="K36" i="18"/>
  <c r="A36" i="18"/>
  <c r="A35" i="18"/>
  <c r="A34" i="18"/>
  <c r="A33" i="18"/>
  <c r="A32" i="18"/>
  <c r="A31" i="18"/>
  <c r="A30" i="18"/>
  <c r="K29" i="18"/>
  <c r="A29" i="18"/>
  <c r="K28" i="18"/>
  <c r="A28" i="18"/>
  <c r="K27" i="18"/>
  <c r="A27" i="18"/>
  <c r="A26" i="18"/>
  <c r="A25" i="18"/>
  <c r="A24" i="18"/>
  <c r="A23" i="18"/>
  <c r="K22" i="18"/>
  <c r="A22" i="18"/>
  <c r="K21" i="18"/>
  <c r="A21" i="18"/>
  <c r="K20" i="18"/>
  <c r="A20" i="18"/>
  <c r="K19" i="18"/>
  <c r="A19" i="18"/>
  <c r="K18" i="18"/>
  <c r="A18" i="18"/>
  <c r="K17" i="18"/>
  <c r="A17" i="18"/>
  <c r="K16" i="18"/>
  <c r="A16" i="18"/>
  <c r="A15" i="18"/>
  <c r="A14" i="18"/>
  <c r="A7" i="18"/>
  <c r="A5" i="18"/>
  <c r="M4" i="18"/>
  <c r="K4" i="18"/>
  <c r="A4" i="18"/>
  <c r="A3" i="18"/>
  <c r="A2" i="18"/>
  <c r="A9" i="1"/>
  <c r="A8" i="1"/>
  <c r="A7" i="1"/>
  <c r="A46" i="1"/>
  <c r="A47" i="1"/>
  <c r="A48" i="1"/>
  <c r="M3" i="1"/>
  <c r="M4" i="1"/>
  <c r="K48" i="1"/>
  <c r="K16" i="1"/>
  <c r="K22" i="1"/>
  <c r="K4" i="1"/>
  <c r="A4" i="1"/>
  <c r="K15" i="1"/>
  <c r="K14" i="1"/>
  <c r="K13" i="1"/>
  <c r="A14" i="1"/>
  <c r="A13" i="1"/>
  <c r="A15" i="1"/>
  <c r="K12" i="1"/>
  <c r="K11" i="1"/>
  <c r="A12" i="1"/>
  <c r="A28" i="1"/>
  <c r="A3" i="1"/>
  <c r="A23" i="1"/>
  <c r="A29" i="1"/>
  <c r="A2" i="1"/>
  <c r="A24" i="1"/>
  <c r="A21" i="1"/>
  <c r="A5" i="1"/>
  <c r="A22" i="1"/>
  <c r="A6" i="1"/>
  <c r="A25" i="1"/>
  <c r="A30" i="1"/>
  <c r="A31" i="1"/>
  <c r="A26" i="1"/>
  <c r="A27" i="1"/>
  <c r="A32" i="1"/>
  <c r="A16" i="1"/>
  <c r="A17" i="1"/>
  <c r="A18" i="1"/>
  <c r="A19" i="1"/>
  <c r="A33" i="1"/>
  <c r="A10" i="1"/>
  <c r="A20" i="1"/>
  <c r="A34" i="1"/>
  <c r="A35" i="1"/>
  <c r="A36" i="1"/>
  <c r="A37" i="1"/>
  <c r="A38" i="1"/>
  <c r="A39" i="1"/>
  <c r="A40" i="1"/>
  <c r="A41" i="1"/>
  <c r="A42" i="1"/>
  <c r="A43" i="1"/>
  <c r="A44" i="1"/>
  <c r="A45" i="1"/>
  <c r="A11" i="1"/>
  <c r="B3" i="17"/>
  <c r="B2" i="17"/>
  <c r="B4" i="17" s="1"/>
  <c r="B6" i="15"/>
  <c r="B3" i="15"/>
  <c r="B3" i="13"/>
  <c r="B2" i="13"/>
  <c r="B4" i="13" s="1"/>
  <c r="B4" i="15" l="1"/>
  <c r="B3" i="11"/>
  <c r="B2" i="11"/>
  <c r="B4" i="11" s="1"/>
  <c r="B3" i="8"/>
  <c r="B2" i="8"/>
  <c r="B4" i="8" s="1"/>
  <c r="B3" i="7"/>
  <c r="B2" i="7"/>
  <c r="B4" i="7" l="1"/>
  <c r="A2" i="5"/>
  <c r="K43" i="1"/>
  <c r="K44" i="1"/>
  <c r="K10" i="1"/>
  <c r="K23" i="1"/>
  <c r="K21" i="1"/>
  <c r="K30" i="1"/>
  <c r="K31" i="1"/>
  <c r="K34" i="1"/>
</calcChain>
</file>

<file path=xl/sharedStrings.xml><?xml version="1.0" encoding="utf-8"?>
<sst xmlns="http://schemas.openxmlformats.org/spreadsheetml/2006/main" count="2436" uniqueCount="809">
  <si>
    <t>yld</t>
    <phoneticPr fontId="1"/>
  </si>
  <si>
    <t>compound_name</t>
    <phoneticPr fontId="1"/>
  </si>
  <si>
    <t>smiles</t>
    <phoneticPr fontId="1"/>
  </si>
  <si>
    <t>cas</t>
    <phoneticPr fontId="1"/>
  </si>
  <si>
    <t>n</t>
    <phoneticPr fontId="1"/>
  </si>
  <si>
    <t>o</t>
    <phoneticPr fontId="1"/>
  </si>
  <si>
    <t>4C</t>
    <phoneticPr fontId="1"/>
  </si>
  <si>
    <t>O=C1CC(C)(C)C[C@@H](C)C1</t>
  </si>
  <si>
    <t>3,3,5-trimethyl</t>
    <phoneticPr fontId="1"/>
  </si>
  <si>
    <t>2-methyl</t>
    <phoneticPr fontId="1"/>
  </si>
  <si>
    <t>O=C1[C@@H](C)CCCC1</t>
    <phoneticPr fontId="1"/>
  </si>
  <si>
    <t>O=C1C(C)(C2(C)(C))CC[C@@H]2C1</t>
  </si>
  <si>
    <t>d</t>
    <phoneticPr fontId="1"/>
  </si>
  <si>
    <t>camphor</t>
    <phoneticPr fontId="1"/>
  </si>
  <si>
    <t>2-phenyl</t>
    <phoneticPr fontId="1"/>
  </si>
  <si>
    <t>norcamphor</t>
    <phoneticPr fontId="1"/>
  </si>
  <si>
    <t>O=C1C(C2)CC[C@@H]2C1</t>
    <phoneticPr fontId="1"/>
  </si>
  <si>
    <t>4-tertbutyl</t>
    <phoneticPr fontId="1"/>
  </si>
  <si>
    <t>O=C1CCC(C(C)(C)C)CC1</t>
    <phoneticPr fontId="1"/>
  </si>
  <si>
    <t>1,3</t>
    <phoneticPr fontId="1"/>
  </si>
  <si>
    <t>polycyclo</t>
    <phoneticPr fontId="1"/>
  </si>
  <si>
    <t>test</t>
    <phoneticPr fontId="1"/>
  </si>
  <si>
    <t>tricyclo</t>
    <phoneticPr fontId="1"/>
  </si>
  <si>
    <t>2-phenyl-2-etynil-3-methyl</t>
    <phoneticPr fontId="1"/>
  </si>
  <si>
    <t>2-(2-propynyl)</t>
    <phoneticPr fontId="1"/>
  </si>
  <si>
    <t>O=C1[C@H](CC#C)CCCC1</t>
    <phoneticPr fontId="1"/>
  </si>
  <si>
    <t>2-(1-cyclohexen)</t>
    <phoneticPr fontId="1"/>
  </si>
  <si>
    <t>O=C1[C@H](C2=CCCCC2)CCCC1</t>
    <phoneticPr fontId="1"/>
  </si>
  <si>
    <t>2-propanyl-5-methyl</t>
    <phoneticPr fontId="1"/>
  </si>
  <si>
    <t>O=C1[C@H](C(C)=C)CC[C@@H](C)C1</t>
    <phoneticPr fontId="1"/>
  </si>
  <si>
    <t>tricyclo-diene</t>
    <phoneticPr fontId="1"/>
  </si>
  <si>
    <t>ethynyl-bicyclohexanone</t>
    <phoneticPr fontId="1"/>
  </si>
  <si>
    <t>O=C1[C@@H](C2)[C@@H](C#C)[C@@H]2C1</t>
    <phoneticPr fontId="1"/>
  </si>
  <si>
    <t>3-ethylene-4-(2-propenyl)pentanone</t>
    <phoneticPr fontId="1"/>
  </si>
  <si>
    <t>O=C1C[C@H](CC=C)[C@@H](C=C)C1</t>
    <phoneticPr fontId="1"/>
  </si>
  <si>
    <t>2-phenylmethyl-pentanone</t>
    <phoneticPr fontId="1"/>
  </si>
  <si>
    <t>memo</t>
    <phoneticPr fontId="1"/>
  </si>
  <si>
    <t>count</t>
    <phoneticPr fontId="1"/>
  </si>
  <si>
    <t>remark</t>
    <phoneticPr fontId="1"/>
  </si>
  <si>
    <t>chain</t>
    <phoneticPr fontId="1"/>
  </si>
  <si>
    <t>3-phenyl-2-butanone</t>
    <phoneticPr fontId="1"/>
  </si>
  <si>
    <t>3-phenyl-2-pentanone</t>
    <phoneticPr fontId="1"/>
  </si>
  <si>
    <t>3-(2-methylphenyl)-2-butanone</t>
    <phoneticPr fontId="1"/>
  </si>
  <si>
    <t>2-heptanone-3-phenyl</t>
    <phoneticPr fontId="1"/>
  </si>
  <si>
    <t>CC(=O)[C@H](CC)C1=CC=CC=C1</t>
    <phoneticPr fontId="1"/>
  </si>
  <si>
    <t>CC(=O)[C@H](C)C1=C(C)C=CC=C1</t>
    <phoneticPr fontId="1"/>
  </si>
  <si>
    <t>2-butanone,3,4,-diphenyl</t>
    <phoneticPr fontId="1"/>
  </si>
  <si>
    <t>bicyclo-ethyl</t>
    <phoneticPr fontId="1"/>
  </si>
  <si>
    <t>O=C1[C@@H](C2)[C@@H](CC)[C@@H]2C1</t>
    <phoneticPr fontId="1"/>
  </si>
  <si>
    <t>bicyclo-ethenyl</t>
    <phoneticPr fontId="1"/>
  </si>
  <si>
    <t>O=C1[C@@H](C2)[C@@H](C=C)[C@@H]2C1</t>
    <phoneticPr fontId="1"/>
  </si>
  <si>
    <t>diphenyl-cyclopentanone</t>
    <phoneticPr fontId="1"/>
  </si>
  <si>
    <t>O=C1C2=CC=CC=CC=C2[C@@H](C3=CC=CC=C3)C1</t>
    <phoneticPr fontId="1"/>
  </si>
  <si>
    <t>cyclo</t>
    <phoneticPr fontId="1"/>
  </si>
  <si>
    <t>2-(1-hexyl)</t>
    <phoneticPr fontId="1"/>
  </si>
  <si>
    <t>O=C1[C@@H](CCCCCC)CC1</t>
    <phoneticPr fontId="1"/>
  </si>
  <si>
    <t>2-(2-phenylethyl)</t>
    <phoneticPr fontId="1"/>
  </si>
  <si>
    <t>test</t>
    <phoneticPr fontId="1"/>
  </si>
  <si>
    <t>memo2</t>
    <phoneticPr fontId="1"/>
  </si>
  <si>
    <t>絶対立体配置で指定できない例外</t>
    <rPh sb="0" eb="6">
      <t>ゼッタイリッタイハイチ</t>
    </rPh>
    <rPh sb="7" eb="9">
      <t>シテイ</t>
    </rPh>
    <rPh sb="13" eb="15">
      <t>レイガイ</t>
    </rPh>
    <phoneticPr fontId="1"/>
  </si>
  <si>
    <t>chain</t>
    <phoneticPr fontId="1"/>
  </si>
  <si>
    <t>dicyclo</t>
    <phoneticPr fontId="1"/>
  </si>
  <si>
    <t>信頼性弱</t>
    <rPh sb="0" eb="3">
      <t>シンライセイ</t>
    </rPh>
    <rPh sb="3" eb="4">
      <t>ジャク</t>
    </rPh>
    <phoneticPr fontId="1"/>
  </si>
  <si>
    <t>mark</t>
    <phoneticPr fontId="1"/>
  </si>
  <si>
    <t>2-(4-methylphenyl)-2-methyl</t>
    <phoneticPr fontId="1"/>
  </si>
  <si>
    <t>2-phenyl</t>
    <phoneticPr fontId="1"/>
  </si>
  <si>
    <t>O=C2[C@H](c1ccccc1)CC2</t>
    <phoneticPr fontId="1"/>
  </si>
  <si>
    <t>O=C1[C@](C)(c2ccc(C)cc2)CC1</t>
    <phoneticPr fontId="1"/>
  </si>
  <si>
    <t>CC(=O)[C@H](C)c1ccccc1</t>
    <phoneticPr fontId="1"/>
  </si>
  <si>
    <t>CC(=O)[C@H](CC)c1ccccc1</t>
    <phoneticPr fontId="1"/>
  </si>
  <si>
    <t>CC(=O)[C@H](C)c1c(C)cccc1</t>
    <phoneticPr fontId="1"/>
  </si>
  <si>
    <t>CC(=O)[C@@H](CCCC)c1ccccc1</t>
    <phoneticPr fontId="1"/>
  </si>
  <si>
    <t>CC(=O)[C@@H](c1ccccc1)Cc1ccccc1</t>
    <phoneticPr fontId="1"/>
  </si>
  <si>
    <t>CC(=O)[C@@H](CC=C)c1ccccc1</t>
    <phoneticPr fontId="1"/>
  </si>
  <si>
    <t>O=C1CC(C)(C)C[C@@H](C)C1</t>
    <phoneticPr fontId="1"/>
  </si>
  <si>
    <t>O=C1[C@H](c2ccccc2)CCCC1</t>
    <phoneticPr fontId="1"/>
  </si>
  <si>
    <t>O=C1[C@@](C#C)(c2ccccc2)[C@@H](C)CCC1</t>
    <phoneticPr fontId="1"/>
  </si>
  <si>
    <t>O=C1[C@@H](CCc2ccccc2)CC1</t>
    <phoneticPr fontId="1"/>
  </si>
  <si>
    <t>COC(=O)CCCCc1ccc(cc1)[C@H]2CCCCC(=O)C2</t>
    <phoneticPr fontId="1"/>
  </si>
  <si>
    <t>COC(=O)CCCCc1ccc(cc1)[C@H]2CCCC(=O)C2</t>
    <phoneticPr fontId="1"/>
  </si>
  <si>
    <t>CC(=O)[C@H](C)c1ccc(OC)cc1</t>
    <phoneticPr fontId="1"/>
  </si>
  <si>
    <t>scifinderに保存</t>
    <rPh sb="10" eb="12">
      <t>ホゾン</t>
    </rPh>
    <phoneticPr fontId="1"/>
  </si>
  <si>
    <t>CC(=O)[C@H]1[C@H]2C=C(C)CC[C@H]2[C@H](C)CC1</t>
    <phoneticPr fontId="1"/>
  </si>
  <si>
    <t>scifinderに保存。絶対立体配置Scifinderと違うけど良く分からん</t>
    <rPh sb="13" eb="19">
      <t>ゼッタイリッタイハイチ</t>
    </rPh>
    <rPh sb="29" eb="30">
      <t>チガ</t>
    </rPh>
    <rPh sb="33" eb="34">
      <t>ヨ</t>
    </rPh>
    <rPh sb="35" eb="36">
      <t>ワ</t>
    </rPh>
    <phoneticPr fontId="1"/>
  </si>
  <si>
    <t>O=C1[C@@H](C[C@H](C2)C3)C(=C)[C@@H]2C[C@H]13</t>
    <phoneticPr fontId="1"/>
  </si>
  <si>
    <t>tricyclo</t>
    <phoneticPr fontId="1"/>
  </si>
  <si>
    <t>O=C1[C@H]2CCC=C[C@]2(C3)CC(=C)[C@@H]3C1</t>
    <phoneticPr fontId="1"/>
  </si>
  <si>
    <t>molは認識されるのにcids計算がダメ#絶対立体配置が違う気がするけどrdkitは結果的に正しく認識する</t>
    <rPh sb="4" eb="6">
      <t>ニンシキ</t>
    </rPh>
    <rPh sb="15" eb="17">
      <t>ケイサン</t>
    </rPh>
    <rPh sb="21" eb="27">
      <t>ゼッタイリッタイハイチ</t>
    </rPh>
    <rPh sb="28" eb="29">
      <t>チガ</t>
    </rPh>
    <rPh sb="30" eb="31">
      <t>キ</t>
    </rPh>
    <rPh sb="42" eb="44">
      <t>ケッカ</t>
    </rPh>
    <rPh sb="44" eb="45">
      <t>テキ</t>
    </rPh>
    <rPh sb="46" eb="47">
      <t>タダ</t>
    </rPh>
    <rPh sb="49" eb="51">
      <t>ニンシキ</t>
    </rPh>
    <phoneticPr fontId="1"/>
  </si>
  <si>
    <t>entry</t>
    <phoneticPr fontId="1"/>
  </si>
  <si>
    <t>hetero</t>
    <phoneticPr fontId="1"/>
  </si>
  <si>
    <t>all</t>
    <phoneticPr fontId="1"/>
  </si>
  <si>
    <t>learn</t>
    <phoneticPr fontId="1"/>
  </si>
  <si>
    <t>reference</t>
    <phoneticPr fontId="1"/>
  </si>
  <si>
    <t>solvent</t>
    <phoneticPr fontId="1"/>
  </si>
  <si>
    <t>temperature</t>
    <phoneticPr fontId="1"/>
  </si>
  <si>
    <t>Alves, P. B., &amp; Victor, M. M.. (2010). Reação da cânfora com boroidreto de sódio: uma estratégia para o estudo da estereoquímica da reação de redução. Química Nova, 33(10), 2274–2278. https://doi.org/10.1590/s0100-40422010001000042</t>
    <phoneticPr fontId="1"/>
  </si>
  <si>
    <t>menchone</t>
    <phoneticPr fontId="1"/>
  </si>
  <si>
    <t>C1(=O)[C@H](C(C)C)CC[C@@H](C)C1</t>
    <phoneticPr fontId="1"/>
  </si>
  <si>
    <t>fenchone</t>
    <phoneticPr fontId="1"/>
  </si>
  <si>
    <t>O=C1C(C)(C)[C@](C2)CC[C@@]12(C)</t>
    <phoneticPr fontId="1"/>
  </si>
  <si>
    <t>591-24-2</t>
    <phoneticPr fontId="1"/>
  </si>
  <si>
    <t>THF</t>
    <phoneticPr fontId="1"/>
  </si>
  <si>
    <t>O=C1C[C@@H](C)CC1</t>
    <phoneticPr fontId="1"/>
  </si>
  <si>
    <t>By Murata, Keisuke et al
From Chemistry - An Asian Journal, 15(6), 807-819; 2020</t>
    <phoneticPr fontId="1"/>
  </si>
  <si>
    <t>2322309-20-4</t>
  </si>
  <si>
    <t>CC(=O)C</t>
    <phoneticPr fontId="1"/>
  </si>
  <si>
    <t>591-24-2</t>
  </si>
  <si>
    <t>O=C1C[C@@H]CCC1</t>
    <phoneticPr fontId="1"/>
  </si>
  <si>
    <t>THF</t>
    <phoneticPr fontId="1"/>
  </si>
  <si>
    <t>Epimerization of Tertiary Carbon Centers via Reversible Radical Cleavage of Unactivated C(sp3)-H Bonds
By Wang, Yaxin et al
From Journal of the American Chemical Society, 140(30), 9678-9684; 2018</t>
    <phoneticPr fontId="1"/>
  </si>
  <si>
    <t>reductant</t>
    <phoneticPr fontId="1"/>
  </si>
  <si>
    <t>7517-02-4</t>
    <phoneticPr fontId="1"/>
  </si>
  <si>
    <t>583-60-8</t>
  </si>
  <si>
    <t>O=C1[C@@H](C)CCCCC1</t>
    <phoneticPr fontId="1"/>
  </si>
  <si>
    <t>nan</t>
    <phoneticPr fontId="1"/>
  </si>
  <si>
    <t>Et2O</t>
    <phoneticPr fontId="1"/>
  </si>
  <si>
    <t>Al-Isopropoxydiisobutylalane. A Stereoselective Reducing Agent for Reduction of Cyclic Ketones to Thermodynamically More Stable Alcohols
By Cha, Jin Soon and Kwon, Oh Oun
From Journal of Organic Chemistry, 62(9), 3019-3020; 1997</t>
    <phoneticPr fontId="1"/>
  </si>
  <si>
    <t>O=C1C[C@@H](C)CCC1</t>
    <phoneticPr fontId="1"/>
  </si>
  <si>
    <t>rt</t>
    <phoneticPr fontId="1"/>
  </si>
  <si>
    <t>Al-Isopropoxydiisobutylalane: A Study of the Effect of Solvent on the Rate and Stereoselectivity of Cyclic Ketone Reduction
By Bahia, Perdip S. et al
From Journal of Organic Chemistry, 69(26), 9289-9291; 2004</t>
    <phoneticPr fontId="1"/>
  </si>
  <si>
    <t>583-60-8</t>
    <phoneticPr fontId="1"/>
  </si>
  <si>
    <t>589-92-4</t>
  </si>
  <si>
    <t>O=C1CCC(C)CC1</t>
    <phoneticPr fontId="1"/>
  </si>
  <si>
    <t>cis-trans絶対立体配置</t>
    <rPh sb="9" eb="15">
      <t>ゼッタイリッタイハイチ</t>
    </rPh>
    <phoneticPr fontId="1"/>
  </si>
  <si>
    <r>
      <t>144188-76-1</t>
    </r>
    <r>
      <rPr>
        <u/>
        <sz val="11"/>
        <color theme="10"/>
        <rFont val="Yu Gothic"/>
        <family val="3"/>
        <charset val="128"/>
        <scheme val="minor"/>
      </rPr>
      <t> </t>
    </r>
  </si>
  <si>
    <t>Lithium pyrrolidinoborohydride
By Haddenham, Dustin et al
From e-EROS Encyclopedia of Reagents for Organic Synthesis, 1-3; 2008</t>
    <phoneticPr fontId="1"/>
  </si>
  <si>
    <t>source</t>
    <phoneticPr fontId="1"/>
  </si>
  <si>
    <t>https://scifinder-n.cas.org/searchDetail/reaction/6124578df8e9303de646c3fb/reactionDetails</t>
    <phoneticPr fontId="1"/>
  </si>
  <si>
    <t>Cossy, J., Bouzbouz, S., Laghgar, M., Tabyaoui, B., 2002. Selective cyclopropylcarbinyl rearrangement of tricyclo[5.3.1.0]undecanols induced by pyridinium chlorochromate. Tetrahedron Letters 43, 823–827.. doi:10.1016/s0040-4039(01)02291-2</t>
    <phoneticPr fontId="1"/>
  </si>
  <si>
    <t>URL</t>
    <phoneticPr fontId="1"/>
  </si>
  <si>
    <t>https://click.endnote.com/viewer?doi=10.1016%2Fs0040-4039%2801%2902291-2&amp;token=WzMwNzc5NzksIjEwLjEwMTYvczAwNDAtNDAzOSgwMSkwMjI5MS0yIl0.kpf8AKZUuxgTYJygv7deNMDZUFo</t>
    <phoneticPr fontId="1"/>
  </si>
  <si>
    <t>1932422-44-0 </t>
  </si>
  <si>
    <t>O=C1[C@]23CCCCC[C@]2(C3)CC1</t>
    <phoneticPr fontId="1"/>
  </si>
  <si>
    <t>rt</t>
    <phoneticPr fontId="1"/>
  </si>
  <si>
    <t>MeOH</t>
    <phoneticPr fontId="1"/>
  </si>
  <si>
    <t>cycloketone?</t>
    <phoneticPr fontId="1"/>
  </si>
  <si>
    <t>Hirai, Sho; et al,Tetrahedron (2011), 67(2), 518-530</t>
    <phoneticPr fontId="1"/>
  </si>
  <si>
    <t>https://click.endnote.com/viewer?doi=10.1016%2Fj.tet.2010.10.076&amp;token=WzMwNzc5NzksIjEwLjEwMTYvai50ZXQuMjAxMC4xMC4wNzYiXQ.mhTDslg77EM09I4VOXaAQBCBwcg</t>
    <phoneticPr fontId="1"/>
  </si>
  <si>
    <t>https://pubs.acs.org/doi/pdf/10.1021/ja00706a053?casa_token=AdNNQHGUWiUAAAAA:-3eNUPYBN7CqRa_Gr33-81Eo6OxtN_BwhcJondXTiXT9soOyWFo7EL9Wf3_QZCgDEst2hspJ-S9lCsAOVgk</t>
  </si>
  <si>
    <t>Brown, Herbert Charles, and William C. Dickason. "Lithium perhydro-9b-boraphenalylhydride. Active reducing agent of unusually high stereoselectivity for the reduction of cyclic and bicyclic ketones." Journal of the American Chemical Society 92.3 (1970): 709-710.</t>
  </si>
  <si>
    <t>https://pubs.acs.org/doi/pdf/10.1021/ja00775a053?casa_token=vKL9RoWKblIAAAAA:WbV0J8o6su44EPcduvhQCme5opyONP93ARlArYBwskzIlzG3EDJmYXPg-vrWdwJAHbq79jUkl-ssTv7vc1s</t>
    <phoneticPr fontId="1"/>
  </si>
  <si>
    <t>Brown, Herbert C., and S. Krishnamurthy. "Lithium tri-sec-butylborohydride. New reagent for the reduction of cyclic and bicyclic ketones with super stereoselectivity. Remarkably simple and practical procedure for the conversion of ketones to alcohols in exceptionally high stereochemical purity." Journal of the American Chemical Society 94.20 (1972): 7159-7161.</t>
  </si>
  <si>
    <t>https://pubs.acs.org/doi/pdf/10.1021/ja00427a061?casa_token=bSOqvahbu8oAAAAA:EBJVCc7JPeUwy1e5fE_gxQtTYPnxWMuFOV30aV6oKvPrR_ptnJHFcjKdLQ3jSD10AQVzHvdJgz0WQHgaD04</t>
  </si>
  <si>
    <t>Krishnamurthy, S., and Herbert C. Brown. "Lithium trisiamylborohydride. A new sterically hindered reagent for the reduction of cyclic ketones with exceptional stereoselectivity." Journal of the American Chemical Society 98.11 (1976): 3383-3384.</t>
  </si>
  <si>
    <t xml:space="preserve">Alves, P. B., &amp; Victor, M. M.. (2010). Reação da cânfora com boroidreto de sódio: uma estratégia para o estudo da estereoquímica da reação de redução. Química Nova, 33(10), 2274–2278. </t>
    <phoneticPr fontId="1"/>
  </si>
  <si>
    <t>パワポの引用文献に見つからない</t>
    <rPh sb="4" eb="6">
      <t>インヨウ</t>
    </rPh>
    <rPh sb="6" eb="8">
      <t>ブンケン</t>
    </rPh>
    <rPh sb="9" eb="10">
      <t>ミ</t>
    </rPh>
    <phoneticPr fontId="1"/>
  </si>
  <si>
    <t>https://scifinder.cas.org/scifinder/view/scifinder/scifinderExplore.jsf?sfow_newpage=/scifinder/view/reaction/reactionList.jsf&amp;nav=eNpb85aBtYSBMbGEQcXcycjVzcTUJMLCzM3Y1NDEKcLU0sLN0cDY2cjS1djYwtLAwhioNKm4iEEwK7EsUS8nMS9dzzOvJDU9tUjo0YIl3xvbLZgYGD0ZWMsSc0pTK4oYBBDq_Epzk1KL2tZMleWe8qCbiYGhooCBgYEbaGBGCQN7kKuju6tfCJCXX1zIUMfADJRjLGFgKipDtc0pPz8nNTHvrEJRw9U5v94BbYuC2VbAAACKUD1B</t>
    <phoneticPr fontId="1"/>
  </si>
  <si>
    <t>引用文献に関してその他</t>
    <rPh sb="0" eb="2">
      <t>インヨウ</t>
    </rPh>
    <rPh sb="2" eb="4">
      <t>ブンケン</t>
    </rPh>
    <rPh sb="5" eb="6">
      <t>カン</t>
    </rPh>
    <rPh sb="10" eb="11">
      <t>タ</t>
    </rPh>
    <phoneticPr fontId="1"/>
  </si>
  <si>
    <t>SIのp41,細かい実験情報載ってる</t>
    <rPh sb="7" eb="8">
      <t>コマ</t>
    </rPh>
    <rPh sb="10" eb="14">
      <t>ジッケンジョウホウ</t>
    </rPh>
    <rPh sb="14" eb="15">
      <t>ノ</t>
    </rPh>
    <phoneticPr fontId="1"/>
  </si>
  <si>
    <t>Neyyappadath, R.M., Chisholm, R., Greenhalgh, M.D., Rodríguez-Escrich, C., Pericàs, M.A., Hähner, G., Smith, A.D., 2018. Acylative Kinetic Resolution of Alcohols Using a Recyclable Polymer-Supported Isothiourea Catalyst in Batch and Flow. ACS Catalysis 8, 1067–1075.. doi:10.1021/acscatal.7b04001</t>
    <phoneticPr fontId="1"/>
  </si>
  <si>
    <t>https://click.endnote.com/viewer?doi=10.1021%2Facscatal.7b04001&amp;token=WzMwNzc5NzksIjEwLjEwMjEvYWNzY2F0YWwuN2IwNDAwMSJd.pszhjNa9Avuswr7SV3W-myIB83g</t>
    <phoneticPr fontId="1"/>
  </si>
  <si>
    <t>https://scifinder-n.cas.org/searchDetail/reaction/6125b22e61c4c4309f24a300/reactionDetails</t>
    <phoneticPr fontId="1"/>
  </si>
  <si>
    <t>家での取得は失敗</t>
    <rPh sb="0" eb="1">
      <t>イエ</t>
    </rPh>
    <rPh sb="3" eb="5">
      <t>シュトク</t>
    </rPh>
    <rPh sb="6" eb="8">
      <t>シッパイ</t>
    </rPh>
    <phoneticPr fontId="1"/>
  </si>
  <si>
    <t>https://pubs.rsc.org/en/content/articlelanding/1992/C3/C39920001711</t>
    <phoneticPr fontId="1"/>
  </si>
  <si>
    <t>AhmedáKhan, Faiz. "Importance of orbital and electrostatic interactions in determining π-facial selectivities in nucleophilic additions to endo-substituted bicyclo [2.2. 2] octan-2-ones." Journal of the Chemical Society, Chemical Communications 23 (1992): 1711-1712.</t>
    <phoneticPr fontId="1"/>
  </si>
  <si>
    <t>O=C1[C@H](CC2)[C@H](CC)[C@H](CC)[C@H]2C1</t>
    <phoneticPr fontId="1"/>
  </si>
  <si>
    <t>https://scifinder.cas.org/scifinder/view/scifinder/scifinderExplore.jsf?sfow_newpage=/scifinder/view/reaction/reactionList.jsf&amp;nav=eNpb85aBtYSBMbGEQcXc2cXAxNncMsLCzM3Y1NDEKcLE0MLAyNnCxdjA3MnN2cDAzRioNKm4iEEwK7EsUS8nMS9dzzOvJDU9tUjo0YIl3xvbLZgYGD0ZWMsSc0pTK4oYBBDq_Epzk1KL2tZMleWe8qCbiYGhooCBgYEFaGBGCQN7kKuju6tfCJCXX1zIUMfADJRjLGFgKipDtc0pPz8nNTHvrEJRw9U5v94BbYuC2VbAAACMxT1D</t>
    <phoneticPr fontId="1"/>
  </si>
  <si>
    <t>自宅不可</t>
    <rPh sb="0" eb="2">
      <t>ジタク</t>
    </rPh>
    <rPh sb="2" eb="4">
      <t>フカ</t>
    </rPh>
    <phoneticPr fontId="1"/>
  </si>
  <si>
    <t>Teodoro, Bruno VM, and Luiz F. Silva Jr. "Sequential Michael Addition/Electrophilic Alkynylation: Synthesis of α-Alkynyl-β-Substituted Ketones and Chromanones." The Journal of organic chemistry 83.21 (2018): 13604-13611.</t>
    <phoneticPr fontId="1"/>
  </si>
  <si>
    <t>https://scifinder.cas.org/scifinder/view/scifinder/scifinderExplore.jsf?sfow_newpage=/scifinder/view/reaction/reactionList.jsf&amp;nav=eNpb85aBtYSBMbGEQcXc2cXM0NHCOMLCzM3Y1NDEKcLcwtgQKOJiYmnsZGFs4GRiAlSaVFzEIJiVWJaol5OYl67nmVeSmp5aJPRowZLvje0WTAyMngysZYk5pakVRQwCCHV-pblJqUVta6bKck950M3EwFBRwMDAwAk0MKOEgT3I1dHd1S8EyMsvLmSoY2AGyjGWMDAVlaHa5pSfn5OamHdWoajh6pxf74C2RcFsK2AAAH8UPTA</t>
    <phoneticPr fontId="1"/>
  </si>
  <si>
    <t>https://pubs.rsc.org/en/content/articlelanding/2018/OB/C8OB00368H</t>
    <phoneticPr fontId="1"/>
  </si>
  <si>
    <t>Nakate, Ashwini K., Madhukar S. Pratapure, and Ravindar Kontham. "Bismuth (III)-catalyzed cycloisomerization and (hetero) arylation of alkynols: simple access to 2-(hetero) aryl tetrahydrofurans and tetrahydropyrans." Organic &amp; biomolecular chemistry 16.17 (2018): 3229-3240.</t>
    <phoneticPr fontId="1"/>
  </si>
  <si>
    <t>https://scifinder.cas.org/scifinder/view/scifinder/scifinderExplore.jsf?sfow_newpage=/scifinder/view/reaction/reactionList.jsf&amp;nav=eNpb85aBtYSBMbGEQcXc2cXRwsnMOMLCzM3Y1NDEKcLE0cTR0c3C2NDN0cLR1NDI2RyoNKm4iEEwK7EsUS8nMS9dzzOvJDU9tUjo0YIl3xvbLZgYGD0ZWMsSc0pTK4oYBBDq_Epzk1KL2tZMleWe8qCbiYGhooCBgYEXaGBGCQN7kKuju6tfCJCXX1zIUMfADJRjLGFgKipDtc0pPz8nNTHvrEJRw9U5v94BbYuC2VbAAACxHT18</t>
    <phoneticPr fontId="1"/>
  </si>
  <si>
    <t>https://pubs.acs.org/doi/abs/10.1021/jo00269a042</t>
    <phoneticPr fontId="1"/>
  </si>
  <si>
    <t>Bell, T.W., Vargas, J.R., Crispino, G.A., 1989. Interannular diastereoselectivity in the hydroboration of functionalized 1-cyclohexylcyclohexenes. The Journal of Organic Chemistry 54, 1978–1987.. doi:10.1021/jo00269a042</t>
    <phoneticPr fontId="1"/>
  </si>
  <si>
    <t>p522,他の還元剤のデータも有り</t>
    <rPh sb="5" eb="6">
      <t>ホカ</t>
    </rPh>
    <rPh sb="7" eb="10">
      <t>カンゲンザイ</t>
    </rPh>
    <rPh sb="15" eb="16">
      <t>ア</t>
    </rPh>
    <phoneticPr fontId="1"/>
  </si>
  <si>
    <t>MeOH</t>
    <phoneticPr fontId="1"/>
  </si>
  <si>
    <t>https://doi.org/10.1590/s0100-40422010001000042</t>
    <phoneticPr fontId="1"/>
  </si>
  <si>
    <t>O=C1C(C)(C2(C)(C))CC[C@@H]2C1</t>
    <phoneticPr fontId="1"/>
  </si>
  <si>
    <t>https://scifinder.cas.org/scifinder/view/scifinder/scifinderExplore.jsf?sfow_newpage=/scifinder/view/reaction/reactionList.jsf&amp;nav=eNpb85aBtYSBMbGEQcXC0MDR2cLSJcLCzM3Y1MDSIsLY2dHA2NjR0cjN1M3ExdHNwASoNKm4iEEwK7EsUS8nMS9dzzOvJDU9tUjo0YIl3xvbLZgYGD0ZWMsSc0pTK4oYBBDq_Epzk1KL2tZMleWe8qCbiYGhooCBgYEJaGBGCQN7kKuju6tfCJCXX1zIUMfADJRjLGFgKipDtc0pPz8nNTHvrEJRw9U5v94BbYuC2VbAAACgiD1h</t>
    <phoneticPr fontId="1"/>
  </si>
  <si>
    <t>Nazimova, E., Pavlova, A., Mikhalchenko, O., Il’Ina, I., Korchagina, D., Tolstikova, T., Volcho, K., Salakhutdinov, N., 2016. Discovery of highly potent analgesic activity of isopulegol-derived (2R,4aR,7R,8aR)-4,7-dimethyl-2-(thiophen-2-yl)octahydro-2H-chromen-4-ol. Medicinal Chemistry Research 25, 1369–1383.. doi:10.1007/s00044-016-1573-3</t>
    <phoneticPr fontId="1"/>
  </si>
  <si>
    <t>https://click.endnote.com/viewer?doi=10.1007%2Fs00044-016-1573-3&amp;token=WzMwNzc5NzksIjEwLjEwMDcvczAwMDQ0LTAxNi0xNTczLTMiXQ.koctvDIq1HlKLYkUqVZCGyWAO40</t>
    <phoneticPr fontId="1"/>
  </si>
  <si>
    <t>自宅で見れる、詳細は見ていない</t>
    <rPh sb="0" eb="2">
      <t>ジタク</t>
    </rPh>
    <rPh sb="3" eb="4">
      <t>ミ</t>
    </rPh>
    <rPh sb="7" eb="9">
      <t>ショウサイ</t>
    </rPh>
    <rPh sb="10" eb="11">
      <t>ミ</t>
    </rPh>
    <phoneticPr fontId="1"/>
  </si>
  <si>
    <t>Y. Senda - A High Cis-Stereoselectivity in the Hydrogenation of 6-t-Butyltetrahydropyran-3-one and 2-t-Butyl-1,3-dioxan-5-one (endnote.com)</t>
  </si>
  <si>
    <t>p2948に、4-tBu-cyhexonとそのエーテル誘導体がある。LAHもある。溶媒2-propanol</t>
    <rPh sb="27" eb="29">
      <t>ユウドウ</t>
    </rPh>
    <rPh sb="29" eb="30">
      <t>タイ</t>
    </rPh>
    <rPh sb="41" eb="43">
      <t>ヨウバイ</t>
    </rPh>
    <phoneticPr fontId="1"/>
  </si>
  <si>
    <t>https://scifinder.cas.org/scifinder/view/scifinder/scifinderExplore.jsf?sfow_newpage=/scifinder/view/reaction/reactionList.jsf&amp;nav=eNpb85aBtYSBMbGEQcXC0MDR2cLSJcLCzM3Y1MDSIsLY2dHA2NjR0cjN1M3ExdHNwASoNKm4iEEwK7EsUS8nMS9dzzOvJDU9tUjo0YIl3xvbLZgYGD0ZWMsSc0pTK4oYBBDq_Epzk1KL2tZMleWe8qCbiYGhooCBgYEJaGBGCQN7kKuju6tfCJCXX1zIUMfADJRjLGFgKipDtc0pPz8nNTHvrEJRw9U5v94BbYuC2VbAAACgiD1h</t>
    <phoneticPr fontId="1"/>
  </si>
  <si>
    <t>1263035-71-7</t>
    <phoneticPr fontId="1"/>
  </si>
  <si>
    <t>464-49-3</t>
  </si>
  <si>
    <t>34281-94-2</t>
    <phoneticPr fontId="1"/>
  </si>
  <si>
    <t>https://scifinder.cas.org/scifinder/view/scifinder/scifinderExplore.jsf?sfow_newpage=/scifinder/view/reaction/reactionList.jsf&amp;nav=eNpb85aBtYSBMbGEQcXSydDR1NLCKcLCzM3Y1MDSJMLQydzc0NANKO7s6mZiaOpkAFSaVFzEIJiVWJaol5OYl67nmVeSmp5aJPRowZLvje0WTAyMngysZYk5pakVRQwCCHV-pblJqUVta6bKck950M3EwFBRwMDAwAQ0MKOEgT3I1dHd1S8EyMsvLmSoY2AGyjGWMDAVlaHa5pSfn5OamHdWoajh6pxf74C2RcFsK2AAAJdFPVI</t>
    <phoneticPr fontId="1"/>
  </si>
  <si>
    <t>https://www.sciencedirect.com/science/article/pii/S0040402004012529?via%3Dihub</t>
    <phoneticPr fontId="1"/>
  </si>
  <si>
    <t>Chu, J.-H., Li, W.-S., Chao, I., Chung, W.-S., 2004. Face selectivity in the reactions of 2,4-disubstituted adamantanes and their modification by inclusion in β-cyclodextrin solutions. Tetrahedron 60, 9493–9501.. doi:10.1016/j.tet.2004.07.075</t>
    <phoneticPr fontId="1"/>
  </si>
  <si>
    <t>他の色々な条件あり</t>
    <rPh sb="0" eb="1">
      <t>タ</t>
    </rPh>
    <rPh sb="2" eb="4">
      <t>イロイロ</t>
    </rPh>
    <rPh sb="5" eb="7">
      <t>ジョウケン</t>
    </rPh>
    <phoneticPr fontId="1"/>
  </si>
  <si>
    <t>https://scifinder.cas.org/scifinder/view/scifinder/scifinderExplore.jsf?sfow_newpage=/scifinder/view/reaction/reactionList.jsf&amp;nav=eNpb85aBtYSBMbGEQcXSycjc0tXMLcLCzM3Y1MDSJMLM1NXCws3E3MjcxdHF2cXU1QCoNKm4iEEwK7EsUS8nMS9dzzOvJDU9tUjo0YIl3xvbLZgYGD0ZWMsSc0pTK4oYBBDq_Epzk1KL2tZMleWe8qCbiYGhooCBgYENaGBGCQN7kKuju6tfCJCXX1zIUMfADJRjLGFgKipDtc0pPz8nNTHvrEJRw9U5v94BbYuC2VbAAACxhj18</t>
    <phoneticPr fontId="1"/>
  </si>
  <si>
    <t>https://click.endnote.com/viewer?doi=10.1016%2Fs0040-4039%2803%2901681-2&amp;token=WzMwNzc5NzksIjEwLjEwMTYvczAwNDAtNDAzOSgwMykwMTY4MS0yIl0.4TEHsqt9ljrPnl1TgFognQVtTiE</t>
    <phoneticPr fontId="1"/>
  </si>
  <si>
    <t>MeOH</t>
    <phoneticPr fontId="1"/>
  </si>
  <si>
    <t>Yadav, V.K., Babu, K.G., Balamurugan, R., 2003. Bicyclo[2.1.1]hexan-2-one as a new probe for the study of π-facial selectivity in nucleophilic additions. A comment. Tetrahedron Letters 44, 6617–6619.. doi:10.1016/s0040-4039(03)01681-2</t>
    <phoneticPr fontId="1"/>
  </si>
  <si>
    <t>他の基質多数あり</t>
    <rPh sb="0" eb="1">
      <t>ホカ</t>
    </rPh>
    <rPh sb="2" eb="4">
      <t>キシツ</t>
    </rPh>
    <rPh sb="4" eb="6">
      <t>タスウ</t>
    </rPh>
    <phoneticPr fontId="1"/>
  </si>
  <si>
    <t>0-5（範囲）</t>
    <rPh sb="4" eb="6">
      <t>ハンイ</t>
    </rPh>
    <phoneticPr fontId="1"/>
  </si>
  <si>
    <t>reductant</t>
    <phoneticPr fontId="1"/>
  </si>
  <si>
    <t>NaBH4</t>
    <phoneticPr fontId="1"/>
  </si>
  <si>
    <t>https://scifinder.cas.org/scifinder/view/scifinder/scifinderExplore.jsf?sfow_newpage=/scifinder/view/reaction/reactionList.jsf&amp;nav=eNpb85aBtYSBMbGEQcXSycjV3MTCMsLCzM3Y1MDSJMLIwsjA1M3Q2NjY0NTSxc3V0gioNKm4iEEwK7EsUS8nMS9dzzOvJDU9tUjo0YIl3xvbLZgYGD0ZWMsSc0pTK4oYBBDq_Epzk1KL2tZMleWe8qCbiYGhooCBgYELaGBGCQN7kKuju6tfCJCXX1zIUMfADJRjLGFgKipDtc0pPz8nNTHvrEJRw9U5v94BbYuC2VbAAAB2cj0m</t>
    <phoneticPr fontId="1"/>
  </si>
  <si>
    <t>https://www.thieme-connect.de/products/ejournals/abstract/10.1055/s-1999-3100</t>
    <phoneticPr fontId="1"/>
  </si>
  <si>
    <t>237766-03-9</t>
    <phoneticPr fontId="1"/>
  </si>
  <si>
    <t>有料のため不可</t>
    <rPh sb="0" eb="2">
      <t>ユウリョウ</t>
    </rPh>
    <rPh sb="5" eb="7">
      <t>フカ</t>
    </rPh>
    <phoneticPr fontId="1"/>
  </si>
  <si>
    <t>https://scifinder.cas.org/scifinder/view/scifinder/scifinderExplore.jsf</t>
    <phoneticPr fontId="1"/>
  </si>
  <si>
    <t>O=C1[C@H](Cc2ccccc2)CCC1</t>
    <phoneticPr fontId="1"/>
  </si>
  <si>
    <t>触媒あり</t>
    <rPh sb="0" eb="2">
      <t>ショクバイ</t>
    </rPh>
    <phoneticPr fontId="1"/>
  </si>
  <si>
    <t>402507-96-4</t>
    <phoneticPr fontId="1"/>
  </si>
  <si>
    <t>0-5(範囲)</t>
    <rPh sb="4" eb="6">
      <t>ハンイ</t>
    </rPh>
    <phoneticPr fontId="1"/>
  </si>
  <si>
    <t>https://scifinder.cas.org/scifinder/view/scifinder/scifinderExplore.jsf?sfow_newpage=/scifinder/view/reaction/reactionList.jsf&amp;nav=eNpb85aBtYSBMbGEQcXS2dLAwNzVMsLCzM3Y1MDSJMLEwsnUyNHV3NDNydDSwMLZ0hWoNKm4iEEwK7EsUS8nMS9dzzOvJDU9tUjo0YIl3xvbLZgYGD0ZWMsSc0pTK4oYBBDq_Epzk1KL2tZMleWe8qCbiYGhooCBgYEJaGBGCQN7kKuju6tfCJCXX1zIUMfADJRjLGFgKipDtc0pPz8nNTHvrEJRw9U5v94BbYuC2VbAAACTbT1O</t>
    <phoneticPr fontId="1"/>
  </si>
  <si>
    <t>scifinderで見つからず</t>
    <rPh sb="10" eb="11">
      <t>ミ</t>
    </rPh>
    <phoneticPr fontId="1"/>
  </si>
  <si>
    <t>https://click.endnote.com/viewer?doi=10.1002/adsc.201500801&amp;route=2</t>
    <phoneticPr fontId="1"/>
  </si>
  <si>
    <t>Méndez-Sánchez, D., Mangas-Sánchez, J., Busto, E., Gotor, V., Gotor-Fernández, V., 2016. Dynamic Reductive Kinetic Resolution of Benzyl Ketones using Alcohol Dehydrogenases and Anion Exchange Resins. Advanced Synthesis &amp; Catalysis 358, 122–131.. doi:10.1002/adsc.201500801</t>
    <phoneticPr fontId="1"/>
  </si>
  <si>
    <t>rt</t>
    <phoneticPr fontId="1"/>
  </si>
  <si>
    <t>基質多数</t>
    <rPh sb="0" eb="2">
      <t>キシツ</t>
    </rPh>
    <rPh sb="2" eb="4">
      <t>タスウ</t>
    </rPh>
    <phoneticPr fontId="1"/>
  </si>
  <si>
    <t>https://click.endnote.com/viewer?doi=10.1002/adsc.201500801&amp;route=3</t>
  </si>
  <si>
    <t>https://click.endnote.com/viewer?doi=10.1002/adsc.201500801&amp;route=4</t>
  </si>
  <si>
    <t>https://pubs.rsc.org/en/content/articlelanding/2018/OB/C8OB02480D</t>
    <phoneticPr fontId="1"/>
  </si>
  <si>
    <t>多分有料</t>
    <rPh sb="0" eb="4">
      <t>タブンユウリョウ</t>
    </rPh>
    <phoneticPr fontId="1"/>
  </si>
  <si>
    <t>https://scifinder.cas.org/scifinder/view/scifinder/scifinderExplore.jsf?sfow_newpage=/scifinder/view/reaction/reactionList.jsf&amp;nav=eNpb85aBtYSBMbGEQcXS1cXc3MDAOcLCzM3Y1MDSJMLU0NnExcnS0sjQxNXQ0dzF0BmoNKm4iEEwK7EsUS8nMS9dzzOvJDU9tUjo0YIl3xvbLZgYGD0ZWMsSc0pTK4oYBBDq_Epzk1KL2tZMleWe8qCbiYGhooCBgYENaGBGCQN7kKuju6tfCJCXX1zIUMfADJRjLGFgKipDtc0pPz8nNTHvrEJRw9U5v94BbYuC2VbAAACTxj1P</t>
    <phoneticPr fontId="1"/>
  </si>
  <si>
    <t>https://click.endnote.com/viewer?doi=10.1016%2F0040-4039%2895%2900806-n&amp;token=WzMwNzc5NzksIjEwLjEwMTYvMDA0MC00MDM5KDk1KTAwODA2LW4iXQ.MIk7RVwoFOUZclBEfBuVmsXVckg</t>
    <phoneticPr fontId="1"/>
  </si>
  <si>
    <t>Haynes, R.K., Vonwiller, S.C., Wang, H.-J., 1995. The preparation of D-ring-contracted analogues of Qinghaosu (Artemisinin) from Qinghao (Artemisinic) acid and their In vitro activity against Plasmodium falciparum. Tetrahedron Letters 36, 4641–4642.. doi:10.1016/0040-4039(95)00806-n</t>
    <phoneticPr fontId="1"/>
  </si>
  <si>
    <t>これ以上の実験データはなさそう</t>
    <rPh sb="2" eb="4">
      <t>イジョウ</t>
    </rPh>
    <rPh sb="5" eb="7">
      <t>ジッケン</t>
    </rPh>
    <phoneticPr fontId="1"/>
  </si>
  <si>
    <t>不明</t>
    <rPh sb="0" eb="2">
      <t>フメイ</t>
    </rPh>
    <phoneticPr fontId="1"/>
  </si>
  <si>
    <t>https://click.endnote.com/viewer?doi=10.1002%2Fadsc.201500801&amp;token=WzMwNzc5NzksIjEwLjEwMDIvYWRzYy4yMDE1MDA4MDEiXQ.sn01Y7RymjmyrogB1P4mwZBvIP0</t>
    <phoneticPr fontId="1"/>
  </si>
  <si>
    <t>DIBAL</t>
    <phoneticPr fontId="1"/>
  </si>
  <si>
    <t>CH2Cl2</t>
    <phoneticPr fontId="1"/>
  </si>
  <si>
    <t>L-Selectride</t>
    <phoneticPr fontId="1"/>
  </si>
  <si>
    <t>K-Selectride</t>
    <phoneticPr fontId="1"/>
  </si>
  <si>
    <t>-78-0(範囲)</t>
    <rPh sb="6" eb="8">
      <t>ハンイ</t>
    </rPh>
    <phoneticPr fontId="1"/>
  </si>
  <si>
    <t>p522,他の還元剤のデータも有り,とりあえず全部出し切った</t>
    <rPh sb="5" eb="6">
      <t>ホカ</t>
    </rPh>
    <rPh sb="7" eb="10">
      <t>カンゲンザイ</t>
    </rPh>
    <rPh sb="15" eb="16">
      <t>ア</t>
    </rPh>
    <rPh sb="23" eb="25">
      <t>ゼンブ</t>
    </rPh>
    <rPh sb="25" eb="26">
      <t>ダ</t>
    </rPh>
    <rPh sb="27" eb="28">
      <t>キ</t>
    </rPh>
    <phoneticPr fontId="1"/>
  </si>
  <si>
    <t>https://pubs.acs.org/doi/pdf/10.1021/jo970600p</t>
    <phoneticPr fontId="1"/>
  </si>
  <si>
    <t>https://scifinder.cas.org/scifinder/view/scifinder/scifinderExplore.jsf?sfow_newpage=/scifinder/view/reaction/reactionList.jsf&amp;nav=eNpb85aBtYSBMbGEQcXS1cXFzdnZPMLCzM3Y1MDSJMLMwMDJ0czUwtjA2czFxcTIwhmoNKm4iEEwK7EsUS8nMS9dzzOvJDU9tUjo0YIl3xvbLZgYGD0ZWMsSc0pTK4oYBBDq_Epzk1KL2tZMleWe8qCbiYGhooCBgYELaGBGCQN7kKuju6tfCJCXX1zIUMfADJRjLGFgKipDtc0pPz8nNTHvrEJRw9U5v94BbYuC2VbAAACxYj14</t>
    <phoneticPr fontId="1"/>
  </si>
  <si>
    <t>84454-67-1</t>
    <phoneticPr fontId="1"/>
  </si>
  <si>
    <t>自宅不可、本論文見ないとどっちがどっちか分からん。シストランス</t>
    <rPh sb="0" eb="2">
      <t>ジタク</t>
    </rPh>
    <rPh sb="2" eb="4">
      <t>フカ</t>
    </rPh>
    <rPh sb="5" eb="8">
      <t>ホンロンブン</t>
    </rPh>
    <rPh sb="8" eb="9">
      <t>ミ</t>
    </rPh>
    <rPh sb="20" eb="21">
      <t>ワ</t>
    </rPh>
    <phoneticPr fontId="1"/>
  </si>
  <si>
    <t>文献の情報を利用（パワポの文献ではない）</t>
    <rPh sb="0" eb="20">
      <t>ブンケンジョウホウリヨウ</t>
    </rPh>
    <phoneticPr fontId="1"/>
  </si>
  <si>
    <t>EtOH</t>
    <phoneticPr fontId="1"/>
  </si>
  <si>
    <t>https://scifinder-n.cas.org/searchDetail/reaction/613199bab914160d7af6e5d7/reactionDetails</t>
    <phoneticPr fontId="1"/>
  </si>
  <si>
    <t>https://scifinder-n.cas.org/searchDetail/reaction/61319f3ab914160d7af6ebc1/reactionDetails</t>
    <phoneticPr fontId="1"/>
  </si>
  <si>
    <t>667917-32-0</t>
    <phoneticPr fontId="1"/>
  </si>
  <si>
    <t>https://scifinder-n.cas.org/searchDetail/reaction/6131a1ffb914160d7af6ef4a/reactionDetails</t>
    <phoneticPr fontId="1"/>
  </si>
  <si>
    <t>6705-49-3</t>
    <phoneticPr fontId="1"/>
  </si>
  <si>
    <t>7-Oxabicyclo[4.1.0]heptan-2-one</t>
    <phoneticPr fontId="1"/>
  </si>
  <si>
    <t>NMR/PTLC</t>
    <phoneticPr fontId="1"/>
  </si>
  <si>
    <t>reflux</t>
    <phoneticPr fontId="1"/>
  </si>
  <si>
    <t>den[M]</t>
    <phoneticPr fontId="1"/>
  </si>
  <si>
    <t>reductant[eq]</t>
    <phoneticPr fontId="1"/>
  </si>
  <si>
    <t>component[mmol]</t>
    <phoneticPr fontId="1"/>
  </si>
  <si>
    <t>1 ml CH2Cl2+0.0226mlTHF</t>
    <phoneticPr fontId="1"/>
  </si>
  <si>
    <t>https://scifinder-n.cas.org/searchDetail/reaction/6131bc00b914160d7af710e7/reactionDetails</t>
    <phoneticPr fontId="1"/>
  </si>
  <si>
    <t>Senda, Y., Terasawa, T., Ishiyama, J.-I., Kamiyama, S.-I., Imaizumi, S., 1989. A High Cis-Stereoselectivity in the Hydrogenation of 6-t-Butyltetrahydropyran-3-one and 2-t-Butyl-1,3-dioxan-5-one. Bulletin of the Chemical Society of Japan 62, 2948–2952.. doi:10.1246/bcsj.62.2948</t>
    <phoneticPr fontId="1"/>
  </si>
  <si>
    <t>https://scifinder-n.cas.org/searchDetail/reaction/61362041da91333062b2d351/reactionDetails</t>
    <phoneticPr fontId="1"/>
  </si>
  <si>
    <t>NaBH4</t>
    <phoneticPr fontId="1"/>
  </si>
  <si>
    <t>GC</t>
    <phoneticPr fontId="1"/>
  </si>
  <si>
    <t>不明</t>
    <rPh sb="0" eb="2">
      <t>フメイ</t>
    </rPh>
    <phoneticPr fontId="1"/>
  </si>
  <si>
    <t>MeOH</t>
    <phoneticPr fontId="1"/>
  </si>
  <si>
    <t>2,6-di(1-cyclohexen)</t>
    <phoneticPr fontId="1"/>
  </si>
  <si>
    <t>1502-22-3</t>
    <phoneticPr fontId="1"/>
  </si>
  <si>
    <t>DIBAL</t>
    <phoneticPr fontId="1"/>
  </si>
  <si>
    <t>pentane50ml+hexane30ml</t>
  </si>
  <si>
    <t>pentane50ml+hexane30ml</t>
    <phoneticPr fontId="1"/>
  </si>
  <si>
    <t>p1984</t>
    <phoneticPr fontId="1"/>
  </si>
  <si>
    <t>O=C1[C@@H](C[C@H](C2)C3)C4OCCO4[C@@H]2C[C@H]13</t>
    <phoneticPr fontId="1"/>
  </si>
  <si>
    <t>LAH</t>
    <phoneticPr fontId="1"/>
  </si>
  <si>
    <t>THF</t>
    <phoneticPr fontId="1"/>
  </si>
  <si>
    <t>rt</t>
    <phoneticPr fontId="1"/>
  </si>
  <si>
    <t>信頼性弱</t>
    <rPh sb="0" eb="3">
      <t>シンライセイ</t>
    </rPh>
    <rPh sb="3" eb="4">
      <t>ジャク</t>
    </rPh>
    <phoneticPr fontId="1"/>
  </si>
  <si>
    <t>0℃</t>
    <phoneticPr fontId="1"/>
  </si>
  <si>
    <t>p7</t>
    <phoneticPr fontId="1"/>
  </si>
  <si>
    <t>compound</t>
    <phoneticPr fontId="1"/>
  </si>
  <si>
    <t>soruce</t>
    <phoneticPr fontId="1"/>
  </si>
  <si>
    <t>train</t>
    <phoneticPr fontId="1"/>
  </si>
  <si>
    <t>4-phenylcyclohexanone</t>
    <phoneticPr fontId="1"/>
  </si>
  <si>
    <t>(1R,3S,5S,7R)-4-methyleneadamantan-2-one</t>
  </si>
  <si>
    <t>完了</t>
    <rPh sb="0" eb="2">
      <t>カンリョウ</t>
    </rPh>
    <phoneticPr fontId="1"/>
  </si>
  <si>
    <t>GC</t>
    <phoneticPr fontId="1"/>
  </si>
  <si>
    <t>O=C1[C@H](C)CCCC1</t>
    <phoneticPr fontId="1"/>
  </si>
  <si>
    <t>O=C1[C@@H](C2=CCCCC2)CCC[C@H]1C3=CCCCC3</t>
  </si>
  <si>
    <t>train</t>
    <phoneticPr fontId="1"/>
  </si>
  <si>
    <t>特記事項</t>
    <rPh sb="0" eb="4">
      <t>トッキジコウ</t>
    </rPh>
    <phoneticPr fontId="1"/>
  </si>
  <si>
    <t>train</t>
    <phoneticPr fontId="1"/>
  </si>
  <si>
    <t>4-phenylcyclohexanone</t>
    <phoneticPr fontId="1"/>
  </si>
  <si>
    <t>NaBH4</t>
    <phoneticPr fontId="1"/>
  </si>
  <si>
    <t>MeOH</t>
    <phoneticPr fontId="1"/>
  </si>
  <si>
    <t>O=C1CCC(c2ccccc2)CC1</t>
    <phoneticPr fontId="1"/>
  </si>
  <si>
    <t>experiment</t>
    <phoneticPr fontId="1"/>
  </si>
  <si>
    <t>type</t>
    <phoneticPr fontId="1"/>
  </si>
  <si>
    <t>5 17</t>
    <phoneticPr fontId="1"/>
  </si>
  <si>
    <t>完了</t>
    <rPh sb="0" eb="2">
      <t>カンリョウ</t>
    </rPh>
    <phoneticPr fontId="1"/>
  </si>
  <si>
    <t>cis_trans</t>
    <phoneticPr fontId="1"/>
  </si>
  <si>
    <t>type_</t>
    <phoneticPr fontId="1"/>
  </si>
  <si>
    <t>完了p7,</t>
    <rPh sb="0" eb="2">
      <t>カンリョウ</t>
    </rPh>
    <phoneticPr fontId="1"/>
  </si>
  <si>
    <t>2propanol</t>
    <phoneticPr fontId="1"/>
  </si>
  <si>
    <t>compound_type</t>
    <phoneticPr fontId="1"/>
  </si>
  <si>
    <t>https://pubs.rsc.org/en/content/articlelanding/2018/OB/C8OB00368H</t>
    <phoneticPr fontId="1"/>
  </si>
  <si>
    <t>https://pubs.rsc.org/en/content/articlelanding/2018/OB/C8OB02480D</t>
    <phoneticPr fontId="1"/>
  </si>
  <si>
    <t>train</t>
    <phoneticPr fontId="1"/>
  </si>
  <si>
    <t>test</t>
    <phoneticPr fontId="1"/>
  </si>
  <si>
    <t>type_</t>
    <phoneticPr fontId="1"/>
  </si>
  <si>
    <t>R. E. Rosenberg - Felkin-Anh is not enough (endnote.com)</t>
  </si>
  <si>
    <t>OC1CCC1</t>
    <phoneticPr fontId="1"/>
  </si>
  <si>
    <t>train</t>
    <phoneticPr fontId="1"/>
  </si>
  <si>
    <t>O=C1[C@@](C)(C2(C)(C))CC[C@@H]2C1</t>
    <phoneticPr fontId="1"/>
  </si>
  <si>
    <t>https://s3-eu-west-1.amazonaws.com/itempdf74155353254prod/13386917/Oxidative_Ring_Expansion_of_Cyclobutanols__Access_to_Functionalized_1_2-Dioxanes_v1.pdf</t>
    <phoneticPr fontId="1"/>
  </si>
  <si>
    <t>NaBH4</t>
    <phoneticPr fontId="1"/>
  </si>
  <si>
    <t>MeOH</t>
    <phoneticPr fontId="1"/>
  </si>
  <si>
    <t>O=C1[C@](C)(C(C)(C)C)CC1</t>
    <phoneticPr fontId="1"/>
  </si>
  <si>
    <t>López, María Martín, et al. "Oxidative Ring Expansion of Cyclobutanols: Access to Functionalized 1, 2-Dioxanes." Organic Letters 23.5 (2021): 1626-1631.</t>
    <phoneticPr fontId="1"/>
  </si>
  <si>
    <t>CH2Cl2:MeOH=3:2</t>
    <phoneticPr fontId="1"/>
  </si>
  <si>
    <t>https://chemistry-europe.onlinelibrary.wiley.com/action/downloadSupplement?doi=10.1002%2Fejoc.201800118&amp;file=ejoc201800118-sup-0001-SupMat.pdf</t>
    <phoneticPr fontId="1"/>
  </si>
  <si>
    <t>Walters, Jennifer C., et al. "(Poly) cationic λ3–Iodane Mediated Oxidative Ring Expansion of Secondary Alcohols." European journal of organic chemistry 2018.12 (2018): 1460.</t>
    <phoneticPr fontId="1"/>
  </si>
  <si>
    <t>https://www.sciencedirect.com/science/article/pii/S0040403910022501?via%3Dihub</t>
    <phoneticPr fontId="1"/>
  </si>
  <si>
    <t>https://pdf.sciencedirectassets.com/271373/1-s2.0-S0040403900X17613/1-s2.0-S0040403900740512/main.pdf?X-Amz-Security-Token=IQoJb3JpZ2luX2VjEHcaCXVzLWVhc3QtMSJHMEUCIQDiY5QHiaeuYrbABsIq1OzUHgwfj9oZ36V1MubmNfL5DAIgWu6KNHiMTDvODP3PX0n4cTN%2BxB60yBkfQP8KQXfcsPcqgwQI8P%2F%2F%2F%2F%2F%2F%2F%2F%2F%2FARAEGgwwNTkwMDM1NDY4NjUiDA1QWjiNVyWaMIfsyCrXA8iQAugUBJzRMrMTEd4jz6UEofYizgbSWs6S4CT%2Bk%2Be70cWRDkPambFDuUfWhX82k3ZA3PtuKpAEtUD1uLI0AzZzvxu%2F06QhYw%2BdTq9TLFQkEIDzRJ3yu4yJflsQSoVDBpxRax2XwnWv6tJT7F%2Ba2Cns3zs5Rx3i8TPN3LxctFaXQPYkTwXGfhj2n7bmsgBQAnov3lgCDhg2DavBqX4b9y7ebt3YuXvJn0M9c4vjkSZ0jSveGssP8%2BhlRVBS5SSRmTmZdXpl2XjIXNXBD2%2Bz4A%2F4qH8NQJKgzntpSiggoHUo%2BRunNoQ5Yvt7UsSJSKnwmVkXfekgxAtCCkMDKRHDKyDv%2FiWYarRCCps6mPYl3PVP%2Bpk5oLSHnzzC9D9VIeS0LfJ1oPsG8GiQTZXpqVZS1IS4G%2FwJ3pxpaQRZVXlhSzk8wqeUfDXWWemx4zQU2D3LG1mo4JXjFV37qVQiqUx9gDL17Us18Nmn9R%2FKngT3KxUUB%2FlGyaY720Void3lJngq%2FgbthEgef3E1v%2FsRGoorltkcnKBNlY78NeII8x6zn9oAHiF24efXBy7oGCpPZkunrDEBeAKWu49i8M0iGWOJQqh63AFmXPi7VTKB%2FdVmm0EF9JrLMyFAFzDBo5GLBjqlARjGi7FZR8%2Fk%2BXRZqbQ54NQsuU2mqBUmtwU%2Bt1Va7fTYsYpYT91fenHCESoD4XHaeF%2BSVfbAq%2F%2FW3wY0iFgtZMng3o53I8vyw63UAq47KG4uYR1TjtVq2HUSAsHpx9jyvjokMjrSS1AmmnXDrbpwESCynxczW8WpP3My0NVOulgsCnBlwG4J0Vnq0b%2BLqmmJQn8FAydCQGxq1HIiwqVRkmxNA7%2BxRw%3D%3D&amp;X-Amz-Algorithm=AWS4-HMAC-SHA256&amp;X-Amz-Date=20211011T153601Z&amp;X-Amz-SignedHeaders=host&amp;X-Amz-Expires=300&amp;X-Amz-Credential=ASIAQ3PHCVTYUBUX6FBL%2F20211011%2Fus-east-1%2Fs3%2Faws4_request&amp;X-Amz-Signature=5e14d6a966fd92d4615924076331cd8a92d34e29b08dcc91ab8b58ef255acea0&amp;hash=0121e53b42974d91051eefecaadca11f2506e5b1e63f1466abdf1d08858f4a21&amp;host=68042c943591013ac2b2430a89b270f6af2c76d8dfd086a07176afe7c76c2c61&amp;pii=S0040403900740512&amp;tid=spdf-e950370d-eeb1-4de9-a8a8-2878b6445929&amp;sid=13951c5f52e0124d8d5b0cb180e4b4c9d792gxrqa&amp;type=client</t>
    <phoneticPr fontId="1"/>
  </si>
  <si>
    <t>Nemoto, Hideo, et al. "A concise enantiocontrolled total synthesis of (−)-α-bisabolol and (+)-4-epi-α-bisabolol." Tetrahedron letters 34.31 (1993): 4939-4942.</t>
    <phoneticPr fontId="1"/>
  </si>
  <si>
    <t>chain</t>
    <phoneticPr fontId="1"/>
  </si>
  <si>
    <t>Fujita, Makoto, Satoshi Akimoto, and Katsuyuki Ogura. "Significant electrostatic effects in π-facial stereoselection of nucleophilic addition reactions to β, γ-unsaturated carbonyl compounds." Tetrahedron letters 34.32 (1993): 5139-5142.</t>
  </si>
  <si>
    <t>https://click.endnote.com/viewer?doi=10.1134%2Fs1070428015090067&amp;token=WzMwNzc5NzksIjEwLjExMzQvczEwNzA0MjgwMTUwOTAwNjciXQ.vurDweKal7Oi7HcNCP9h-kX7TNU</t>
    <phoneticPr fontId="1"/>
  </si>
  <si>
    <t>menchone</t>
    <phoneticPr fontId="1"/>
  </si>
  <si>
    <t>fenchone</t>
    <phoneticPr fontId="1"/>
  </si>
  <si>
    <t>ref</t>
    <phoneticPr fontId="1"/>
  </si>
  <si>
    <t>Péricles B. Alves, et.al., Quím. Nova, 33(10), 2274–2278. (2010)</t>
    <phoneticPr fontId="1"/>
  </si>
  <si>
    <t>Bell, T.W., et.al., J. Org. Chem. 54, 1978–1987. (1989)</t>
    <phoneticPr fontId="1"/>
  </si>
  <si>
    <t>Chu, J.-H., et.al.,  Tetrahedron 60, 9493–9501. (2004)</t>
    <phoneticPr fontId="1"/>
  </si>
  <si>
    <t>Haynes, R.K., et.al., Tetrahedron Letters 36, 4641–4642. (1995)</t>
    <phoneticPr fontId="1"/>
  </si>
  <si>
    <t>Méndez-Sánchez, D., et.al., Advanced Synthesis &amp; Catalysis 358, 122–131. (2016)</t>
    <phoneticPr fontId="1"/>
  </si>
  <si>
    <t>Dynamic Reductive Kinetic Resolution of Benzyl Ketones using Alcohol Dehydrogenases and Anion Exchange Resins - Méndez‐Sánchez - 2016 - Advanced Synthesis &amp;amp; Catalysis - Wiley Online Library</t>
  </si>
  <si>
    <t>Nakate, Ashwini K., et.al., Organic &amp; biomolecular chemistry 16.17, 3229-3240. (2018)</t>
    <phoneticPr fontId="1"/>
  </si>
  <si>
    <t>G. Mehta et al., J. Chem. Soc., Chem. Commun. 23, 1711-1712. (1992)</t>
    <phoneticPr fontId="1"/>
  </si>
  <si>
    <t>No.</t>
    <phoneticPr fontId="1"/>
  </si>
  <si>
    <t>yield</t>
    <phoneticPr fontId="1"/>
  </si>
  <si>
    <t>ref No.</t>
    <phoneticPr fontId="1"/>
  </si>
  <si>
    <t>temp.</t>
    <phoneticPr fontId="1"/>
  </si>
  <si>
    <t>*1</t>
    <phoneticPr fontId="1"/>
  </si>
  <si>
    <t>*2</t>
    <phoneticPr fontId="1"/>
  </si>
  <si>
    <t>還流温度337.85 Kとした。</t>
    <rPh sb="0" eb="4">
      <t>カンリュウオンド</t>
    </rPh>
    <phoneticPr fontId="1"/>
  </si>
  <si>
    <t>rt=293.15 Kとした。</t>
    <phoneticPr fontId="1"/>
  </si>
  <si>
    <t>entry</t>
  </si>
  <si>
    <t>ref No.</t>
  </si>
  <si>
    <t>NaN</t>
  </si>
  <si>
    <t>Méndez-Sánchez, D., et.al., Advanced Synthesis &amp; Catalysis 358, 122–131., (2016)</t>
    <phoneticPr fontId="1"/>
  </si>
  <si>
    <t>Nazimova, E., et.al., Medicinal Chemistry Research 25, 1369–1383., (2016)</t>
    <phoneticPr fontId="1"/>
  </si>
  <si>
    <t>Teodoro, Bruno VM, et.al., The Journal of organic chemistry, 83.21,, 13604-13611. (2018)</t>
    <phoneticPr fontId="1"/>
  </si>
  <si>
    <t>Nemoto, Hideo, et.al., Tetrahedron letters 34.31, 4939-4942. (1993)</t>
    <phoneticPr fontId="1"/>
  </si>
  <si>
    <t>Hirai, S., et.al, Tetrahedron 67(2),518-530, (2011)</t>
    <phoneticPr fontId="1"/>
  </si>
  <si>
    <t>Nakate, Ashwini K., et.al., Organic &amp; biomolecular chemistry 16.17, 3229-3240., (2018)</t>
    <phoneticPr fontId="1"/>
  </si>
  <si>
    <t>Neyyappadath, R.M., et.al., ACS Catalysis 8, 1067–1075., (2018)</t>
    <phoneticPr fontId="1"/>
  </si>
  <si>
    <t>Yadav, V.K., et.al., Tetrahedron Letters 44, 6617–6619., (2003)</t>
    <phoneticPr fontId="1"/>
  </si>
  <si>
    <t>López, María Martín, et.al., Organic Letters 23.5, 1626-1631., (2021)</t>
    <phoneticPr fontId="1"/>
  </si>
  <si>
    <t>Fujioka, H, et.al., Tetrahedron Letters 52.9, 973-975. (2011)</t>
    <phoneticPr fontId="1"/>
  </si>
  <si>
    <t>Takeda, N, et.al., Organic &amp; Biomolecular Chemistry, 16(46), 8940-8943, (2018)</t>
  </si>
  <si>
    <t>SBH</t>
    <phoneticPr fontId="1"/>
  </si>
  <si>
    <t>MeOH</t>
    <phoneticPr fontId="1"/>
  </si>
  <si>
    <t>E. Nazimova - Discovery of highly potent analgesic activity of isopulegol-derived (2R,4aR,7R,8aR)-4,7-dimethyl-2-(thiophen-2-yl)octahydro-2H-chromen-4-ol (endnote.com)</t>
  </si>
  <si>
    <t>general</t>
    <phoneticPr fontId="1"/>
  </si>
  <si>
    <t>464-49-3</t>
    <phoneticPr fontId="1"/>
  </si>
  <si>
    <t>O=C1C[C@]2([H])[C@](CC/C=C\CC2)([H])C1</t>
    <phoneticPr fontId="1"/>
  </si>
  <si>
    <t>C=CC[C@@H](C1)[C@@H](C=C)CC1=O</t>
  </si>
  <si>
    <t>https://click.endnote.com/viewer?doi=10.1016%2Fs0040-4039%2802%2900320-9&amp;token=WzMwNzc5NzksIjEwLjEwMTYvczAwNDAtNDAzOSgwMikwMDMyMC05Il0.4SH4eLupp6RI6NJK6DjgnVT0lF4</t>
    <phoneticPr fontId="1"/>
  </si>
  <si>
    <t>cas</t>
    <phoneticPr fontId="1"/>
  </si>
  <si>
    <t>20780-25-0</t>
    <phoneticPr fontId="1"/>
  </si>
  <si>
    <t>2563274-13-3</t>
    <phoneticPr fontId="1"/>
  </si>
  <si>
    <t>train</t>
    <phoneticPr fontId="1"/>
  </si>
  <si>
    <t>Fujita, Makoto, Satoshi Akimoto, and Katsuyuki Ogura. "Significant electrostatic effects in π-facial stereoselection of nucleophilic addition reactions to β, γ-unsaturated carbonyl compounds." Tetrahedron letters 34.32 (1993): 5139-5142.</t>
    <phoneticPr fontId="1"/>
  </si>
  <si>
    <t>https://click.endnote.com/viewer?doi=10.1016%2Fs0040-4039%2800%2960697-4&amp;token=WzMwNzc5NzksIjEwLjEwMTYvczAwNDAtNDAzOSgwMCk2MDY5Ny00Il0.98DM0DOBdcyofSkKED4PvLrp8oU</t>
    <phoneticPr fontId="1"/>
  </si>
  <si>
    <t>CC[C@@H](C)C(=O)C1=CC=CC=C1</t>
  </si>
  <si>
    <t>C=C[C@@H](C)C(=O)C1=CC=CC=C1</t>
  </si>
  <si>
    <t>C#C[C@@H](C)C(=O)C1=CC=CC=C1</t>
  </si>
  <si>
    <t>O=C1[C@H](c2ccccc2)CC1</t>
  </si>
  <si>
    <t>O=C1[C@H](c2ccccc2)CC1</t>
    <phoneticPr fontId="1"/>
  </si>
  <si>
    <t>16725-75-0</t>
    <phoneticPr fontId="1"/>
  </si>
  <si>
    <t>general</t>
    <phoneticPr fontId="1"/>
  </si>
  <si>
    <t>CC(C)=CC[C@@H]1C(=O)CCc2ccccc12</t>
  </si>
  <si>
    <t>(1, 0, 2, 10)</t>
  </si>
  <si>
    <t>O=C1[C@@](C)(C2(C)(C))CC[C@@H]2C1</t>
  </si>
  <si>
    <t>O=C1[C@H](C2=CCCCC2)CCCC1</t>
  </si>
  <si>
    <t>(1, 0, 2, 12)</t>
  </si>
  <si>
    <t>O=C1[C@@H](C[C@H](C2)C3)C(=C)[C@@H]2C[C@H]13</t>
  </si>
  <si>
    <t>(1, 0, 2, 11)</t>
  </si>
  <si>
    <t>O=C1[C@]23CCCCC[C@]2(C3)CC1</t>
  </si>
  <si>
    <t>CC(=O)[C@H]1[C@H]2C=C(C)CC[C@H]2[C@H](C)CC1</t>
  </si>
  <si>
    <t>(1, 2, 0, 3)</t>
  </si>
  <si>
    <t>O=C1[C@H]2CCC=C[C@]2(C3)CC(=C)[C@@H]3C1</t>
  </si>
  <si>
    <t>(1, 0, 2, 13)</t>
  </si>
  <si>
    <t>CC(=O)[C@H](C)c1ccccc1</t>
  </si>
  <si>
    <t>CC(=O)[C@H](CC)c1ccccc1</t>
  </si>
  <si>
    <t>CC(=O)[C@H](C)c1c(C)cccc1</t>
  </si>
  <si>
    <t>CC(=O)[C@@H](CCCC)c1ccccc1</t>
  </si>
  <si>
    <t>CC(=O)[C@@H](CC=C)c1ccccc1</t>
  </si>
  <si>
    <t>O=C1[C@H](CC#C)CCCC1</t>
  </si>
  <si>
    <t>(1, 0, 2, 9)</t>
  </si>
  <si>
    <t>O=C1[C@H](C(C)=C)CC[C@@H](C)C1</t>
  </si>
  <si>
    <t>O=C1[C@H](c2ccccc2)CCCC1</t>
  </si>
  <si>
    <t>O=C1[C@@](C#C)(c2ccccc2)[C@@H](C)CCC1</t>
  </si>
  <si>
    <t>(1, 0, 2, 15)</t>
  </si>
  <si>
    <t>O=C1[C@@H](C2)[C@@H](C#C)[C@@H]2C1</t>
  </si>
  <si>
    <t>(1, 0, 2, 8)</t>
  </si>
  <si>
    <t>O=C1[C@@H](C2)[C@@H](CC)[C@@H]2C1</t>
  </si>
  <si>
    <t>O=C1[C@@H](C2)[C@@H](C=C)[C@@H]2C1</t>
  </si>
  <si>
    <t>CC(=O)[C@@H](c1ccccc1)Cc1ccccc1</t>
  </si>
  <si>
    <t>O=C1[C@@H](CCc2ccccc2)CC1</t>
  </si>
  <si>
    <t>O=C1[C@](C)(c2ccc(C)cc2)CC1</t>
  </si>
  <si>
    <t>O=C1[C@](C)(C(C)(C)C)CC1</t>
  </si>
  <si>
    <t>O=C1[C@@H](CCCCCCCCC)CC1</t>
  </si>
  <si>
    <t>(4, 5, 2, 6)</t>
  </si>
  <si>
    <t>(6, 7, 5, 8)</t>
  </si>
  <si>
    <t>O=C1CCC(c2ccccc2)CC1</t>
  </si>
  <si>
    <t>O=C1C(C)(C)[C@@H]2[C@H]([C@@H]3C)CC=C(C)[C@@H]2[C@H]3C1</t>
  </si>
  <si>
    <t>O=C1[C@@H](CC2)[C@@H]3CCC[C@H]3[C@H]12</t>
  </si>
  <si>
    <t>(9, 10, 8, 4)</t>
  </si>
  <si>
    <t>(1, 0, 2, 10)</t>
    <phoneticPr fontId="1"/>
  </si>
  <si>
    <t>carnum</t>
    <phoneticPr fontId="1"/>
  </si>
  <si>
    <t>(1, 2, 0, 3)</t>
    <phoneticPr fontId="1"/>
  </si>
  <si>
    <t>(4, 5, 2, 6)</t>
    <phoneticPr fontId="1"/>
  </si>
  <si>
    <t>C=CC[C@@H](C1)[C@@H](C=C)CC1=O</t>
    <phoneticPr fontId="1"/>
  </si>
  <si>
    <t>見れない</t>
    <rPh sb="0" eb="1">
      <t>ミ</t>
    </rPh>
    <phoneticPr fontId="1"/>
  </si>
  <si>
    <t>patent</t>
    <phoneticPr fontId="1"/>
  </si>
  <si>
    <t>見られない</t>
    <rPh sb="0" eb="1">
      <t>ミ</t>
    </rPh>
    <phoneticPr fontId="1"/>
  </si>
  <si>
    <t>CC[C@@]1(C)C2=CC=CC3=CC=CC(C1=O)=C32</t>
  </si>
  <si>
    <t>CSIRO PUBLISHING | Australian Journal of Chemistry</t>
  </si>
  <si>
    <t>13 14 2 12</t>
    <phoneticPr fontId="1"/>
  </si>
  <si>
    <t>M. Mikhael - Umpolung Strategy for Arene C−H Etherification Leading to Functionalized Chromanes Enabled by I(III) N ‐Ligated Hypervalent Iodine Reagents (endnote.com)</t>
  </si>
  <si>
    <t>K. Soai - Stereoselectivity in the Reduction of Cyclic Ketones with Sodium Borohydride. Effect of the Ratio of the Components of a Mixed Solvent of Tetrahydrofuran and Methanol (endnote.com)</t>
  </si>
  <si>
    <t>?</t>
    <phoneticPr fontId="1"/>
  </si>
  <si>
    <t>M. Kato - What Is the True Structure of D609, a Widely Used Lipid Related Enzyme Inhibitor? (endnote.com)</t>
  </si>
  <si>
    <t>O=C1C[C@@H]2[C@@H]3[C@@H](CCC3)[C@H]1C2</t>
  </si>
  <si>
    <t>ジアステレオ選択性ではない？使えない</t>
    <rPh sb="6" eb="9">
      <t>センタクセイ</t>
    </rPh>
    <rPh sb="14" eb="15">
      <t>ツカ</t>
    </rPh>
    <phoneticPr fontId="1"/>
  </si>
  <si>
    <t>Reductions by Metal Alkoxyaluminum Hydrides - Málek - - Major Reference Works - Wiley Online Library</t>
  </si>
  <si>
    <t>学内なら行けるかもしれない</t>
    <rPh sb="0" eb="2">
      <t>ガクナイ</t>
    </rPh>
    <rPh sb="4" eb="5">
      <t>イ</t>
    </rPh>
    <phoneticPr fontId="1"/>
  </si>
  <si>
    <t>4 3</t>
    <phoneticPr fontId="1"/>
  </si>
  <si>
    <t>Microsoft Word - SI (acs.org)</t>
  </si>
  <si>
    <t>S.-H. Kim - On the stereochemistry of anion-accelerated [1,3]-sigmatropic rearrangement of 2-vinylcyclobutanols (endnote.com)</t>
  </si>
  <si>
    <t>667917-32-0</t>
  </si>
  <si>
    <t>17882-43-8</t>
  </si>
  <si>
    <t>O=C1C[C@H]2CCCC[C@@H]2CC1</t>
    <phoneticPr fontId="1"/>
  </si>
  <si>
    <t>Notes Sodium Borohydride Reduction of Substituted trans-Decalones stituent ! to the extent of 39 % in D20 , 53 % in pyridine , There has been considerable interest for some time in evaluating the effects of remote polar substituents One such group of state based only on analyses of the products of the to the substituent , regardless of whether the resultant The first suggests that the most favored transition states in the cases of type 9 and type 10 systems should Equatorial / Axial Alcohols Arising The second mechanistic picture that accounts for as-oriented product requires intramolecular participa- tion and is essentially that shown in 3 . Its relevance In order to resolve the “ electrostatic effect ” vs .</t>
  </si>
  <si>
    <t>O=C1CC[C@@H](C(O[H])=O)[C@H]2[C@H]1CCCC2</t>
  </si>
  <si>
    <t>O=C1C[C@H]2CCCC[C@]2(C(O[H])=O)CC1</t>
    <phoneticPr fontId="1"/>
  </si>
  <si>
    <t>1 0 9 2</t>
    <phoneticPr fontId="1"/>
  </si>
  <si>
    <t>O=C1CC[C@@H](C(OC)=O)[C@H]2[C@H]1CCCC2</t>
  </si>
  <si>
    <t>1 0 10 2</t>
    <phoneticPr fontId="1"/>
  </si>
  <si>
    <t>O=C1C[C@H]2CCCC[C@H]2CC1</t>
    <phoneticPr fontId="1"/>
  </si>
  <si>
    <t>O=C1C[C@@H]2CCCC[C@@H]2CC1</t>
    <phoneticPr fontId="1"/>
  </si>
  <si>
    <t>O=C1C[C@@H]2CCCC[C@H]2CC1</t>
    <phoneticPr fontId="1"/>
  </si>
  <si>
    <t>O=C1C[C@H]2CCCC[C@]2(C(OC)=O)CC1</t>
    <phoneticPr fontId="1"/>
  </si>
  <si>
    <t>O=C1c2ccccc2[C@H](Cc3ccccc3)CC1</t>
    <phoneticPr fontId="1"/>
  </si>
  <si>
    <t>上面側_下面側→</t>
    <rPh sb="0" eb="2">
      <t>ウエメン</t>
    </rPh>
    <rPh sb="2" eb="3">
      <t>ガワ</t>
    </rPh>
    <rPh sb="4" eb="6">
      <t>シタメン</t>
    </rPh>
    <rPh sb="6" eb="7">
      <t>ガワ</t>
    </rPh>
    <phoneticPr fontId="1"/>
  </si>
  <si>
    <t>17 5</t>
    <phoneticPr fontId="1"/>
  </si>
  <si>
    <t>15 5</t>
    <phoneticPr fontId="1"/>
  </si>
  <si>
    <t>13 4</t>
    <phoneticPr fontId="1"/>
  </si>
  <si>
    <t>19 2</t>
    <phoneticPr fontId="1"/>
  </si>
  <si>
    <t>9 8</t>
    <phoneticPr fontId="1"/>
  </si>
  <si>
    <t>Preparation of Moreliane-Derived Volatile Sesquiterpenes | Journal of Natural Products (acs.org)</t>
    <phoneticPr fontId="1"/>
  </si>
  <si>
    <t>SBH</t>
    <phoneticPr fontId="1"/>
  </si>
  <si>
    <t>2-propanol</t>
  </si>
  <si>
    <t>2-propanol</t>
    <phoneticPr fontId="1"/>
  </si>
  <si>
    <t>O=CC(CC)CCCC</t>
    <phoneticPr fontId="1"/>
  </si>
  <si>
    <t>O=CC(CCCC)CCCC</t>
    <phoneticPr fontId="1"/>
  </si>
  <si>
    <t>O=CC(C)(C)CC(C(C)(C)C)CC</t>
    <phoneticPr fontId="1"/>
  </si>
  <si>
    <t>O=C1[C@H](C)CCCC1</t>
  </si>
  <si>
    <t>O=C1[C@H](CC)CCCC1</t>
    <phoneticPr fontId="1"/>
  </si>
  <si>
    <t>O=C1[C@H](CCCC)CCCC1</t>
    <phoneticPr fontId="1"/>
  </si>
  <si>
    <t>O=C1C(C)(C)C[C@H](C(C)(C)C)CC1</t>
    <phoneticPr fontId="1"/>
  </si>
  <si>
    <t>9 3</t>
    <phoneticPr fontId="1"/>
  </si>
  <si>
    <t>O=C1[C@H](C(C)C)CC[C@@H](C)C1</t>
    <phoneticPr fontId="1"/>
  </si>
  <si>
    <t>O=C1[C@H](C(C)C)CCC(C)(C)C1</t>
    <phoneticPr fontId="1"/>
  </si>
  <si>
    <t>O=C1[C@H](C(C)(C)C)CCCC1</t>
    <phoneticPr fontId="1"/>
  </si>
  <si>
    <t>K. Soai - Stereoselectivity in the Reduction of Cyclic Ketones with Sodium Borohydride. Effect of the Ratio of the Components of a Mixed Solvent of Tetrahydrofuran and Methanol (endnote.com)</t>
    <phoneticPr fontId="1"/>
  </si>
  <si>
    <t>Soai, K., Ohi, K., 1985. Stereoselectivity in the Reduction of Cyclic Ketones with Sodium Borohydride. Effect of the Ratio of the Components of a Mixed Solvent of Tetrahydrofuran and Methanol. Bulletin of the Chemical Society of Japan 58, 1601–1602.. doi:10.1246/bcsj.58.1601</t>
  </si>
  <si>
    <t>Mikhael, M., Guo, W., Tantillo, D.J., Wengryniuk, S.E., 2021. Umpolung Strategy for Arene C−H Etherification Leading to Functionalized Chromanes Enabled by I(III) N ‐Ligated Hypervalent Iodine Reagents. Advanced Synthesis &amp; Catalysis 363, 4867–4875.. doi:10.1002/adsc.202100809</t>
  </si>
  <si>
    <t>Boev, V.I., Moskalenko, A.I., Belopukhov, S.L., Przheval’Skii, N.M., 2015. Stereoselective reduction of the ketone group in α-allyl β-keto esters. Russian Journal of Organic Chemistry 51, 1253–1260.. doi:10.1134/s1070428015090067</t>
  </si>
  <si>
    <t>Mehta, G., Gagliardini, V., Priyakumar, U.D., Sastry, G.N., 2002. π-Facial selectivities in nucleophilic additions to 4-hetero-tricyclo[5.2.1.02,6]decan-10-ones and 4-hetero-tricyclo[5.2.1.02,6]dec-8-en-10-ones: an experimental and computational study. Tetrahedron Letters 43, 2487–2490.. doi:10.1016/s0040-4039(02)00320-9</t>
  </si>
  <si>
    <t>Cyclialkylation studies. 1. A practical synthetic approach to the 2,3:6,7-dibenzobicyclo[3.2.2]nona-2,6-diene system (acs.org)</t>
  </si>
  <si>
    <r>
      <t>Tyllick, Cliff, et al. "Cyclialkylation studies. 1. A practical synthetic approach to the 2, 3: 6, 7-dibenzobicyclo [3.2. 2] nona-2, 6-diene system." </t>
    </r>
    <r>
      <rPr>
        <i/>
        <sz val="7"/>
        <color rgb="FF222222"/>
        <rFont val="Arial"/>
        <family val="2"/>
      </rPr>
      <t>The Journal of Organic Chemistry</t>
    </r>
    <r>
      <rPr>
        <sz val="7"/>
        <color rgb="FF222222"/>
        <rFont val="Arial"/>
        <family val="2"/>
      </rPr>
      <t> 56.8 (1991): 2938-2940.</t>
    </r>
  </si>
  <si>
    <t>Kim, S.-H., Cho, S.Y., Cha, J.K., 2001. On the stereochemistry of anion-accelerated [1,3]-sigmatropic rearrangement of 2-vinylcyclobutanols. Tetrahedron Letters 42, 8769–8772.. doi:10.1016/s0040-4039(01)01929-3</t>
  </si>
  <si>
    <t>Notes Sodium Borohydride Reduction of Substituted trans-Decalones stituent ! to the extent of 39 % in D20 , 53 % in pyridine , There has been considerable interest for some time in evaluating the effects of remote polar substituents One such group of state based only on analyses of the products of the to the substituent , regardless of whether the resultant The first suggests that the most favored transition states in the cases of type 9 and type 10 systems should Equatorial / Axial Alcohols Arising The second mechanistic picture that accounts for as-oriented product requires intramolecular participa- tion and is essentially that shown in 3 . Its relevance In order to resolve the “ electrostatic effect ” vs .</t>
    <phoneticPr fontId="1"/>
  </si>
  <si>
    <t>Fujioka, Hiromichi, et al. "Phenyliodine diacetate-mediated oxidative cleavage of cyclobutanols leading to γ-hydroxy ketones." Tetrahedron Letters 52.9 (2011): 973-975.</t>
    <phoneticPr fontId="1"/>
  </si>
  <si>
    <r>
      <t>Monson, Richard S., Dennis Przybycien, and Adina Baraze. "Sodium borohydride reduction of substituted trans-decalones." </t>
    </r>
    <r>
      <rPr>
        <i/>
        <sz val="7"/>
        <color rgb="FF222222"/>
        <rFont val="Arial"/>
        <family val="2"/>
      </rPr>
      <t>The Journal of Organic Chemistry</t>
    </r>
    <r>
      <rPr>
        <sz val="7"/>
        <color rgb="FF222222"/>
        <rFont val="Arial"/>
        <family val="2"/>
      </rPr>
      <t> 35.5 (1970): 1700-1702.</t>
    </r>
    <phoneticPr fontId="1"/>
  </si>
  <si>
    <r>
      <t>Liu, W., Wu, Q., Wang, M., Huang, Y., &amp; Hu, P.. (2021). Iron-Catalyzed C–C Single-Bond Cleavage of Alcohols. </t>
    </r>
    <r>
      <rPr>
        <i/>
        <sz val="9"/>
        <color rgb="FF000000"/>
        <rFont val="Arial"/>
        <family val="2"/>
      </rPr>
      <t>Organic Letters</t>
    </r>
    <r>
      <rPr>
        <sz val="9"/>
        <color rgb="FF000000"/>
        <rFont val="Arial"/>
        <family val="2"/>
      </rPr>
      <t>, </t>
    </r>
    <r>
      <rPr>
        <i/>
        <sz val="9"/>
        <color rgb="FF000000"/>
        <rFont val="Arial"/>
        <family val="2"/>
      </rPr>
      <t>23</t>
    </r>
    <r>
      <rPr>
        <sz val="9"/>
        <color rgb="FF000000"/>
        <rFont val="Arial"/>
        <family val="2"/>
      </rPr>
      <t>(21), 8413–8418. https://doi.org/10.1021/acs.orglett.1c03137</t>
    </r>
    <phoneticPr fontId="1"/>
  </si>
  <si>
    <t>menchone</t>
    <phoneticPr fontId="1"/>
  </si>
  <si>
    <t>experiment</t>
    <phoneticPr fontId="1"/>
  </si>
  <si>
    <t>fenchone</t>
    <phoneticPr fontId="1"/>
  </si>
  <si>
    <t>O=C1[C@H](C(C)C)CC[C@@H](C)C1</t>
  </si>
  <si>
    <t>O=C1[C@]2(C)CC[C@@H](C2)C1(C)C</t>
  </si>
  <si>
    <t>equiv</t>
    <phoneticPr fontId="1"/>
  </si>
  <si>
    <t>conc[M]</t>
    <phoneticPr fontId="1"/>
  </si>
  <si>
    <t>12 5</t>
    <phoneticPr fontId="1"/>
  </si>
  <si>
    <t>Suzuki, Yasumitsu</t>
  </si>
  <si>
    <t>Kaneno, Daisuke</t>
  </si>
  <si>
    <t>Tomoda, Shuji</t>
  </si>
  <si>
    <t>Suzuki, Yasumitsu</t>
    <phoneticPr fontId="1"/>
  </si>
  <si>
    <t>間違っていることが発覚</t>
    <rPh sb="0" eb="2">
      <t>マチガ</t>
    </rPh>
    <rPh sb="9" eb="11">
      <t>ハッカク</t>
    </rPh>
    <phoneticPr fontId="1"/>
  </si>
  <si>
    <t>phenyl</t>
    <phoneticPr fontId="1"/>
  </si>
  <si>
    <t>cyclohexanone</t>
    <phoneticPr fontId="1"/>
  </si>
  <si>
    <t>train</t>
    <phoneticPr fontId="1"/>
  </si>
  <si>
    <t>MeOH</t>
    <phoneticPr fontId="1"/>
  </si>
  <si>
    <t>Wigfield, Donald C.Phelps, David J.</t>
    <phoneticPr fontId="1"/>
  </si>
  <si>
    <t>Senda, Y., Terasawa, T., Ishiyama, J.-I., Kamiyama, S.-I., Imaizumi, S., 1989. A High Cis-Stereoselectivity in the Hydrogenation of 6-t-Butyltetrahydropyran-3-one and 2-t-Butyl-1,3-dioxan-5-one. Bulletin of the Chemical Society of Japan 62, 2948–2952.. doi:10.1246/bcsj.62.2948</t>
    <phoneticPr fontId="1"/>
  </si>
  <si>
    <t>4tBuCH</t>
    <phoneticPr fontId="1"/>
  </si>
  <si>
    <t>2-iPr-5-diMeCH</t>
    <phoneticPr fontId="1"/>
  </si>
  <si>
    <t>2-tBuCH</t>
    <phoneticPr fontId="1"/>
  </si>
  <si>
    <t>2MeCH</t>
    <phoneticPr fontId="1"/>
  </si>
  <si>
    <t>2EtCH</t>
    <phoneticPr fontId="1"/>
  </si>
  <si>
    <t>2BuCH</t>
    <phoneticPr fontId="1"/>
  </si>
  <si>
    <t>2diMe-4tBuCH</t>
    <phoneticPr fontId="1"/>
  </si>
  <si>
    <t>2iPr-5MeCH</t>
    <phoneticPr fontId="1"/>
  </si>
  <si>
    <t>4MeCH</t>
    <phoneticPr fontId="1"/>
  </si>
  <si>
    <t>entry1</t>
    <phoneticPr fontId="1"/>
  </si>
  <si>
    <t>entry4</t>
    <phoneticPr fontId="1"/>
  </si>
  <si>
    <t>3MeCH</t>
    <phoneticPr fontId="1"/>
  </si>
  <si>
    <t>O=C1C[C@@H](C)CCC1</t>
    <phoneticPr fontId="1"/>
  </si>
  <si>
    <t>2,5diMeCH</t>
    <phoneticPr fontId="1"/>
  </si>
  <si>
    <t>O=C1[C@H](C)CCC[C@@H]1(C)</t>
    <phoneticPr fontId="1"/>
  </si>
  <si>
    <t>O=C1CCC(C)CC1</t>
    <phoneticPr fontId="1"/>
  </si>
  <si>
    <t>12 5</t>
    <phoneticPr fontId="1"/>
  </si>
  <si>
    <t>9 3</t>
    <phoneticPr fontId="1"/>
  </si>
  <si>
    <t>entry16</t>
    <phoneticPr fontId="1"/>
  </si>
  <si>
    <t>3,3,5triMeCH</t>
    <phoneticPr fontId="1"/>
  </si>
  <si>
    <t>3,3diMe5BuCH</t>
    <phoneticPr fontId="1"/>
  </si>
  <si>
    <t>entry11</t>
    <phoneticPr fontId="1"/>
  </si>
  <si>
    <t>entry17</t>
    <phoneticPr fontId="1"/>
  </si>
  <si>
    <t>O=C1C[C@](C)(C)C[C@H](C)C1</t>
    <phoneticPr fontId="1"/>
  </si>
  <si>
    <t>O=C1C[C@](C)(C)C[C@H](CCCC)C1</t>
    <phoneticPr fontId="1"/>
  </si>
  <si>
    <t>3,4diMeCH</t>
    <phoneticPr fontId="1"/>
  </si>
  <si>
    <t>O=C1C[C@@H](C)[C@@H](C)CC1</t>
  </si>
  <si>
    <t>Rickborn, BruceWuesthoff, Michael T.</t>
    <phoneticPr fontId="1"/>
  </si>
  <si>
    <t>trans-3,4diMeCH</t>
    <phoneticPr fontId="1"/>
  </si>
  <si>
    <t>O=C1C[C@H](C)[C@@H](C)CC1</t>
    <phoneticPr fontId="1"/>
  </si>
  <si>
    <t>entry12</t>
    <phoneticPr fontId="1"/>
  </si>
  <si>
    <t>O=C1C[C@@H](C(C)(C)C)CCC1</t>
    <phoneticPr fontId="1"/>
  </si>
  <si>
    <t>entry13</t>
    <phoneticPr fontId="1"/>
  </si>
  <si>
    <t>3,5ditBuCH</t>
    <phoneticPr fontId="1"/>
  </si>
  <si>
    <t>3tBuCH</t>
    <phoneticPr fontId="1"/>
  </si>
  <si>
    <t>O=C1C[C@@H](C(C)(C)C)C[C@@H](C(C)(C)C)C1</t>
    <phoneticPr fontId="1"/>
  </si>
  <si>
    <t>entry14</t>
    <phoneticPr fontId="1"/>
  </si>
  <si>
    <t>2(1CHen)CH</t>
    <phoneticPr fontId="1"/>
  </si>
  <si>
    <t>2,6-di(1-CHen)</t>
    <phoneticPr fontId="1"/>
  </si>
  <si>
    <t>O=C1[C@H](C)CCC(C)(C)C1</t>
  </si>
  <si>
    <t>2,5,5triMeCH</t>
    <phoneticPr fontId="1"/>
  </si>
  <si>
    <t>2,4,4triMeCH</t>
    <phoneticPr fontId="1"/>
  </si>
  <si>
    <t>O=C1[C@H](C)CC(C)(C)CC1</t>
    <phoneticPr fontId="1"/>
  </si>
  <si>
    <t>Murugan, R.</t>
  </si>
  <si>
    <t>C[C@@]12CCC[C@H]1[C@@H]3CC[C@H]4CC(=O)CC[C@@]4([C@H]3CC2)C</t>
  </si>
  <si>
    <t>entry6</t>
    <phoneticPr fontId="1"/>
  </si>
  <si>
    <t>C[C@H](CCCC(C)C)[C@H]1CC[C@@H]2[C@@]1(CC[C@H]3[C@H]2CC[C@@H]4[C@@]3(CCC(=O)C4)C)C</t>
    <phoneticPr fontId="1"/>
  </si>
  <si>
    <t>entry2</t>
    <phoneticPr fontId="1"/>
  </si>
  <si>
    <t>entry7</t>
    <phoneticPr fontId="1"/>
  </si>
  <si>
    <t>entry8</t>
    <phoneticPr fontId="1"/>
  </si>
  <si>
    <t>Wigfield, Donald C.Phelps, David J.Enthalpy-Entropy Relations in the Reduction of Hindered and Unhindered Cyclohexanones by Sodium Borohydride</t>
    <phoneticPr fontId="1"/>
  </si>
  <si>
    <t>entry9</t>
    <phoneticPr fontId="1"/>
  </si>
  <si>
    <t>entry10</t>
    <phoneticPr fontId="1"/>
  </si>
  <si>
    <t>3,5-diMe</t>
    <phoneticPr fontId="1"/>
  </si>
  <si>
    <t>O=C1C[C@@H](C)C[C@@H](C)C1</t>
  </si>
  <si>
    <t>entry5</t>
    <phoneticPr fontId="1"/>
  </si>
  <si>
    <t>11 4</t>
    <phoneticPr fontId="1"/>
  </si>
  <si>
    <t>17 4</t>
    <phoneticPr fontId="1"/>
  </si>
  <si>
    <t>2-propanol</t>
    <phoneticPr fontId="1"/>
  </si>
  <si>
    <t>O=C1[C@@H](CCC)C[C@@H](C(C)(C)C)CC1</t>
  </si>
  <si>
    <t>Hutchins, Robert O., Su, Wei Yang, Sivakumar, Ramachandran, Cisione, Frank, Stercho, Yuriy P.</t>
    <phoneticPr fontId="1"/>
  </si>
  <si>
    <t>O=C1[C@H](CCC)C[C@@H](C(C)(C)C)CC1</t>
    <phoneticPr fontId="1"/>
  </si>
  <si>
    <t>cis2nPr4tBuCH</t>
    <phoneticPr fontId="1"/>
  </si>
  <si>
    <t>trans2nPr4tBuCH</t>
    <phoneticPr fontId="1"/>
  </si>
  <si>
    <t>norbolnan</t>
    <phoneticPr fontId="1"/>
  </si>
  <si>
    <t>Brown, Herbert C.,Muzzio, John</t>
    <phoneticPr fontId="1"/>
  </si>
  <si>
    <t>2-norbornen</t>
    <phoneticPr fontId="1"/>
  </si>
  <si>
    <t>O=C1[C@H](C=C2)C[C@H]2C1</t>
  </si>
  <si>
    <t>O=C1[C@H](CC2)C[C@H]2C1</t>
  </si>
  <si>
    <t>O=C1[C@@H](CC2)C=C[C@@H]2C1</t>
  </si>
  <si>
    <t>Bicyclo[2.2.2]octenone</t>
    <phoneticPr fontId="1"/>
  </si>
  <si>
    <t>6 4</t>
    <phoneticPr fontId="1"/>
  </si>
  <si>
    <t>←離れたπ電子作用の考察案件</t>
    <rPh sb="1" eb="2">
      <t>ハナ</t>
    </rPh>
    <rPh sb="5" eb="7">
      <t>デンシ</t>
    </rPh>
    <rPh sb="7" eb="9">
      <t>サヨウ</t>
    </rPh>
    <rPh sb="10" eb="12">
      <t>コウサツ</t>
    </rPh>
    <rPh sb="12" eb="14">
      <t>アンケン</t>
    </rPh>
    <phoneticPr fontId="1"/>
  </si>
  <si>
    <t>C[C@]12CC[C@@H](C2)CC1=O</t>
  </si>
  <si>
    <t>O=C1[C@@H]2CC[C@@H](C2(C)C)C1</t>
  </si>
  <si>
    <t>camphor</t>
    <phoneticPr fontId="1"/>
  </si>
  <si>
    <t>O=C1C2CC[C@@H]1C=C2</t>
    <phoneticPr fontId="1"/>
  </si>
  <si>
    <t>L-selectride</t>
    <phoneticPr fontId="1"/>
  </si>
  <si>
    <t>THF</t>
    <phoneticPr fontId="1"/>
  </si>
  <si>
    <t>O=C1[C@H](C)CCC1</t>
    <phoneticPr fontId="1"/>
  </si>
  <si>
    <t>2MeCP</t>
    <phoneticPr fontId="1"/>
  </si>
  <si>
    <t>2MeCH</t>
    <phoneticPr fontId="1"/>
  </si>
  <si>
    <t>3MeCH</t>
    <phoneticPr fontId="1"/>
  </si>
  <si>
    <t>4MeCH</t>
    <phoneticPr fontId="1"/>
  </si>
  <si>
    <t>4EtCH</t>
    <phoneticPr fontId="1"/>
  </si>
  <si>
    <t>4iPrCH</t>
    <phoneticPr fontId="1"/>
  </si>
  <si>
    <t>4tBuCH</t>
    <phoneticPr fontId="1"/>
  </si>
  <si>
    <t>norcamphor</t>
    <phoneticPr fontId="1"/>
  </si>
  <si>
    <t>Camphor</t>
    <phoneticPr fontId="1"/>
  </si>
  <si>
    <t>O=C1[C@H](C)CCCC1</t>
    <phoneticPr fontId="1"/>
  </si>
  <si>
    <t>O=C1C[C@@H](C)CCC1</t>
  </si>
  <si>
    <t>O=C1CCC(C)CC1</t>
  </si>
  <si>
    <t>O=C1[C@@H]2CC[C@@H](C2)C1</t>
  </si>
  <si>
    <t>Vdovin, V M, Golino, M, Bassindale, A</t>
    <phoneticPr fontId="1"/>
  </si>
  <si>
    <t>L. W. Sieck, R. Gorden, Jr., P. Ausloos</t>
  </si>
  <si>
    <t>train</t>
    <phoneticPr fontId="1"/>
  </si>
  <si>
    <t>O=C1[C@@H](C2)C[C@@H]3C[C@H]1C[C@H]2C3</t>
  </si>
  <si>
    <t>2-adamantanone</t>
    <phoneticPr fontId="1"/>
  </si>
  <si>
    <t>S</t>
    <phoneticPr fontId="1"/>
  </si>
  <si>
    <t>cis</t>
    <phoneticPr fontId="1"/>
  </si>
  <si>
    <t>R</t>
    <phoneticPr fontId="1"/>
  </si>
  <si>
    <t>E</t>
    <phoneticPr fontId="1"/>
  </si>
  <si>
    <t>stereo</t>
    <phoneticPr fontId="1"/>
  </si>
  <si>
    <t>L-selectride</t>
  </si>
  <si>
    <t>THF</t>
  </si>
  <si>
    <t>O=C1[C@@H]2[C@](CCC3)(CCC1)[C@@H]3C2</t>
  </si>
  <si>
    <t>Aldenderfer, Mark S., Craig, Nathan M., Speakman, Robert Jeff, and Popelka-Filcoff, Rachel S.</t>
  </si>
  <si>
    <t>doi</t>
    <phoneticPr fontId="1"/>
  </si>
  <si>
    <t>O=C1[C@H](C2=CCCCC2)CCC[C@@H]1C3=CCCCC3</t>
    <phoneticPr fontId="1"/>
  </si>
  <si>
    <t>cis</t>
    <phoneticPr fontId="1"/>
  </si>
  <si>
    <t>haxane?ml+THF?ml</t>
    <phoneticPr fontId="1"/>
  </si>
  <si>
    <t>S</t>
    <phoneticPr fontId="1"/>
  </si>
  <si>
    <t>Boev, V. I., Moskalenko, A. I., Belopukhov, S. L., Przheval'Skii, N. M.</t>
    <phoneticPr fontId="1"/>
  </si>
  <si>
    <t>NaBH4</t>
    <phoneticPr fontId="1"/>
  </si>
  <si>
    <t>catalist</t>
    <phoneticPr fontId="1"/>
  </si>
  <si>
    <t>MeOH</t>
    <phoneticPr fontId="1"/>
  </si>
  <si>
    <t>MnCl2</t>
    <phoneticPr fontId="1"/>
  </si>
  <si>
    <t>CCOC(=O)[C@@H](CC(C)=C)C(=O)C</t>
    <phoneticPr fontId="1"/>
  </si>
  <si>
    <t>CCOC(=O)[C@@H](C/C=C/C)C(=O)C</t>
    <phoneticPr fontId="1"/>
  </si>
  <si>
    <t>CCOC(=O)[C@@H](C/C=C/c1ccccc1)C(=O)C</t>
    <phoneticPr fontId="1"/>
  </si>
  <si>
    <t>CCOC(=O)[C@@H](C/C(C(=O)OC)=C/c1ccc(Br)cc1)C(=O)C</t>
    <phoneticPr fontId="1"/>
  </si>
  <si>
    <t>entry30</t>
    <phoneticPr fontId="1"/>
  </si>
  <si>
    <t>CC(C)=CC[C@@H]1C(=O)CCc2ccccc12</t>
    <phoneticPr fontId="1"/>
  </si>
  <si>
    <t>CC(C)=CC[C@H](c1cccc(Cl)c1)C(=O)C</t>
    <phoneticPr fontId="1"/>
  </si>
  <si>
    <t>CC(C)=CC[C@H](c1ccccc1)C(=O)C</t>
    <phoneticPr fontId="1"/>
  </si>
  <si>
    <t>c1ccccc1CC/C(C)=C\C[C@H](c1ccccc1)C(=O)C</t>
    <phoneticPr fontId="1"/>
  </si>
  <si>
    <t>entry26(温度は-10から10℃なので0℃)</t>
    <rPh sb="8" eb="10">
      <t>オンド</t>
    </rPh>
    <phoneticPr fontId="1"/>
  </si>
  <si>
    <t>entry27(温度は-10から10℃なので0℃)</t>
    <phoneticPr fontId="1"/>
  </si>
  <si>
    <t>entry28(温度は-10から10℃なので0℃)</t>
    <phoneticPr fontId="1"/>
  </si>
  <si>
    <t>entry29(温度は-10から10℃なので0℃)</t>
    <phoneticPr fontId="1"/>
  </si>
  <si>
    <t>THF</t>
    <phoneticPr fontId="1"/>
  </si>
  <si>
    <t>entry23,almost quantitative yields.なので0%にした.-78℃から昇温条件</t>
    <rPh sb="50" eb="52">
      <t>ショウオン</t>
    </rPh>
    <rPh sb="52" eb="54">
      <t>ジョウケン</t>
    </rPh>
    <phoneticPr fontId="1"/>
  </si>
  <si>
    <t>entry22,almost quantitative yields.なので0%にした-78℃から昇温条件</t>
    <phoneticPr fontId="1"/>
  </si>
  <si>
    <t>entry21,almost quantitative yields.なので0%にした-78℃から昇温条件</t>
    <phoneticPr fontId="1"/>
  </si>
  <si>
    <t>entry25, almost quantitative yields.なので0％-78℃から昇温条件</t>
    <phoneticPr fontId="1"/>
  </si>
  <si>
    <t>hetero</t>
    <phoneticPr fontId="1"/>
  </si>
  <si>
    <t>F[C@@H]1[C@H]2C(=O)[C@H]3C[C@@H]1C[C@@H](C2)(C3)</t>
    <phoneticPr fontId="1"/>
  </si>
  <si>
    <t>entry2F</t>
    <phoneticPr fontId="1"/>
  </si>
  <si>
    <t>?</t>
    <phoneticPr fontId="1"/>
  </si>
  <si>
    <t>C=C1[C@H]2C(=O)[C@H]3C[C@@H]1C[C@@H](C2)(C3)</t>
    <phoneticPr fontId="1"/>
  </si>
  <si>
    <t>entry15</t>
    <phoneticPr fontId="1"/>
  </si>
  <si>
    <t>train</t>
    <phoneticPr fontId="1"/>
  </si>
  <si>
    <t>O1CCOC12[C@H]3C(=O)[C@H]4C[C@@H]2C[C@@H](C3)(C4)</t>
    <phoneticPr fontId="1"/>
  </si>
  <si>
    <t>Lah</t>
    <phoneticPr fontId="1"/>
  </si>
  <si>
    <t>entry11,&gt;99なので99%</t>
    <phoneticPr fontId="1"/>
  </si>
  <si>
    <t>S1CCSC12[C@H]3C(=O)[C@H]4C[C@@H]2C[C@@H](C3)(C4)</t>
    <phoneticPr fontId="1"/>
  </si>
  <si>
    <t>entry12,&gt;99なので99%</t>
    <phoneticPr fontId="1"/>
  </si>
  <si>
    <t>entry6,3員環の剛直さが反映された基質</t>
    <phoneticPr fontId="1"/>
  </si>
  <si>
    <t>MeMgBr</t>
    <phoneticPr fontId="1"/>
  </si>
  <si>
    <t>ether</t>
    <phoneticPr fontId="1"/>
  </si>
  <si>
    <t>Cerda-García-Rojas, Carlos M., Bucio, Maria A., Román, Luisa U., Hernández, Juan D., Joseph-Nathan, Pedro</t>
    <phoneticPr fontId="1"/>
  </si>
  <si>
    <t>O=C1C(C)(C)C2C3C(C)=CCC2[C@@H](C)C3C1</t>
    <phoneticPr fontId="1"/>
  </si>
  <si>
    <t>entry10</t>
    <phoneticPr fontId="1"/>
  </si>
  <si>
    <t>entry1</t>
    <phoneticPr fontId="1"/>
  </si>
  <si>
    <t>entry2</t>
    <phoneticPr fontId="1"/>
  </si>
  <si>
    <t>entry3</t>
    <phoneticPr fontId="1"/>
  </si>
  <si>
    <t>entry4</t>
    <phoneticPr fontId="1"/>
  </si>
  <si>
    <t>entry5</t>
    <phoneticPr fontId="1"/>
  </si>
  <si>
    <t>O=C1[C@H](CCCCCCCCC)CC1</t>
    <phoneticPr fontId="1"/>
  </si>
  <si>
    <t>entry3h</t>
    <phoneticPr fontId="1"/>
  </si>
  <si>
    <t>THF15ml+2.6mldimethylether</t>
    <phoneticPr fontId="1"/>
  </si>
  <si>
    <t>entry3f</t>
    <phoneticPr fontId="1"/>
  </si>
  <si>
    <t>c1ccccc1C(=O)[C@H](C)CC</t>
    <phoneticPr fontId="1"/>
  </si>
  <si>
    <t>entrya</t>
    <phoneticPr fontId="1"/>
  </si>
  <si>
    <t>c1ccccc1C(=O)[C@H](C)C=C</t>
    <phoneticPr fontId="1"/>
  </si>
  <si>
    <t>entryb</t>
    <phoneticPr fontId="1"/>
  </si>
  <si>
    <t>Zn(BH4)2</t>
    <phoneticPr fontId="1"/>
  </si>
  <si>
    <t>Cd(BH4)2</t>
    <phoneticPr fontId="1"/>
  </si>
  <si>
    <t>Et2O</t>
    <phoneticPr fontId="1"/>
  </si>
  <si>
    <t>c1ccccc1C(=O)[C@H](C)C#C</t>
    <phoneticPr fontId="1"/>
  </si>
  <si>
    <t>entryc</t>
    <phoneticPr fontId="1"/>
  </si>
  <si>
    <t>L-selectride</t>
    <phoneticPr fontId="1"/>
  </si>
  <si>
    <t>O=C1[C@@]2(C)CCCC=C2CCC1</t>
    <phoneticPr fontId="1"/>
  </si>
  <si>
    <t>Ando Masayoshi, Shinsei Sayama, Takase Kahei</t>
    <phoneticPr fontId="1"/>
  </si>
  <si>
    <t>trans</t>
    <phoneticPr fontId="1"/>
  </si>
  <si>
    <t>Ashby, E. C., Sevenair, John P., Dobbs, Frank R.</t>
    <phoneticPr fontId="1"/>
  </si>
  <si>
    <t>year</t>
    <phoneticPr fontId="1"/>
  </si>
  <si>
    <t>C1C[C@@H](C)[C@@H]2CCC(C)=C[C@@H]2[C@@H]1C(=O)C</t>
    <phoneticPr fontId="1"/>
  </si>
  <si>
    <t>None</t>
    <phoneticPr fontId="1"/>
  </si>
  <si>
    <t>none</t>
    <phoneticPr fontId="1"/>
  </si>
  <si>
    <t>DIBAL</t>
    <phoneticPr fontId="1"/>
  </si>
  <si>
    <t>CH2Cl2</t>
    <phoneticPr fontId="1"/>
  </si>
  <si>
    <t>Senda, Y., Terasawa, T., Ishiyama, J.-I., Kamiyama, S.-I., Imaizumi, S., 1989. A High Cis-Stereoselectivity in the Hydrogenation of 6-t-Butyltetrahydropyran-3-one and 2-t-Butyl-1,3-dioxan-5-one. Bulletin of the Chemical Society of Japan 62, 2948–2952.. doi:10.1246/bcsj.62.2948</t>
    <phoneticPr fontId="1"/>
  </si>
  <si>
    <t>lah</t>
    <phoneticPr fontId="1"/>
  </si>
  <si>
    <t>O=C1CO[C@H](C(C)(C)C)CC1</t>
    <phoneticPr fontId="1"/>
  </si>
  <si>
    <t>O=C1CO[C@H](C(C)(C)C)OC1</t>
    <phoneticPr fontId="1"/>
  </si>
  <si>
    <t>O=C1CC[C@H](C(C)(C)C)CC1</t>
    <phoneticPr fontId="1"/>
  </si>
  <si>
    <t>接触水素</t>
    <rPh sb="0" eb="4">
      <t>セッショクスイソ</t>
    </rPh>
    <phoneticPr fontId="1"/>
  </si>
  <si>
    <t>O=C1[C@H](C2=CCCCC2)CC1</t>
    <phoneticPr fontId="1"/>
  </si>
  <si>
    <t>entry7</t>
    <phoneticPr fontId="1"/>
  </si>
  <si>
    <t>O=C1C[C@H](c2ccccc2)C1</t>
    <phoneticPr fontId="1"/>
  </si>
  <si>
    <t>O=C1[C@H](C(C)C)CC[C@@H](C)C1</t>
    <phoneticPr fontId="1"/>
  </si>
  <si>
    <t>entry19</t>
    <phoneticPr fontId="1"/>
  </si>
  <si>
    <t>Mikhael, Myriam, Adler, Sophia A., Wengryniuk, Sarah E.</t>
    <phoneticPr fontId="1"/>
  </si>
  <si>
    <t>O=C1[C@H](C)CN(C(=O)OCC)CC1</t>
    <phoneticPr fontId="1"/>
  </si>
  <si>
    <t>entry22</t>
    <phoneticPr fontId="1"/>
  </si>
  <si>
    <t>O=C1[C@H](C)COCC1</t>
    <phoneticPr fontId="1"/>
  </si>
  <si>
    <t>entry23</t>
    <phoneticPr fontId="1"/>
  </si>
  <si>
    <t>O=C1[C@H]2CCCC[C@@H]2CCC1</t>
    <phoneticPr fontId="1"/>
  </si>
  <si>
    <t>entry31</t>
    <phoneticPr fontId="1"/>
  </si>
  <si>
    <t>entry5a</t>
    <phoneticPr fontId="1"/>
  </si>
  <si>
    <t>5e</t>
    <phoneticPr fontId="1"/>
  </si>
  <si>
    <t>O=C1[C@H](CCc2ccccc2)CC1</t>
    <phoneticPr fontId="1"/>
  </si>
  <si>
    <t>entry5d</t>
    <phoneticPr fontId="1"/>
  </si>
  <si>
    <t>O=C1[C@](C)(CO[Si](c2ccccc2)(c3ccccc3)C(C)(C)C)CC1</t>
    <phoneticPr fontId="1"/>
  </si>
  <si>
    <t>MeLi</t>
    <phoneticPr fontId="1"/>
  </si>
  <si>
    <t>entry6a</t>
    <phoneticPr fontId="1"/>
  </si>
  <si>
    <t>THF/Et2O</t>
    <phoneticPr fontId="1"/>
  </si>
  <si>
    <t>entry6e</t>
    <phoneticPr fontId="1"/>
  </si>
  <si>
    <t>entry6c</t>
    <phoneticPr fontId="1"/>
  </si>
  <si>
    <t>O=C1[C@H](CC2)[C@@H]3CCC[C@@H]3[C@@H]12</t>
    <phoneticPr fontId="1"/>
  </si>
  <si>
    <t>entry3</t>
    <phoneticPr fontId="1"/>
  </si>
  <si>
    <t>O=C1[C@H](CC2)[C@@H]3COC[C@@H]3[C@@H]12</t>
    <phoneticPr fontId="1"/>
  </si>
  <si>
    <t>E</t>
    <phoneticPr fontId="1"/>
  </si>
  <si>
    <t>entry4</t>
    <phoneticPr fontId="1"/>
  </si>
  <si>
    <t>O=C1[C@H](CC2)[C@@H]3CSC[C@@H]3[C@@H]12</t>
    <phoneticPr fontId="1"/>
  </si>
  <si>
    <t>entry5</t>
    <phoneticPr fontId="1"/>
  </si>
  <si>
    <t>O=C1[C@H](CC2)[C@@H]3COC(=O)[C@@H]3[C@@H]12</t>
    <phoneticPr fontId="1"/>
  </si>
  <si>
    <t>entry8</t>
    <phoneticPr fontId="1"/>
  </si>
  <si>
    <t>O=C1[C@H](C=C2)[C@@H]3CCC[C@@H]3[C@@H]12</t>
    <phoneticPr fontId="1"/>
  </si>
  <si>
    <t>entry9</t>
    <phoneticPr fontId="1"/>
  </si>
  <si>
    <t>O=C1[C@H](C=C2)[C@@H]3COC[C@@H]3[C@@H]12</t>
    <phoneticPr fontId="1"/>
  </si>
  <si>
    <t>entry10</t>
    <phoneticPr fontId="1"/>
  </si>
  <si>
    <t>O=C1[C@H](C=C2)[C@@H]3CSC[C@@H]3[C@@H]12</t>
    <phoneticPr fontId="1"/>
  </si>
  <si>
    <t>O=C1[C@H](C=C2)[C@@H]3COC(=O)[C@@H]3[C@@H]12</t>
    <phoneticPr fontId="1"/>
  </si>
  <si>
    <t>entry14</t>
    <phoneticPr fontId="1"/>
  </si>
  <si>
    <t>train</t>
    <phoneticPr fontId="1"/>
  </si>
  <si>
    <t>c1ccccc1[C@H](C)C(=O)C</t>
    <phoneticPr fontId="1"/>
  </si>
  <si>
    <t>syn</t>
    <phoneticPr fontId="1"/>
  </si>
  <si>
    <t>entry1</t>
    <phoneticPr fontId="1"/>
  </si>
  <si>
    <t>c1cc(OC)ccc1[C@H](C)C(=O)C</t>
    <phoneticPr fontId="1"/>
  </si>
  <si>
    <t>syn</t>
    <phoneticPr fontId="1"/>
  </si>
  <si>
    <t>entry2</t>
    <phoneticPr fontId="1"/>
  </si>
  <si>
    <t>c1cc(O)ccc1[C@H](C)C(=O)C</t>
    <phoneticPr fontId="1"/>
  </si>
  <si>
    <t>c1cc([N+](=O)[O-])ccc1[C@H](C)C(=O)C</t>
    <phoneticPr fontId="1"/>
  </si>
  <si>
    <t>c1(OC)ccccc1[C@H](C)C(=O)C</t>
    <phoneticPr fontId="1"/>
  </si>
  <si>
    <t>chain</t>
    <phoneticPr fontId="1"/>
  </si>
  <si>
    <t>c1(C)ccccc1[C@H](C)C(=O)C</t>
    <phoneticPr fontId="1"/>
  </si>
  <si>
    <t>c1(F)ccccc1[C@H](C)C(=O)C</t>
    <phoneticPr fontId="1"/>
  </si>
  <si>
    <t>c1ccccc1[C@H](CC)C(=O)C</t>
    <phoneticPr fontId="1"/>
  </si>
  <si>
    <t>c1ccccc1[C@H](CCC)C(=O)C</t>
    <phoneticPr fontId="1"/>
  </si>
  <si>
    <t>c1ccccc1[C@H](CC=C)C(=O)C</t>
    <phoneticPr fontId="1"/>
  </si>
  <si>
    <t>c1ccccc1[C@H](CCCC)C(=O)C</t>
    <phoneticPr fontId="1"/>
  </si>
  <si>
    <t>entry6</t>
    <phoneticPr fontId="1"/>
  </si>
  <si>
    <t>entry7</t>
    <phoneticPr fontId="1"/>
  </si>
  <si>
    <t>entry11</t>
    <phoneticPr fontId="1"/>
  </si>
  <si>
    <t>none</t>
    <phoneticPr fontId="1"/>
  </si>
  <si>
    <t>LiAlH(OMe)3</t>
    <phoneticPr fontId="1"/>
  </si>
  <si>
    <t>ether</t>
    <phoneticPr fontId="1"/>
  </si>
  <si>
    <t>trans</t>
    <phoneticPr fontId="1"/>
  </si>
  <si>
    <t>LiAlH(OEt)3</t>
    <phoneticPr fontId="1"/>
  </si>
  <si>
    <t>LiAlH(OiPr)3</t>
    <phoneticPr fontId="1"/>
  </si>
  <si>
    <t>LiAlH(OtBu)3</t>
    <phoneticPr fontId="1"/>
  </si>
  <si>
    <t>THF</t>
    <phoneticPr fontId="1"/>
  </si>
  <si>
    <t>O=C1[C@H](C2)CC[C@H]2C1</t>
    <phoneticPr fontId="1"/>
  </si>
  <si>
    <t>exo</t>
    <phoneticPr fontId="1"/>
  </si>
  <si>
    <t>O=C1[C@H](CCCCCC)CC1</t>
    <phoneticPr fontId="1"/>
  </si>
  <si>
    <t>cis</t>
    <phoneticPr fontId="1"/>
  </si>
  <si>
    <t>entry30</t>
    <phoneticPr fontId="1"/>
  </si>
  <si>
    <t>endo</t>
    <phoneticPr fontId="1"/>
  </si>
  <si>
    <t>O=C1[C@@H](C)[C@@H](C2(C)(C))C[C@@H]2C1</t>
    <phoneticPr fontId="1"/>
  </si>
  <si>
    <t>335M-Cy</t>
    <phoneticPr fontId="1"/>
  </si>
  <si>
    <t>Norcamphor</t>
    <phoneticPr fontId="1"/>
  </si>
  <si>
    <t>Camphor</t>
    <phoneticPr fontId="1"/>
  </si>
  <si>
    <t>Isopinocamphone</t>
    <phoneticPr fontId="1"/>
  </si>
  <si>
    <t>2MeCp</t>
    <phoneticPr fontId="1"/>
  </si>
  <si>
    <t>O=C1[C@H](C)CCCC1</t>
    <phoneticPr fontId="1"/>
  </si>
  <si>
    <t>2MeCy</t>
    <phoneticPr fontId="1"/>
  </si>
  <si>
    <t>O=C1[C@H](c2c(Br)cccc2)CC1</t>
    <phoneticPr fontId="1"/>
  </si>
  <si>
    <t>cis</t>
    <phoneticPr fontId="1"/>
  </si>
  <si>
    <t>entryy25</t>
    <phoneticPr fontId="1"/>
  </si>
  <si>
    <t>entry31</t>
    <phoneticPr fontId="1"/>
  </si>
  <si>
    <t>entry32</t>
    <phoneticPr fontId="1"/>
  </si>
  <si>
    <t>O=C1[C@H](Cc2ccccc2)CCCCC1</t>
    <phoneticPr fontId="1"/>
  </si>
  <si>
    <t>MeMgBr</t>
    <phoneticPr fontId="1"/>
  </si>
  <si>
    <t>Et2O</t>
    <phoneticPr fontId="1"/>
  </si>
  <si>
    <t>O=C1C[C@@H]2c3cc(I)ccc3OC(C)(C)[C@H]2CC1</t>
    <phoneticPr fontId="1"/>
  </si>
  <si>
    <t>S</t>
    <phoneticPr fontId="1"/>
  </si>
  <si>
    <t>entry66</t>
    <phoneticPr fontId="1"/>
  </si>
  <si>
    <t>cyclohexane</t>
    <phoneticPr fontId="1"/>
  </si>
  <si>
    <r>
      <t>Monson, Richard S., Dennis Przybycien, and Adina Baraze. "Sodium borohydride reduction of substituted trans-decalones." </t>
    </r>
    <r>
      <rPr>
        <i/>
        <sz val="7"/>
        <color rgb="FF222222"/>
        <rFont val="Arial"/>
        <family val="2"/>
      </rPr>
      <t>The Journal of Organic Chemistry</t>
    </r>
    <r>
      <rPr>
        <sz val="7"/>
        <color rgb="FF222222"/>
        <rFont val="Arial"/>
        <family val="2"/>
      </rPr>
      <t> 35.5 (1970): 1700-1702.</t>
    </r>
    <phoneticPr fontId="1"/>
  </si>
  <si>
    <t>9a</t>
    <phoneticPr fontId="1"/>
  </si>
  <si>
    <t>10a</t>
    <phoneticPr fontId="1"/>
  </si>
  <si>
    <t>S0</t>
    <phoneticPr fontId="1"/>
  </si>
  <si>
    <t>O=C1[C@@H]2CCCC[C@H]2CCC1</t>
    <phoneticPr fontId="1"/>
  </si>
  <si>
    <t>ent.11</t>
    <phoneticPr fontId="1"/>
  </si>
  <si>
    <t>ent.2</t>
    <phoneticPr fontId="1"/>
  </si>
  <si>
    <t>2nt.3</t>
    <phoneticPr fontId="1"/>
  </si>
  <si>
    <t>O=C1[C@H](C3)[C@H](C#C)[C@H]3C1</t>
  </si>
  <si>
    <t>ent.1e</t>
    <phoneticPr fontId="1"/>
  </si>
  <si>
    <t>ent.1c</t>
    <phoneticPr fontId="1"/>
  </si>
  <si>
    <t>ent.1f</t>
    <phoneticPr fontId="1"/>
  </si>
  <si>
    <t>O=C1[C@H](C3)[C@H](CC)[C@H]3C1</t>
    <phoneticPr fontId="1"/>
  </si>
  <si>
    <t>O=C1[C@H](C3)[C@H](C=C)[C@H]3C1</t>
    <phoneticPr fontId="1"/>
  </si>
  <si>
    <t>Suzuki, Yasumitsu</t>
    <phoneticPr fontId="1"/>
  </si>
  <si>
    <t>FALSE,溶媒合ってる？</t>
    <rPh sb="6" eb="8">
      <t>ヨウバイ</t>
    </rPh>
    <rPh sb="8" eb="9">
      <t>ア</t>
    </rPh>
    <phoneticPr fontId="1"/>
  </si>
  <si>
    <t>MeOH</t>
    <phoneticPr fontId="1"/>
  </si>
  <si>
    <t>NaBH4</t>
    <phoneticPr fontId="1"/>
  </si>
  <si>
    <t>C[C@@H]1C(CC[C@@]2(C)[C@H]1CCC3=C(CC[C@@H]4[C@@H](CC[C@H](CC)C(C)C)C)[C@]4(C)CCC32)=O</t>
    <phoneticPr fontId="1"/>
  </si>
  <si>
    <t>O=C1[C@@H](C)[C@@H]2CCC3=C4CC[C@H]([C@H](C)CC[C@H](CC)C(C)C)[C@](C)4CC[C@H]3[C@](C)2CC1</t>
    <phoneticPr fontId="1"/>
  </si>
  <si>
    <t>S</t>
    <phoneticPr fontId="1"/>
  </si>
  <si>
    <t>ent.7</t>
    <phoneticPr fontId="1"/>
  </si>
  <si>
    <t>Preliminary structure-activity relationship on theonellasterol, a new chemotype of FXR antagonist, from the marine sponge Theonella swinhoei</t>
  </si>
  <si>
    <t>train</t>
    <phoneticPr fontId="1"/>
  </si>
  <si>
    <t>O=C1[C@@H]2[C@@H]3[C@@H]4[C@H](C1)[C@H]5[C@H]6[C@@H]4C=C[C@@H]3[C@H]6[C@@H]25</t>
  </si>
  <si>
    <t>ent.8</t>
    <phoneticPr fontId="1"/>
  </si>
  <si>
    <t>Synthesis of Hexacyclo[6.5.1.02,7.0311.04’9.01014]tetradeca-5,12- diene1</t>
    <phoneticPr fontId="1"/>
  </si>
  <si>
    <t>O=C1[C@](C)(CCC#C)[C@H]2CC[C@]3(C)[C@H]([C@H](C)CCCC(C)C)CC[C@H]3[C@@H]2CC1</t>
    <phoneticPr fontId="1"/>
  </si>
  <si>
    <t>ent.4</t>
    <phoneticPr fontId="1"/>
  </si>
  <si>
    <t>Synthesis, NMR and crystal characterization of dimeric terephthalates derived from epimeric 4,5-seco-cholest-3-yn-5-ols</t>
  </si>
  <si>
    <t>O=C1C[C@H](C=C(CCCC)CCCC)CCC1</t>
    <phoneticPr fontId="1"/>
  </si>
  <si>
    <t>cis</t>
    <phoneticPr fontId="1"/>
  </si>
  <si>
    <t>ent4a</t>
    <phoneticPr fontId="1"/>
  </si>
  <si>
    <t>Ni-Catalyzed Regio- and Stereo-defined Intermolecular Cross-Electrophile Dialkylation of Alkynes Without Directing Group</t>
  </si>
  <si>
    <t>O=C1C[C@H](CCCC)CCC1</t>
    <phoneticPr fontId="1"/>
  </si>
  <si>
    <t>ent.e</t>
    <phoneticPr fontId="1"/>
  </si>
  <si>
    <t>Lipase-mediated diastereoselective and enantioselective acetylations of 3-substituted cyclohexanols</t>
  </si>
  <si>
    <t>O=C1CC[C@H](C)CC1</t>
    <phoneticPr fontId="1"/>
  </si>
  <si>
    <t>table1</t>
    <phoneticPr fontId="1"/>
  </si>
  <si>
    <t>The Stereochemistry of Hydride Reductions</t>
  </si>
  <si>
    <t>Fujita, Makoto, Satoshi Akimoto, and Katsuyuki Ogura. "Significant electrostatic effects in π-facial stereoselection of nucleophilic addition reactions to β, γ-unsaturated carbonyl compounds." Tetrahedron letters 34.32 (1993): 5139-5142.</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</si>
</sst>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Red]\(0.0\)"/>
  </numFmts>
  <fonts count="19">
    <font>
      <sz val="11"/>
      <color theme="1"/>
      <name val="Yu Gothic"/>
      <family val="2"/>
      <scheme val="minor"/>
    </font>
    <font>
      <sz val="6"/>
      <name val="Yu Gothic"/>
      <family val="3"/>
      <charset val="128"/>
      <scheme val="minor"/>
    </font>
    <font>
      <sz val="10"/>
      <color theme="1"/>
      <name val="Yu Gothic"/>
      <family val="2"/>
      <scheme val="minor"/>
    </font>
    <font>
      <sz val="10"/>
      <color rgb="FF111111"/>
      <name val="Roboto"/>
      <family val="2"/>
    </font>
    <font>
      <u/>
      <sz val="11"/>
      <color theme="10"/>
      <name val="Yu Gothic"/>
      <family val="2"/>
      <scheme val="minor"/>
    </font>
    <font>
      <u/>
      <sz val="11"/>
      <color theme="10"/>
      <name val="Yu Gothic"/>
      <family val="3"/>
      <charset val="128"/>
      <scheme val="minor"/>
    </font>
    <font>
      <sz val="11"/>
      <color rgb="FF727272"/>
      <name val="Yu Gothic"/>
      <family val="3"/>
      <charset val="128"/>
      <scheme val="minor"/>
    </font>
    <font>
      <b/>
      <sz val="11"/>
      <color rgb="FF000000"/>
      <name val="Arial"/>
      <family val="2"/>
    </font>
    <font>
      <sz val="11"/>
      <color rgb="FF000000"/>
      <name val="Arial"/>
      <family val="2"/>
    </font>
    <font>
      <b/>
      <sz val="11"/>
      <color theme="1"/>
      <name val="Arial"/>
      <family val="2"/>
    </font>
    <font>
      <sz val="10"/>
      <color rgb="FFFF0000"/>
      <name val="Yu Gothic"/>
      <family val="2"/>
      <scheme val="minor"/>
    </font>
    <font>
      <sz val="11"/>
      <color theme="1"/>
      <name val="Yu Gothic"/>
      <family val="3"/>
      <charset val="128"/>
      <scheme val="minor"/>
    </font>
    <font>
      <sz val="9"/>
      <color rgb="FF000000"/>
      <name val="Arial"/>
      <family val="2"/>
    </font>
    <font>
      <sz val="7"/>
      <color rgb="FF222222"/>
      <name val="Arial"/>
      <family val="2"/>
    </font>
    <font>
      <i/>
      <sz val="7"/>
      <color rgb="FF222222"/>
      <name val="Arial"/>
      <family val="2"/>
    </font>
    <font>
      <i/>
      <sz val="9"/>
      <color rgb="FF000000"/>
      <name val="Arial"/>
      <family val="2"/>
    </font>
    <font>
      <sz val="11"/>
      <color rgb="FFFF0000"/>
      <name val="Yu Gothic"/>
      <family val="2"/>
      <scheme val="minor"/>
    </font>
    <font>
      <sz val="11"/>
      <color theme="1" tint="0.499984740745262"/>
      <name val="Yu Gothic"/>
      <family val="2"/>
      <scheme val="minor"/>
    </font>
    <font>
      <u/>
      <sz val="11"/>
      <color theme="1" tint="0.499984740745262"/>
      <name val="Yu Gothic"/>
      <family val="3"/>
      <charset val="128"/>
      <scheme val="minor"/>
    </font>
  </fonts>
  <fills count="9">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F5F5F5"/>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53">
    <xf numFmtId="0" fontId="0" fillId="0" borderId="0" xfId="0"/>
    <xf numFmtId="0" fontId="2" fillId="2" borderId="0" xfId="0" applyFont="1" applyFill="1"/>
    <xf numFmtId="0" fontId="3" fillId="2" borderId="0" xfId="0" applyFont="1" applyFill="1"/>
    <xf numFmtId="0" fontId="0" fillId="3" borderId="0" xfId="0" applyFill="1"/>
    <xf numFmtId="0" fontId="0" fillId="0" borderId="0" xfId="0" applyAlignment="1">
      <alignment wrapText="1"/>
    </xf>
    <xf numFmtId="0" fontId="4" fillId="0" borderId="0" xfId="1" applyAlignment="1">
      <alignment vertical="center"/>
    </xf>
    <xf numFmtId="0" fontId="4" fillId="0" borderId="0" xfId="1" applyAlignment="1">
      <alignment wrapText="1"/>
    </xf>
    <xf numFmtId="49" fontId="2" fillId="2" borderId="0" xfId="0" applyNumberFormat="1" applyFont="1" applyFill="1"/>
    <xf numFmtId="49" fontId="4" fillId="0" borderId="0" xfId="1" applyNumberFormat="1" applyAlignment="1">
      <alignment vertical="center"/>
    </xf>
    <xf numFmtId="49" fontId="0" fillId="0" borderId="0" xfId="0" applyNumberFormat="1"/>
    <xf numFmtId="0" fontId="4" fillId="0" borderId="0" xfId="1"/>
    <xf numFmtId="0" fontId="6" fillId="0" borderId="0" xfId="0" applyFont="1" applyAlignment="1">
      <alignment vertical="center"/>
    </xf>
    <xf numFmtId="0" fontId="2" fillId="2" borderId="0" xfId="0" applyFont="1" applyFill="1" applyAlignment="1"/>
    <xf numFmtId="0" fontId="0" fillId="0" borderId="0" xfId="0" applyAlignment="1"/>
    <xf numFmtId="0" fontId="4" fillId="0" borderId="0" xfId="1" applyAlignment="1"/>
    <xf numFmtId="0" fontId="0" fillId="0" borderId="0" xfId="0" quotePrefix="1" applyAlignment="1"/>
    <xf numFmtId="11" fontId="0" fillId="0" borderId="0" xfId="0" applyNumberFormat="1" applyAlignment="1"/>
    <xf numFmtId="56" fontId="0" fillId="0" borderId="0" xfId="0" applyNumberFormat="1" applyAlignment="1"/>
    <xf numFmtId="0" fontId="0" fillId="4" borderId="0" xfId="0" applyFill="1" applyAlignment="1"/>
    <xf numFmtId="11" fontId="0" fillId="4" borderId="0" xfId="0" applyNumberFormat="1" applyFill="1" applyAlignment="1"/>
    <xf numFmtId="0" fontId="0" fillId="4" borderId="0" xfId="0" quotePrefix="1" applyFill="1" applyAlignment="1"/>
    <xf numFmtId="0" fontId="0" fillId="5" borderId="0" xfId="0" applyFill="1" applyAlignment="1"/>
    <xf numFmtId="0" fontId="2" fillId="5" borderId="0" xfId="0" applyFont="1" applyFill="1" applyAlignment="1"/>
    <xf numFmtId="0" fontId="0" fillId="5" borderId="1" xfId="0" applyFill="1" applyBorder="1" applyAlignment="1"/>
    <xf numFmtId="0" fontId="4" fillId="0" borderId="0" xfId="1" applyFill="1" applyAlignment="1"/>
    <xf numFmtId="0" fontId="0" fillId="0" borderId="0" xfId="0" applyBorder="1" applyAlignment="1"/>
    <xf numFmtId="0" fontId="0" fillId="0" borderId="0" xfId="0" applyFill="1" applyBorder="1" applyAlignment="1"/>
    <xf numFmtId="0" fontId="4" fillId="0" borderId="0" xfId="1" applyFill="1" applyBorder="1" applyAlignment="1"/>
    <xf numFmtId="0" fontId="0" fillId="0" borderId="0" xfId="0" applyFill="1"/>
    <xf numFmtId="0" fontId="7" fillId="6" borderId="0" xfId="0" applyFont="1" applyFill="1" applyAlignment="1">
      <alignment horizontal="center" vertical="center" wrapText="1"/>
    </xf>
    <xf numFmtId="0" fontId="9" fillId="6" borderId="0" xfId="0" applyFont="1" applyFill="1" applyAlignment="1">
      <alignment horizontal="center"/>
    </xf>
    <xf numFmtId="0" fontId="7" fillId="7" borderId="0" xfId="0" applyFont="1" applyFill="1" applyAlignment="1">
      <alignment horizontal="center" vertical="top" wrapText="1"/>
    </xf>
    <xf numFmtId="0" fontId="8" fillId="7" borderId="0" xfId="0" applyFont="1" applyFill="1" applyAlignment="1">
      <alignment horizontal="center" vertical="center" wrapText="1"/>
    </xf>
    <xf numFmtId="0" fontId="8" fillId="6" borderId="0" xfId="0" applyFont="1" applyFill="1" applyAlignment="1">
      <alignment horizontal="center" vertical="center" wrapText="1"/>
    </xf>
    <xf numFmtId="0" fontId="0" fillId="0" borderId="0" xfId="0" applyAlignment="1">
      <alignment horizontal="center"/>
    </xf>
    <xf numFmtId="0" fontId="7" fillId="8" borderId="0" xfId="0" applyFont="1" applyFill="1" applyAlignment="1">
      <alignment horizontal="center" vertical="top" wrapText="1"/>
    </xf>
    <xf numFmtId="0" fontId="0" fillId="0" borderId="0" xfId="0" applyAlignment="1">
      <alignment horizontal="center" wrapText="1"/>
    </xf>
    <xf numFmtId="0" fontId="0" fillId="8" borderId="0" xfId="0" applyFill="1" applyAlignment="1">
      <alignment horizontal="center"/>
    </xf>
    <xf numFmtId="0" fontId="0" fillId="5" borderId="0" xfId="0" applyFill="1" applyBorder="1" applyAlignment="1"/>
    <xf numFmtId="0" fontId="0" fillId="0" borderId="0" xfId="0" applyBorder="1"/>
    <xf numFmtId="0" fontId="10" fillId="2" borderId="0" xfId="0" applyFont="1" applyFill="1" applyAlignment="1"/>
    <xf numFmtId="0" fontId="0" fillId="3" borderId="0" xfId="0" applyFill="1" applyAlignment="1"/>
    <xf numFmtId="0" fontId="11" fillId="0" borderId="0" xfId="0" applyFont="1" applyAlignment="1"/>
    <xf numFmtId="0" fontId="5" fillId="0" borderId="0" xfId="1" applyFont="1" applyAlignment="1"/>
    <xf numFmtId="0" fontId="12" fillId="0" borderId="0" xfId="0" applyFont="1"/>
    <xf numFmtId="0" fontId="13" fillId="0" borderId="0" xfId="0" applyFont="1"/>
    <xf numFmtId="0" fontId="16" fillId="0" borderId="0" xfId="0" applyFont="1" applyAlignment="1"/>
    <xf numFmtId="0" fontId="17" fillId="0" borderId="0" xfId="0" applyFont="1" applyAlignment="1"/>
    <xf numFmtId="0" fontId="18" fillId="0" borderId="0" xfId="1" applyFont="1" applyAlignment="1"/>
    <xf numFmtId="0" fontId="16" fillId="3" borderId="0" xfId="0" applyFont="1" applyFill="1" applyAlignment="1"/>
    <xf numFmtId="0" fontId="0" fillId="5" borderId="0" xfId="0" applyFont="1" applyFill="1" applyAlignment="1"/>
    <xf numFmtId="176" fontId="0" fillId="5" borderId="1" xfId="0" applyNumberFormat="1" applyFill="1" applyBorder="1" applyAlignment="1"/>
    <xf numFmtId="176" fontId="0" fillId="5" borderId="0" xfId="0" applyNumberFormat="1" applyFill="1" applyBorder="1" applyAlignment="1"/>
  </cellXfs>
  <cellStyles count="2">
    <cellStyle name="ハイパーリンク" xfId="1" builtinId="8"/>
    <cellStyle name="標準" xfId="0" builtinId="0"/>
  </cellStyles>
  <dxfs count="3">
    <dxf>
      <fill>
        <patternFill patternType="solid">
          <fgColor indexed="64"/>
          <bgColor theme="2" tint="-9.9978637043366805E-2"/>
        </patternFill>
      </fill>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indexed="64"/>
          <bgColor theme="0"/>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145155</xdr:colOff>
      <xdr:row>7</xdr:row>
      <xdr:rowOff>158664</xdr:rowOff>
    </xdr:to>
    <xdr:pic>
      <xdr:nvPicPr>
        <xdr:cNvPr id="2" name="図 1" descr="地図, テキスト が含まれている画像&#10;&#10;自動的に生成された説明">
          <a:extLst>
            <a:ext uri="{FF2B5EF4-FFF2-40B4-BE49-F238E27FC236}">
              <a16:creationId xmlns:a16="http://schemas.microsoft.com/office/drawing/2014/main" id="{D6E24804-7E7A-4EE6-A1E3-94B47525682C}"/>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4107555" cy="175886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561458-CEF6-4294-8180-5C7AA13B603D}" name="テーブル1" displayName="テーブル1" ref="A1:B17" totalsRowShown="0" headerRowDxfId="2">
  <autoFilter ref="A1:B17" xr:uid="{78561458-CEF6-4294-8180-5C7AA13B603D}"/>
  <tableColumns count="2">
    <tableColumn id="1" xr3:uid="{93E37F2B-4FC9-43DC-A5A5-0F93960A19CE}" name="No." dataDxfId="1"/>
    <tableColumn id="2" xr3:uid="{6A75556B-287C-4127-A703-2C28E1446517}" name="reference"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590/s0100-40422010001000042" TargetMode="External"/><Relationship Id="rId18" Type="http://schemas.openxmlformats.org/officeDocument/2006/relationships/hyperlink" Target="https://scifinder.cas.org/scifinder/view/scifinder/scifinderExplore.jsf?sfow_newpage=/scifinder/view/reaction/reactionList.jsf&amp;nav=eNpb85aBtYSBMbGEQcXSycjc0tXMLcLCzM3Y1MDSJMLM1NXCws3E3MjcxdHF2cXU1QCoNKm4iEEwK7EsUS8nMS9dzzOvJDU9tUjo0YIl3xvbLZgYGD0ZWMsSc0pTK4oYBBDq_Epzk1KL2tZMleWe8qCbiYGhooCBgYENaGBGCQN7kKuju6tfCJCXX1zIUMfADJRjLGFgKipDtc0pPz8nNTHvrEJRw9U5v94BbYuC2VbAAACxhj18" TargetMode="External"/><Relationship Id="rId26" Type="http://schemas.openxmlformats.org/officeDocument/2006/relationships/hyperlink" Target="https://click.endnote.com/viewer?doi=10.1016%2Fs0040-4039%2803%2901681-2&amp;token=WzMwNzc5NzksIjEwLjEwMTYvczAwNDAtNDAzOSgwMykwMTY4MS0yIl0.4TEHsqt9ljrPnl1TgFognQVtTiE" TargetMode="External"/><Relationship Id="rId39" Type="http://schemas.openxmlformats.org/officeDocument/2006/relationships/hyperlink" Target="https://click.endnote.com/viewer?doi=10.1002%2Fadsc.201500801&amp;token=WzMwNzc5NzksIjEwLjEwMDIvYWRzYy4yMDE1MDA4MDEiXQ.sn01Y7RymjmyrogB1P4mwZBvIP0" TargetMode="External"/><Relationship Id="rId3" Type="http://schemas.openxmlformats.org/officeDocument/2006/relationships/hyperlink" Target="https://click.endnote.com/viewer?doi=10.1016%2Fj.tet.2010.10.076&amp;token=WzMwNzc5NzksIjEwLjEwMTYvai50ZXQuMjAxMC4xMC4wNzYiXQ.mhTDslg77EM09I4VOXaAQBCBwcg" TargetMode="External"/><Relationship Id="rId21" Type="http://schemas.openxmlformats.org/officeDocument/2006/relationships/hyperlink" Target="https://www.thieme-connect.de/products/ejournals/abstract/10.1055/s-1999-3100" TargetMode="External"/><Relationship Id="rId34" Type="http://schemas.openxmlformats.org/officeDocument/2006/relationships/hyperlink" Target="https://scifinder.cas.org/scifinder/view/scifinder/scifinderExplore.jsf" TargetMode="External"/><Relationship Id="rId42" Type="http://schemas.openxmlformats.org/officeDocument/2006/relationships/hyperlink" Target="https://click.endnote.com/viewer?doi=10.1016%2Fj.tet.2010.10.076&amp;token=WzMwNzc5NzksIjEwLjEwMTYvai50ZXQuMjAxMC4xMC4wNzYiXQ.mhTDslg77EM09I4VOXaAQBCBwcg" TargetMode="External"/><Relationship Id="rId47" Type="http://schemas.openxmlformats.org/officeDocument/2006/relationships/hyperlink" Target="https://scifinder-n.cas.org/searchDetail/reaction/61319f3ab914160d7af6ebc1/reactionDetails" TargetMode="External"/><Relationship Id="rId50" Type="http://schemas.openxmlformats.org/officeDocument/2006/relationships/hyperlink" Target="https://click.endnote.com/viewer?doi=10.1016%2Fs0040-4039%2801%2902291-2&amp;token=WzMwNzc5NzksIjEwLjEwMTYvczAwNDAtNDAzOSgwMSkwMjI5MS0yIl0.kpf8AKZUuxgTYJygv7deNMDZUFo" TargetMode="External"/><Relationship Id="rId7" Type="http://schemas.openxmlformats.org/officeDocument/2006/relationships/hyperlink" Target="https://pubs.rsc.org/en/content/articlelanding/1992/C3/C39920001711" TargetMode="External"/><Relationship Id="rId12" Type="http://schemas.openxmlformats.org/officeDocument/2006/relationships/hyperlink" Target="https://pubs.acs.org/doi/abs/10.1021/jo00269a042" TargetMode="External"/><Relationship Id="rId17" Type="http://schemas.openxmlformats.org/officeDocument/2006/relationships/hyperlink" Target="https://www.sciencedirect.com/science/article/pii/S0040402004012529?via%3Dihub" TargetMode="External"/><Relationship Id="rId25" Type="http://schemas.openxmlformats.org/officeDocument/2006/relationships/hyperlink" Target="https://scifinder.cas.org/scifinder/view/scifinder/scifinderExplore.jsf?sfow_newpage=/scifinder/view/reaction/reactionList.jsf&amp;nav=eNpb85aBtYSBMbGEQcXSycjc0tXMLcLCzM3Y1MDSJMLM1NXCws3E3MjcxdHF2cXU1QCoNKm4iEEwK7EsUS8nMS9dzzOvJDU9tUjo0YIl3xvbLZgYGD0ZWMsSc0pTK4oYBBDq_Epzk1KL2tZMleWe8qCbiYGhooCBgYENaGBGCQN7kKuju6tfCJCXX1zIUMfADJRjLGFgKipDtc0pPz8nNTHvrEJRw9U5v94BbYuC2VbAAACxhj18" TargetMode="External"/><Relationship Id="rId33" Type="http://schemas.openxmlformats.org/officeDocument/2006/relationships/hyperlink" Target="https://click.endnote.com/viewer?doi=10.1002/adsc.201500801&amp;route=2" TargetMode="External"/><Relationship Id="rId38" Type="http://schemas.openxmlformats.org/officeDocument/2006/relationships/hyperlink" Target="https://click.endnote.com/viewer?doi=10.1016%2F0040-4039%2895%2900806-n&amp;token=WzMwNzc5NzksIjEwLjEwMTYvMDA0MC00MDM5KDk1KTAwODA2LW4iXQ.MIk7RVwoFOUZclBEfBuVmsXVckg" TargetMode="External"/><Relationship Id="rId46" Type="http://schemas.openxmlformats.org/officeDocument/2006/relationships/hyperlink" Target="https://doi.org/10.1590/s0100-40422010001000042" TargetMode="External"/><Relationship Id="rId2" Type="http://schemas.openxmlformats.org/officeDocument/2006/relationships/hyperlink" Target="https://click.endnote.com/viewer?doi=10.1016%2Fs0040-4039%2801%2902291-2&amp;token=WzMwNzc5NzksIjEwLjEwMTYvczAwNDAtNDAzOSgwMSkwMjI5MS0yIl0.kpf8AKZUuxgTYJygv7deNMDZUFo" TargetMode="External"/><Relationship Id="rId16" Type="http://schemas.openxmlformats.org/officeDocument/2006/relationships/hyperlink" Target="https://scifinder.cas.org/scifinder/view/scifinder/scifinderExplore.jsf?sfow_newpage=/scifinder/view/reaction/reactionList.jsf&amp;nav=eNpb85aBtYSBMbGEQcXSydDR1NLCKcLCzM3Y1MDSJMLQydzc0NANKO7s6mZiaOpkAFSaVFzEIJiVWJaol5OYl67nmVeSmp5aJPRowZLvje0WTAyMngysZYk5pakVRQwCCHV-pblJqUVta6bKck950M3EwFBRwMDAwAQ0MKOEgT3I1dHd1S8EyMsvLmSoY2AGyjGWMDAVlaHa5pSfn5OamHdWoajh6pxf74C2RcFsK2AAAJdFPVI" TargetMode="External"/><Relationship Id="rId20" Type="http://schemas.openxmlformats.org/officeDocument/2006/relationships/hyperlink" Target="https://scifinder.cas.org/scifinder/view/scifinder/scifinderExplore.jsf?sfow_newpage=/scifinder/view/reaction/reactionList.jsf&amp;nav=eNpb85aBtYSBMbGEQcXSycjV3MTCMsLCzM3Y1MDSJMLIwsjA1M3Q2NjY0NTSxc3V0gioNKm4iEEwK7EsUS8nMS9dzzOvJDU9tUjo0YIl3xvbLZgYGD0ZWMsSc0pTK4oYBBDq_Epzk1KL2tZMleWe8qCbiYGhooCBgYELaGBGCQN7kKuju6tfCJCXX1zIUMfADJRjLGFgKipDtc0pPz8nNTHvrEJRw9U5v94BbYuC2VbAAAB2cj0m" TargetMode="External"/><Relationship Id="rId29" Type="http://schemas.openxmlformats.org/officeDocument/2006/relationships/hyperlink" Target="https://scifinder.cas.org/scifinder/view/scifinder/scifinderExplore.jsf" TargetMode="External"/><Relationship Id="rId41" Type="http://schemas.openxmlformats.org/officeDocument/2006/relationships/hyperlink" Target="https://click.endnote.com/viewer?doi=10.1016%2Fj.tet.2010.10.076&amp;token=WzMwNzc5NzksIjEwLjEwMTYvai50ZXQuMjAxMC4xMC4wNzYiXQ.mhTDslg77EM09I4VOXaAQBCBwcg" TargetMode="External"/><Relationship Id="rId1" Type="http://schemas.openxmlformats.org/officeDocument/2006/relationships/hyperlink" Target="https://scifinder-n.cas.org/searchDetail/reaction/6124578df8e9303de646c3fb/reactionDetails" TargetMode="External"/><Relationship Id="rId6" Type="http://schemas.openxmlformats.org/officeDocument/2006/relationships/hyperlink" Target="https://scifinder-n.cas.org/searchDetail/reaction/6125b22e61c4c4309f24a300/reactionDetails" TargetMode="External"/><Relationship Id="rId11" Type="http://schemas.openxmlformats.org/officeDocument/2006/relationships/hyperlink" Target="https://scifinder.cas.org/scifinder/view/scifinder/scifinderExplore.jsf?sfow_newpage=/scifinder/view/reaction/reactionList.jsf&amp;nav=eNpb85aBtYSBMbGEQcXc2cXRwsnMOMLCzM3Y1NDEKcLE0cTR0c3C2NDN0cLR1NDI2RyoNKm4iEEwK7EsUS8nMS9dzzOvJDU9tUjo0YIl3xvbLZgYGD0ZWMsSc0pTK4oYBBDq_Epzk1KL2tZMleWe8qCbiYGhooCBgYEXaGBGCQN7kKuju6tfCJCXX1zIUMfADJRjLGFgKipDtc0pPz8nNTHvrEJRw9U5v94BbYuC2VbAAACxHT18" TargetMode="External"/><Relationship Id="rId24" Type="http://schemas.openxmlformats.org/officeDocument/2006/relationships/hyperlink" Target="https://click.endnote.com/viewer?doi=10.1016%2Fs0040-4039%2803%2901681-2&amp;token=WzMwNzc5NzksIjEwLjEwMTYvczAwNDAtNDAzOSgwMykwMTY4MS0yIl0.4TEHsqt9ljrPnl1TgFognQVtTiE" TargetMode="External"/><Relationship Id="rId32" Type="http://schemas.openxmlformats.org/officeDocument/2006/relationships/hyperlink" Target="https://click.endnote.com/viewer?doi=10.1002/adsc.201500801&amp;route=2" TargetMode="External"/><Relationship Id="rId37" Type="http://schemas.openxmlformats.org/officeDocument/2006/relationships/hyperlink" Target="https://scifinder.cas.org/scifinder/view/scifinder/scifinderExplore.jsf?sfow_newpage=/scifinder/view/reaction/reactionList.jsf&amp;nav=eNpb85aBtYSBMbGEQcXS1cXc3MDAOcLCzM3Y1MDSJMLU0NnExcnS0sjQxNXQ0dzF0BmoNKm4iEEwK7EsUS8nMS9dzzOvJDU9tUjo0YIl3xvbLZgYGD0ZWMsSc0pTK4oYBBDq_Epzk1KL2tZMleWe8qCbiYGhooCBgYENaGBGCQN7kKuju6tfCJCXX1zIUMfADJRjLGFgKipDtc0pPz8nNTHvrEJRw9U5v94BbYuC2VbAAACTxj1P" TargetMode="External"/><Relationship Id="rId40" Type="http://schemas.openxmlformats.org/officeDocument/2006/relationships/hyperlink" Target="https://click.endnote.com/viewer?doi=10.1016%2Fj.tet.2010.10.076&amp;token=WzMwNzc5NzksIjEwLjEwMTYvai50ZXQuMjAxMC4xMC4wNzYiXQ.mhTDslg77EM09I4VOXaAQBCBwcg" TargetMode="External"/><Relationship Id="rId45" Type="http://schemas.openxmlformats.org/officeDocument/2006/relationships/hyperlink" Target="https://scifinder.cas.org/scifinder/view/scifinder/scifinderExplore.jsf?sfow_newpage=/scifinder/view/reaction/reactionList.jsf&amp;nav=eNpb85aBtYSBMbGEQcXS1cXFzdnZPMLCzM3Y1MDSJMLMwMDJ0czUwtjA2czFxcTIwhmoNKm4iEEwK7EsUS8nMS9dzzOvJDU9tUjo0YIl3xvbLZgYGD0ZWMsSc0pTK4oYBBDq_Epzk1KL2tZMleWe8qCbiYGhooCBgYELaGBGCQN7kKuju6tfCJCXX1zIUMfADJRjLGFgKipDtc0pPz8nNTHvrEJRw9U5v94BbYuC2VbAAACxYj14" TargetMode="External"/><Relationship Id="rId5" Type="http://schemas.openxmlformats.org/officeDocument/2006/relationships/hyperlink" Target="https://click.endnote.com/viewer?doi=10.1021%2Facscatal.7b04001&amp;token=WzMwNzc5NzksIjEwLjEwMjEvYWNzY2F0YWwuN2IwNDAwMSJd.pszhjNa9Avuswr7SV3W-myIB83g" TargetMode="External"/><Relationship Id="rId15" Type="http://schemas.openxmlformats.org/officeDocument/2006/relationships/hyperlink" Target="https://click.endnote.com/viewer?doi=10.1007%2Fs00044-016-1573-3&amp;token=WzMwNzc5NzksIjEwLjEwMDcvczAwMDQ0LTAxNi0xNTczLTMiXQ.koctvDIq1HlKLYkUqVZCGyWAO40" TargetMode="External"/><Relationship Id="rId23" Type="http://schemas.openxmlformats.org/officeDocument/2006/relationships/hyperlink" Target="https://scifinder.cas.org/scifinder/view/scifinder/scifinderExplore.jsf?sfow_newpage=/scifinder/view/reaction/reactionList.jsf&amp;nav=eNpb85aBtYSBMbGEQcXS2dLAwNzVMsLCzM3Y1MDSJMLEwsnUyNHV3NDNydDSwMLZ0hWoNKm4iEEwK7EsUS8nMS9dzzOvJDU9tUjo0YIl3xvbLZgYGD0ZWMsSc0pTK4oYBBDq_Epzk1KL2tZMleWe8qCbiYGhooCBgYEJaGBGCQN7kKuju6tfCJCXX1zIUMfADJRjLGFgKipDtc0pPz8nNTHvrEJRw9U5v94BbYuC2VbAAACTbT1O" TargetMode="External"/><Relationship Id="rId28" Type="http://schemas.openxmlformats.org/officeDocument/2006/relationships/hyperlink" Target="https://click.endnote.com/viewer?doi=10.1002/adsc.201500801&amp;route=2" TargetMode="External"/><Relationship Id="rId36" Type="http://schemas.openxmlformats.org/officeDocument/2006/relationships/hyperlink" Target="https://pubs.rsc.org/en/content/articlelanding/2018/OB/C8OB02480D" TargetMode="External"/><Relationship Id="rId49" Type="http://schemas.openxmlformats.org/officeDocument/2006/relationships/hyperlink" Target="https://scifinder-n.cas.org/searchDetail/reaction/6131bc00b914160d7af710e7/reactionDetails" TargetMode="External"/><Relationship Id="rId10" Type="http://schemas.openxmlformats.org/officeDocument/2006/relationships/hyperlink" Target="https://pubs.rsc.org/en/content/articlelanding/2018/OB/C8OB00368H" TargetMode="External"/><Relationship Id="rId19" Type="http://schemas.openxmlformats.org/officeDocument/2006/relationships/hyperlink" Target="https://click.endnote.com/viewer?doi=10.1016%2Fs0040-4039%2803%2901681-2&amp;token=WzMwNzc5NzksIjEwLjEwMTYvczAwNDAtNDAzOSgwMykwMTY4MS0yIl0.4TEHsqt9ljrPnl1TgFognQVtTiE" TargetMode="External"/><Relationship Id="rId31" Type="http://schemas.openxmlformats.org/officeDocument/2006/relationships/hyperlink" Target="https://click.endnote.com/viewer?doi=10.1002/adsc.201500801&amp;route=2" TargetMode="External"/><Relationship Id="rId44" Type="http://schemas.openxmlformats.org/officeDocument/2006/relationships/hyperlink" Target="https://pubs.acs.org/doi/pdf/10.1021/jo970600p" TargetMode="External"/><Relationship Id="rId52" Type="http://schemas.openxmlformats.org/officeDocument/2006/relationships/printerSettings" Target="../printerSettings/printerSettings1.bin"/><Relationship Id="rId4" Type="http://schemas.openxmlformats.org/officeDocument/2006/relationships/hyperlink" Target="https://scifinder.cas.org/scifinder/view/scifinder/scifinderExplore.jsf?sfow_newpage=/scifinder/view/reaction/reactionList.jsf&amp;nav=eNpb85aBtYSBMbGEQcXcycjVzcTUJMLCzM3Y1NDEKcLU0sLN0cDY2cjS1djYwtLAwhioNKm4iEEwK7EsUS8nMS9dzzOvJDU9tUjo0YIl3xvbLZgYGD0ZWMsSc0pTK4oYBBDq_Epzk1KL2tZMleWe8qCbiYGhooCBgYEbaGBGCQN7kKuju6tfCJCXX1zIUMfADJRjLGFgKipDtc0pPz8nNTHvrEJRw9U5v94BbYuC2VbAAACKUD1B" TargetMode="External"/><Relationship Id="rId9" Type="http://schemas.openxmlformats.org/officeDocument/2006/relationships/hyperlink" Target="https://scifinder.cas.org/scifinder/view/scifinder/scifinderExplore.jsf?sfow_newpage=/scifinder/view/reaction/reactionList.jsf&amp;nav=eNpb85aBtYSBMbGEQcXc2cXM0NHCOMLCzM3Y1NDEKcLcwtgQKOJiYmnsZGFs4GRiAlSaVFzEIJiVWJaol5OYl67nmVeSmp5aJPRowZLvje0WTAyMngysZYk5pakVRQwCCHV-pblJqUVta6bKck950M3EwFBRwMDAwAk0MKOEgT3I1dHd1S8EyMsvLmSoY2AGyjGWMDAVlaHa5pSfn5OamHdWoajh6pxf74C2RcFsK2AAAH8UPTA" TargetMode="External"/><Relationship Id="rId14" Type="http://schemas.openxmlformats.org/officeDocument/2006/relationships/hyperlink" Target="https://scifinder.cas.org/scifinder/view/scifinder/scifinderExplore.jsf?sfow_newpage=/scifinder/view/reaction/reactionList.jsf&amp;nav=eNpb85aBtYSBMbGEQcXC0MDR2cLSJcLCzM3Y1MDSIsLY2dHA2NjR0cjN1M3ExdHNwASoNKm4iEEwK7EsUS8nMS9dzzOvJDU9tUjo0YIl3xvbLZgYGD0ZWMsSc0pTK4oYBBDq_Epzk1KL2tZMleWe8qCbiYGhooCBgYEJaGBGCQN7kKuju6tfCJCXX1zIUMfADJRjLGFgKipDtc0pPz8nNTHvrEJRw9U5v94BbYuC2VbAAACgiD1h" TargetMode="External"/><Relationship Id="rId22" Type="http://schemas.openxmlformats.org/officeDocument/2006/relationships/hyperlink" Target="https://scifinder.cas.org/scifinder/view/scifinder/scifinderExplore.jsf" TargetMode="External"/><Relationship Id="rId27" Type="http://schemas.openxmlformats.org/officeDocument/2006/relationships/hyperlink" Target="https://scifinder-n.cas.org/searchDetail/reaction/613199bab914160d7af6e5d7/reactionDetails" TargetMode="External"/><Relationship Id="rId30" Type="http://schemas.openxmlformats.org/officeDocument/2006/relationships/hyperlink" Target="https://scifinder.cas.org/scifinder/view/scifinder/scifinderExplore.jsf" TargetMode="External"/><Relationship Id="rId35" Type="http://schemas.openxmlformats.org/officeDocument/2006/relationships/hyperlink" Target="https://scifinder.cas.org/scifinder/view/scifinder/scifinderExplore.jsf" TargetMode="External"/><Relationship Id="rId43" Type="http://schemas.openxmlformats.org/officeDocument/2006/relationships/hyperlink" Target="https://click.endnote.com/viewer?doi=10.1016%2Fj.tet.2010.10.076&amp;token=WzMwNzc5NzksIjEwLjEwMTYvai50ZXQuMjAxMC4xMC4wNzYiXQ.mhTDslg77EM09I4VOXaAQBCBwcg" TargetMode="External"/><Relationship Id="rId48" Type="http://schemas.openxmlformats.org/officeDocument/2006/relationships/hyperlink" Target="https://scifinder-n.cas.org/searchDetail/reaction/6131a1ffb914160d7af6ef4a/reactionDetails" TargetMode="External"/><Relationship Id="rId8" Type="http://schemas.openxmlformats.org/officeDocument/2006/relationships/hyperlink" Target="https://scifinder.cas.org/scifinder/view/scifinder/scifinderExplore.jsf?sfow_newpage=/scifinder/view/reaction/reactionList.jsf&amp;nav=eNpb85aBtYSBMbGEQcXc2cXAxNncMsLCzM3Y1NDEKcLE0MLAyNnCxdjA3MnN2cDAzRioNKm4iEEwK7EsUS8nMS9dzzOvJDU9tUjo0YIl3xvbLZgYGD0ZWMsSc0pTK4oYBBDq_Epzk1KL2tZMleWe8qCbiYGhooCBgYEFaGBGCQN7kKuju6tfCJCXX1zIUMfADJRjLGFgKipDtc0pPz8nNTHvrEJRw9U5v94BbYuC2VbAAACMxT1D" TargetMode="External"/><Relationship Id="rId51" Type="http://schemas.openxmlformats.org/officeDocument/2006/relationships/hyperlink" Target="https://click.endnote.com/viewer?doi=10.1016%2Fs0040-4039%2801%2902291-2&amp;token=WzMwNzc5NzksIjEwLjEwMTYvczAwNDAtNDAzOSgwMSkwMjI5MS0yIl0.kpf8AKZUuxgTYJygv7deNMDZUFo"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click.endnote.com/viewer?doi=10.1002%2Fpoc.3397&amp;token=WzMwNzc5NzksIjEwLjEwMDIvcG9jLjMzOTciXQ.9Jtbw7OCZmq1BOhLOnfLQORuwfs" TargetMode="External"/><Relationship Id="rId2" Type="http://schemas.openxmlformats.org/officeDocument/2006/relationships/hyperlink" Target="https://scifinder.cas.org/scifinder/view/scifinder/scifinderExplore.jsf?sfow_newpage=/scifinder/view/reaction/reactionList.jsf&amp;nav=eNpb85aBtYSBMbGEQcXC0MDR2cLSJcLCzM3Y1MDSIsLY2dHA2NjR0cjN1M3ExdHNwASoNKm4iEEwK7EsUS8nMS9dzzOvJDU9tUjo0YIl3xvbLZgYGD0ZWMsSc0pTK4oYBBDq_Epzk1KL2tZMleWe8qCbiYGhooCBgYEJaGBGCQN7kKuju6tfCJCXX1zIUMfADJRjLGFgKipDtc0pPz8nNTHvrEJRw9U5v94BbYuC2VbAAACgiD1h" TargetMode="External"/><Relationship Id="rId1" Type="http://schemas.openxmlformats.org/officeDocument/2006/relationships/hyperlink" Target="https://click.endnote.com/viewer?doi=10.1246%2Fbcsj.62.2948&amp;token=WzMwNzc5NzksIjEwLjEyNDYvYmNzai42Mi4yOTQ4Il0.fwEjoo0i-vwEu5JwCoYiouWuwdE" TargetMode="External"/><Relationship Id="rId4"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openxmlformats.org/officeDocument/2006/relationships/hyperlink" Target="javascript:;"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printerSettings" Target="../printerSettings/printerSettings6.bin"/><Relationship Id="rId5" Type="http://schemas.openxmlformats.org/officeDocument/2006/relationships/hyperlink" Target="javascript:;" TargetMode="External"/><Relationship Id="rId4" Type="http://schemas.openxmlformats.org/officeDocument/2006/relationships/hyperlink" Target="javascript:;"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pubs.acs.org/doi/pdf/10.1021/ja00775a053?casa_token=vKL9RoWKblIAAAAA:WbV0J8o6su44EPcduvhQCme5opyONP93ARlArYBwskzIlzG3EDJmYXPg-vrWdwJAHbq79jUkl-ssTv7vc1s"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javascript:;" TargetMode="External"/><Relationship Id="rId1" Type="http://schemas.openxmlformats.org/officeDocument/2006/relationships/hyperlink" Target="javascript:;"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s3-eu-west-1.amazonaws.com/itempdf74155353254prod/13386917/Oxidative_Ring_Expansion_of_Cyclobutanols__Access_to_Functionalized_1_2-Dioxanes_v1.pdf" TargetMode="External"/><Relationship Id="rId13" Type="http://schemas.openxmlformats.org/officeDocument/2006/relationships/hyperlink" Target="https://pubs.acs.org/doi/abs/10.1021/jo00269a042" TargetMode="External"/><Relationship Id="rId18" Type="http://schemas.openxmlformats.org/officeDocument/2006/relationships/hyperlink" Target="https://click.endnote.com/viewer?doi=10.1016%2Fj.tet.2010.10.076&amp;token=WzMwNzc5NzksIjEwLjEwMTYvai50ZXQuMjAxMC4xMC4wNzYiXQ.mhTDslg77EM09I4VOXaAQBCBwcg" TargetMode="External"/><Relationship Id="rId26" Type="http://schemas.openxmlformats.org/officeDocument/2006/relationships/hyperlink" Target="https://click.endnote.com/viewer?doi=10.1134%2Fs1070428015090067&amp;token=WzMwNzc5NzksIjEwLjExMzQvczEwNzA0MjgwMTUwOTAwNjciXQ.vurDweKal7Oi7HcNCP9h-kX7TNU" TargetMode="External"/><Relationship Id="rId39" Type="http://schemas.openxmlformats.org/officeDocument/2006/relationships/hyperlink" Target="https://pubs.acs.org/doi/pdf/10.1021/jo00008a070?casa_token=Ko5wjknUj9QAAAAA:4brs74VUP4ohAjdQomU7RR3E4v5MHnehbasq4fLIiHZuCw_2F7HHmecQGFINeJWvBpGwVoydPS7A3aVSeaI" TargetMode="External"/><Relationship Id="rId3" Type="http://schemas.openxmlformats.org/officeDocument/2006/relationships/hyperlink" Target="https://click.endnote.com/viewer?doi=10.1016%2F0040-4039%2895%2900806-n&amp;token=WzMwNzc5NzksIjEwLjEwMTYvMDA0MC00MDM5KDk1KTAwODA2LW4iXQ.MIk7RVwoFOUZclBEfBuVmsXVckg" TargetMode="External"/><Relationship Id="rId21" Type="http://schemas.openxmlformats.org/officeDocument/2006/relationships/hyperlink" Target="https://click.endnote.com/viewer?doi=10.1007%2Fs00044-016-1573-3&amp;token=WzMwNzc5NzksIjEwLjEwMDcvczAwMDQ0LTAxNi0xNTczLTMiXQ.koctvDIq1HlKLYkUqVZCGyWAO40" TargetMode="External"/><Relationship Id="rId34" Type="http://schemas.openxmlformats.org/officeDocument/2006/relationships/hyperlink" Target="https://pubs.acs.org/doi/suppl/10.1021/acs.orglett.1c03137/suppl_file/ol1c03137_si_001.pdf" TargetMode="External"/><Relationship Id="rId7" Type="http://schemas.openxmlformats.org/officeDocument/2006/relationships/hyperlink" Target="https://pubs.rsc.org/en/content/articlelanding/2018/OB/C8OB02480D" TargetMode="External"/><Relationship Id="rId12" Type="http://schemas.openxmlformats.org/officeDocument/2006/relationships/hyperlink" Target="https://onlinelibrary.wiley.com/doi/abs/10.1002/adsc.201500801?casa_token=8aVWMRepqPYAAAAA:9KVqpXFsKAlQcsmCAsIYPQmjTVXOPX1PIPTZyelPTyCjexF6IsCwEEV1P7gkd-ycg7KuJ_5afkJXeeey_g" TargetMode="External"/><Relationship Id="rId17" Type="http://schemas.openxmlformats.org/officeDocument/2006/relationships/hyperlink" Target="https://click.endnote.com/viewer?doi=10.1016%2Fj.tet.2010.10.076&amp;token=WzMwNzc5NzksIjEwLjEwMTYvai50ZXQuMjAxMC4xMC4wNzYiXQ.mhTDslg77EM09I4VOXaAQBCBwcg" TargetMode="External"/><Relationship Id="rId25" Type="http://schemas.openxmlformats.org/officeDocument/2006/relationships/hyperlink" Target="https://click.endnote.com/viewer?doi=10.1016%2Fs0040-4039%2800%2960697-4&amp;token=WzMwNzc5NzksIjEwLjEwMTYvczAwNDAtNDAzOSgwMCk2MDY5Ny00Il0.98DM0DOBdcyofSkKED4PvLrp8oU" TargetMode="External"/><Relationship Id="rId33" Type="http://schemas.openxmlformats.org/officeDocument/2006/relationships/hyperlink" Target="https://onlinelibrary.wiley.com/doi/abs/10.1002/0471264180.or034.01" TargetMode="External"/><Relationship Id="rId38" Type="http://schemas.openxmlformats.org/officeDocument/2006/relationships/hyperlink" Target="https://s3-eu-west-1.amazonaws.com/itempdf74155353254prod/13386917/Oxidative_Ring_Expansion_of_Cyclobutanols__Access_to_Functionalized_1_2-Dioxanes_v1.pdf" TargetMode="External"/><Relationship Id="rId2" Type="http://schemas.openxmlformats.org/officeDocument/2006/relationships/hyperlink" Target="https://pubs.acs.org/doi/abs/10.1021/jo00269a042" TargetMode="External"/><Relationship Id="rId16" Type="http://schemas.openxmlformats.org/officeDocument/2006/relationships/hyperlink" Target="https://www.sciencedirect.com/science/article/pii/S0040402004012529?via%3Dihub" TargetMode="External"/><Relationship Id="rId20" Type="http://schemas.openxmlformats.org/officeDocument/2006/relationships/hyperlink" Target="https://click.endnote.com/viewer?doi=10.1016%2Fj.tet.2010.10.076&amp;token=WzMwNzc5NzksIjEwLjEwMTYvai50ZXQuMjAxMC4xMC4wNzYiXQ.mhTDslg77EM09I4VOXaAQBCBwcg" TargetMode="External"/><Relationship Id="rId29" Type="http://schemas.openxmlformats.org/officeDocument/2006/relationships/hyperlink" Target="https://click.endnote.com/viewer?doi=10.1002/adsc.202100809&amp;route=6" TargetMode="External"/><Relationship Id="rId41" Type="http://schemas.openxmlformats.org/officeDocument/2006/relationships/printerSettings" Target="../printerSettings/printerSettings3.bin"/><Relationship Id="rId1" Type="http://schemas.openxmlformats.org/officeDocument/2006/relationships/hyperlink" Target="https://doi.org/10.1590/s0100-40422010001000042" TargetMode="External"/><Relationship Id="rId6" Type="http://schemas.openxmlformats.org/officeDocument/2006/relationships/hyperlink" Target="https://click.endnote.com/viewer?doi=10.1021%2Facscatal.7b04001&amp;token=WzMwNzc5NzksIjEwLjEwMjEvYWNzY2F0YWwuN2IwNDAwMSJd.pszhjNa9Avuswr7SV3W-myIB83g" TargetMode="External"/><Relationship Id="rId11" Type="http://schemas.openxmlformats.org/officeDocument/2006/relationships/hyperlink" Target="https://www.sciencedirect.com/science/article/pii/S0040403910022501?via%3Dihub" TargetMode="External"/><Relationship Id="rId24" Type="http://schemas.openxmlformats.org/officeDocument/2006/relationships/hyperlink" Target="https://click.endnote.com/viewer?doi=10.1016%2Fs0040-4039%2800%2960697-4&amp;token=WzMwNzc5NzksIjEwLjEwMTYvczAwNDAtNDAzOSgwMCk2MDY5Ny00Il0.98DM0DOBdcyofSkKED4PvLrp8oU" TargetMode="External"/><Relationship Id="rId32" Type="http://schemas.openxmlformats.org/officeDocument/2006/relationships/hyperlink" Target="https://click.endnote.com/viewer?doi=10.1021%2Facs.orglett.6b00025&amp;token=WzMwNzc5NzksIjEwLjEwMjEvYWNzLm9yZ2xldHQuNmIwMDAyNSJd.Tlmq4YzU3jGmg1rBPoHDTbCW4l4" TargetMode="External"/><Relationship Id="rId37" Type="http://schemas.openxmlformats.org/officeDocument/2006/relationships/hyperlink" Target="https://pubs.acs.org/doi/pdf/10.1021/np030354e" TargetMode="External"/><Relationship Id="rId40" Type="http://schemas.openxmlformats.org/officeDocument/2006/relationships/hyperlink" Target="https://scifinder.cas.org/scifinder/view/scifinder/scifinderExplore.jsf?sfow_newpage=/scifinder/view/reaction/reactionList.jsf&amp;nav=eNpb85aBtYSBMbGEQcXC0MDR2cLSJcLCzM3Y1MDSIsLY2dHA2NjR0cjN1M3ExdHNwASoNKm4iEEwK7EsUS8nMS9dzzOvJDU9tUjo0YIl3xvbLZgYGD0ZWMsSc0pTK4oYBBDq_Epzk1KL2tZMleWe8qCbiYGhooCBgYEJaGBGCQN7kKuju6tfCJCXX1zIUMfADJRjLGFgKipDtc0pPz8nNTHvrEJRw9U5v94BbYuC2VbAAACgiD1h" TargetMode="External"/><Relationship Id="rId5" Type="http://schemas.openxmlformats.org/officeDocument/2006/relationships/hyperlink" Target="https://pubs.rsc.org/en/content/articlelanding/2018/OB/C8OB00368H" TargetMode="External"/><Relationship Id="rId15" Type="http://schemas.openxmlformats.org/officeDocument/2006/relationships/hyperlink" Target="https://pubs.acs.org/doi/abs/10.1021/jo00269a042" TargetMode="External"/><Relationship Id="rId23" Type="http://schemas.openxmlformats.org/officeDocument/2006/relationships/hyperlink" Target="https://click.endnote.com/viewer?doi=10.1016%2Fs0040-4039%2800%2960697-4&amp;token=WzMwNzc5NzksIjEwLjEwMTYvczAwNDAtNDAzOSgwMCk2MDY5Ny00Il0.98DM0DOBdcyofSkKED4PvLrp8oU" TargetMode="External"/><Relationship Id="rId28" Type="http://schemas.openxmlformats.org/officeDocument/2006/relationships/hyperlink" Target="https://click.endnote.com/viewer?doi=10.1002/adsc.202100809&amp;route=6" TargetMode="External"/><Relationship Id="rId36" Type="http://schemas.openxmlformats.org/officeDocument/2006/relationships/hyperlink" Target="https://doi.org/10.1590/s0100-40422010001000042" TargetMode="External"/><Relationship Id="rId10" Type="http://schemas.openxmlformats.org/officeDocument/2006/relationships/hyperlink" Target="https://chemistry-europe.onlinelibrary.wiley.com/action/downloadSupplement?doi=10.1002%2Fejoc.201800118&amp;file=ejoc201800118-sup-0001-SupMat.pdf" TargetMode="External"/><Relationship Id="rId19" Type="http://schemas.openxmlformats.org/officeDocument/2006/relationships/hyperlink" Target="https://click.endnote.com/viewer?doi=10.1016%2Fj.tet.2010.10.076&amp;token=WzMwNzc5NzksIjEwLjEwMTYvai50ZXQuMjAxMC4xMC4wNzYiXQ.mhTDslg77EM09I4VOXaAQBCBwcg" TargetMode="External"/><Relationship Id="rId31" Type="http://schemas.openxmlformats.org/officeDocument/2006/relationships/hyperlink" Target="https://click.endnote.com/viewer?doi=10.1246%2Fbcsj.58.1601&amp;token=WzMwNzc5NzksIjEwLjEyNDYvYmNzai41OC4xNjAxIl0.WPQutF1wDvmuKXfvk1banpLQi9o" TargetMode="External"/><Relationship Id="rId4" Type="http://schemas.openxmlformats.org/officeDocument/2006/relationships/hyperlink" Target="https://scifinder.cas.org/scifinder/view/scifinder/scifinderExplore.jsf?sfow_newpage=/scifinder/view/reaction/reactionList.jsf&amp;nav=eNpb85aBtYSBMbGEQcXC0MDR2cLSJcLCzM3Y1MDSIsLY2dHA2NjR0cjN1M3ExdHNwASoNKm4iEEwK7EsUS8nMS9dzzOvJDU9tUjo0YIl3xvbLZgYGD0ZWMsSc0pTK4oYBBDq_Epzk1KL2tZMleWe8qCbiYGhooCBgYEJaGBGCQN7kKuju6tfCJCXX1zIUMfADJRjLGFgKipDtc0pPz8nNTHvrEJRw9U5v94BbYuC2VbAAACgiD1h" TargetMode="External"/><Relationship Id="rId9" Type="http://schemas.openxmlformats.org/officeDocument/2006/relationships/hyperlink" Target="https://s3-eu-west-1.amazonaws.com/itempdf74155353254prod/13386917/Oxidative_Ring_Expansion_of_Cyclobutanols__Access_to_Functionalized_1_2-Dioxanes_v1.pdf" TargetMode="External"/><Relationship Id="rId14" Type="http://schemas.openxmlformats.org/officeDocument/2006/relationships/hyperlink" Target="https://pubs.acs.org/doi/abs/10.1021/jo00269a042" TargetMode="External"/><Relationship Id="rId22" Type="http://schemas.openxmlformats.org/officeDocument/2006/relationships/hyperlink" Target="https://click.endnote.com/viewer?doi=10.1016%2Fs0040-4039%2802%2900320-9&amp;token=WzMwNzc5NzksIjEwLjEwMTYvczAwNDAtNDAzOSgwMikwMDMyMC05Il0.4SH4eLupp6RI6NJK6DjgnVT0lF4" TargetMode="External"/><Relationship Id="rId27" Type="http://schemas.openxmlformats.org/officeDocument/2006/relationships/hyperlink" Target="https://www.publish.csiro.au/ch/CH9870523" TargetMode="External"/><Relationship Id="rId30" Type="http://schemas.openxmlformats.org/officeDocument/2006/relationships/hyperlink" Target="https://click.endnote.com/viewer?doi=10.1246%2Fbcsj.58.1601&amp;token=WzMwNzc5NzksIjEwLjEyNDYvYmNzai41OC4xNjAxIl0.WPQutF1wDvmuKXfvk1banpLQi9o" TargetMode="External"/><Relationship Id="rId35" Type="http://schemas.openxmlformats.org/officeDocument/2006/relationships/hyperlink" Target="https://click.endnote.com/viewer?doi=10.1016%2Fs0040-4039%2801%2901929-3&amp;token=WzMwNzc5NzksIjEwLjEwMTYvczAwNDAtNDAzOSgwMSkwMTkyOS0zIl0.x7y0D9t8__7JVrjC9dKeLfaiZ9M"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3" Type="http://schemas.openxmlformats.org/officeDocument/2006/relationships/hyperlink" Target="https://doi.org/10.1590/s0100-40422010001000042" TargetMode="External"/><Relationship Id="rId18" Type="http://schemas.openxmlformats.org/officeDocument/2006/relationships/hyperlink" Target="https://scifinder.cas.org/scifinder/view/scifinder/scifinderExplore.jsf?sfow_newpage=/scifinder/view/reaction/reactionList.jsf&amp;nav=eNpb85aBtYSBMbGEQcXSycjc0tXMLcLCzM3Y1MDSJMLM1NXCws3E3MjcxdHF2cXU1QCoNKm4iEEwK7EsUS8nMS9dzzOvJDU9tUjo0YIl3xvbLZgYGD0ZWMsSc0pTK4oYBBDq_Epzk1KL2tZMleWe8qCbiYGhooCBgYENaGBGCQN7kKuju6tfCJCXX1zIUMfADJRjLGFgKipDtc0pPz8nNTHvrEJRw9U5v94BbYuC2VbAAACxhj18" TargetMode="External"/><Relationship Id="rId26" Type="http://schemas.openxmlformats.org/officeDocument/2006/relationships/hyperlink" Target="https://click.endnote.com/viewer?doi=10.1016%2Fs0040-4039%2803%2901681-2&amp;token=WzMwNzc5NzksIjEwLjEwMTYvczAwNDAtNDAzOSgwMykwMTY4MS0yIl0.4TEHsqt9ljrPnl1TgFognQVtTiE" TargetMode="External"/><Relationship Id="rId39" Type="http://schemas.openxmlformats.org/officeDocument/2006/relationships/hyperlink" Target="https://click.endnote.com/viewer?doi=10.1002%2Fadsc.201500801&amp;token=WzMwNzc5NzksIjEwLjEwMDIvYWRzYy4yMDE1MDA4MDEiXQ.sn01Y7RymjmyrogB1P4mwZBvIP0" TargetMode="External"/><Relationship Id="rId21" Type="http://schemas.openxmlformats.org/officeDocument/2006/relationships/hyperlink" Target="https://www.thieme-connect.de/products/ejournals/abstract/10.1055/s-1999-3100" TargetMode="External"/><Relationship Id="rId34" Type="http://schemas.openxmlformats.org/officeDocument/2006/relationships/hyperlink" Target="https://scifinder.cas.org/scifinder/view/scifinder/scifinderExplore.jsf" TargetMode="External"/><Relationship Id="rId42" Type="http://schemas.openxmlformats.org/officeDocument/2006/relationships/hyperlink" Target="https://click.endnote.com/viewer?doi=10.1016%2Fj.tet.2010.10.076&amp;token=WzMwNzc5NzksIjEwLjEwMTYvai50ZXQuMjAxMC4xMC4wNzYiXQ.mhTDslg77EM09I4VOXaAQBCBwcg" TargetMode="External"/><Relationship Id="rId47" Type="http://schemas.openxmlformats.org/officeDocument/2006/relationships/hyperlink" Target="https://scifinder-n.cas.org/searchDetail/reaction/61319f3ab914160d7af6ebc1/reactionDetails" TargetMode="External"/><Relationship Id="rId50" Type="http://schemas.openxmlformats.org/officeDocument/2006/relationships/hyperlink" Target="https://click.endnote.com/viewer?doi=10.1016%2Fs0040-4039%2801%2902291-2&amp;token=WzMwNzc5NzksIjEwLjEwMTYvczAwNDAtNDAzOSgwMSkwMjI5MS0yIl0.kpf8AKZUuxgTYJygv7deNMDZUFo" TargetMode="External"/><Relationship Id="rId55" Type="http://schemas.openxmlformats.org/officeDocument/2006/relationships/hyperlink" Target="https://www.sciencedirect.com/science/article/pii/S0040402004012529?via%3Dihub" TargetMode="External"/><Relationship Id="rId63" Type="http://schemas.openxmlformats.org/officeDocument/2006/relationships/hyperlink" Target="https://www.sciencedirect.com/science/article/pii/S0040402004012529?via%3Dihub" TargetMode="External"/><Relationship Id="rId7" Type="http://schemas.openxmlformats.org/officeDocument/2006/relationships/hyperlink" Target="https://pubs.rsc.org/en/content/articlelanding/1992/C3/C39920001711" TargetMode="External"/><Relationship Id="rId2" Type="http://schemas.openxmlformats.org/officeDocument/2006/relationships/hyperlink" Target="https://click.endnote.com/viewer?doi=10.1016%2Fs0040-4039%2801%2902291-2&amp;token=WzMwNzc5NzksIjEwLjEwMTYvczAwNDAtNDAzOSgwMSkwMjI5MS0yIl0.kpf8AKZUuxgTYJygv7deNMDZUFo" TargetMode="External"/><Relationship Id="rId16" Type="http://schemas.openxmlformats.org/officeDocument/2006/relationships/hyperlink" Target="https://scifinder.cas.org/scifinder/view/scifinder/scifinderExplore.jsf?sfow_newpage=/scifinder/view/reaction/reactionList.jsf&amp;nav=eNpb85aBtYSBMbGEQcXSydDR1NLCKcLCzM3Y1MDSJMLQydzc0NANKO7s6mZiaOpkAFSaVFzEIJiVWJaol5OYl67nmVeSmp5aJPRowZLvje0WTAyMngysZYk5pakVRQwCCHV-pblJqUVta6bKck950M3EwFBRwMDAwAQ0MKOEgT3I1dHd1S8EyMsvLmSoY2AGyjGWMDAVlaHa5pSfn5OamHdWoajh6pxf74C2RcFsK2AAAJdFPVI" TargetMode="External"/><Relationship Id="rId20" Type="http://schemas.openxmlformats.org/officeDocument/2006/relationships/hyperlink" Target="https://scifinder.cas.org/scifinder/view/scifinder/scifinderExplore.jsf?sfow_newpage=/scifinder/view/reaction/reactionList.jsf&amp;nav=eNpb85aBtYSBMbGEQcXSycjV3MTCMsLCzM3Y1MDSJMLIwsjA1M3Q2NjY0NTSxc3V0gioNKm4iEEwK7EsUS8nMS9dzzOvJDU9tUjo0YIl3xvbLZgYGD0ZWMsSc0pTK4oYBBDq_Epzk1KL2tZMleWe8qCbiYGhooCBgYELaGBGCQN7kKuju6tfCJCXX1zIUMfADJRjLGFgKipDtc0pPz8nNTHvrEJRw9U5v94BbYuC2VbAAAB2cj0m" TargetMode="External"/><Relationship Id="rId29" Type="http://schemas.openxmlformats.org/officeDocument/2006/relationships/hyperlink" Target="https://scifinder.cas.org/scifinder/view/scifinder/scifinderExplore.jsf" TargetMode="External"/><Relationship Id="rId41" Type="http://schemas.openxmlformats.org/officeDocument/2006/relationships/hyperlink" Target="https://click.endnote.com/viewer?doi=10.1016%2Fj.tet.2010.10.076&amp;token=WzMwNzc5NzksIjEwLjEwMTYvai50ZXQuMjAxMC4xMC4wNzYiXQ.mhTDslg77EM09I4VOXaAQBCBwcg" TargetMode="External"/><Relationship Id="rId54" Type="http://schemas.openxmlformats.org/officeDocument/2006/relationships/hyperlink" Target="https://scifinder.cas.org/scifinder/view/scifinder/scifinderExplore.jsf?sfow_newpage=/scifinder/view/reaction/reactionList.jsf&amp;nav=eNpb85aBtYSBMbGEQcXSydDR1NLCKcLCzM3Y1MDSJMLQydzc0NANKO7s6mZiaOpkAFSaVFzEIJiVWJaol5OYl67nmVeSmp5aJPRowZLvje0WTAyMngysZYk5pakVRQwCCHV-pblJqUVta6bKck950M3EwFBRwMDAwAQ0MKOEgT3I1dHd1S8EyMsvLmSoY2AGyjGWMDAVlaHa5pSfn5OamHdWoajh6pxf74C2RcFsK2AAAJdFPVI" TargetMode="External"/><Relationship Id="rId62" Type="http://schemas.openxmlformats.org/officeDocument/2006/relationships/hyperlink" Target="https://scifinder.cas.org/scifinder/view/scifinder/scifinderExplore.jsf?sfow_newpage=/scifinder/view/reaction/reactionList.jsf&amp;nav=eNpb85aBtYSBMbGEQcXSydDR1NLCKcLCzM3Y1MDSJMLQydzc0NANKO7s6mZiaOpkAFSaVFzEIJiVWJaol5OYl67nmVeSmp5aJPRowZLvje0WTAyMngysZYk5pakVRQwCCHV-pblJqUVta6bKck950M3EwFBRwMDAwAQ0MKOEgT3I1dHd1S8EyMsvLmSoY2AGyjGWMDAVlaHa5pSfn5OamHdWoajh6pxf74C2RcFsK2AAAJdFPVI" TargetMode="External"/><Relationship Id="rId1" Type="http://schemas.openxmlformats.org/officeDocument/2006/relationships/hyperlink" Target="https://scifinder-n.cas.org/searchDetail/reaction/6124578df8e9303de646c3fb/reactionDetails" TargetMode="External"/><Relationship Id="rId6" Type="http://schemas.openxmlformats.org/officeDocument/2006/relationships/hyperlink" Target="https://scifinder-n.cas.org/searchDetail/reaction/6125b22e61c4c4309f24a300/reactionDetails" TargetMode="External"/><Relationship Id="rId11" Type="http://schemas.openxmlformats.org/officeDocument/2006/relationships/hyperlink" Target="https://scifinder.cas.org/scifinder/view/scifinder/scifinderExplore.jsf?sfow_newpage=/scifinder/view/reaction/reactionList.jsf&amp;nav=eNpb85aBtYSBMbGEQcXc2cXRwsnMOMLCzM3Y1NDEKcLE0cTR0c3C2NDN0cLR1NDI2RyoNKm4iEEwK7EsUS8nMS9dzzOvJDU9tUjo0YIl3xvbLZgYGD0ZWMsSc0pTK4oYBBDq_Epzk1KL2tZMleWe8qCbiYGhooCBgYEXaGBGCQN7kKuju6tfCJCXX1zIUMfADJRjLGFgKipDtc0pPz8nNTHvrEJRw9U5v94BbYuC2VbAAACxHT18" TargetMode="External"/><Relationship Id="rId24" Type="http://schemas.openxmlformats.org/officeDocument/2006/relationships/hyperlink" Target="https://click.endnote.com/viewer?doi=10.1016%2Fs0040-4039%2803%2901681-2&amp;token=WzMwNzc5NzksIjEwLjEwMTYvczAwNDAtNDAzOSgwMykwMTY4MS0yIl0.4TEHsqt9ljrPnl1TgFognQVtTiE" TargetMode="External"/><Relationship Id="rId32" Type="http://schemas.openxmlformats.org/officeDocument/2006/relationships/hyperlink" Target="https://click.endnote.com/viewer?doi=10.1002/adsc.201500801&amp;route=2" TargetMode="External"/><Relationship Id="rId37" Type="http://schemas.openxmlformats.org/officeDocument/2006/relationships/hyperlink" Target="https://scifinder.cas.org/scifinder/view/scifinder/scifinderExplore.jsf?sfow_newpage=/scifinder/view/reaction/reactionList.jsf&amp;nav=eNpb85aBtYSBMbGEQcXS1cXc3MDAOcLCzM3Y1MDSJMLU0NnExcnS0sjQxNXQ0dzF0BmoNKm4iEEwK7EsUS8nMS9dzzOvJDU9tUjo0YIl3xvbLZgYGD0ZWMsSc0pTK4oYBBDq_Epzk1KL2tZMleWe8qCbiYGhooCBgYENaGBGCQN7kKuju6tfCJCXX1zIUMfADJRjLGFgKipDtc0pPz8nNTHvrEJRw9U5v94BbYuC2VbAAACTxj1P" TargetMode="External"/><Relationship Id="rId40" Type="http://schemas.openxmlformats.org/officeDocument/2006/relationships/hyperlink" Target="https://click.endnote.com/viewer?doi=10.1016%2Fj.tet.2010.10.076&amp;token=WzMwNzc5NzksIjEwLjEwMTYvai50ZXQuMjAxMC4xMC4wNzYiXQ.mhTDslg77EM09I4VOXaAQBCBwcg" TargetMode="External"/><Relationship Id="rId45" Type="http://schemas.openxmlformats.org/officeDocument/2006/relationships/hyperlink" Target="https://scifinder.cas.org/scifinder/view/scifinder/scifinderExplore.jsf?sfow_newpage=/scifinder/view/reaction/reactionList.jsf&amp;nav=eNpb85aBtYSBMbGEQcXS1cXFzdnZPMLCzM3Y1MDSJMLMwMDJ0czUwtjA2czFxcTIwhmoNKm4iEEwK7EsUS8nMS9dzzOvJDU9tUjo0YIl3xvbLZgYGD0ZWMsSc0pTK4oYBBDq_Epzk1KL2tZMleWe8qCbiYGhooCBgYELaGBGCQN7kKuju6tfCJCXX1zIUMfADJRjLGFgKipDtc0pPz8nNTHvrEJRw9U5v94BbYuC2VbAAACxYj14" TargetMode="External"/><Relationship Id="rId53" Type="http://schemas.openxmlformats.org/officeDocument/2006/relationships/hyperlink" Target="https://pubs.acs.org/doi/abs/10.1021/jo00269a042" TargetMode="External"/><Relationship Id="rId58" Type="http://schemas.openxmlformats.org/officeDocument/2006/relationships/hyperlink" Target="https://scifinder.cas.org/scifinder/view/scifinder/scifinderExplore.jsf?sfow_newpage=/scifinder/view/reaction/reactionList.jsf&amp;nav=eNpb85aBtYSBMbGEQcXSydDR1NLCKcLCzM3Y1MDSJMLQydzc0NANKO7s6mZiaOpkAFSaVFzEIJiVWJaol5OYl67nmVeSmp5aJPRowZLvje0WTAyMngysZYk5pakVRQwCCHV-pblJqUVta6bKck950M3EwFBRwMDAwAQ0MKOEgT3I1dHd1S8EyMsvLmSoY2AGyjGWMDAVlaHa5pSfn5OamHdWoajh6pxf74C2RcFsK2AAAJdFPVI" TargetMode="External"/><Relationship Id="rId5" Type="http://schemas.openxmlformats.org/officeDocument/2006/relationships/hyperlink" Target="https://click.endnote.com/viewer?doi=10.1021%2Facscatal.7b04001&amp;token=WzMwNzc5NzksIjEwLjEwMjEvYWNzY2F0YWwuN2IwNDAwMSJd.pszhjNa9Avuswr7SV3W-myIB83g" TargetMode="External"/><Relationship Id="rId15" Type="http://schemas.openxmlformats.org/officeDocument/2006/relationships/hyperlink" Target="https://click.endnote.com/viewer?doi=10.1007%2Fs00044-016-1573-3&amp;token=WzMwNzc5NzksIjEwLjEwMDcvczAwMDQ0LTAxNi0xNTczLTMiXQ.koctvDIq1HlKLYkUqVZCGyWAO40" TargetMode="External"/><Relationship Id="rId23" Type="http://schemas.openxmlformats.org/officeDocument/2006/relationships/hyperlink" Target="https://scifinder.cas.org/scifinder/view/scifinder/scifinderExplore.jsf?sfow_newpage=/scifinder/view/reaction/reactionList.jsf&amp;nav=eNpb85aBtYSBMbGEQcXS2dLAwNzVMsLCzM3Y1MDSJMLEwsnUyNHV3NDNydDSwMLZ0hWoNKm4iEEwK7EsUS8nMS9dzzOvJDU9tUjo0YIl3xvbLZgYGD0ZWMsSc0pTK4oYBBDq_Epzk1KL2tZMleWe8qCbiYGhooCBgYEJaGBGCQN7kKuju6tfCJCXX1zIUMfADJRjLGFgKipDtc0pPz8nNTHvrEJRw9U5v94BbYuC2VbAAACTbT1O" TargetMode="External"/><Relationship Id="rId28" Type="http://schemas.openxmlformats.org/officeDocument/2006/relationships/hyperlink" Target="https://click.endnote.com/viewer?doi=10.1002/adsc.201500801&amp;route=2" TargetMode="External"/><Relationship Id="rId36" Type="http://schemas.openxmlformats.org/officeDocument/2006/relationships/hyperlink" Target="https://pubs.rsc.org/en/content/articlelanding/2018/OB/C8OB02480D" TargetMode="External"/><Relationship Id="rId49" Type="http://schemas.openxmlformats.org/officeDocument/2006/relationships/hyperlink" Target="https://scifinder-n.cas.org/searchDetail/reaction/6131bc00b914160d7af710e7/reactionDetails" TargetMode="External"/><Relationship Id="rId57" Type="http://schemas.openxmlformats.org/officeDocument/2006/relationships/hyperlink" Target="https://www.sciencedirect.com/science/article/pii/S0040402004012529?via%3Dihub" TargetMode="External"/><Relationship Id="rId61" Type="http://schemas.openxmlformats.org/officeDocument/2006/relationships/hyperlink" Target="https://www.sciencedirect.com/science/article/pii/S0040402004012529?via%3Dihub" TargetMode="External"/><Relationship Id="rId10" Type="http://schemas.openxmlformats.org/officeDocument/2006/relationships/hyperlink" Target="https://pubs.rsc.org/en/content/articlelanding/2018/OB/C8OB00368H" TargetMode="External"/><Relationship Id="rId19" Type="http://schemas.openxmlformats.org/officeDocument/2006/relationships/hyperlink" Target="https://click.endnote.com/viewer?doi=10.1016%2Fs0040-4039%2803%2901681-2&amp;token=WzMwNzc5NzksIjEwLjEwMTYvczAwNDAtNDAzOSgwMykwMTY4MS0yIl0.4TEHsqt9ljrPnl1TgFognQVtTiE" TargetMode="External"/><Relationship Id="rId31" Type="http://schemas.openxmlformats.org/officeDocument/2006/relationships/hyperlink" Target="https://click.endnote.com/viewer?doi=10.1002/adsc.201500801&amp;route=2" TargetMode="External"/><Relationship Id="rId44" Type="http://schemas.openxmlformats.org/officeDocument/2006/relationships/hyperlink" Target="https://pubs.acs.org/doi/pdf/10.1021/jo970600p" TargetMode="External"/><Relationship Id="rId52" Type="http://schemas.openxmlformats.org/officeDocument/2006/relationships/hyperlink" Target="https://scifinder.cas.org/scifinder/view/scifinder/scifinderExplore.jsf?sfow_newpage=/scifinder/view/reaction/reactionList.jsf&amp;nav=eNpb85aBtYSBMbGEQcXc2cXRwsnMOMLCzM3Y1NDEKcLE0cTR0c3C2NDN0cLR1NDI2RyoNKm4iEEwK7EsUS8nMS9dzzOvJDU9tUjo0YIl3xvbLZgYGD0ZWMsSc0pTK4oYBBDq_Epzk1KL2tZMleWe8qCbiYGhooCBgYEXaGBGCQN7kKuju6tfCJCXX1zIUMfADJRjLGFgKipDtc0pPz8nNTHvrEJRw9U5v94BbYuC2VbAAACxHT18" TargetMode="External"/><Relationship Id="rId60" Type="http://schemas.openxmlformats.org/officeDocument/2006/relationships/hyperlink" Target="https://scifinder.cas.org/scifinder/view/scifinder/scifinderExplore.jsf?sfow_newpage=/scifinder/view/reaction/reactionList.jsf&amp;nav=eNpb85aBtYSBMbGEQcXSydDR1NLCKcLCzM3Y1MDSJMLQydzc0NANKO7s6mZiaOpkAFSaVFzEIJiVWJaol5OYl67nmVeSmp5aJPRowZLvje0WTAyMngysZYk5pakVRQwCCHV-pblJqUVta6bKck950M3EwFBRwMDAwAQ0MKOEgT3I1dHd1S8EyMsvLmSoY2AGyjGWMDAVlaHa5pSfn5OamHdWoajh6pxf74C2RcFsK2AAAJdFPVI" TargetMode="External"/><Relationship Id="rId4" Type="http://schemas.openxmlformats.org/officeDocument/2006/relationships/hyperlink" Target="https://scifinder.cas.org/scifinder/view/scifinder/scifinderExplore.jsf?sfow_newpage=/scifinder/view/reaction/reactionList.jsf&amp;nav=eNpb85aBtYSBMbGEQcXcycjVzcTUJMLCzM3Y1NDEKcLU0sLN0cDY2cjS1djYwtLAwhioNKm4iEEwK7EsUS8nMS9dzzOvJDU9tUjo0YIl3xvbLZgYGD0ZWMsSc0pTK4oYBBDq_Epzk1KL2tZMleWe8qCbiYGhooCBgYEbaGBGCQN7kKuju6tfCJCXX1zIUMfADJRjLGFgKipDtc0pPz8nNTHvrEJRw9U5v94BbYuC2VbAAACKUD1B" TargetMode="External"/><Relationship Id="rId9" Type="http://schemas.openxmlformats.org/officeDocument/2006/relationships/hyperlink" Target="https://scifinder.cas.org/scifinder/view/scifinder/scifinderExplore.jsf?sfow_newpage=/scifinder/view/reaction/reactionList.jsf&amp;nav=eNpb85aBtYSBMbGEQcXc2cXM0NHCOMLCzM3Y1NDEKcLcwtgQKOJiYmnsZGFs4GRiAlSaVFzEIJiVWJaol5OYl67nmVeSmp5aJPRowZLvje0WTAyMngysZYk5pakVRQwCCHV-pblJqUVta6bKck950M3EwFBRwMDAwAk0MKOEgT3I1dHd1S8EyMsvLmSoY2AGyjGWMDAVlaHa5pSfn5OamHdWoajh6pxf74C2RcFsK2AAAH8UPTA" TargetMode="External"/><Relationship Id="rId14" Type="http://schemas.openxmlformats.org/officeDocument/2006/relationships/hyperlink" Target="https://scifinder.cas.org/scifinder/view/scifinder/scifinderExplore.jsf?sfow_newpage=/scifinder/view/reaction/reactionList.jsf&amp;nav=eNpb85aBtYSBMbGEQcXC0MDR2cLSJcLCzM3Y1MDSIsLY2dHA2NjR0cjN1M3ExdHNwASoNKm4iEEwK7EsUS8nMS9dzzOvJDU9tUjo0YIl3xvbLZgYGD0ZWMsSc0pTK4oYBBDq_Epzk1KL2tZMleWe8qCbiYGhooCBgYEJaGBGCQN7kKuju6tfCJCXX1zIUMfADJRjLGFgKipDtc0pPz8nNTHvrEJRw9U5v94BbYuC2VbAAACgiD1h" TargetMode="External"/><Relationship Id="rId22" Type="http://schemas.openxmlformats.org/officeDocument/2006/relationships/hyperlink" Target="https://scifinder-n.cas.org/searchDetail/reaction/61362041da91333062b2d351/reactionDetails" TargetMode="External"/><Relationship Id="rId27" Type="http://schemas.openxmlformats.org/officeDocument/2006/relationships/hyperlink" Target="https://scifinder-n.cas.org/searchDetail/reaction/613199bab914160d7af6e5d7/reactionDetails" TargetMode="External"/><Relationship Id="rId30" Type="http://schemas.openxmlformats.org/officeDocument/2006/relationships/hyperlink" Target="https://scifinder.cas.org/scifinder/view/scifinder/scifinderExplore.jsf" TargetMode="External"/><Relationship Id="rId35" Type="http://schemas.openxmlformats.org/officeDocument/2006/relationships/hyperlink" Target="https://scifinder.cas.org/scifinder/view/scifinder/scifinderExplore.jsf" TargetMode="External"/><Relationship Id="rId43" Type="http://schemas.openxmlformats.org/officeDocument/2006/relationships/hyperlink" Target="https://click.endnote.com/viewer?doi=10.1016%2Fj.tet.2010.10.076&amp;token=WzMwNzc5NzksIjEwLjEwMTYvai50ZXQuMjAxMC4xMC4wNzYiXQ.mhTDslg77EM09I4VOXaAQBCBwcg" TargetMode="External"/><Relationship Id="rId48" Type="http://schemas.openxmlformats.org/officeDocument/2006/relationships/hyperlink" Target="https://scifinder-n.cas.org/searchDetail/reaction/6131a1ffb914160d7af6ef4a/reactionDetails" TargetMode="External"/><Relationship Id="rId56" Type="http://schemas.openxmlformats.org/officeDocument/2006/relationships/hyperlink" Target="https://scifinder.cas.org/scifinder/view/scifinder/scifinderExplore.jsf?sfow_newpage=/scifinder/view/reaction/reactionList.jsf&amp;nav=eNpb85aBtYSBMbGEQcXSydDR1NLCKcLCzM3Y1MDSJMLQydzc0NANKO7s6mZiaOpkAFSaVFzEIJiVWJaol5OYl67nmVeSmp5aJPRowZLvje0WTAyMngysZYk5pakVRQwCCHV-pblJqUVta6bKck950M3EwFBRwMDAwAQ0MKOEgT3I1dHd1S8EyMsvLmSoY2AGyjGWMDAVlaHa5pSfn5OamHdWoajh6pxf74C2RcFsK2AAAJdFPVI" TargetMode="External"/><Relationship Id="rId64" Type="http://schemas.openxmlformats.org/officeDocument/2006/relationships/printerSettings" Target="../printerSettings/printerSettings4.bin"/><Relationship Id="rId8" Type="http://schemas.openxmlformats.org/officeDocument/2006/relationships/hyperlink" Target="https://scifinder.cas.org/scifinder/view/scifinder/scifinderExplore.jsf?sfow_newpage=/scifinder/view/reaction/reactionList.jsf&amp;nav=eNpb85aBtYSBMbGEQcXc2cXAxNncMsLCzM3Y1NDEKcLE0MLAyNnCxdjA3MnN2cDAzRioNKm4iEEwK7EsUS8nMS9dzzOvJDU9tUjo0YIl3xvbLZgYGD0ZWMsSc0pTK4oYBBDq_Epzk1KL2tZMleWe8qCbiYGhooCBgYEFaGBGCQN7kKuju6tfCJCXX1zIUMfADJRjLGFgKipDtc0pPz8nNTHvrEJRw9U5v94BbYuC2VbAAACMxT1D" TargetMode="External"/><Relationship Id="rId51" Type="http://schemas.openxmlformats.org/officeDocument/2006/relationships/hyperlink" Target="https://click.endnote.com/viewer?doi=10.1016%2Fs0040-4039%2801%2902291-2&amp;token=WzMwNzc5NzksIjEwLjEwMTYvczAwNDAtNDAzOSgwMSkwMjI5MS0yIl0.kpf8AKZUuxgTYJygv7deNMDZUFo" TargetMode="External"/><Relationship Id="rId3" Type="http://schemas.openxmlformats.org/officeDocument/2006/relationships/hyperlink" Target="https://click.endnote.com/viewer?doi=10.1016%2Fj.tet.2010.10.076&amp;token=WzMwNzc5NzksIjEwLjEwMTYvai50ZXQuMjAxMC4xMC4wNzYiXQ.mhTDslg77EM09I4VOXaAQBCBwcg" TargetMode="External"/><Relationship Id="rId12" Type="http://schemas.openxmlformats.org/officeDocument/2006/relationships/hyperlink" Target="https://pubs.acs.org/doi/abs/10.1021/jo00269a042" TargetMode="External"/><Relationship Id="rId17" Type="http://schemas.openxmlformats.org/officeDocument/2006/relationships/hyperlink" Target="https://www.sciencedirect.com/science/article/pii/S0040402004012529?via%3Dihub" TargetMode="External"/><Relationship Id="rId25" Type="http://schemas.openxmlformats.org/officeDocument/2006/relationships/hyperlink" Target="https://scifinder.cas.org/scifinder/view/scifinder/scifinderExplore.jsf?sfow_newpage=/scifinder/view/reaction/reactionList.jsf&amp;nav=eNpb85aBtYSBMbGEQcXSycjc0tXMLcLCzM3Y1MDSJMLM1NXCws3E3MjcxdHF2cXU1QCoNKm4iEEwK7EsUS8nMS9dzzOvJDU9tUjo0YIl3xvbLZgYGD0ZWMsSc0pTK4oYBBDq_Epzk1KL2tZMleWe8qCbiYGhooCBgYENaGBGCQN7kKuju6tfCJCXX1zIUMfADJRjLGFgKipDtc0pPz8nNTHvrEJRw9U5v94BbYuC2VbAAACxhj18" TargetMode="External"/><Relationship Id="rId33" Type="http://schemas.openxmlformats.org/officeDocument/2006/relationships/hyperlink" Target="https://click.endnote.com/viewer?doi=10.1002/adsc.201500801&amp;route=2" TargetMode="External"/><Relationship Id="rId38" Type="http://schemas.openxmlformats.org/officeDocument/2006/relationships/hyperlink" Target="https://click.endnote.com/viewer?doi=10.1016%2F0040-4039%2895%2900806-n&amp;token=WzMwNzc5NzksIjEwLjEwMTYvMDA0MC00MDM5KDk1KTAwODA2LW4iXQ.MIk7RVwoFOUZclBEfBuVmsXVckg" TargetMode="External"/><Relationship Id="rId46" Type="http://schemas.openxmlformats.org/officeDocument/2006/relationships/hyperlink" Target="https://doi.org/10.1590/s0100-40422010001000042" TargetMode="External"/><Relationship Id="rId59" Type="http://schemas.openxmlformats.org/officeDocument/2006/relationships/hyperlink" Target="https://www.sciencedirect.com/science/article/pii/S0040402004012529?via%3Di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8"/>
  <sheetViews>
    <sheetView zoomScale="55" zoomScaleNormal="55" workbookViewId="0">
      <pane ySplit="1" topLeftCell="A21" activePane="bottomLeft" state="frozen"/>
      <selection pane="bottomLeft" activeCell="Q34" sqref="Q34"/>
    </sheetView>
  </sheetViews>
  <sheetFormatPr defaultRowHeight="18"/>
  <cols>
    <col min="1" max="1" width="4.1640625" style="13" customWidth="1"/>
    <col min="2" max="2" width="3.83203125" style="13" customWidth="1"/>
    <col min="3" max="3" width="5.6640625" style="13" customWidth="1"/>
    <col min="4" max="4" width="7.75" style="13" customWidth="1"/>
    <col min="5" max="5" width="7" style="13" customWidth="1"/>
    <col min="6" max="6" width="6.4140625" style="13" customWidth="1"/>
    <col min="7" max="8" width="6.08203125" style="13" customWidth="1"/>
    <col min="9" max="10" width="9.33203125" style="13" customWidth="1"/>
    <col min="11" max="13" width="6.83203125" style="13" customWidth="1"/>
    <col min="14" max="21" width="8.6640625" style="13"/>
    <col min="22" max="22" width="6.58203125" style="13" customWidth="1"/>
    <col min="23" max="16384" width="8.6640625" style="13"/>
  </cols>
  <sheetData>
    <row r="1" spans="1:23" s="12" customFormat="1" ht="16.5">
      <c r="A1" s="12" t="s">
        <v>88</v>
      </c>
      <c r="B1" s="12" t="s">
        <v>38</v>
      </c>
      <c r="C1" s="12" t="s">
        <v>57</v>
      </c>
      <c r="D1" s="12" t="s">
        <v>58</v>
      </c>
      <c r="E1" s="12" t="s">
        <v>36</v>
      </c>
      <c r="F1" s="12" t="s">
        <v>12</v>
      </c>
      <c r="G1" s="12" t="s">
        <v>1</v>
      </c>
      <c r="H1" s="12" t="s">
        <v>3</v>
      </c>
      <c r="I1" s="12" t="s">
        <v>2</v>
      </c>
      <c r="J1" s="12" t="s">
        <v>238</v>
      </c>
      <c r="K1" s="12" t="s">
        <v>0</v>
      </c>
      <c r="L1" s="12" t="s">
        <v>189</v>
      </c>
      <c r="M1" s="12" t="s">
        <v>237</v>
      </c>
      <c r="N1" s="12" t="s">
        <v>94</v>
      </c>
      <c r="O1" s="12" t="s">
        <v>93</v>
      </c>
      <c r="P1" s="12" t="s">
        <v>236</v>
      </c>
      <c r="Q1" s="12" t="s">
        <v>135</v>
      </c>
      <c r="R1" s="12" t="s">
        <v>234</v>
      </c>
      <c r="S1" s="12" t="s">
        <v>89</v>
      </c>
      <c r="T1" s="12" t="s">
        <v>92</v>
      </c>
      <c r="U1" s="12" t="s">
        <v>126</v>
      </c>
      <c r="V1" s="12" t="s">
        <v>129</v>
      </c>
      <c r="W1" s="12" t="s">
        <v>147</v>
      </c>
    </row>
    <row r="2" spans="1:23" ht="17.5" customHeight="1">
      <c r="A2" s="13">
        <f t="shared" ref="A2:A48" si="0">ROW()-1</f>
        <v>1</v>
      </c>
      <c r="B2" s="13">
        <v>6</v>
      </c>
      <c r="E2" s="13" t="b">
        <v>1</v>
      </c>
      <c r="F2" s="13" t="b">
        <v>1</v>
      </c>
      <c r="G2" s="13" t="s">
        <v>22</v>
      </c>
      <c r="I2" s="13" t="s">
        <v>155</v>
      </c>
      <c r="K2" s="13">
        <v>39</v>
      </c>
      <c r="Q2" s="13" t="b">
        <v>1</v>
      </c>
      <c r="T2" s="13" t="s">
        <v>154</v>
      </c>
      <c r="U2" s="14" t="s">
        <v>151</v>
      </c>
      <c r="V2" s="14" t="s">
        <v>153</v>
      </c>
      <c r="W2" s="13" t="s">
        <v>152</v>
      </c>
    </row>
    <row r="3" spans="1:23" ht="17.5" customHeight="1">
      <c r="A3" s="13">
        <f t="shared" si="0"/>
        <v>2</v>
      </c>
      <c r="B3" s="13">
        <v>6</v>
      </c>
      <c r="E3" s="13" t="b">
        <v>1</v>
      </c>
      <c r="F3" s="13" t="b">
        <v>1</v>
      </c>
      <c r="G3" s="13" t="s">
        <v>13</v>
      </c>
      <c r="H3" s="13" t="s">
        <v>177</v>
      </c>
      <c r="I3" s="13" t="s">
        <v>168</v>
      </c>
      <c r="J3" s="13">
        <v>6.57</v>
      </c>
      <c r="K3" s="13">
        <v>14</v>
      </c>
      <c r="L3" s="13" t="s">
        <v>190</v>
      </c>
      <c r="M3" s="13">
        <f>26.43/6.57</f>
        <v>4.0228310502283104</v>
      </c>
      <c r="N3" s="13" t="s">
        <v>235</v>
      </c>
      <c r="O3" s="13" t="s">
        <v>166</v>
      </c>
      <c r="P3" s="13">
        <v>0.65700000000000003</v>
      </c>
      <c r="Q3" s="13" t="b">
        <v>1</v>
      </c>
      <c r="T3" s="13" t="s">
        <v>144</v>
      </c>
      <c r="V3" s="14" t="s">
        <v>167</v>
      </c>
      <c r="W3" s="13" t="s">
        <v>226</v>
      </c>
    </row>
    <row r="4" spans="1:23" ht="17.5" customHeight="1">
      <c r="A4" s="13">
        <f t="shared" si="0"/>
        <v>3</v>
      </c>
      <c r="B4" s="13">
        <v>6</v>
      </c>
      <c r="E4" s="13" t="b">
        <v>1</v>
      </c>
      <c r="F4" s="13" t="b">
        <v>0</v>
      </c>
      <c r="G4" s="13" t="s">
        <v>13</v>
      </c>
      <c r="H4" s="13" t="s">
        <v>177</v>
      </c>
      <c r="I4" s="13" t="s">
        <v>168</v>
      </c>
      <c r="J4" s="13">
        <v>6.57</v>
      </c>
      <c r="K4" s="13">
        <f>100*1/4</f>
        <v>25</v>
      </c>
      <c r="L4" s="13" t="s">
        <v>190</v>
      </c>
      <c r="M4" s="13">
        <f>26.43/6.57</f>
        <v>4.0228310502283104</v>
      </c>
      <c r="N4" s="13" t="s">
        <v>235</v>
      </c>
      <c r="O4" s="13" t="s">
        <v>227</v>
      </c>
      <c r="P4" s="13">
        <v>0.65700000000000003</v>
      </c>
      <c r="Q4" s="13" t="b">
        <v>1</v>
      </c>
      <c r="T4" s="13" t="s">
        <v>144</v>
      </c>
      <c r="V4" s="14" t="s">
        <v>167</v>
      </c>
      <c r="W4" s="13" t="s">
        <v>226</v>
      </c>
    </row>
    <row r="5" spans="1:23" ht="17.5" customHeight="1">
      <c r="A5" s="13">
        <f t="shared" si="0"/>
        <v>4</v>
      </c>
      <c r="B5" s="13">
        <v>6</v>
      </c>
      <c r="E5" s="13" t="b">
        <v>1</v>
      </c>
      <c r="F5" s="13" t="b">
        <v>1</v>
      </c>
      <c r="G5" s="13" t="s">
        <v>26</v>
      </c>
      <c r="I5" s="13" t="s">
        <v>27</v>
      </c>
      <c r="K5" s="13">
        <v>60</v>
      </c>
      <c r="Q5" s="13" t="b">
        <v>1</v>
      </c>
      <c r="T5" s="13" t="s">
        <v>164</v>
      </c>
      <c r="U5" s="14" t="s">
        <v>162</v>
      </c>
      <c r="V5" s="14" t="s">
        <v>163</v>
      </c>
    </row>
    <row r="6" spans="1:23" ht="17.5" customHeight="1">
      <c r="A6" s="13">
        <f t="shared" si="0"/>
        <v>5</v>
      </c>
      <c r="B6" s="13">
        <v>6</v>
      </c>
      <c r="F6" s="13" t="b">
        <v>1</v>
      </c>
      <c r="G6" s="13" t="s">
        <v>85</v>
      </c>
      <c r="I6" s="13" t="s">
        <v>84</v>
      </c>
      <c r="K6" s="13">
        <v>50</v>
      </c>
      <c r="Q6" s="13" t="b">
        <v>1</v>
      </c>
      <c r="T6" s="13" t="s">
        <v>181</v>
      </c>
      <c r="U6" s="14" t="s">
        <v>179</v>
      </c>
      <c r="V6" s="14" t="s">
        <v>180</v>
      </c>
      <c r="W6" s="13" t="s">
        <v>182</v>
      </c>
    </row>
    <row r="7" spans="1:23">
      <c r="A7" s="13">
        <f t="shared" si="0"/>
        <v>6</v>
      </c>
      <c r="B7" s="13">
        <v>5</v>
      </c>
      <c r="F7" s="13" t="b">
        <v>0</v>
      </c>
      <c r="H7" s="13" t="s">
        <v>131</v>
      </c>
      <c r="I7" s="13" t="s">
        <v>132</v>
      </c>
      <c r="K7" s="13">
        <v>4</v>
      </c>
      <c r="L7" s="13" t="s">
        <v>190</v>
      </c>
      <c r="N7" s="13" t="s">
        <v>133</v>
      </c>
      <c r="O7" s="13" t="s">
        <v>134</v>
      </c>
      <c r="Q7" s="13" t="b">
        <v>1</v>
      </c>
      <c r="S7" s="13" t="b">
        <v>0</v>
      </c>
      <c r="T7" s="13" t="s">
        <v>128</v>
      </c>
      <c r="U7" s="14" t="s">
        <v>240</v>
      </c>
      <c r="V7" s="14" t="s">
        <v>130</v>
      </c>
    </row>
    <row r="8" spans="1:23">
      <c r="A8" s="13">
        <f t="shared" si="0"/>
        <v>7</v>
      </c>
      <c r="B8" s="13">
        <v>7</v>
      </c>
      <c r="F8" s="13" t="b">
        <v>0</v>
      </c>
      <c r="K8" s="13">
        <v>21</v>
      </c>
      <c r="L8" s="13" t="s">
        <v>190</v>
      </c>
      <c r="Q8" s="13" t="b">
        <v>1</v>
      </c>
      <c r="S8" s="13" t="b">
        <v>0</v>
      </c>
      <c r="T8" s="13" t="s">
        <v>128</v>
      </c>
      <c r="U8" s="14"/>
      <c r="V8" s="14" t="s">
        <v>130</v>
      </c>
    </row>
    <row r="9" spans="1:23">
      <c r="A9" s="13">
        <f t="shared" si="0"/>
        <v>8</v>
      </c>
      <c r="B9" s="13">
        <v>7</v>
      </c>
      <c r="F9" s="13" t="b">
        <v>0</v>
      </c>
      <c r="K9" s="13">
        <v>43</v>
      </c>
      <c r="L9" s="13" t="s">
        <v>216</v>
      </c>
      <c r="Q9" s="13" t="b">
        <v>1</v>
      </c>
      <c r="S9" s="13" t="b">
        <v>0</v>
      </c>
      <c r="T9" s="13" t="s">
        <v>128</v>
      </c>
      <c r="U9" s="14"/>
      <c r="V9" s="14" t="s">
        <v>130</v>
      </c>
    </row>
    <row r="10" spans="1:23">
      <c r="A10" s="13">
        <f t="shared" si="0"/>
        <v>9</v>
      </c>
      <c r="B10" s="13" t="s">
        <v>60</v>
      </c>
      <c r="E10" s="13" t="s">
        <v>83</v>
      </c>
      <c r="F10" s="13" t="b">
        <v>1</v>
      </c>
      <c r="G10" s="13" t="s">
        <v>61</v>
      </c>
      <c r="I10" s="13" t="s">
        <v>82</v>
      </c>
      <c r="K10" s="13">
        <f>80/(80+12)*100</f>
        <v>86.956521739130437</v>
      </c>
      <c r="L10" s="13" t="s">
        <v>190</v>
      </c>
      <c r="N10" s="13" t="s">
        <v>214</v>
      </c>
      <c r="O10" s="13" t="s">
        <v>185</v>
      </c>
      <c r="T10" s="13" t="s">
        <v>212</v>
      </c>
      <c r="U10" s="14" t="s">
        <v>210</v>
      </c>
      <c r="V10" s="14" t="s">
        <v>211</v>
      </c>
      <c r="W10" s="13" t="s">
        <v>213</v>
      </c>
    </row>
    <row r="11" spans="1:23">
      <c r="A11" s="13">
        <f t="shared" si="0"/>
        <v>10</v>
      </c>
      <c r="B11" s="13">
        <v>6</v>
      </c>
      <c r="E11" s="13" t="s">
        <v>87</v>
      </c>
      <c r="F11" s="13" t="b">
        <v>1</v>
      </c>
      <c r="G11" s="13" t="s">
        <v>30</v>
      </c>
      <c r="H11" s="13" t="s">
        <v>176</v>
      </c>
      <c r="I11" s="13" t="s">
        <v>86</v>
      </c>
      <c r="K11" s="13">
        <f>100*1/3</f>
        <v>33.333333333333336</v>
      </c>
      <c r="M11" s="13">
        <v>10</v>
      </c>
      <c r="N11" s="13">
        <v>0</v>
      </c>
      <c r="O11" s="13" t="s">
        <v>166</v>
      </c>
      <c r="Q11" s="13" t="b">
        <v>0</v>
      </c>
      <c r="T11" s="13" t="s">
        <v>136</v>
      </c>
      <c r="U11" s="14" t="s">
        <v>127</v>
      </c>
      <c r="V11" s="14" t="s">
        <v>137</v>
      </c>
      <c r="W11" s="13" t="s">
        <v>165</v>
      </c>
    </row>
    <row r="12" spans="1:23">
      <c r="A12" s="13">
        <f t="shared" si="0"/>
        <v>11</v>
      </c>
      <c r="B12" s="13">
        <v>6</v>
      </c>
      <c r="F12" s="13" t="b">
        <v>0</v>
      </c>
      <c r="G12" s="13" t="s">
        <v>30</v>
      </c>
      <c r="H12" s="13" t="s">
        <v>176</v>
      </c>
      <c r="I12" s="13" t="s">
        <v>86</v>
      </c>
      <c r="K12" s="13">
        <f>100*1/11</f>
        <v>9.0909090909090917</v>
      </c>
      <c r="L12" s="13" t="s">
        <v>216</v>
      </c>
      <c r="M12" s="13">
        <v>2</v>
      </c>
      <c r="N12" s="13">
        <v>-78</v>
      </c>
      <c r="O12" s="13" t="s">
        <v>217</v>
      </c>
      <c r="Q12" s="13" t="b">
        <v>0</v>
      </c>
      <c r="T12" s="13" t="s">
        <v>136</v>
      </c>
      <c r="U12" s="14"/>
      <c r="V12" s="14" t="s">
        <v>137</v>
      </c>
      <c r="W12" s="13" t="s">
        <v>165</v>
      </c>
    </row>
    <row r="13" spans="1:23">
      <c r="A13" s="13">
        <f t="shared" si="0"/>
        <v>12</v>
      </c>
      <c r="B13" s="13">
        <v>6</v>
      </c>
      <c r="F13" s="13" t="b">
        <v>0</v>
      </c>
      <c r="G13" s="13" t="s">
        <v>30</v>
      </c>
      <c r="H13" s="13" t="s">
        <v>176</v>
      </c>
      <c r="I13" s="13" t="s">
        <v>86</v>
      </c>
      <c r="K13" s="13">
        <f>100*1/2</f>
        <v>50</v>
      </c>
      <c r="L13" s="13" t="s">
        <v>218</v>
      </c>
      <c r="M13" s="13">
        <v>1.5</v>
      </c>
      <c r="N13" s="15" t="s">
        <v>220</v>
      </c>
      <c r="O13" s="13" t="s">
        <v>101</v>
      </c>
      <c r="Q13" s="13" t="b">
        <v>0</v>
      </c>
      <c r="T13" s="13" t="s">
        <v>136</v>
      </c>
      <c r="U13" s="14"/>
      <c r="V13" s="14" t="s">
        <v>137</v>
      </c>
      <c r="W13" s="13" t="s">
        <v>165</v>
      </c>
    </row>
    <row r="14" spans="1:23">
      <c r="A14" s="13">
        <f t="shared" si="0"/>
        <v>13</v>
      </c>
      <c r="B14" s="13">
        <v>6</v>
      </c>
      <c r="F14" s="13" t="b">
        <v>0</v>
      </c>
      <c r="G14" s="13" t="s">
        <v>30</v>
      </c>
      <c r="H14" s="13" t="s">
        <v>176</v>
      </c>
      <c r="I14" s="13" t="s">
        <v>86</v>
      </c>
      <c r="K14" s="13">
        <f>100*5/6</f>
        <v>83.333333333333329</v>
      </c>
      <c r="L14" s="13" t="s">
        <v>219</v>
      </c>
      <c r="M14" s="13">
        <v>6</v>
      </c>
      <c r="N14" s="15" t="s">
        <v>220</v>
      </c>
      <c r="O14" s="13" t="s">
        <v>101</v>
      </c>
      <c r="Q14" s="13" t="b">
        <v>0</v>
      </c>
      <c r="T14" s="13" t="s">
        <v>136</v>
      </c>
      <c r="U14" s="14"/>
      <c r="V14" s="14" t="s">
        <v>137</v>
      </c>
      <c r="W14" s="13" t="s">
        <v>165</v>
      </c>
    </row>
    <row r="15" spans="1:23">
      <c r="A15" s="13">
        <f t="shared" si="0"/>
        <v>14</v>
      </c>
      <c r="B15" s="13">
        <v>6</v>
      </c>
      <c r="F15" s="13" t="b">
        <v>0</v>
      </c>
      <c r="G15" s="13" t="s">
        <v>30</v>
      </c>
      <c r="H15" s="13" t="s">
        <v>176</v>
      </c>
      <c r="I15" s="13" t="s">
        <v>86</v>
      </c>
      <c r="J15" s="16">
        <v>5.3200000000000001E-3</v>
      </c>
      <c r="K15" s="13">
        <f>100*1/1</f>
        <v>100</v>
      </c>
      <c r="L15" s="13" t="s">
        <v>219</v>
      </c>
      <c r="M15" s="13">
        <v>5</v>
      </c>
      <c r="N15" s="15" t="s">
        <v>220</v>
      </c>
      <c r="O15" s="13" t="s">
        <v>239</v>
      </c>
      <c r="P15" s="13">
        <f>0.00532/1.0226</f>
        <v>5.2024251906903976E-3</v>
      </c>
      <c r="Q15" s="13" t="b">
        <v>0</v>
      </c>
      <c r="T15" s="13" t="s">
        <v>136</v>
      </c>
      <c r="U15" s="14"/>
      <c r="V15" s="14" t="s">
        <v>137</v>
      </c>
      <c r="W15" s="13" t="s">
        <v>221</v>
      </c>
    </row>
    <row r="16" spans="1:23">
      <c r="A16" s="13">
        <f t="shared" si="0"/>
        <v>15</v>
      </c>
      <c r="B16" s="13" t="s">
        <v>39</v>
      </c>
      <c r="F16" s="13" t="b">
        <v>1</v>
      </c>
      <c r="G16" s="13" t="s">
        <v>40</v>
      </c>
      <c r="I16" s="13" t="s">
        <v>68</v>
      </c>
      <c r="K16" s="13">
        <f>100*74/(19+74)</f>
        <v>79.569892473118273</v>
      </c>
      <c r="L16" s="13" t="s">
        <v>190</v>
      </c>
      <c r="N16" s="13" t="s">
        <v>204</v>
      </c>
      <c r="O16" s="13" t="s">
        <v>185</v>
      </c>
      <c r="Q16" s="13" t="b">
        <v>0</v>
      </c>
      <c r="T16" s="13" t="s">
        <v>203</v>
      </c>
      <c r="U16" s="14" t="s">
        <v>228</v>
      </c>
      <c r="V16" s="14" t="s">
        <v>202</v>
      </c>
      <c r="W16" s="13" t="s">
        <v>205</v>
      </c>
    </row>
    <row r="17" spans="1:23">
      <c r="A17" s="13">
        <f t="shared" si="0"/>
        <v>16</v>
      </c>
      <c r="B17" s="13" t="s">
        <v>39</v>
      </c>
      <c r="F17" s="13" t="b">
        <v>1</v>
      </c>
      <c r="G17" s="13" t="s">
        <v>41</v>
      </c>
      <c r="I17" s="13" t="s">
        <v>69</v>
      </c>
      <c r="K17" s="13">
        <v>81</v>
      </c>
      <c r="L17" s="13" t="s">
        <v>190</v>
      </c>
      <c r="N17" s="13" t="s">
        <v>204</v>
      </c>
      <c r="O17" s="13" t="s">
        <v>185</v>
      </c>
      <c r="Q17" s="13" t="b">
        <v>0</v>
      </c>
      <c r="T17" s="13" t="s">
        <v>203</v>
      </c>
      <c r="U17" s="14" t="s">
        <v>195</v>
      </c>
      <c r="V17" s="14" t="s">
        <v>206</v>
      </c>
      <c r="W17" s="13" t="s">
        <v>205</v>
      </c>
    </row>
    <row r="18" spans="1:23">
      <c r="A18" s="13">
        <f t="shared" si="0"/>
        <v>17</v>
      </c>
      <c r="B18" s="13" t="s">
        <v>39</v>
      </c>
      <c r="F18" s="13" t="b">
        <v>1</v>
      </c>
      <c r="G18" s="13" t="s">
        <v>42</v>
      </c>
      <c r="I18" s="13" t="s">
        <v>70</v>
      </c>
      <c r="K18" s="13">
        <v>87</v>
      </c>
      <c r="L18" s="13" t="s">
        <v>190</v>
      </c>
      <c r="N18" s="13" t="s">
        <v>204</v>
      </c>
      <c r="O18" s="13" t="s">
        <v>185</v>
      </c>
      <c r="Q18" s="13" t="b">
        <v>0</v>
      </c>
      <c r="T18" s="13" t="s">
        <v>203</v>
      </c>
      <c r="U18" s="14" t="s">
        <v>195</v>
      </c>
      <c r="V18" s="14" t="s">
        <v>207</v>
      </c>
      <c r="W18" s="13" t="s">
        <v>205</v>
      </c>
    </row>
    <row r="19" spans="1:23">
      <c r="A19" s="13">
        <f t="shared" si="0"/>
        <v>18</v>
      </c>
      <c r="B19" s="13" t="s">
        <v>39</v>
      </c>
      <c r="C19" s="13" t="b">
        <v>1</v>
      </c>
      <c r="F19" s="13" t="b">
        <v>1</v>
      </c>
      <c r="G19" s="13" t="s">
        <v>43</v>
      </c>
      <c r="I19" s="13" t="s">
        <v>71</v>
      </c>
      <c r="K19" s="13">
        <v>14</v>
      </c>
      <c r="L19" s="13" t="s">
        <v>190</v>
      </c>
      <c r="N19" s="13" t="s">
        <v>204</v>
      </c>
      <c r="O19" s="13" t="s">
        <v>185</v>
      </c>
      <c r="Q19" s="13" t="b">
        <v>0</v>
      </c>
      <c r="T19" s="13" t="s">
        <v>203</v>
      </c>
      <c r="U19" s="14" t="s">
        <v>195</v>
      </c>
      <c r="V19" s="14" t="s">
        <v>207</v>
      </c>
      <c r="W19" s="13" t="s">
        <v>205</v>
      </c>
    </row>
    <row r="20" spans="1:23">
      <c r="A20" s="13">
        <f t="shared" si="0"/>
        <v>19</v>
      </c>
      <c r="B20" s="13" t="s">
        <v>60</v>
      </c>
      <c r="F20" s="13" t="b">
        <v>1</v>
      </c>
      <c r="I20" s="13" t="s">
        <v>73</v>
      </c>
      <c r="K20" s="13">
        <v>21</v>
      </c>
      <c r="L20" s="13" t="s">
        <v>190</v>
      </c>
      <c r="N20" s="13" t="s">
        <v>118</v>
      </c>
      <c r="O20" s="13" t="s">
        <v>134</v>
      </c>
      <c r="T20" s="13" t="s">
        <v>203</v>
      </c>
      <c r="V20" s="14" t="s">
        <v>215</v>
      </c>
    </row>
    <row r="21" spans="1:23">
      <c r="A21" s="13">
        <f t="shared" si="0"/>
        <v>20</v>
      </c>
      <c r="B21" s="13">
        <v>6</v>
      </c>
      <c r="E21" s="13" t="b">
        <v>1</v>
      </c>
      <c r="F21" s="13" t="b">
        <v>1</v>
      </c>
      <c r="G21" s="13" t="s">
        <v>24</v>
      </c>
      <c r="I21" s="13" t="s">
        <v>25</v>
      </c>
      <c r="K21" s="13">
        <f>50/(50+57)*100</f>
        <v>46.728971962616825</v>
      </c>
      <c r="L21" s="13" t="s">
        <v>190</v>
      </c>
      <c r="O21" s="13" t="s">
        <v>185</v>
      </c>
      <c r="Q21" s="13" t="b">
        <v>1</v>
      </c>
      <c r="T21" s="13" t="s">
        <v>161</v>
      </c>
      <c r="U21" s="14" t="s">
        <v>159</v>
      </c>
      <c r="V21" s="14" t="s">
        <v>160</v>
      </c>
      <c r="W21" s="13" t="s">
        <v>157</v>
      </c>
    </row>
    <row r="22" spans="1:23">
      <c r="A22" s="13">
        <f t="shared" si="0"/>
        <v>21</v>
      </c>
      <c r="B22" s="13">
        <v>6</v>
      </c>
      <c r="E22" s="13" t="b">
        <v>1</v>
      </c>
      <c r="F22" s="13" t="b">
        <v>1</v>
      </c>
      <c r="G22" s="13" t="s">
        <v>28</v>
      </c>
      <c r="I22" s="13" t="s">
        <v>29</v>
      </c>
      <c r="K22" s="13">
        <f>100/2.7</f>
        <v>37.037037037037038</v>
      </c>
      <c r="N22" s="13" t="s">
        <v>204</v>
      </c>
      <c r="Q22" s="13" t="b">
        <v>1</v>
      </c>
      <c r="T22" s="13" t="s">
        <v>170</v>
      </c>
      <c r="U22" s="14" t="s">
        <v>169</v>
      </c>
      <c r="V22" s="14" t="s">
        <v>171</v>
      </c>
      <c r="W22" s="13" t="s">
        <v>172</v>
      </c>
    </row>
    <row r="23" spans="1:23">
      <c r="A23" s="13">
        <f t="shared" si="0"/>
        <v>22</v>
      </c>
      <c r="B23" s="13">
        <v>6</v>
      </c>
      <c r="E23" s="13" t="b">
        <v>1</v>
      </c>
      <c r="F23" s="13" t="b">
        <v>1</v>
      </c>
      <c r="G23" s="13" t="s">
        <v>14</v>
      </c>
      <c r="H23" s="13" t="s">
        <v>178</v>
      </c>
      <c r="I23" s="13" t="s">
        <v>75</v>
      </c>
      <c r="K23" s="13">
        <f>41*100/(41+46)</f>
        <v>47.126436781609193</v>
      </c>
      <c r="Q23" s="13" t="b">
        <v>1</v>
      </c>
      <c r="T23" s="13" t="s">
        <v>149</v>
      </c>
      <c r="U23" s="14" t="s">
        <v>146</v>
      </c>
      <c r="V23" s="14" t="s">
        <v>150</v>
      </c>
      <c r="W23" s="13" t="s">
        <v>148</v>
      </c>
    </row>
    <row r="24" spans="1:23">
      <c r="A24" s="13">
        <f t="shared" si="0"/>
        <v>23</v>
      </c>
      <c r="B24" s="13">
        <v>6</v>
      </c>
      <c r="E24" s="13" t="b">
        <v>1</v>
      </c>
      <c r="F24" s="13" t="b">
        <v>1</v>
      </c>
      <c r="G24" s="13" t="s">
        <v>23</v>
      </c>
      <c r="I24" s="13" t="s">
        <v>76</v>
      </c>
      <c r="K24" s="13">
        <v>9</v>
      </c>
      <c r="L24" s="13" t="s">
        <v>190</v>
      </c>
      <c r="O24" s="13" t="s">
        <v>185</v>
      </c>
      <c r="Q24" s="13" t="b">
        <v>1</v>
      </c>
      <c r="T24" s="13" t="s">
        <v>158</v>
      </c>
      <c r="U24" s="14" t="s">
        <v>156</v>
      </c>
      <c r="W24" s="13" t="s">
        <v>157</v>
      </c>
    </row>
    <row r="25" spans="1:23">
      <c r="A25" s="13">
        <f t="shared" si="0"/>
        <v>24</v>
      </c>
      <c r="B25" s="13">
        <v>6</v>
      </c>
      <c r="E25" s="13" t="b">
        <v>1</v>
      </c>
      <c r="F25" s="13" t="b">
        <v>1</v>
      </c>
      <c r="G25" s="13" t="s">
        <v>31</v>
      </c>
      <c r="I25" s="13" t="s">
        <v>32</v>
      </c>
      <c r="K25" s="13">
        <v>60</v>
      </c>
      <c r="L25" s="13" t="s">
        <v>190</v>
      </c>
      <c r="N25" s="13" t="s">
        <v>188</v>
      </c>
      <c r="O25" s="13" t="s">
        <v>185</v>
      </c>
      <c r="Q25" s="13" t="b">
        <v>1</v>
      </c>
      <c r="T25" s="13" t="s">
        <v>186</v>
      </c>
      <c r="U25" s="14" t="s">
        <v>183</v>
      </c>
      <c r="V25" s="14" t="s">
        <v>184</v>
      </c>
      <c r="W25" s="13" t="s">
        <v>187</v>
      </c>
    </row>
    <row r="26" spans="1:23">
      <c r="A26" s="13">
        <f t="shared" si="0"/>
        <v>25</v>
      </c>
      <c r="B26" s="13">
        <v>5</v>
      </c>
      <c r="F26" s="13" t="b">
        <v>1</v>
      </c>
      <c r="G26" s="13" t="s">
        <v>47</v>
      </c>
      <c r="H26" s="13" t="s">
        <v>198</v>
      </c>
      <c r="I26" s="13" t="s">
        <v>48</v>
      </c>
      <c r="K26" s="13">
        <v>47</v>
      </c>
      <c r="L26" s="13" t="s">
        <v>190</v>
      </c>
      <c r="N26" s="13" t="s">
        <v>199</v>
      </c>
      <c r="O26" s="13" t="s">
        <v>185</v>
      </c>
      <c r="Q26" s="13" t="b">
        <v>1</v>
      </c>
      <c r="T26" s="13" t="s">
        <v>186</v>
      </c>
      <c r="U26" s="14" t="s">
        <v>200</v>
      </c>
      <c r="V26" s="14" t="s">
        <v>184</v>
      </c>
      <c r="W26" s="13" t="s">
        <v>187</v>
      </c>
    </row>
    <row r="27" spans="1:23">
      <c r="A27" s="13">
        <f t="shared" si="0"/>
        <v>26</v>
      </c>
      <c r="B27" s="13">
        <v>5</v>
      </c>
      <c r="F27" s="13" t="b">
        <v>1</v>
      </c>
      <c r="G27" s="13" t="s">
        <v>49</v>
      </c>
      <c r="I27" s="13" t="s">
        <v>50</v>
      </c>
      <c r="K27" s="13">
        <v>44</v>
      </c>
      <c r="L27" s="13" t="s">
        <v>190</v>
      </c>
      <c r="N27" s="13" t="s">
        <v>199</v>
      </c>
      <c r="O27" s="13" t="s">
        <v>185</v>
      </c>
      <c r="Q27" s="13" t="b">
        <v>1</v>
      </c>
      <c r="T27" s="13" t="s">
        <v>186</v>
      </c>
      <c r="U27" s="14" t="s">
        <v>183</v>
      </c>
      <c r="V27" s="14" t="s">
        <v>184</v>
      </c>
      <c r="W27" s="13" t="s">
        <v>187</v>
      </c>
    </row>
    <row r="28" spans="1:23">
      <c r="A28" s="13">
        <f t="shared" si="0"/>
        <v>27</v>
      </c>
      <c r="B28" s="13">
        <v>6</v>
      </c>
      <c r="C28" s="13" t="b">
        <v>1</v>
      </c>
      <c r="E28" s="13" t="b">
        <v>1</v>
      </c>
      <c r="F28" s="13" t="b">
        <v>1</v>
      </c>
      <c r="G28" s="13" t="s">
        <v>9</v>
      </c>
      <c r="I28" s="13" t="s">
        <v>10</v>
      </c>
      <c r="K28" s="13">
        <v>75</v>
      </c>
      <c r="Q28" s="13" t="b">
        <v>1</v>
      </c>
      <c r="T28" s="11"/>
      <c r="W28" s="13" t="s">
        <v>145</v>
      </c>
    </row>
    <row r="29" spans="1:23">
      <c r="A29" s="13">
        <f t="shared" si="0"/>
        <v>28</v>
      </c>
      <c r="B29" s="13">
        <v>6</v>
      </c>
      <c r="E29" s="13" t="b">
        <v>1</v>
      </c>
      <c r="F29" s="13" t="b">
        <v>1</v>
      </c>
      <c r="G29" s="13" t="s">
        <v>15</v>
      </c>
      <c r="I29" s="13" t="s">
        <v>16</v>
      </c>
      <c r="K29" s="13">
        <v>86</v>
      </c>
      <c r="Q29" s="13" t="b">
        <v>1</v>
      </c>
      <c r="W29" s="13" t="s">
        <v>145</v>
      </c>
    </row>
    <row r="30" spans="1:23">
      <c r="A30" s="13">
        <f t="shared" si="0"/>
        <v>29</v>
      </c>
      <c r="B30" s="13">
        <v>5</v>
      </c>
      <c r="E30" s="13" t="b">
        <v>1</v>
      </c>
      <c r="F30" s="13" t="b">
        <v>1</v>
      </c>
      <c r="G30" s="13" t="s">
        <v>33</v>
      </c>
      <c r="H30" s="13" t="s">
        <v>193</v>
      </c>
      <c r="I30" s="13" t="s">
        <v>34</v>
      </c>
      <c r="K30" s="13">
        <f>43/(43+48)*100</f>
        <v>47.252747252747248</v>
      </c>
      <c r="Q30" s="13" t="b">
        <v>1</v>
      </c>
      <c r="U30" s="14" t="s">
        <v>191</v>
      </c>
      <c r="V30" s="14" t="s">
        <v>192</v>
      </c>
      <c r="W30" s="13" t="s">
        <v>194</v>
      </c>
    </row>
    <row r="31" spans="1:23">
      <c r="A31" s="13">
        <f t="shared" si="0"/>
        <v>30</v>
      </c>
      <c r="B31" s="13">
        <v>5</v>
      </c>
      <c r="C31" s="13" t="b">
        <v>1</v>
      </c>
      <c r="F31" s="13" t="b">
        <v>1</v>
      </c>
      <c r="G31" s="13" t="s">
        <v>35</v>
      </c>
      <c r="I31" s="13" t="s">
        <v>196</v>
      </c>
      <c r="K31" s="13">
        <f>42*100/(42+29)</f>
        <v>59.154929577464792</v>
      </c>
      <c r="Q31" s="13" t="b">
        <v>1</v>
      </c>
      <c r="U31" s="14" t="s">
        <v>195</v>
      </c>
      <c r="W31" s="13" t="s">
        <v>197</v>
      </c>
    </row>
    <row r="32" spans="1:23">
      <c r="A32" s="13">
        <f t="shared" si="0"/>
        <v>31</v>
      </c>
      <c r="B32" s="13">
        <v>5</v>
      </c>
      <c r="F32" s="13" t="b">
        <v>1</v>
      </c>
      <c r="G32" s="13" t="s">
        <v>51</v>
      </c>
      <c r="I32" s="13" t="s">
        <v>52</v>
      </c>
      <c r="K32" s="13">
        <v>2</v>
      </c>
      <c r="Q32" s="13" t="b">
        <v>1</v>
      </c>
      <c r="W32" s="13" t="s">
        <v>201</v>
      </c>
    </row>
    <row r="33" spans="1:23">
      <c r="A33" s="13">
        <f t="shared" si="0"/>
        <v>32</v>
      </c>
      <c r="B33" s="13" t="s">
        <v>39</v>
      </c>
      <c r="F33" s="13" t="b">
        <v>1</v>
      </c>
      <c r="G33" s="13" t="s">
        <v>46</v>
      </c>
      <c r="I33" s="13" t="s">
        <v>72</v>
      </c>
      <c r="K33" s="13">
        <v>90</v>
      </c>
      <c r="Q33" s="13" t="b">
        <v>0</v>
      </c>
      <c r="U33" s="14" t="s">
        <v>195</v>
      </c>
      <c r="V33" s="14" t="s">
        <v>208</v>
      </c>
      <c r="W33" s="13" t="s">
        <v>209</v>
      </c>
    </row>
    <row r="34" spans="1:23">
      <c r="A34" s="13">
        <f t="shared" si="0"/>
        <v>33</v>
      </c>
      <c r="B34" s="13">
        <v>4</v>
      </c>
      <c r="F34" s="13" t="b">
        <v>0</v>
      </c>
      <c r="G34" s="13" t="s">
        <v>54</v>
      </c>
      <c r="I34" s="13" t="s">
        <v>55</v>
      </c>
      <c r="K34" s="13">
        <f>32*100/(32+10)</f>
        <v>76.19047619047619</v>
      </c>
      <c r="Q34" s="13" t="b">
        <v>1</v>
      </c>
    </row>
    <row r="35" spans="1:23">
      <c r="A35" s="13">
        <f t="shared" si="0"/>
        <v>34</v>
      </c>
      <c r="B35" s="13">
        <v>4</v>
      </c>
      <c r="F35" s="13" t="b">
        <v>0</v>
      </c>
      <c r="G35" s="13" t="s">
        <v>56</v>
      </c>
      <c r="I35" s="13" t="s">
        <v>77</v>
      </c>
      <c r="K35" s="13">
        <v>80</v>
      </c>
      <c r="Q35" s="13" t="b">
        <v>1</v>
      </c>
    </row>
    <row r="36" spans="1:23">
      <c r="A36" s="13">
        <f t="shared" si="0"/>
        <v>35</v>
      </c>
      <c r="B36" s="13">
        <v>4</v>
      </c>
      <c r="F36" s="13" t="b">
        <v>0</v>
      </c>
      <c r="G36" s="13" t="s">
        <v>64</v>
      </c>
      <c r="I36" s="13" t="s">
        <v>67</v>
      </c>
      <c r="K36" s="13">
        <v>90</v>
      </c>
      <c r="Q36" s="13" t="b">
        <v>1</v>
      </c>
    </row>
    <row r="37" spans="1:23">
      <c r="A37" s="13">
        <f t="shared" si="0"/>
        <v>36</v>
      </c>
      <c r="B37" s="13">
        <v>4</v>
      </c>
      <c r="F37" s="13" t="b">
        <v>0</v>
      </c>
      <c r="G37" s="13" t="s">
        <v>65</v>
      </c>
      <c r="I37" s="13" t="s">
        <v>66</v>
      </c>
      <c r="K37" s="13">
        <v>75</v>
      </c>
    </row>
    <row r="38" spans="1:23">
      <c r="A38" s="13">
        <f t="shared" si="0"/>
        <v>37</v>
      </c>
      <c r="C38" s="13" t="b">
        <v>1</v>
      </c>
      <c r="G38" s="13" t="s">
        <v>96</v>
      </c>
      <c r="I38" s="13" t="s">
        <v>97</v>
      </c>
    </row>
    <row r="39" spans="1:23">
      <c r="A39" s="13">
        <f t="shared" si="0"/>
        <v>38</v>
      </c>
      <c r="C39" s="13" t="b">
        <v>1</v>
      </c>
      <c r="G39" s="13" t="s">
        <v>98</v>
      </c>
      <c r="I39" s="13" t="s">
        <v>99</v>
      </c>
    </row>
    <row r="40" spans="1:23">
      <c r="A40" s="13">
        <f t="shared" si="0"/>
        <v>39</v>
      </c>
    </row>
    <row r="41" spans="1:23">
      <c r="A41" s="13">
        <f t="shared" si="0"/>
        <v>40</v>
      </c>
      <c r="B41" s="13">
        <v>6</v>
      </c>
      <c r="D41" s="13" t="s">
        <v>59</v>
      </c>
      <c r="E41" s="13" t="b">
        <v>1</v>
      </c>
      <c r="G41" s="13" t="s">
        <v>17</v>
      </c>
      <c r="I41" s="13" t="s">
        <v>18</v>
      </c>
      <c r="K41" s="13">
        <v>20</v>
      </c>
      <c r="Q41" s="13" t="b">
        <v>1</v>
      </c>
    </row>
    <row r="42" spans="1:23">
      <c r="A42" s="13">
        <f t="shared" si="0"/>
        <v>41</v>
      </c>
      <c r="B42" s="13">
        <v>6</v>
      </c>
      <c r="D42" s="13" t="s">
        <v>62</v>
      </c>
      <c r="E42" s="13" t="b">
        <v>1</v>
      </c>
      <c r="F42" s="13" t="b">
        <v>0</v>
      </c>
      <c r="G42" s="13" t="s">
        <v>8</v>
      </c>
      <c r="I42" s="13" t="s">
        <v>74</v>
      </c>
      <c r="K42" s="13">
        <v>58</v>
      </c>
      <c r="Q42" s="13" t="b">
        <v>1</v>
      </c>
    </row>
    <row r="43" spans="1:23">
      <c r="A43" s="13">
        <f t="shared" si="0"/>
        <v>42</v>
      </c>
      <c r="B43" s="13">
        <v>6</v>
      </c>
      <c r="F43" s="13" t="b">
        <v>0</v>
      </c>
      <c r="I43" s="13" t="s">
        <v>79</v>
      </c>
      <c r="K43" s="13">
        <f>24*100/(24+54)</f>
        <v>30.76923076923077</v>
      </c>
    </row>
    <row r="44" spans="1:23">
      <c r="A44" s="13">
        <f t="shared" si="0"/>
        <v>43</v>
      </c>
      <c r="B44" s="13" t="s">
        <v>60</v>
      </c>
      <c r="F44" s="13" t="b">
        <v>0</v>
      </c>
      <c r="I44" s="13" t="s">
        <v>78</v>
      </c>
      <c r="K44" s="13">
        <f>62/(62+26)*100</f>
        <v>70.454545454545453</v>
      </c>
    </row>
    <row r="45" spans="1:23">
      <c r="A45" s="13">
        <f t="shared" si="0"/>
        <v>44</v>
      </c>
      <c r="B45" s="13" t="s">
        <v>60</v>
      </c>
      <c r="E45" s="13" t="s">
        <v>81</v>
      </c>
      <c r="F45" s="13" t="b">
        <v>0</v>
      </c>
      <c r="I45" s="13" t="s">
        <v>80</v>
      </c>
      <c r="K45" s="13">
        <v>84</v>
      </c>
    </row>
    <row r="46" spans="1:23">
      <c r="A46" s="13">
        <f t="shared" si="0"/>
        <v>45</v>
      </c>
      <c r="H46" s="13" t="s">
        <v>224</v>
      </c>
      <c r="U46" s="14" t="s">
        <v>223</v>
      </c>
      <c r="V46" s="14" t="s">
        <v>222</v>
      </c>
      <c r="W46" s="13" t="s">
        <v>225</v>
      </c>
    </row>
    <row r="47" spans="1:23">
      <c r="A47" s="13">
        <f t="shared" si="0"/>
        <v>46</v>
      </c>
      <c r="H47" s="13" t="s">
        <v>230</v>
      </c>
      <c r="U47" s="14" t="s">
        <v>229</v>
      </c>
    </row>
    <row r="48" spans="1:23">
      <c r="A48" s="13">
        <f t="shared" si="0"/>
        <v>47</v>
      </c>
      <c r="G48" s="13" t="s">
        <v>233</v>
      </c>
      <c r="H48" s="13" t="s">
        <v>232</v>
      </c>
      <c r="K48" s="13">
        <f>100*66/(66+14)</f>
        <v>82.5</v>
      </c>
      <c r="U48" s="14" t="s">
        <v>231</v>
      </c>
    </row>
  </sheetData>
  <sheetProtection formatRows="0"/>
  <autoFilter ref="A1:W45" xr:uid="{00000000-0001-0000-0000-000000000000}">
    <sortState xmlns:xlrd2="http://schemas.microsoft.com/office/spreadsheetml/2017/richdata2" ref="A2:W48">
      <sortCondition ref="T1:T45"/>
    </sortState>
  </autoFilter>
  <phoneticPr fontId="1"/>
  <hyperlinks>
    <hyperlink ref="U11" r:id="rId1" xr:uid="{FD02E603-A886-4096-A69D-57E2C77DC10B}"/>
    <hyperlink ref="V7" r:id="rId2" xr:uid="{1E7F28B9-5978-444F-84C4-F4330514ADD3}"/>
    <hyperlink ref="V11" r:id="rId3" xr:uid="{5295C8E6-ACA6-4823-99FD-A344F178FF03}"/>
    <hyperlink ref="U23" r:id="rId4" display="https://scifinder.cas.org/scifinder/view/scifinder/scifinderExplore.jsf?sfow_newpage=/scifinder/view/reaction/reactionList.jsf&amp;nav=eNpb85aBtYSBMbGEQcXcycjVzcTUJMLCzM3Y1NDEKcLU0sLN0cDY2cjS1djYwtLAwhioNKm4iEEwK7EsUS8nMS9dzzOvJDU9tUjo0YIl3xvbLZgYGD0ZWMsSc0pTK4oYBBDq_Epzk1KL2tZMleWe8qCbiYGhooCBgYEbaGBGCQN7kKuju6tfCJCXX1zIUMfADJRjLGFgKipDtc0pPz8nNTHvrEJRw9U5v94BbYuC2VbAAACKUD1B" xr:uid="{68EC7A67-C73F-4EAD-8DE4-072212F0B824}"/>
    <hyperlink ref="V23" r:id="rId5" xr:uid="{134BC9F5-3F84-4588-AE81-853BF3AECDB0}"/>
    <hyperlink ref="U2" r:id="rId6" xr:uid="{509E9732-6FEA-4963-8828-DA50A91B14D9}"/>
    <hyperlink ref="V2" r:id="rId7" xr:uid="{4E54C156-85FF-4FC4-A56D-9A894316204C}"/>
    <hyperlink ref="U24" r:id="rId8" display="https://scifinder.cas.org/scifinder/view/scifinder/scifinderExplore.jsf?sfow_newpage=/scifinder/view/reaction/reactionList.jsf&amp;nav=eNpb85aBtYSBMbGEQcXc2cXAxNncMsLCzM3Y1NDEKcLE0MLAyNnCxdjA3MnN2cDAzRioNKm4iEEwK7EsUS8nMS9dzzOvJDU9tUjo0YIl3xvbLZgYGD0ZWMsSc0pTK4oYBBDq_Epzk1KL2tZMleWe8qCbiYGhooCBgYEFaGBGCQN7kKuju6tfCJCXX1zIUMfADJRjLGFgKipDtc0pPz8nNTHvrEJRw9U5v94BbYuC2VbAAACMxT1D" xr:uid="{2EFBE743-3995-48AC-B2A8-709E8527FF52}"/>
    <hyperlink ref="U21" r:id="rId9" display="https://scifinder.cas.org/scifinder/view/scifinder/scifinderExplore.jsf?sfow_newpage=/scifinder/view/reaction/reactionList.jsf&amp;nav=eNpb85aBtYSBMbGEQcXc2cXM0NHCOMLCzM3Y1NDEKcLcwtgQKOJiYmnsZGFs4GRiAlSaVFzEIJiVWJaol5OYl67nmVeSmp5aJPRowZLvje0WTAyMngysZYk5pakVRQwCCHV-pblJqUVta6bKck950M3EwFBRwMDAwAk0MKOEgT3I1dHd1S8EyMsvLmSoY2AGyjGWMDAVlaHa5pSfn5OamHdWoajh6pxf74C2RcFsK2AAAH8UPTA" xr:uid="{C21CC5DB-E9E1-4777-B852-9DEA43D8C65F}"/>
    <hyperlink ref="V21" r:id="rId10" xr:uid="{B42C2C86-894B-40C7-B450-ECAE2A869526}"/>
    <hyperlink ref="U5" r:id="rId11" display="https://scifinder.cas.org/scifinder/view/scifinder/scifinderExplore.jsf?sfow_newpage=/scifinder/view/reaction/reactionList.jsf&amp;nav=eNpb85aBtYSBMbGEQcXc2cXRwsnMOMLCzM3Y1NDEKcLE0cTR0c3C2NDN0cLR1NDI2RyoNKm4iEEwK7EsUS8nMS9dzzOvJDU9tUjo0YIl3xvbLZgYGD0ZWMsSc0pTK4oYBBDq_Epzk1KL2tZMleWe8qCbiYGhooCBgYEXaGBGCQN7kKuju6tfCJCXX1zIUMfADJRjLGFgKipDtc0pPz8nNTHvrEJRw9U5v94BbYuC2VbAAACxHT18" xr:uid="{FFE2CFDF-4FD8-4DE7-9CD4-90F5072CE2B0}"/>
    <hyperlink ref="V5" r:id="rId12" xr:uid="{31FDD85D-C225-4C62-B357-F64906698DBD}"/>
    <hyperlink ref="V3" r:id="rId13" xr:uid="{45C376DC-7B2E-46D2-916D-CB65BF0A148B}"/>
    <hyperlink ref="U22" r:id="rId14" display="https://scifinder.cas.org/scifinder/view/scifinder/scifinderExplore.jsf?sfow_newpage=/scifinder/view/reaction/reactionList.jsf&amp;nav=eNpb85aBtYSBMbGEQcXC0MDR2cLSJcLCzM3Y1MDSIsLY2dHA2NjR0cjN1M3ExdHNwASoNKm4iEEwK7EsUS8nMS9dzzOvJDU9tUjo0YIl3xvbLZgYGD0ZWMsSc0pTK4oYBBDq_Epzk1KL2tZMleWe8qCbiYGhooCBgYEJaGBGCQN7kKuju6tfCJCXX1zIUMfADJRjLGFgKipDtc0pPz8nNTHvrEJRw9U5v94BbYuC2VbAAACgiD1h" xr:uid="{E1CECE4A-793F-456C-B73E-AAF8AA0A54BD}"/>
    <hyperlink ref="V22" r:id="rId15" xr:uid="{866FEE23-EBAD-4DFC-A738-A86EAFA3AF19}"/>
    <hyperlink ref="U6" r:id="rId16" display="https://scifinder.cas.org/scifinder/view/scifinder/scifinderExplore.jsf?sfow_newpage=/scifinder/view/reaction/reactionList.jsf&amp;nav=eNpb85aBtYSBMbGEQcXSydDR1NLCKcLCzM3Y1MDSJMLQydzc0NANKO7s6mZiaOpkAFSaVFzEIJiVWJaol5OYl67nmVeSmp5aJPRowZLvje0WTAyMngysZYk5pakVRQwCCHV-pblJqUVta6bKck950M3EwFBRwMDAwAQ0MKOEgT3I1dHd1S8EyMsvLmSoY2AGyjGWMDAVlaHa5pSfn5OamHdWoajh6pxf74C2RcFsK2AAAJdFPVI" xr:uid="{7859480F-9ED7-47D9-AE8E-01F36056EDE2}"/>
    <hyperlink ref="V6" r:id="rId17" xr:uid="{C3CE441B-E22E-496A-A912-D873FDEABA2C}"/>
    <hyperlink ref="U25" r:id="rId18" display="https://scifinder.cas.org/scifinder/view/scifinder/scifinderExplore.jsf?sfow_newpage=/scifinder/view/reaction/reactionList.jsf&amp;nav=eNpb85aBtYSBMbGEQcXSycjc0tXMLcLCzM3Y1MDSJMLM1NXCws3E3MjcxdHF2cXU1QCoNKm4iEEwK7EsUS8nMS9dzzOvJDU9tUjo0YIl3xvbLZgYGD0ZWMsSc0pTK4oYBBDq_Epzk1KL2tZMleWe8qCbiYGhooCBgYENaGBGCQN7kKuju6tfCJCXX1zIUMfADJRjLGFgKipDtc0pPz8nNTHvrEJRw9U5v94BbYuC2VbAAACxhj18" xr:uid="{B4260444-9444-465E-87E5-08F2B3773CC3}"/>
    <hyperlink ref="V25" r:id="rId19" xr:uid="{6AF2FD15-3C5F-4994-BA7D-34962C12068B}"/>
    <hyperlink ref="U30" r:id="rId20" display="https://scifinder.cas.org/scifinder/view/scifinder/scifinderExplore.jsf?sfow_newpage=/scifinder/view/reaction/reactionList.jsf&amp;nav=eNpb85aBtYSBMbGEQcXSycjV3MTCMsLCzM3Y1MDSJMLIwsjA1M3Q2NjY0NTSxc3V0gioNKm4iEEwK7EsUS8nMS9dzzOvJDU9tUjo0YIl3xvbLZgYGD0ZWMsSc0pTK4oYBBDq_Epzk1KL2tZMleWe8qCbiYGhooCBgYELaGBGCQN7kKuju6tfCJCXX1zIUMfADJRjLGFgKipDtc0pPz8nNTHvrEJRw9U5v94BbYuC2VbAAAB2cj0m" xr:uid="{3CD0488A-3A2F-4FB3-AE35-B779F32FFD71}"/>
    <hyperlink ref="V30" r:id="rId21" xr:uid="{19EBDCB9-A8FE-457F-A2C7-7AF98F88AE43}"/>
    <hyperlink ref="U31" r:id="rId22" xr:uid="{CD31BFCB-3B25-4F7E-B66A-B756EFF4B189}"/>
    <hyperlink ref="U26" r:id="rId23" display="https://scifinder.cas.org/scifinder/view/scifinder/scifinderExplore.jsf?sfow_newpage=/scifinder/view/reaction/reactionList.jsf&amp;nav=eNpb85aBtYSBMbGEQcXS2dLAwNzVMsLCzM3Y1MDSJMLEwsnUyNHV3NDNydDSwMLZ0hWoNKm4iEEwK7EsUS8nMS9dzzOvJDU9tUjo0YIl3xvbLZgYGD0ZWMsSc0pTK4oYBBDq_Epzk1KL2tZMleWe8qCbiYGhooCBgYEJaGBGCQN7kKuju6tfCJCXX1zIUMfADJRjLGFgKipDtc0pPz8nNTHvrEJRw9U5v94BbYuC2VbAAACTbT1O" xr:uid="{B6DEEC35-E647-4AA8-9EA4-627E2C8BE2C1}"/>
    <hyperlink ref="V26" r:id="rId24" xr:uid="{D4C79E1B-CE50-4EEB-901A-4C0C490C741F}"/>
    <hyperlink ref="U27" r:id="rId25" display="https://scifinder.cas.org/scifinder/view/scifinder/scifinderExplore.jsf?sfow_newpage=/scifinder/view/reaction/reactionList.jsf&amp;nav=eNpb85aBtYSBMbGEQcXSycjc0tXMLcLCzM3Y1MDSJMLM1NXCws3E3MjcxdHF2cXU1QCoNKm4iEEwK7EsUS8nMS9dzzOvJDU9tUjo0YIl3xvbLZgYGD0ZWMsSc0pTK4oYBBDq_Epzk1KL2tZMleWe8qCbiYGhooCBgYENaGBGCQN7kKuju6tfCJCXX1zIUMfADJRjLGFgKipDtc0pPz8nNTHvrEJRw9U5v94BbYuC2VbAAACxhj18" xr:uid="{AB5CC62D-9C6A-4862-A8CB-7C6B11A84876}"/>
    <hyperlink ref="V27" r:id="rId26" xr:uid="{8B492720-6A28-4114-BC7B-9E0EDF85A59D}"/>
    <hyperlink ref="U16" r:id="rId27" xr:uid="{988D10F2-0C3C-4E55-AA7E-6B36C715F514}"/>
    <hyperlink ref="V16" r:id="rId28" xr:uid="{870D2AEA-7703-4F4B-8651-BA28FFD418A8}"/>
    <hyperlink ref="U17" r:id="rId29" xr:uid="{FBC25596-57EE-477C-9A65-CBB854E33331}"/>
    <hyperlink ref="U18" r:id="rId30" xr:uid="{E31D904F-D820-41A5-8ACC-F7F5A48CA924}"/>
    <hyperlink ref="V17" r:id="rId31" display="https://click.endnote.com/viewer?doi=10.1002/adsc.201500801&amp;route=2" xr:uid="{FF5582DB-EA27-420D-A15B-36E20603B1E6}"/>
    <hyperlink ref="V18" r:id="rId32" display="https://click.endnote.com/viewer?doi=10.1002/adsc.201500801&amp;route=2" xr:uid="{E96ACC8B-7D76-4AA3-B9A9-05FEB4D6BD82}"/>
    <hyperlink ref="V19" r:id="rId33" display="https://click.endnote.com/viewer?doi=10.1002/adsc.201500801&amp;route=2" xr:uid="{F037FE93-43A4-4A9F-B444-5651D6C00C13}"/>
    <hyperlink ref="U19" r:id="rId34" xr:uid="{023DDA3C-EB70-41DE-ABBF-600A99DE0627}"/>
    <hyperlink ref="U33" r:id="rId35" xr:uid="{2B688314-205E-4D26-812F-3EE094307CD6}"/>
    <hyperlink ref="V33" r:id="rId36" xr:uid="{9B425C28-D058-46BB-92B2-3F7EFCCF66F2}"/>
    <hyperlink ref="U10" r:id="rId37" display="https://scifinder.cas.org/scifinder/view/scifinder/scifinderExplore.jsf?sfow_newpage=/scifinder/view/reaction/reactionList.jsf&amp;nav=eNpb85aBtYSBMbGEQcXS1cXc3MDAOcLCzM3Y1MDSJMLU0NnExcnS0sjQxNXQ0dzF0BmoNKm4iEEwK7EsUS8nMS9dzzOvJDU9tUjo0YIl3xvbLZgYGD0ZWMsSc0pTK4oYBBDq_Epzk1KL2tZMleWe8qCbiYGhooCBgYENaGBGCQN7kKuju6tfCJCXX1zIUMfADJRjLGFgKipDtc0pPz8nNTHvrEJRw9U5v94BbYuC2VbAAACTxj1P" xr:uid="{F979209A-8086-445B-978A-733A50230296}"/>
    <hyperlink ref="V10" r:id="rId38" xr:uid="{8254033D-5A2C-47FB-A74A-96A51BACBF3D}"/>
    <hyperlink ref="V20" r:id="rId39" xr:uid="{7E9D5D88-E182-47EA-9C2E-6C072AAB8F11}"/>
    <hyperlink ref="V12" r:id="rId40" xr:uid="{E165EA6D-5492-4D6C-9BC2-21479F997197}"/>
    <hyperlink ref="V15" r:id="rId41" xr:uid="{8DEA4E79-B6E3-4038-85C9-0FCE5E2226A6}"/>
    <hyperlink ref="V13" r:id="rId42" xr:uid="{FCAB5B4D-40F1-4B62-B7EC-3E0638C48028}"/>
    <hyperlink ref="V14" r:id="rId43" xr:uid="{0DC5C458-F4F1-4791-82E3-C94578C932F7}"/>
    <hyperlink ref="V46" r:id="rId44" xr:uid="{53654E07-5421-4365-819D-F7711CE85F31}"/>
    <hyperlink ref="U46" r:id="rId45" display="https://scifinder.cas.org/scifinder/view/scifinder/scifinderExplore.jsf?sfow_newpage=/scifinder/view/reaction/reactionList.jsf&amp;nav=eNpb85aBtYSBMbGEQcXS1cXFzdnZPMLCzM3Y1MDSJMLMwMDJ0czUwtjA2czFxcTIwhmoNKm4iEEwK7EsUS8nMS9dzzOvJDU9tUjo0YIl3xvbLZgYGD0ZWMsSc0pTK4oYBBDq_Epzk1KL2tZMleWe8qCbiYGhooCBgYELaGBGCQN7kKuju6tfCJCXX1zIUMfADJRjLGFgKipDtc0pPz8nNTHvrEJRw9U5v94BbYuC2VbAAACxYj14" xr:uid="{ABDBD861-6945-4855-A863-63AF31D895B0}"/>
    <hyperlink ref="V4" r:id="rId46" xr:uid="{BC3E294E-284E-402F-B4C8-C59876C50AE8}"/>
    <hyperlink ref="U47" r:id="rId47" xr:uid="{35D25325-901B-4A58-B659-D13A4A5C0BEB}"/>
    <hyperlink ref="U48" r:id="rId48" xr:uid="{DA273BB8-225A-4112-9DB4-58E18F21E37C}"/>
    <hyperlink ref="U7" r:id="rId49" xr:uid="{B2CF7C9A-300C-4B20-B5B0-8793C913EDDA}"/>
    <hyperlink ref="V8" r:id="rId50" xr:uid="{A4CBC6B4-973A-429D-A724-1B1E776D03E1}"/>
    <hyperlink ref="V9" r:id="rId51" xr:uid="{10545246-982A-49AC-9266-AA0162F47C22}"/>
  </hyperlinks>
  <pageMargins left="0.7" right="0.7" top="0.75" bottom="0.75" header="0.3" footer="0.3"/>
  <pageSetup paperSize="9" orientation="portrait" horizontalDpi="4294967293" verticalDpi="360" r:id="rId5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47020-A2AB-45DF-812F-698C3393A33B}">
  <dimension ref="A1:V38"/>
  <sheetViews>
    <sheetView zoomScale="55" zoomScaleNormal="55" workbookViewId="0">
      <pane ySplit="1" topLeftCell="A2" activePane="bottomLeft" state="frozen"/>
      <selection pane="bottomLeft" activeCell="M17" sqref="M17"/>
    </sheetView>
  </sheetViews>
  <sheetFormatPr defaultRowHeight="18"/>
  <cols>
    <col min="11" max="12" width="6.08203125" customWidth="1"/>
    <col min="13" max="13" width="15.83203125" customWidth="1"/>
    <col min="14" max="14" width="6.83203125" customWidth="1"/>
  </cols>
  <sheetData>
    <row r="1" spans="1:22" s="1" customFormat="1" ht="16.5">
      <c r="B1" s="1" t="s">
        <v>37</v>
      </c>
      <c r="C1" s="1" t="s">
        <v>88</v>
      </c>
      <c r="D1" s="1" t="s">
        <v>3</v>
      </c>
      <c r="E1" s="1" t="s">
        <v>38</v>
      </c>
      <c r="G1" s="1" t="s">
        <v>21</v>
      </c>
      <c r="H1" s="1" t="s">
        <v>58</v>
      </c>
      <c r="I1" s="1" t="s">
        <v>36</v>
      </c>
      <c r="J1" s="1" t="s">
        <v>12</v>
      </c>
      <c r="K1" s="1" t="s">
        <v>1</v>
      </c>
      <c r="L1" s="1" t="s">
        <v>3</v>
      </c>
      <c r="M1" s="1" t="s">
        <v>2</v>
      </c>
      <c r="N1" s="1" t="s">
        <v>0</v>
      </c>
      <c r="O1" s="1" t="s">
        <v>94</v>
      </c>
      <c r="P1" s="1" t="s">
        <v>93</v>
      </c>
      <c r="Q1" s="1" t="s">
        <v>135</v>
      </c>
      <c r="R1" s="1" t="s">
        <v>89</v>
      </c>
      <c r="S1" s="1" t="s">
        <v>92</v>
      </c>
      <c r="T1" s="1" t="s">
        <v>126</v>
      </c>
      <c r="U1" s="1" t="s">
        <v>129</v>
      </c>
      <c r="V1" s="1" t="s">
        <v>147</v>
      </c>
    </row>
    <row r="2" spans="1:22" ht="17.5" customHeight="1">
      <c r="A2" t="s">
        <v>90</v>
      </c>
      <c r="B2">
        <f>COUNTIF(J:J,"TRUE")</f>
        <v>0</v>
      </c>
      <c r="C2">
        <v>1</v>
      </c>
      <c r="S2" s="4" t="s">
        <v>241</v>
      </c>
      <c r="T2" s="10" t="s">
        <v>175</v>
      </c>
      <c r="U2" s="10" t="s">
        <v>173</v>
      </c>
      <c r="V2" t="s">
        <v>174</v>
      </c>
    </row>
    <row r="3" spans="1:22">
      <c r="A3" t="s">
        <v>91</v>
      </c>
      <c r="B3">
        <f>COUNTIF(G:G,TRUE)</f>
        <v>0</v>
      </c>
      <c r="C3">
        <v>2</v>
      </c>
      <c r="S3" s="11"/>
      <c r="U3" s="10" t="s">
        <v>290</v>
      </c>
    </row>
    <row r="4" spans="1:22">
      <c r="A4" t="s">
        <v>21</v>
      </c>
      <c r="B4">
        <f>B2-B3</f>
        <v>0</v>
      </c>
      <c r="C4">
        <v>3</v>
      </c>
    </row>
    <row r="5" spans="1:22">
      <c r="C5">
        <v>4</v>
      </c>
      <c r="T5" s="10"/>
      <c r="U5" s="10"/>
    </row>
    <row r="6" spans="1:22">
      <c r="C6">
        <v>5</v>
      </c>
    </row>
    <row r="7" spans="1:22">
      <c r="C7">
        <v>6</v>
      </c>
      <c r="T7" s="10"/>
      <c r="U7" s="10"/>
    </row>
    <row r="8" spans="1:22">
      <c r="C8">
        <v>7</v>
      </c>
    </row>
    <row r="9" spans="1:22">
      <c r="C9">
        <v>8</v>
      </c>
    </row>
    <row r="10" spans="1:22">
      <c r="C10">
        <v>9</v>
      </c>
    </row>
    <row r="11" spans="1:22">
      <c r="C11">
        <v>10</v>
      </c>
    </row>
    <row r="12" spans="1:22">
      <c r="C12">
        <v>11</v>
      </c>
    </row>
    <row r="13" spans="1:22">
      <c r="C13">
        <v>12</v>
      </c>
    </row>
    <row r="14" spans="1:22">
      <c r="C14">
        <v>13</v>
      </c>
    </row>
    <row r="15" spans="1:22">
      <c r="C15">
        <v>14</v>
      </c>
    </row>
    <row r="16" spans="1:22">
      <c r="C16">
        <v>15</v>
      </c>
    </row>
    <row r="17" spans="3:21">
      <c r="C17">
        <v>16</v>
      </c>
      <c r="M17" t="s">
        <v>291</v>
      </c>
    </row>
    <row r="18" spans="3:21">
      <c r="C18">
        <v>17</v>
      </c>
    </row>
    <row r="19" spans="3:21">
      <c r="C19">
        <v>18</v>
      </c>
    </row>
    <row r="20" spans="3:21">
      <c r="C20">
        <v>19</v>
      </c>
    </row>
    <row r="21" spans="3:21">
      <c r="C21">
        <v>20</v>
      </c>
    </row>
    <row r="22" spans="3:21">
      <c r="C22">
        <v>21</v>
      </c>
    </row>
    <row r="23" spans="3:21">
      <c r="C23">
        <v>22</v>
      </c>
    </row>
    <row r="24" spans="3:21">
      <c r="C24">
        <v>23</v>
      </c>
    </row>
    <row r="25" spans="3:21">
      <c r="C25">
        <v>24</v>
      </c>
    </row>
    <row r="26" spans="3:21">
      <c r="C26">
        <v>25</v>
      </c>
    </row>
    <row r="27" spans="3:21">
      <c r="C27">
        <v>26</v>
      </c>
    </row>
    <row r="28" spans="3:21">
      <c r="C28">
        <v>27</v>
      </c>
    </row>
    <row r="29" spans="3:21">
      <c r="C29">
        <v>28</v>
      </c>
    </row>
    <row r="30" spans="3:21">
      <c r="C30">
        <v>29</v>
      </c>
    </row>
    <row r="31" spans="3:21">
      <c r="C31">
        <v>30</v>
      </c>
    </row>
    <row r="32" spans="3:21">
      <c r="C32">
        <v>31</v>
      </c>
      <c r="U32" s="10"/>
    </row>
    <row r="33" spans="3:3">
      <c r="C33">
        <v>32</v>
      </c>
    </row>
    <row r="34" spans="3:3">
      <c r="C34">
        <v>33</v>
      </c>
    </row>
    <row r="35" spans="3:3">
      <c r="C35">
        <v>34</v>
      </c>
    </row>
    <row r="36" spans="3:3">
      <c r="C36">
        <v>35</v>
      </c>
    </row>
    <row r="37" spans="3:3">
      <c r="C37">
        <v>36</v>
      </c>
    </row>
    <row r="38" spans="3:3">
      <c r="C38">
        <v>37</v>
      </c>
    </row>
  </sheetData>
  <sheetProtection formatRows="0"/>
  <phoneticPr fontId="1"/>
  <hyperlinks>
    <hyperlink ref="U2" r:id="rId1" display="https://click.endnote.com/viewer?doi=10.1246%2Fbcsj.62.2948&amp;token=WzMwNzc5NzksIjEwLjEyNDYvYmNzai42Mi4yOTQ4Il0.fwEjoo0i-vwEu5JwCoYiouWuwdE" xr:uid="{3D511CCE-41CB-4791-8441-E74EC3D2F503}"/>
    <hyperlink ref="T2" r:id="rId2" display="https://scifinder.cas.org/scifinder/view/scifinder/scifinderExplore.jsf?sfow_newpage=/scifinder/view/reaction/reactionList.jsf&amp;nav=eNpb85aBtYSBMbGEQcXC0MDR2cLSJcLCzM3Y1MDSIsLY2dHA2NjR0cjN1M3ExdHNwASoNKm4iEEwK7EsUS8nMS9dzzOvJDU9tUjo0YIl3xvbLZgYGD0ZWMsSc0pTK4oYBBDq_Epzk1KL2tZMleWe8qCbiYGhooCBgYEJaGBGCQN7kKuju6tfCJCXX1zIUMfADJRjLGFgKipDtc0pPz8nNTHvrEJRw9U5v94BbYuC2VbAAACgiD1h" xr:uid="{66E1DCBE-B506-405E-9CBB-4D539E4A52E6}"/>
    <hyperlink ref="U3" r:id="rId3" display="https://click.endnote.com/viewer?doi=10.1002%2Fpoc.3397&amp;token=WzMwNzc5NzksIjEwLjEwMDIvcG9jLjMzOTciXQ.9Jtbw7OCZmq1BOhLOnfLQORuwfs" xr:uid="{30E99D73-648E-42F5-9E38-7EA40D53AF25}"/>
  </hyperlinks>
  <pageMargins left="0.7" right="0.7" top="0.75" bottom="0.75" header="0.3" footer="0.3"/>
  <pageSetup paperSize="9" orientation="portrait" horizontalDpi="4294967293" verticalDpi="360"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F1630-A829-4670-85EE-ED2CF9077837}">
  <dimension ref="A1:Q38"/>
  <sheetViews>
    <sheetView zoomScale="55" zoomScaleNormal="55" workbookViewId="0">
      <pane ySplit="1" topLeftCell="A2" activePane="bottomLeft" state="frozen"/>
      <selection pane="bottomLeft" activeCell="M10" sqref="M10"/>
    </sheetView>
  </sheetViews>
  <sheetFormatPr defaultRowHeight="18"/>
  <cols>
    <col min="4" max="4" width="9" style="9" bestFit="1" customWidth="1"/>
    <col min="8" max="9" width="6.08203125" customWidth="1"/>
    <col min="10" max="10" width="20.83203125" bestFit="1" customWidth="1"/>
  </cols>
  <sheetData>
    <row r="1" spans="1:17" s="1" customFormat="1" ht="18" customHeight="1">
      <c r="B1" s="1" t="s">
        <v>37</v>
      </c>
      <c r="C1" s="1" t="s">
        <v>88</v>
      </c>
      <c r="D1" s="7" t="s">
        <v>110</v>
      </c>
      <c r="E1" s="1" t="s">
        <v>21</v>
      </c>
      <c r="F1" s="1" t="s">
        <v>36</v>
      </c>
      <c r="G1" s="1" t="s">
        <v>12</v>
      </c>
      <c r="H1" s="1" t="s">
        <v>1</v>
      </c>
      <c r="I1" s="1" t="s">
        <v>3</v>
      </c>
      <c r="J1" s="1" t="s">
        <v>2</v>
      </c>
      <c r="K1" s="1" t="s">
        <v>0</v>
      </c>
      <c r="L1" s="1" t="s">
        <v>94</v>
      </c>
      <c r="M1" s="1" t="s">
        <v>93</v>
      </c>
      <c r="N1" s="1" t="s">
        <v>53</v>
      </c>
      <c r="O1" s="1" t="s">
        <v>89</v>
      </c>
      <c r="P1" s="1" t="s">
        <v>92</v>
      </c>
      <c r="Q1" s="1" t="s">
        <v>126</v>
      </c>
    </row>
    <row r="2" spans="1:17" ht="18" customHeight="1">
      <c r="C2">
        <v>5</v>
      </c>
      <c r="I2" s="5" t="s">
        <v>124</v>
      </c>
      <c r="J2" t="s">
        <v>117</v>
      </c>
      <c r="K2">
        <v>92</v>
      </c>
      <c r="L2">
        <v>0</v>
      </c>
      <c r="M2" t="s">
        <v>101</v>
      </c>
      <c r="P2" s="4" t="s">
        <v>125</v>
      </c>
    </row>
    <row r="3" spans="1:17" ht="18" customHeight="1">
      <c r="A3" t="s">
        <v>90</v>
      </c>
      <c r="B3">
        <f>COUNTIF(G:G,"TRUE")</f>
        <v>0</v>
      </c>
      <c r="C3">
        <v>1</v>
      </c>
      <c r="D3" s="8" t="s">
        <v>111</v>
      </c>
      <c r="I3" s="5" t="s">
        <v>112</v>
      </c>
      <c r="J3" t="s">
        <v>113</v>
      </c>
      <c r="K3">
        <v>4</v>
      </c>
      <c r="L3" t="s">
        <v>114</v>
      </c>
      <c r="M3" t="s">
        <v>115</v>
      </c>
      <c r="P3" s="4" t="s">
        <v>116</v>
      </c>
    </row>
    <row r="4" spans="1:17" ht="18" customHeight="1">
      <c r="A4" t="s">
        <v>21</v>
      </c>
      <c r="B4">
        <f>B2-B3</f>
        <v>0</v>
      </c>
      <c r="C4">
        <v>3</v>
      </c>
      <c r="D4" s="9" t="s">
        <v>111</v>
      </c>
      <c r="I4" t="s">
        <v>120</v>
      </c>
      <c r="J4" t="s">
        <v>113</v>
      </c>
      <c r="K4">
        <v>4</v>
      </c>
      <c r="L4" t="s">
        <v>114</v>
      </c>
      <c r="M4" t="s">
        <v>115</v>
      </c>
      <c r="P4" s="4" t="s">
        <v>119</v>
      </c>
    </row>
    <row r="5" spans="1:17" ht="18" customHeight="1">
      <c r="C5">
        <v>4</v>
      </c>
      <c r="D5" s="9" t="s">
        <v>111</v>
      </c>
      <c r="F5" t="s">
        <v>123</v>
      </c>
      <c r="I5" s="5" t="s">
        <v>121</v>
      </c>
      <c r="J5" t="s">
        <v>122</v>
      </c>
      <c r="K5">
        <v>50</v>
      </c>
      <c r="L5" t="s">
        <v>118</v>
      </c>
      <c r="M5" t="s">
        <v>101</v>
      </c>
      <c r="P5" s="4" t="s">
        <v>119</v>
      </c>
    </row>
    <row r="6" spans="1:17" ht="18" customHeight="1">
      <c r="A6" t="s">
        <v>91</v>
      </c>
      <c r="B6">
        <f>COUNTIF(E:E,TRUE)</f>
        <v>0</v>
      </c>
      <c r="C6">
        <v>2</v>
      </c>
      <c r="D6" s="9" t="s">
        <v>111</v>
      </c>
      <c r="I6" s="5" t="s">
        <v>106</v>
      </c>
      <c r="J6" t="s">
        <v>117</v>
      </c>
      <c r="K6">
        <v>36</v>
      </c>
      <c r="L6" t="s">
        <v>118</v>
      </c>
      <c r="M6" t="s">
        <v>101</v>
      </c>
      <c r="P6" s="4" t="s">
        <v>119</v>
      </c>
    </row>
    <row r="7" spans="1:17">
      <c r="C7">
        <v>6</v>
      </c>
    </row>
    <row r="8" spans="1:17">
      <c r="C8">
        <v>7</v>
      </c>
    </row>
    <row r="9" spans="1:17">
      <c r="C9">
        <v>8</v>
      </c>
    </row>
    <row r="10" spans="1:17">
      <c r="C10">
        <v>9</v>
      </c>
    </row>
    <row r="11" spans="1:17">
      <c r="C11">
        <v>10</v>
      </c>
    </row>
    <row r="12" spans="1:17">
      <c r="C12">
        <v>11</v>
      </c>
    </row>
    <row r="13" spans="1:17">
      <c r="C13">
        <v>12</v>
      </c>
    </row>
    <row r="14" spans="1:17">
      <c r="C14">
        <v>13</v>
      </c>
    </row>
    <row r="15" spans="1:17">
      <c r="C15">
        <v>14</v>
      </c>
    </row>
    <row r="16" spans="1:17">
      <c r="C16">
        <v>15</v>
      </c>
    </row>
    <row r="17" spans="3:3">
      <c r="C17">
        <v>16</v>
      </c>
    </row>
    <row r="18" spans="3:3">
      <c r="C18">
        <v>17</v>
      </c>
    </row>
    <row r="19" spans="3:3">
      <c r="C19">
        <v>18</v>
      </c>
    </row>
    <row r="20" spans="3:3">
      <c r="C20">
        <v>19</v>
      </c>
    </row>
    <row r="21" spans="3:3">
      <c r="C21">
        <v>20</v>
      </c>
    </row>
    <row r="22" spans="3:3">
      <c r="C22">
        <v>21</v>
      </c>
    </row>
    <row r="23" spans="3:3">
      <c r="C23">
        <v>22</v>
      </c>
    </row>
    <row r="24" spans="3:3">
      <c r="C24">
        <v>23</v>
      </c>
    </row>
    <row r="25" spans="3:3">
      <c r="C25">
        <v>24</v>
      </c>
    </row>
    <row r="26" spans="3:3">
      <c r="C26">
        <v>25</v>
      </c>
    </row>
    <row r="27" spans="3:3">
      <c r="C27">
        <v>26</v>
      </c>
    </row>
    <row r="28" spans="3:3">
      <c r="C28">
        <v>27</v>
      </c>
    </row>
    <row r="29" spans="3:3">
      <c r="C29">
        <v>28</v>
      </c>
    </row>
    <row r="30" spans="3:3">
      <c r="C30">
        <v>29</v>
      </c>
    </row>
    <row r="31" spans="3:3">
      <c r="C31">
        <v>30</v>
      </c>
    </row>
    <row r="32" spans="3:3">
      <c r="C32">
        <v>31</v>
      </c>
    </row>
    <row r="33" spans="3:3">
      <c r="C33">
        <v>32</v>
      </c>
    </row>
    <row r="34" spans="3:3">
      <c r="C34">
        <v>33</v>
      </c>
    </row>
    <row r="35" spans="3:3">
      <c r="C35">
        <v>34</v>
      </c>
    </row>
    <row r="36" spans="3:3">
      <c r="C36">
        <v>35</v>
      </c>
    </row>
    <row r="37" spans="3:3">
      <c r="C37">
        <v>36</v>
      </c>
    </row>
    <row r="38" spans="3:3">
      <c r="C38">
        <v>37</v>
      </c>
    </row>
  </sheetData>
  <autoFilter ref="I1:I39" xr:uid="{50CF1630-A829-4670-85EE-ED2CF9077837}">
    <sortState xmlns:xlrd2="http://schemas.microsoft.com/office/spreadsheetml/2017/richdata2" ref="A2:P39">
      <sortCondition ref="I1:I39"/>
    </sortState>
  </autoFilter>
  <sortState xmlns:xlrd2="http://schemas.microsoft.com/office/spreadsheetml/2017/richdata2" ref="A2:P38">
    <sortCondition ref="I1:I38"/>
  </sortState>
  <phoneticPr fontId="1"/>
  <hyperlinks>
    <hyperlink ref="D3" r:id="rId1" display="javascript:;" xr:uid="{26D4F2A1-B0F4-46F5-AFF0-E98615FACEFB}"/>
    <hyperlink ref="I3" r:id="rId2" display="javascript:;" xr:uid="{C53F56C2-EFD9-4515-9C9B-B7106D0EDB2F}"/>
    <hyperlink ref="I6" r:id="rId3" display="javascript:;" xr:uid="{80B4046C-8877-4F05-B6DF-8071DBBDE960}"/>
    <hyperlink ref="I5" r:id="rId4" display="javascript:;" xr:uid="{078A0154-251D-4664-90E3-D1CF1D19A8BB}"/>
    <hyperlink ref="I2" r:id="rId5" display="javascript:;" xr:uid="{4486BF62-ED1F-46D0-B1D5-F25F40D88ED7}"/>
  </hyperlinks>
  <pageMargins left="0.7" right="0.7" top="0.75" bottom="0.75" header="0.3" footer="0.3"/>
  <pageSetup paperSize="9" orientation="portrait" horizontalDpi="4294967293" verticalDpi="360"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A1FE6-1E1A-445F-A191-32844565D7FF}">
  <dimension ref="A9:B11"/>
  <sheetViews>
    <sheetView workbookViewId="0">
      <selection activeCell="A11" sqref="A11"/>
    </sheetView>
  </sheetViews>
  <sheetFormatPr defaultRowHeight="18"/>
  <sheetData>
    <row r="9" spans="1:2">
      <c r="A9" t="s">
        <v>139</v>
      </c>
      <c r="B9" t="s">
        <v>138</v>
      </c>
    </row>
    <row r="10" spans="1:2">
      <c r="A10" t="s">
        <v>141</v>
      </c>
      <c r="B10" s="10" t="s">
        <v>140</v>
      </c>
    </row>
    <row r="11" spans="1:2">
      <c r="A11" t="s">
        <v>143</v>
      </c>
      <c r="B11" t="s">
        <v>142</v>
      </c>
    </row>
  </sheetData>
  <phoneticPr fontId="1"/>
  <hyperlinks>
    <hyperlink ref="B10" r:id="rId1" xr:uid="{1FA71A2D-EE97-48A9-B171-ABED3D26B111}"/>
  </hyperlink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464A5-33E0-42FF-B6F3-51DC6A0581A5}">
  <dimension ref="A1:AA6"/>
  <sheetViews>
    <sheetView zoomScale="55" zoomScaleNormal="55" workbookViewId="0">
      <pane ySplit="1" topLeftCell="A2" activePane="bottomLeft" state="frozen"/>
      <selection pane="bottomLeft" activeCell="N13" sqref="N13"/>
    </sheetView>
  </sheetViews>
  <sheetFormatPr defaultRowHeight="18"/>
  <cols>
    <col min="11" max="12" width="6.08203125" customWidth="1"/>
    <col min="13" max="13" width="20.83203125" bestFit="1" customWidth="1"/>
  </cols>
  <sheetData>
    <row r="1" spans="1:27" s="1" customFormat="1" ht="16.5">
      <c r="B1" s="1" t="s">
        <v>37</v>
      </c>
      <c r="C1" s="1" t="s">
        <v>88</v>
      </c>
      <c r="D1" s="1" t="s">
        <v>63</v>
      </c>
      <c r="E1" s="1" t="s">
        <v>38</v>
      </c>
      <c r="G1" s="1" t="s">
        <v>21</v>
      </c>
      <c r="H1" s="1" t="s">
        <v>58</v>
      </c>
      <c r="I1" s="1" t="s">
        <v>36</v>
      </c>
      <c r="J1" s="1" t="s">
        <v>12</v>
      </c>
      <c r="K1" s="1" t="s">
        <v>1</v>
      </c>
      <c r="L1" s="1" t="s">
        <v>3</v>
      </c>
      <c r="M1" s="1" t="s">
        <v>2</v>
      </c>
      <c r="N1" s="1" t="s">
        <v>0</v>
      </c>
      <c r="O1" s="1" t="s">
        <v>94</v>
      </c>
      <c r="P1" s="1" t="s">
        <v>93</v>
      </c>
      <c r="Q1" s="1" t="s">
        <v>53</v>
      </c>
      <c r="R1" s="1" t="s">
        <v>19</v>
      </c>
      <c r="S1" s="2" t="s">
        <v>20</v>
      </c>
      <c r="T1" s="1">
        <v>4</v>
      </c>
      <c r="U1" s="1">
        <v>5</v>
      </c>
      <c r="V1" s="1">
        <v>6</v>
      </c>
      <c r="W1" s="1" t="s">
        <v>6</v>
      </c>
      <c r="X1" s="1" t="s">
        <v>4</v>
      </c>
      <c r="Y1" s="1" t="s">
        <v>5</v>
      </c>
      <c r="Z1" s="1" t="s">
        <v>89</v>
      </c>
      <c r="AA1" s="1" t="s">
        <v>92</v>
      </c>
    </row>
    <row r="2" spans="1:27">
      <c r="A2" t="s">
        <v>90</v>
      </c>
      <c r="B2">
        <f>COUNTIF(J:J,"TRUE")</f>
        <v>5</v>
      </c>
      <c r="C2">
        <v>1</v>
      </c>
      <c r="E2">
        <v>6</v>
      </c>
      <c r="I2" t="s">
        <v>87</v>
      </c>
      <c r="J2" t="b">
        <v>1</v>
      </c>
      <c r="K2" t="s">
        <v>30</v>
      </c>
      <c r="M2" t="s">
        <v>86</v>
      </c>
      <c r="N2">
        <v>33</v>
      </c>
      <c r="Q2" t="b">
        <v>0</v>
      </c>
    </row>
    <row r="3" spans="1:27">
      <c r="A3" t="s">
        <v>91</v>
      </c>
      <c r="B3">
        <f>COUNTIF(G:G,TRUE)</f>
        <v>2</v>
      </c>
      <c r="C3">
        <v>2</v>
      </c>
      <c r="E3">
        <v>6</v>
      </c>
      <c r="I3" t="b">
        <v>1</v>
      </c>
      <c r="J3" t="b">
        <v>1</v>
      </c>
      <c r="K3" t="s">
        <v>9</v>
      </c>
      <c r="M3" t="s">
        <v>10</v>
      </c>
      <c r="N3">
        <v>75</v>
      </c>
      <c r="Q3" t="b">
        <v>1</v>
      </c>
    </row>
    <row r="4" spans="1:27">
      <c r="A4" t="s">
        <v>21</v>
      </c>
      <c r="B4">
        <f>B2-B3</f>
        <v>3</v>
      </c>
      <c r="C4">
        <v>3</v>
      </c>
      <c r="E4">
        <v>6</v>
      </c>
      <c r="F4" t="b">
        <v>1</v>
      </c>
      <c r="I4" t="b">
        <v>1</v>
      </c>
      <c r="J4" t="b">
        <v>1</v>
      </c>
      <c r="K4" t="s">
        <v>13</v>
      </c>
      <c r="M4" t="s">
        <v>11</v>
      </c>
      <c r="N4">
        <v>14</v>
      </c>
      <c r="Q4" t="b">
        <v>1</v>
      </c>
      <c r="S4" t="b">
        <v>1</v>
      </c>
      <c r="AA4" t="s">
        <v>95</v>
      </c>
    </row>
    <row r="5" spans="1:27">
      <c r="C5">
        <v>4</v>
      </c>
      <c r="G5" t="b">
        <v>1</v>
      </c>
      <c r="J5" t="b">
        <v>1</v>
      </c>
      <c r="K5" t="s">
        <v>96</v>
      </c>
      <c r="M5" t="s">
        <v>97</v>
      </c>
      <c r="N5">
        <v>99</v>
      </c>
    </row>
    <row r="6" spans="1:27">
      <c r="C6">
        <v>5</v>
      </c>
      <c r="G6" t="b">
        <v>1</v>
      </c>
      <c r="J6" t="b">
        <v>1</v>
      </c>
      <c r="K6" t="s">
        <v>98</v>
      </c>
      <c r="M6" t="s">
        <v>99</v>
      </c>
      <c r="N6">
        <v>99</v>
      </c>
    </row>
  </sheetData>
  <phoneticPr fontId="1"/>
  <pageMargins left="0.7" right="0.7" top="0.75" bottom="0.75" header="0.3" footer="0.3"/>
  <pageSetup paperSize="9" orientation="portrait" horizontalDpi="4294967293" verticalDpi="36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5B480-2E67-4819-8F4C-1B0BF7DCE6A0}">
  <dimension ref="A1:AA38"/>
  <sheetViews>
    <sheetView topLeftCell="H1" zoomScale="55" zoomScaleNormal="55" workbookViewId="0">
      <pane ySplit="1" topLeftCell="A2" activePane="bottomLeft" state="frozen"/>
      <selection pane="bottomLeft" activeCell="I3" sqref="I3"/>
    </sheetView>
  </sheetViews>
  <sheetFormatPr defaultRowHeight="18"/>
  <cols>
    <col min="11" max="12" width="6.08203125" customWidth="1"/>
    <col min="13" max="13" width="20.83203125" bestFit="1" customWidth="1"/>
    <col min="27" max="27" width="55.9140625" customWidth="1"/>
  </cols>
  <sheetData>
    <row r="1" spans="1:27" s="1" customFormat="1" ht="16.5">
      <c r="B1" s="1" t="s">
        <v>37</v>
      </c>
      <c r="C1" s="1" t="s">
        <v>88</v>
      </c>
      <c r="D1" s="1" t="s">
        <v>63</v>
      </c>
      <c r="E1" s="1" t="s">
        <v>38</v>
      </c>
      <c r="G1" s="1" t="s">
        <v>21</v>
      </c>
      <c r="H1" s="1" t="s">
        <v>58</v>
      </c>
      <c r="I1" s="1" t="s">
        <v>36</v>
      </c>
      <c r="J1" s="1" t="s">
        <v>12</v>
      </c>
      <c r="K1" s="1" t="s">
        <v>1</v>
      </c>
      <c r="L1" s="1" t="s">
        <v>3</v>
      </c>
      <c r="M1" s="1" t="s">
        <v>2</v>
      </c>
      <c r="N1" s="1" t="s">
        <v>0</v>
      </c>
      <c r="O1" s="1" t="s">
        <v>94</v>
      </c>
      <c r="P1" s="1" t="s">
        <v>93</v>
      </c>
      <c r="Q1" s="1" t="s">
        <v>53</v>
      </c>
      <c r="R1" s="1" t="s">
        <v>19</v>
      </c>
      <c r="S1" s="2" t="s">
        <v>20</v>
      </c>
      <c r="T1" s="1">
        <v>4</v>
      </c>
      <c r="U1" s="1">
        <v>5</v>
      </c>
      <c r="V1" s="1">
        <v>6</v>
      </c>
      <c r="W1" s="1" t="s">
        <v>6</v>
      </c>
      <c r="X1" s="1" t="s">
        <v>4</v>
      </c>
      <c r="Y1" s="1" t="s">
        <v>5</v>
      </c>
      <c r="Z1" s="1" t="s">
        <v>89</v>
      </c>
      <c r="AA1" s="1" t="s">
        <v>92</v>
      </c>
    </row>
    <row r="2" spans="1:27" ht="90">
      <c r="A2" t="s">
        <v>90</v>
      </c>
      <c r="B2">
        <f>COUNTIF(J:J,"TRUE")</f>
        <v>0</v>
      </c>
      <c r="C2">
        <v>1</v>
      </c>
      <c r="L2" t="s">
        <v>100</v>
      </c>
      <c r="M2" t="s">
        <v>102</v>
      </c>
      <c r="N2">
        <v>10</v>
      </c>
      <c r="O2">
        <v>-78</v>
      </c>
      <c r="P2" t="s">
        <v>101</v>
      </c>
      <c r="AA2" s="6" t="s">
        <v>109</v>
      </c>
    </row>
    <row r="3" spans="1:27" ht="18" customHeight="1">
      <c r="A3" t="s">
        <v>91</v>
      </c>
      <c r="B3">
        <f>COUNTIF(G:G,TRUE)</f>
        <v>0</v>
      </c>
      <c r="C3">
        <v>2</v>
      </c>
      <c r="L3" t="s">
        <v>104</v>
      </c>
      <c r="N3">
        <v>17</v>
      </c>
      <c r="AA3" s="4" t="s">
        <v>103</v>
      </c>
    </row>
    <row r="4" spans="1:27">
      <c r="A4" t="s">
        <v>21</v>
      </c>
      <c r="B4">
        <f>B2-B3</f>
        <v>0</v>
      </c>
      <c r="C4">
        <v>3</v>
      </c>
      <c r="AA4" s="4"/>
    </row>
    <row r="5" spans="1:27">
      <c r="C5">
        <v>4</v>
      </c>
      <c r="L5" s="5" t="s">
        <v>106</v>
      </c>
      <c r="M5" t="s">
        <v>107</v>
      </c>
      <c r="N5">
        <v>10</v>
      </c>
      <c r="P5" t="s">
        <v>108</v>
      </c>
    </row>
    <row r="6" spans="1:27">
      <c r="C6">
        <v>5</v>
      </c>
    </row>
    <row r="7" spans="1:27">
      <c r="C7">
        <v>6</v>
      </c>
    </row>
    <row r="8" spans="1:27">
      <c r="C8">
        <v>7</v>
      </c>
    </row>
    <row r="9" spans="1:27">
      <c r="C9">
        <v>8</v>
      </c>
    </row>
    <row r="10" spans="1:27">
      <c r="C10">
        <v>9</v>
      </c>
    </row>
    <row r="11" spans="1:27">
      <c r="C11">
        <v>10</v>
      </c>
    </row>
    <row r="12" spans="1:27">
      <c r="C12">
        <v>11</v>
      </c>
    </row>
    <row r="13" spans="1:27">
      <c r="C13">
        <v>12</v>
      </c>
    </row>
    <row r="14" spans="1:27">
      <c r="C14">
        <v>13</v>
      </c>
    </row>
    <row r="15" spans="1:27">
      <c r="C15">
        <v>14</v>
      </c>
    </row>
    <row r="16" spans="1:27">
      <c r="C16">
        <v>15</v>
      </c>
    </row>
    <row r="17" spans="3:3">
      <c r="C17">
        <v>16</v>
      </c>
    </row>
    <row r="18" spans="3:3">
      <c r="C18">
        <v>17</v>
      </c>
    </row>
    <row r="19" spans="3:3">
      <c r="C19">
        <v>18</v>
      </c>
    </row>
    <row r="20" spans="3:3">
      <c r="C20">
        <v>19</v>
      </c>
    </row>
    <row r="21" spans="3:3">
      <c r="C21">
        <v>20</v>
      </c>
    </row>
    <row r="22" spans="3:3">
      <c r="C22">
        <v>21</v>
      </c>
    </row>
    <row r="23" spans="3:3">
      <c r="C23">
        <v>22</v>
      </c>
    </row>
    <row r="24" spans="3:3">
      <c r="C24">
        <v>23</v>
      </c>
    </row>
    <row r="25" spans="3:3">
      <c r="C25">
        <v>24</v>
      </c>
    </row>
    <row r="26" spans="3:3">
      <c r="C26">
        <v>25</v>
      </c>
    </row>
    <row r="27" spans="3:3">
      <c r="C27">
        <v>26</v>
      </c>
    </row>
    <row r="28" spans="3:3">
      <c r="C28">
        <v>27</v>
      </c>
    </row>
    <row r="29" spans="3:3">
      <c r="C29">
        <v>28</v>
      </c>
    </row>
    <row r="30" spans="3:3">
      <c r="C30">
        <v>29</v>
      </c>
    </row>
    <row r="31" spans="3:3">
      <c r="C31">
        <v>30</v>
      </c>
    </row>
    <row r="32" spans="3:3">
      <c r="C32">
        <v>31</v>
      </c>
    </row>
    <row r="33" spans="3:3">
      <c r="C33">
        <v>32</v>
      </c>
    </row>
    <row r="34" spans="3:3">
      <c r="C34">
        <v>33</v>
      </c>
    </row>
    <row r="35" spans="3:3">
      <c r="C35">
        <v>34</v>
      </c>
    </row>
    <row r="36" spans="3:3">
      <c r="C36">
        <v>35</v>
      </c>
    </row>
    <row r="37" spans="3:3">
      <c r="C37">
        <v>36</v>
      </c>
    </row>
    <row r="38" spans="3:3">
      <c r="C38">
        <v>37</v>
      </c>
    </row>
  </sheetData>
  <phoneticPr fontId="1"/>
  <hyperlinks>
    <hyperlink ref="AA2" r:id="rId1" tooltip="Epimerization of Tertiary Carbon Centers via Reversible Radical Cleavage of Unactivated C(sp3)-H Bonds" display="javascript:;" xr:uid="{8BF1F030-6C3B-45D1-906A-2631A857254D}"/>
    <hyperlink ref="L5" r:id="rId2" display="javascript:;" xr:uid="{59237431-690F-463F-9041-64E42848C55B}"/>
  </hyperlinks>
  <pageMargins left="0.7" right="0.7" top="0.75" bottom="0.75" header="0.3" footer="0.3"/>
  <pageSetup paperSize="9" orientation="portrait" horizontalDpi="4294967293" verticalDpi="36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CA4B0-F2CA-4249-8C10-78323AA68823}">
  <dimension ref="A1:U14"/>
  <sheetViews>
    <sheetView zoomScale="70" zoomScaleNormal="70" workbookViewId="0">
      <pane ySplit="1" topLeftCell="A2" activePane="bottomLeft" state="frozen"/>
      <selection pane="bottomLeft" activeCell="C2" sqref="C2"/>
    </sheetView>
  </sheetViews>
  <sheetFormatPr defaultRowHeight="18"/>
  <cols>
    <col min="9" max="10" width="6.08203125" customWidth="1"/>
    <col min="11" max="11" width="20.83203125" bestFit="1" customWidth="1"/>
  </cols>
  <sheetData>
    <row r="1" spans="1:21" s="1" customFormat="1" ht="16.5">
      <c r="A1" s="1" t="s">
        <v>37</v>
      </c>
      <c r="B1" s="1" t="s">
        <v>63</v>
      </c>
      <c r="C1" s="1" t="s">
        <v>38</v>
      </c>
      <c r="E1" s="1" t="s">
        <v>21</v>
      </c>
      <c r="F1" s="1" t="s">
        <v>58</v>
      </c>
      <c r="G1" s="1" t="s">
        <v>36</v>
      </c>
      <c r="H1" s="1" t="s">
        <v>12</v>
      </c>
      <c r="I1" s="1" t="s">
        <v>1</v>
      </c>
      <c r="J1" s="1" t="s">
        <v>3</v>
      </c>
      <c r="K1" s="1" t="s">
        <v>2</v>
      </c>
      <c r="L1" s="1" t="s">
        <v>0</v>
      </c>
      <c r="M1" s="1" t="s">
        <v>53</v>
      </c>
      <c r="N1" s="1" t="s">
        <v>19</v>
      </c>
      <c r="O1" s="2" t="s">
        <v>20</v>
      </c>
      <c r="P1" s="1">
        <v>4</v>
      </c>
      <c r="Q1" s="1">
        <v>5</v>
      </c>
      <c r="R1" s="1">
        <v>6</v>
      </c>
      <c r="S1" s="1" t="s">
        <v>6</v>
      </c>
      <c r="T1" s="1" t="s">
        <v>4</v>
      </c>
      <c r="U1" s="1" t="s">
        <v>5</v>
      </c>
    </row>
    <row r="2" spans="1:21">
      <c r="A2">
        <f>COUNTIF(H:H,"TRUE")</f>
        <v>4</v>
      </c>
      <c r="C2">
        <v>6</v>
      </c>
      <c r="F2" t="s">
        <v>59</v>
      </c>
      <c r="G2" t="b">
        <v>1</v>
      </c>
      <c r="I2" t="s">
        <v>17</v>
      </c>
      <c r="K2" t="s">
        <v>18</v>
      </c>
      <c r="L2">
        <v>20</v>
      </c>
      <c r="M2" t="b">
        <v>1</v>
      </c>
    </row>
    <row r="3" spans="1:21">
      <c r="C3">
        <v>6</v>
      </c>
      <c r="G3" t="b">
        <v>1</v>
      </c>
      <c r="H3" t="b">
        <v>1</v>
      </c>
      <c r="I3" t="s">
        <v>9</v>
      </c>
      <c r="K3" t="s">
        <v>10</v>
      </c>
      <c r="L3">
        <v>75</v>
      </c>
      <c r="M3" t="b">
        <v>1</v>
      </c>
    </row>
    <row r="4" spans="1:21">
      <c r="C4">
        <v>6</v>
      </c>
      <c r="D4" t="b">
        <v>1</v>
      </c>
      <c r="E4" t="b">
        <v>1</v>
      </c>
      <c r="F4" t="s">
        <v>62</v>
      </c>
      <c r="G4" t="b">
        <v>1</v>
      </c>
      <c r="H4" t="b">
        <v>0</v>
      </c>
      <c r="I4" t="s">
        <v>8</v>
      </c>
      <c r="K4" t="s">
        <v>7</v>
      </c>
      <c r="L4">
        <v>58</v>
      </c>
      <c r="M4" t="b">
        <v>1</v>
      </c>
      <c r="N4" t="b">
        <v>1</v>
      </c>
    </row>
    <row r="5" spans="1:21">
      <c r="C5">
        <v>6</v>
      </c>
      <c r="D5" t="b">
        <v>1</v>
      </c>
      <c r="E5" t="b">
        <v>1</v>
      </c>
      <c r="G5" t="b">
        <v>1</v>
      </c>
      <c r="H5" t="b">
        <v>1</v>
      </c>
      <c r="I5" t="s">
        <v>13</v>
      </c>
      <c r="K5" t="s">
        <v>11</v>
      </c>
      <c r="L5">
        <v>14</v>
      </c>
      <c r="M5" t="b">
        <v>1</v>
      </c>
      <c r="O5" t="b">
        <v>1</v>
      </c>
    </row>
    <row r="6" spans="1:21">
      <c r="C6" t="s">
        <v>39</v>
      </c>
      <c r="H6" t="b">
        <v>1</v>
      </c>
      <c r="I6" t="s">
        <v>41</v>
      </c>
      <c r="K6" t="s">
        <v>44</v>
      </c>
      <c r="L6">
        <v>81</v>
      </c>
      <c r="M6" t="b">
        <v>0</v>
      </c>
    </row>
    <row r="7" spans="1:21">
      <c r="C7" t="s">
        <v>39</v>
      </c>
      <c r="H7" t="b">
        <v>1</v>
      </c>
      <c r="I7" t="s">
        <v>42</v>
      </c>
      <c r="K7" t="s">
        <v>45</v>
      </c>
      <c r="L7">
        <v>87</v>
      </c>
      <c r="M7" t="b">
        <v>0</v>
      </c>
    </row>
    <row r="14" spans="1:21">
      <c r="H14" s="3"/>
      <c r="I14" s="3"/>
      <c r="J14" s="3"/>
      <c r="K14" s="3"/>
    </row>
  </sheetData>
  <phoneticPr fontId="1"/>
  <pageMargins left="0.7" right="0.7" top="0.75" bottom="0.75" header="0.3" footer="0.3"/>
  <pageSetup paperSize="9" orientation="portrait" horizontalDpi="4294967293" verticalDpi="36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6208A-143C-4159-87E6-033D66AC54DE}">
  <dimension ref="A1:AA38"/>
  <sheetViews>
    <sheetView zoomScale="70" zoomScaleNormal="70" workbookViewId="0">
      <pane ySplit="1" topLeftCell="A2" activePane="bottomLeft" state="frozen"/>
      <selection pane="bottomLeft" activeCell="F2" sqref="F2"/>
    </sheetView>
  </sheetViews>
  <sheetFormatPr defaultRowHeight="18"/>
  <cols>
    <col min="11" max="12" width="6.08203125" customWidth="1"/>
    <col min="13" max="13" width="20.83203125" bestFit="1" customWidth="1"/>
  </cols>
  <sheetData>
    <row r="1" spans="1:27" s="1" customFormat="1" ht="16.5">
      <c r="B1" s="1" t="s">
        <v>37</v>
      </c>
      <c r="C1" s="1" t="s">
        <v>88</v>
      </c>
      <c r="D1" s="1" t="s">
        <v>63</v>
      </c>
      <c r="E1" s="1" t="s">
        <v>38</v>
      </c>
      <c r="F1" s="1" t="s">
        <v>110</v>
      </c>
      <c r="G1" s="1" t="s">
        <v>21</v>
      </c>
      <c r="H1" s="1" t="s">
        <v>58</v>
      </c>
      <c r="I1" s="1" t="s">
        <v>36</v>
      </c>
      <c r="J1" s="1" t="s">
        <v>12</v>
      </c>
      <c r="K1" s="1" t="s">
        <v>1</v>
      </c>
      <c r="L1" s="1" t="s">
        <v>3</v>
      </c>
      <c r="M1" s="1" t="s">
        <v>2</v>
      </c>
      <c r="N1" s="1" t="s">
        <v>0</v>
      </c>
      <c r="O1" s="1" t="s">
        <v>94</v>
      </c>
      <c r="P1" s="1" t="s">
        <v>93</v>
      </c>
      <c r="Q1" s="1" t="s">
        <v>53</v>
      </c>
      <c r="R1" s="1" t="s">
        <v>19</v>
      </c>
      <c r="S1" s="2" t="s">
        <v>20</v>
      </c>
      <c r="T1" s="1">
        <v>4</v>
      </c>
      <c r="U1" s="1">
        <v>5</v>
      </c>
      <c r="V1" s="1">
        <v>6</v>
      </c>
      <c r="W1" s="1" t="s">
        <v>6</v>
      </c>
      <c r="X1" s="1" t="s">
        <v>4</v>
      </c>
      <c r="Y1" s="1" t="s">
        <v>5</v>
      </c>
      <c r="Z1" s="1" t="s">
        <v>89</v>
      </c>
      <c r="AA1" s="1" t="s">
        <v>92</v>
      </c>
    </row>
    <row r="2" spans="1:27">
      <c r="A2" t="s">
        <v>90</v>
      </c>
      <c r="B2">
        <f>COUNTIF(J:J,"TRUE")</f>
        <v>0</v>
      </c>
      <c r="C2">
        <v>1</v>
      </c>
    </row>
    <row r="3" spans="1:27">
      <c r="A3" t="s">
        <v>91</v>
      </c>
      <c r="B3">
        <f>COUNTIF(G:G,TRUE)</f>
        <v>0</v>
      </c>
      <c r="C3">
        <v>2</v>
      </c>
    </row>
    <row r="4" spans="1:27">
      <c r="A4" t="s">
        <v>21</v>
      </c>
      <c r="B4">
        <f>B2-B3</f>
        <v>0</v>
      </c>
      <c r="C4">
        <v>3</v>
      </c>
    </row>
    <row r="5" spans="1:27">
      <c r="C5">
        <v>4</v>
      </c>
    </row>
    <row r="6" spans="1:27">
      <c r="C6">
        <v>5</v>
      </c>
    </row>
    <row r="7" spans="1:27">
      <c r="C7">
        <v>6</v>
      </c>
    </row>
    <row r="8" spans="1:27">
      <c r="C8">
        <v>7</v>
      </c>
    </row>
    <row r="9" spans="1:27">
      <c r="C9">
        <v>8</v>
      </c>
    </row>
    <row r="10" spans="1:27">
      <c r="C10">
        <v>9</v>
      </c>
    </row>
    <row r="11" spans="1:27">
      <c r="C11">
        <v>10</v>
      </c>
    </row>
    <row r="12" spans="1:27">
      <c r="C12">
        <v>11</v>
      </c>
    </row>
    <row r="13" spans="1:27">
      <c r="C13">
        <v>12</v>
      </c>
    </row>
    <row r="14" spans="1:27">
      <c r="C14">
        <v>13</v>
      </c>
    </row>
    <row r="15" spans="1:27">
      <c r="C15">
        <v>14</v>
      </c>
    </row>
    <row r="16" spans="1:27">
      <c r="C16">
        <v>15</v>
      </c>
    </row>
    <row r="17" spans="3:3">
      <c r="C17">
        <v>16</v>
      </c>
    </row>
    <row r="18" spans="3:3">
      <c r="C18">
        <v>17</v>
      </c>
    </row>
    <row r="19" spans="3:3">
      <c r="C19">
        <v>18</v>
      </c>
    </row>
    <row r="20" spans="3:3">
      <c r="C20">
        <v>19</v>
      </c>
    </row>
    <row r="21" spans="3:3">
      <c r="C21">
        <v>20</v>
      </c>
    </row>
    <row r="22" spans="3:3">
      <c r="C22">
        <v>21</v>
      </c>
    </row>
    <row r="23" spans="3:3">
      <c r="C23">
        <v>22</v>
      </c>
    </row>
    <row r="24" spans="3:3">
      <c r="C24">
        <v>23</v>
      </c>
    </row>
    <row r="25" spans="3:3">
      <c r="C25">
        <v>24</v>
      </c>
    </row>
    <row r="26" spans="3:3">
      <c r="C26">
        <v>25</v>
      </c>
    </row>
    <row r="27" spans="3:3">
      <c r="C27">
        <v>26</v>
      </c>
    </row>
    <row r="28" spans="3:3">
      <c r="C28">
        <v>27</v>
      </c>
    </row>
    <row r="29" spans="3:3">
      <c r="C29">
        <v>28</v>
      </c>
    </row>
    <row r="30" spans="3:3">
      <c r="C30">
        <v>29</v>
      </c>
    </row>
    <row r="31" spans="3:3">
      <c r="C31">
        <v>30</v>
      </c>
    </row>
    <row r="32" spans="3:3">
      <c r="C32">
        <v>31</v>
      </c>
    </row>
    <row r="33" spans="3:3">
      <c r="C33">
        <v>32</v>
      </c>
    </row>
    <row r="34" spans="3:3">
      <c r="C34">
        <v>33</v>
      </c>
    </row>
    <row r="35" spans="3:3">
      <c r="C35">
        <v>34</v>
      </c>
    </row>
    <row r="36" spans="3:3">
      <c r="C36">
        <v>35</v>
      </c>
    </row>
    <row r="37" spans="3:3">
      <c r="C37">
        <v>36</v>
      </c>
    </row>
    <row r="38" spans="3:3">
      <c r="C38">
        <v>37</v>
      </c>
    </row>
  </sheetData>
  <phoneticPr fontId="1"/>
  <pageMargins left="0.7" right="0.7" top="0.75" bottom="0.75" header="0.3" footer="0.3"/>
  <pageSetup paperSize="9" orientation="portrait" horizontalDpi="4294967293" verticalDpi="36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21C14-D69D-424A-9CEE-DD17DBF044D4}">
  <dimension ref="A1:AA38"/>
  <sheetViews>
    <sheetView topLeftCell="I1" zoomScale="55" zoomScaleNormal="55" workbookViewId="0">
      <pane ySplit="1" topLeftCell="A2" activePane="bottomLeft" state="frozen"/>
      <selection pane="bottomLeft" activeCell="J5" sqref="J5"/>
    </sheetView>
  </sheetViews>
  <sheetFormatPr defaultRowHeight="18"/>
  <cols>
    <col min="11" max="12" width="6.08203125" customWidth="1"/>
    <col min="13" max="13" width="20.83203125" bestFit="1" customWidth="1"/>
  </cols>
  <sheetData>
    <row r="1" spans="1:27" s="1" customFormat="1" ht="16.5">
      <c r="B1" s="1" t="s">
        <v>37</v>
      </c>
      <c r="C1" s="1" t="s">
        <v>88</v>
      </c>
      <c r="D1" s="1" t="s">
        <v>63</v>
      </c>
      <c r="E1" s="1" t="s">
        <v>38</v>
      </c>
      <c r="G1" s="1" t="s">
        <v>21</v>
      </c>
      <c r="H1" s="1" t="s">
        <v>58</v>
      </c>
      <c r="I1" s="1" t="s">
        <v>36</v>
      </c>
      <c r="J1" s="1" t="s">
        <v>12</v>
      </c>
      <c r="K1" s="1" t="s">
        <v>1</v>
      </c>
      <c r="L1" s="1" t="s">
        <v>3</v>
      </c>
      <c r="M1" s="1" t="s">
        <v>2</v>
      </c>
      <c r="N1" s="1" t="s">
        <v>0</v>
      </c>
      <c r="O1" s="1" t="s">
        <v>94</v>
      </c>
      <c r="P1" s="1" t="s">
        <v>93</v>
      </c>
      <c r="Q1" s="1" t="s">
        <v>53</v>
      </c>
      <c r="R1" s="1" t="s">
        <v>19</v>
      </c>
      <c r="S1" s="2" t="s">
        <v>20</v>
      </c>
      <c r="T1" s="1">
        <v>4</v>
      </c>
      <c r="U1" s="1">
        <v>5</v>
      </c>
      <c r="V1" s="1">
        <v>6</v>
      </c>
      <c r="W1" s="1" t="s">
        <v>6</v>
      </c>
      <c r="X1" s="1" t="s">
        <v>4</v>
      </c>
      <c r="Y1" s="1" t="s">
        <v>5</v>
      </c>
      <c r="Z1" s="1" t="s">
        <v>89</v>
      </c>
      <c r="AA1" s="1" t="s">
        <v>92</v>
      </c>
    </row>
    <row r="2" spans="1:27">
      <c r="A2" t="s">
        <v>90</v>
      </c>
      <c r="B2">
        <f>COUNTIF(J:J,"TRUE")</f>
        <v>1</v>
      </c>
      <c r="C2">
        <v>1</v>
      </c>
      <c r="J2" t="b">
        <v>0</v>
      </c>
      <c r="M2" t="s">
        <v>105</v>
      </c>
      <c r="N2">
        <v>50</v>
      </c>
    </row>
    <row r="3" spans="1:27">
      <c r="A3" t="s">
        <v>91</v>
      </c>
      <c r="B3">
        <f>COUNTIF(G:G,TRUE)</f>
        <v>0</v>
      </c>
      <c r="C3">
        <v>2</v>
      </c>
      <c r="J3" t="b">
        <v>0</v>
      </c>
      <c r="K3" t="s">
        <v>23</v>
      </c>
      <c r="M3" t="s">
        <v>76</v>
      </c>
      <c r="N3">
        <v>9</v>
      </c>
    </row>
    <row r="4" spans="1:27">
      <c r="A4" t="s">
        <v>21</v>
      </c>
      <c r="B4">
        <f>B2-B3</f>
        <v>1</v>
      </c>
      <c r="C4">
        <v>3</v>
      </c>
      <c r="J4" t="b">
        <v>0</v>
      </c>
      <c r="K4" t="s">
        <v>9</v>
      </c>
      <c r="M4" t="s">
        <v>10</v>
      </c>
      <c r="N4">
        <v>75</v>
      </c>
    </row>
    <row r="5" spans="1:27">
      <c r="C5">
        <v>4</v>
      </c>
      <c r="J5" t="b">
        <v>1</v>
      </c>
      <c r="K5" t="s">
        <v>40</v>
      </c>
      <c r="M5" t="s">
        <v>68</v>
      </c>
      <c r="N5">
        <v>80</v>
      </c>
    </row>
    <row r="6" spans="1:27">
      <c r="C6">
        <v>5</v>
      </c>
    </row>
    <row r="7" spans="1:27">
      <c r="C7">
        <v>6</v>
      </c>
    </row>
    <row r="8" spans="1:27">
      <c r="C8">
        <v>7</v>
      </c>
    </row>
    <row r="9" spans="1:27">
      <c r="C9">
        <v>8</v>
      </c>
    </row>
    <row r="10" spans="1:27">
      <c r="C10">
        <v>9</v>
      </c>
    </row>
    <row r="11" spans="1:27">
      <c r="C11">
        <v>10</v>
      </c>
    </row>
    <row r="12" spans="1:27">
      <c r="C12">
        <v>11</v>
      </c>
    </row>
    <row r="13" spans="1:27">
      <c r="C13">
        <v>12</v>
      </c>
    </row>
    <row r="14" spans="1:27">
      <c r="C14">
        <v>13</v>
      </c>
    </row>
    <row r="15" spans="1:27">
      <c r="C15">
        <v>14</v>
      </c>
    </row>
    <row r="16" spans="1:27">
      <c r="C16">
        <v>15</v>
      </c>
    </row>
    <row r="17" spans="3:3">
      <c r="C17">
        <v>16</v>
      </c>
    </row>
    <row r="18" spans="3:3">
      <c r="C18">
        <v>17</v>
      </c>
    </row>
    <row r="19" spans="3:3">
      <c r="C19">
        <v>18</v>
      </c>
    </row>
    <row r="20" spans="3:3">
      <c r="C20">
        <v>19</v>
      </c>
    </row>
    <row r="21" spans="3:3">
      <c r="C21">
        <v>20</v>
      </c>
    </row>
    <row r="22" spans="3:3">
      <c r="C22">
        <v>21</v>
      </c>
    </row>
    <row r="23" spans="3:3">
      <c r="C23">
        <v>22</v>
      </c>
    </row>
    <row r="24" spans="3:3">
      <c r="C24">
        <v>23</v>
      </c>
    </row>
    <row r="25" spans="3:3">
      <c r="C25">
        <v>24</v>
      </c>
    </row>
    <row r="26" spans="3:3">
      <c r="C26">
        <v>25</v>
      </c>
    </row>
    <row r="27" spans="3:3">
      <c r="C27">
        <v>26</v>
      </c>
    </row>
    <row r="28" spans="3:3">
      <c r="C28">
        <v>27</v>
      </c>
    </row>
    <row r="29" spans="3:3">
      <c r="C29">
        <v>28</v>
      </c>
    </row>
    <row r="30" spans="3:3">
      <c r="C30">
        <v>29</v>
      </c>
    </row>
    <row r="31" spans="3:3">
      <c r="C31">
        <v>30</v>
      </c>
    </row>
    <row r="32" spans="3:3">
      <c r="C32">
        <v>31</v>
      </c>
    </row>
    <row r="33" spans="3:3">
      <c r="C33">
        <v>32</v>
      </c>
    </row>
    <row r="34" spans="3:3">
      <c r="C34">
        <v>33</v>
      </c>
    </row>
    <row r="35" spans="3:3">
      <c r="C35">
        <v>34</v>
      </c>
    </row>
    <row r="36" spans="3:3">
      <c r="C36">
        <v>35</v>
      </c>
    </row>
    <row r="37" spans="3:3">
      <c r="C37">
        <v>36</v>
      </c>
    </row>
    <row r="38" spans="3:3">
      <c r="C38">
        <v>37</v>
      </c>
    </row>
  </sheetData>
  <phoneticPr fontId="1"/>
  <pageMargins left="0.7" right="0.7" top="0.75" bottom="0.75" header="0.3" footer="0.3"/>
  <pageSetup paperSize="9" orientation="portrait" horizontalDpi="4294967293"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B3447-AA99-4570-9A43-27B8BA89102F}">
  <dimension ref="A1:Z10"/>
  <sheetViews>
    <sheetView topLeftCell="E1" zoomScale="40" zoomScaleNormal="40" workbookViewId="0">
      <pane ySplit="1" topLeftCell="A2" activePane="bottomLeft" state="frozen"/>
      <selection pane="bottomLeft" activeCell="U10" sqref="U10"/>
    </sheetView>
  </sheetViews>
  <sheetFormatPr defaultRowHeight="18"/>
  <cols>
    <col min="1" max="1" width="4.1640625" style="13" hidden="1" customWidth="1"/>
    <col min="2" max="2" width="5.83203125" style="13" hidden="1" customWidth="1"/>
    <col min="3" max="3" width="6.75" style="13" hidden="1" customWidth="1"/>
    <col min="4" max="5" width="11.08203125" style="13" customWidth="1"/>
    <col min="6" max="6" width="10.9140625" style="13" customWidth="1"/>
    <col min="7" max="7" width="59.08203125" style="13" customWidth="1"/>
    <col min="8" max="8" width="13.83203125" style="13" customWidth="1"/>
    <col min="9" max="9" width="14.25" style="13" customWidth="1"/>
    <col min="10" max="10" width="6.6640625" style="13" customWidth="1"/>
    <col min="11" max="11" width="6.83203125" style="13" customWidth="1"/>
    <col min="12" max="12" width="10.1640625" style="13" customWidth="1"/>
    <col min="13" max="13" width="7.75" style="13" hidden="1" customWidth="1"/>
    <col min="14" max="14" width="9" style="13" customWidth="1"/>
    <col min="15" max="15" width="7.75" style="13" customWidth="1"/>
    <col min="16" max="16" width="10.9140625" style="13" hidden="1" customWidth="1"/>
    <col min="17" max="17" width="6.33203125" style="13" customWidth="1"/>
    <col min="18" max="18" width="7.25" style="13" customWidth="1"/>
    <col min="19" max="19" width="7.9140625" style="13" customWidth="1"/>
    <col min="20" max="20" width="6.33203125" style="13" customWidth="1"/>
    <col min="21" max="21" width="7.4140625" style="13" customWidth="1"/>
    <col min="22" max="22" width="8.4140625" style="13" customWidth="1"/>
    <col min="23" max="23" width="8.6640625" style="13" hidden="1" customWidth="1"/>
    <col min="24" max="16384" width="8.6640625" style="13"/>
  </cols>
  <sheetData>
    <row r="1" spans="1:26" s="12" customFormat="1" ht="16.5">
      <c r="A1" s="12" t="s">
        <v>88</v>
      </c>
      <c r="B1" s="12" t="s">
        <v>284</v>
      </c>
      <c r="C1" s="12" t="s">
        <v>260</v>
      </c>
      <c r="D1" s="12" t="s">
        <v>110</v>
      </c>
      <c r="E1" s="12" t="s">
        <v>3</v>
      </c>
      <c r="F1" s="12" t="s">
        <v>93</v>
      </c>
      <c r="G1" s="12" t="s">
        <v>2</v>
      </c>
      <c r="H1" s="12" t="s">
        <v>401</v>
      </c>
      <c r="I1" s="12" t="s">
        <v>436</v>
      </c>
      <c r="J1" s="12" t="s">
        <v>280</v>
      </c>
      <c r="K1" s="12" t="s">
        <v>0</v>
      </c>
      <c r="L1" s="12" t="s">
        <v>94</v>
      </c>
      <c r="M1" s="12" t="s">
        <v>234</v>
      </c>
      <c r="N1" s="12" t="s">
        <v>261</v>
      </c>
      <c r="O1" s="12" t="s">
        <v>92</v>
      </c>
      <c r="P1" s="12" t="s">
        <v>310</v>
      </c>
      <c r="Q1" s="12" t="s">
        <v>321</v>
      </c>
      <c r="R1" s="12" t="s">
        <v>281</v>
      </c>
      <c r="S1" s="40" t="s">
        <v>277</v>
      </c>
      <c r="T1" s="12" t="s">
        <v>281</v>
      </c>
      <c r="U1" s="12" t="s">
        <v>281</v>
      </c>
      <c r="V1" s="12" t="s">
        <v>36</v>
      </c>
      <c r="W1" s="12" t="s">
        <v>270</v>
      </c>
      <c r="X1" s="22">
        <v>273.14999999999998</v>
      </c>
      <c r="Y1" s="22">
        <f>X1+20</f>
        <v>293.14999999999998</v>
      </c>
      <c r="Z1" s="12">
        <f>64.7+X1</f>
        <v>337.84999999999997</v>
      </c>
    </row>
    <row r="2" spans="1:26">
      <c r="D2" s="13" t="s">
        <v>443</v>
      </c>
      <c r="K2" s="13">
        <v>27</v>
      </c>
      <c r="L2" s="13">
        <f t="shared" ref="L2:L7" si="0">X$1</f>
        <v>273.14999999999998</v>
      </c>
      <c r="S2" s="13" t="s">
        <v>262</v>
      </c>
    </row>
    <row r="3" spans="1:26">
      <c r="D3" s="13" t="s">
        <v>443</v>
      </c>
      <c r="K3" s="13">
        <v>32</v>
      </c>
      <c r="L3" s="13">
        <f t="shared" si="0"/>
        <v>273.14999999999998</v>
      </c>
      <c r="S3" s="13" t="s">
        <v>262</v>
      </c>
    </row>
    <row r="4" spans="1:26">
      <c r="D4" s="13" t="s">
        <v>443</v>
      </c>
      <c r="K4" s="13">
        <v>34</v>
      </c>
      <c r="L4" s="13">
        <f t="shared" si="0"/>
        <v>273.14999999999998</v>
      </c>
      <c r="S4" s="13" t="s">
        <v>262</v>
      </c>
    </row>
    <row r="5" spans="1:26">
      <c r="D5" s="13" t="s">
        <v>443</v>
      </c>
      <c r="K5" s="13">
        <v>5.5</v>
      </c>
      <c r="L5" s="13">
        <f t="shared" si="0"/>
        <v>273.14999999999998</v>
      </c>
      <c r="S5" s="13" t="s">
        <v>262</v>
      </c>
    </row>
    <row r="6" spans="1:26">
      <c r="D6" s="13" t="s">
        <v>443</v>
      </c>
      <c r="J6" s="13" t="s">
        <v>453</v>
      </c>
      <c r="K6" s="13">
        <v>38</v>
      </c>
      <c r="L6" s="13">
        <f t="shared" si="0"/>
        <v>273.14999999999998</v>
      </c>
      <c r="S6" s="13" t="s">
        <v>262</v>
      </c>
    </row>
    <row r="7" spans="1:26">
      <c r="D7" s="13" t="s">
        <v>443</v>
      </c>
      <c r="K7" s="13">
        <v>33</v>
      </c>
      <c r="L7" s="13">
        <f t="shared" si="0"/>
        <v>273.14999999999998</v>
      </c>
      <c r="S7" s="13" t="s">
        <v>262</v>
      </c>
    </row>
    <row r="8" spans="1:26">
      <c r="D8" s="13" t="s">
        <v>443</v>
      </c>
      <c r="K8" s="13">
        <v>60</v>
      </c>
      <c r="L8" s="13">
        <f>X$1+82</f>
        <v>355.15</v>
      </c>
      <c r="S8" s="13" t="s">
        <v>262</v>
      </c>
    </row>
    <row r="9" spans="1:26">
      <c r="D9" s="13" t="s">
        <v>443</v>
      </c>
      <c r="K9" s="13">
        <v>50</v>
      </c>
      <c r="L9" s="13">
        <v>21</v>
      </c>
      <c r="S9" s="13" t="s">
        <v>262</v>
      </c>
    </row>
    <row r="10" spans="1:26" ht="18" customHeight="1">
      <c r="A10" s="13">
        <f>ROW()-1</f>
        <v>9</v>
      </c>
      <c r="C10" s="13">
        <v>6</v>
      </c>
      <c r="D10" s="13" t="s">
        <v>190</v>
      </c>
      <c r="J10" s="13" t="s">
        <v>278</v>
      </c>
      <c r="K10" s="13">
        <v>15</v>
      </c>
      <c r="L10" s="13">
        <f>X1</f>
        <v>273.14999999999998</v>
      </c>
      <c r="Q10" s="13">
        <v>12</v>
      </c>
      <c r="R10" s="13" t="s">
        <v>262</v>
      </c>
      <c r="S10" s="13" t="s">
        <v>262</v>
      </c>
      <c r="U10" s="13" t="s">
        <v>174</v>
      </c>
      <c r="W10" s="13" t="s">
        <v>173</v>
      </c>
    </row>
  </sheetData>
  <sheetProtection formatRows="0"/>
  <autoFilter ref="A1:W1" xr:uid="{1B86F0A3-2D51-4DBD-830F-1AAB6601C358}"/>
  <phoneticPr fontId="1"/>
  <pageMargins left="0.7" right="0.7" top="0.75" bottom="0.75" header="0.3" footer="0.3"/>
  <pageSetup paperSize="9" orientation="portrait" horizontalDpi="4294967293"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6F0A3-2D51-4DBD-830F-1AAB6601C358}">
  <sheetPr filterMode="1"/>
  <dimension ref="A1:AJ216"/>
  <sheetViews>
    <sheetView tabSelected="1" zoomScale="40" zoomScaleNormal="40" workbookViewId="0">
      <pane ySplit="1" topLeftCell="A2" activePane="bottomLeft" state="frozen"/>
      <selection pane="bottomLeft" activeCell="L3" sqref="L3"/>
    </sheetView>
  </sheetViews>
  <sheetFormatPr defaultRowHeight="18"/>
  <cols>
    <col min="1" max="1" width="12.83203125" style="13" customWidth="1"/>
    <col min="2" max="2" width="9.4140625" style="13" customWidth="1"/>
    <col min="3" max="4" width="11.9140625" style="13" customWidth="1"/>
    <col min="5" max="5" width="11.33203125" style="13" customWidth="1"/>
    <col min="6" max="6" width="10.75" style="13" customWidth="1"/>
    <col min="7" max="7" width="8.33203125" style="13" customWidth="1"/>
    <col min="8" max="8" width="9" style="13" customWidth="1"/>
    <col min="9" max="9" width="15" style="13" customWidth="1"/>
    <col min="10" max="10" width="7.9140625" style="13" customWidth="1"/>
    <col min="11" max="11" width="9.1640625" style="13" customWidth="1"/>
    <col min="12" max="13" width="10.9140625" style="13" customWidth="1"/>
    <col min="14" max="14" width="59.08203125" style="13" customWidth="1"/>
    <col min="15" max="15" width="16.1640625" style="13" customWidth="1"/>
    <col min="16" max="16" width="13.83203125" style="13" customWidth="1"/>
    <col min="17" max="17" width="14.25" style="13" customWidth="1"/>
    <col min="18" max="18" width="6.6640625" style="13" customWidth="1"/>
    <col min="19" max="19" width="9.33203125" style="13" customWidth="1"/>
    <col min="20" max="20" width="10.1640625" style="13" customWidth="1"/>
    <col min="21" max="21" width="8.75" style="13" customWidth="1"/>
    <col min="22" max="24" width="9" style="13" customWidth="1"/>
    <col min="25" max="25" width="7.75" style="13" customWidth="1"/>
    <col min="26" max="26" width="6.6640625" style="13" customWidth="1"/>
    <col min="27" max="27" width="6.33203125" style="13" customWidth="1"/>
    <col min="28" max="28" width="7.25" style="13" customWidth="1"/>
    <col min="29" max="29" width="7.9140625" style="13" customWidth="1"/>
    <col min="30" max="30" width="6.33203125" style="13" customWidth="1"/>
    <col min="31" max="31" width="7.4140625" style="13" customWidth="1"/>
    <col min="32" max="32" width="7.83203125" style="13" customWidth="1"/>
    <col min="33" max="33" width="7" style="13" hidden="1" customWidth="1"/>
    <col min="34" max="16384" width="8.6640625" style="13"/>
  </cols>
  <sheetData>
    <row r="1" spans="1:36" s="12" customFormat="1" ht="35" customHeight="1">
      <c r="A1" s="12" t="s">
        <v>88</v>
      </c>
      <c r="B1" s="12" t="s">
        <v>284</v>
      </c>
      <c r="C1" s="12" t="s">
        <v>260</v>
      </c>
      <c r="D1" s="12" t="s">
        <v>767</v>
      </c>
      <c r="E1" s="12" t="s">
        <v>482</v>
      </c>
      <c r="F1" s="12" t="s">
        <v>623</v>
      </c>
      <c r="G1" s="12" t="s">
        <v>483</v>
      </c>
      <c r="H1" s="12" t="s">
        <v>475</v>
      </c>
      <c r="I1" s="12" t="s">
        <v>110</v>
      </c>
      <c r="J1" s="12" t="s">
        <v>474</v>
      </c>
      <c r="K1" s="12" t="s">
        <v>349</v>
      </c>
      <c r="L1" s="12" t="s">
        <v>93</v>
      </c>
      <c r="M1" s="12" t="s">
        <v>602</v>
      </c>
      <c r="N1" s="12" t="s">
        <v>2</v>
      </c>
      <c r="O1" s="12" t="s">
        <v>590</v>
      </c>
      <c r="P1" s="12" t="s">
        <v>401</v>
      </c>
      <c r="Q1" s="12" t="s">
        <v>436</v>
      </c>
      <c r="R1" s="12" t="s">
        <v>280</v>
      </c>
      <c r="S1" s="12" t="s">
        <v>0</v>
      </c>
      <c r="T1" s="12" t="s">
        <v>94</v>
      </c>
      <c r="U1" s="12" t="s">
        <v>234</v>
      </c>
      <c r="V1" s="12" t="s">
        <v>261</v>
      </c>
      <c r="W1" s="12" t="s">
        <v>595</v>
      </c>
      <c r="X1" s="12" t="s">
        <v>664</v>
      </c>
      <c r="Y1" s="12" t="s">
        <v>92</v>
      </c>
      <c r="Z1" s="12" t="s">
        <v>310</v>
      </c>
      <c r="AA1" s="12" t="s">
        <v>321</v>
      </c>
      <c r="AB1" s="12" t="s">
        <v>281</v>
      </c>
      <c r="AC1" s="40" t="s">
        <v>277</v>
      </c>
      <c r="AD1" s="12" t="s">
        <v>289</v>
      </c>
      <c r="AE1" s="12" t="s">
        <v>281</v>
      </c>
      <c r="AF1" s="12" t="s">
        <v>36</v>
      </c>
      <c r="AG1" s="12" t="s">
        <v>270</v>
      </c>
      <c r="AH1" s="22">
        <v>273.14999999999998</v>
      </c>
      <c r="AI1" s="22">
        <f>AH1+20</f>
        <v>293.14999999999998</v>
      </c>
      <c r="AJ1" s="12">
        <f>64.7+AH1</f>
        <v>337.84999999999997</v>
      </c>
    </row>
    <row r="2" spans="1:36" s="21" customFormat="1" ht="22.5" customHeight="1">
      <c r="A2" s="21">
        <v>2</v>
      </c>
      <c r="B2" s="21">
        <v>6</v>
      </c>
      <c r="C2" s="21" t="s">
        <v>13</v>
      </c>
      <c r="D2" s="21" t="b">
        <v>1</v>
      </c>
      <c r="H2" s="21">
        <f>6.57/10</f>
        <v>0.65700000000000003</v>
      </c>
      <c r="I2" s="21" t="s">
        <v>190</v>
      </c>
      <c r="J2" s="21">
        <f>26.43/65.7</f>
        <v>0.40228310502283104</v>
      </c>
      <c r="K2" s="21" t="s">
        <v>345</v>
      </c>
      <c r="L2" s="21" t="s">
        <v>134</v>
      </c>
      <c r="N2" s="21" t="s">
        <v>293</v>
      </c>
      <c r="O2" s="21" t="s">
        <v>586</v>
      </c>
      <c r="P2"/>
      <c r="Q2"/>
      <c r="S2" s="21">
        <f>100*1/7</f>
        <v>14.285714285714286</v>
      </c>
      <c r="T2" s="21">
        <f>$AJ$1</f>
        <v>337.84999999999997</v>
      </c>
      <c r="U2" s="23" t="s">
        <v>244</v>
      </c>
      <c r="V2" s="14" t="s">
        <v>167</v>
      </c>
      <c r="W2" s="14"/>
      <c r="X2" s="14">
        <v>2010</v>
      </c>
      <c r="Y2" s="21" t="s">
        <v>144</v>
      </c>
      <c r="Z2" s="21" t="s">
        <v>311</v>
      </c>
      <c r="AA2" s="21">
        <v>1</v>
      </c>
      <c r="AB2" s="21" t="s">
        <v>262</v>
      </c>
      <c r="AC2" s="21" t="s">
        <v>262</v>
      </c>
      <c r="AE2" s="21" t="s">
        <v>262</v>
      </c>
      <c r="AF2" s="21" t="s">
        <v>265</v>
      </c>
    </row>
    <row r="3" spans="1:36" s="21" customFormat="1" ht="17.5" customHeight="1">
      <c r="A3" s="21">
        <v>3</v>
      </c>
      <c r="B3" s="21">
        <v>6</v>
      </c>
      <c r="C3" s="21" t="s">
        <v>13</v>
      </c>
      <c r="D3" s="21" t="b">
        <v>1</v>
      </c>
      <c r="I3" s="21" t="s">
        <v>190</v>
      </c>
      <c r="K3" s="21" t="s">
        <v>345</v>
      </c>
      <c r="L3" s="21" t="s">
        <v>227</v>
      </c>
      <c r="N3" s="21" t="s">
        <v>293</v>
      </c>
      <c r="O3" s="21" t="s">
        <v>599</v>
      </c>
      <c r="P3"/>
      <c r="Q3"/>
      <c r="S3" s="21">
        <f>100*1/4</f>
        <v>25</v>
      </c>
      <c r="T3" s="21">
        <f>78.29+$AH$1</f>
        <v>351.44</v>
      </c>
      <c r="U3" s="23" t="s">
        <v>266</v>
      </c>
      <c r="V3" s="14" t="s">
        <v>167</v>
      </c>
      <c r="W3" s="14"/>
      <c r="X3" s="14">
        <v>2010</v>
      </c>
      <c r="Y3" s="21" t="s">
        <v>144</v>
      </c>
      <c r="Z3" s="21" t="s">
        <v>311</v>
      </c>
      <c r="AB3" s="21" t="b">
        <v>0</v>
      </c>
      <c r="AC3" s="21" t="s">
        <v>714</v>
      </c>
      <c r="AF3" s="21" t="s">
        <v>265</v>
      </c>
    </row>
    <row r="4" spans="1:36" s="21" customFormat="1" ht="17.5" customHeight="1">
      <c r="D4" s="21" t="b">
        <v>1</v>
      </c>
      <c r="I4" s="21" t="s">
        <v>659</v>
      </c>
      <c r="L4" s="21" t="s">
        <v>618</v>
      </c>
      <c r="N4" s="21" t="s">
        <v>660</v>
      </c>
      <c r="O4" s="21" t="s">
        <v>599</v>
      </c>
      <c r="P4"/>
      <c r="Q4"/>
      <c r="S4" s="21">
        <f>100*24/(24+72)</f>
        <v>25</v>
      </c>
      <c r="T4" s="13">
        <f>AH$1-78</f>
        <v>195.14999999999998</v>
      </c>
      <c r="U4" s="38"/>
      <c r="V4" s="14"/>
      <c r="W4" s="14"/>
      <c r="X4" s="14">
        <v>1985</v>
      </c>
      <c r="Y4" t="s">
        <v>661</v>
      </c>
      <c r="AE4" s="21" t="s">
        <v>629</v>
      </c>
    </row>
    <row r="5" spans="1:36" s="21" customFormat="1" ht="17.5" customHeight="1">
      <c r="B5" s="21">
        <v>6</v>
      </c>
      <c r="C5" s="21" t="s">
        <v>749</v>
      </c>
      <c r="I5" s="21" t="s">
        <v>631</v>
      </c>
      <c r="L5" s="21" t="s">
        <v>637</v>
      </c>
      <c r="N5" s="13" t="s">
        <v>74</v>
      </c>
      <c r="O5" s="21" t="s">
        <v>662</v>
      </c>
      <c r="P5"/>
      <c r="Q5"/>
      <c r="S5" s="21">
        <v>52</v>
      </c>
      <c r="T5" s="13" t="s">
        <v>734</v>
      </c>
      <c r="U5" s="38"/>
      <c r="V5" s="14"/>
      <c r="W5" s="14"/>
      <c r="X5" s="14">
        <v>1971</v>
      </c>
      <c r="Y5" t="s">
        <v>663</v>
      </c>
    </row>
    <row r="6" spans="1:36" s="21" customFormat="1" ht="17.5" customHeight="1">
      <c r="C6" s="21" t="s">
        <v>749</v>
      </c>
      <c r="I6" s="21" t="s">
        <v>735</v>
      </c>
      <c r="L6" s="21" t="s">
        <v>736</v>
      </c>
      <c r="N6" s="13" t="s">
        <v>74</v>
      </c>
      <c r="O6" s="21" t="s">
        <v>737</v>
      </c>
      <c r="P6"/>
      <c r="Q6"/>
      <c r="S6" s="21">
        <v>75</v>
      </c>
      <c r="T6" s="13" t="s">
        <v>734</v>
      </c>
      <c r="U6" s="38"/>
      <c r="V6" s="14"/>
      <c r="W6" s="14"/>
      <c r="X6" s="14">
        <v>1971</v>
      </c>
      <c r="Y6" t="s">
        <v>663</v>
      </c>
    </row>
    <row r="7" spans="1:36" s="21" customFormat="1" ht="17.5" customHeight="1">
      <c r="C7" s="21" t="s">
        <v>749</v>
      </c>
      <c r="I7" s="21" t="s">
        <v>738</v>
      </c>
      <c r="L7" s="21" t="s">
        <v>736</v>
      </c>
      <c r="N7" s="13" t="s">
        <v>74</v>
      </c>
      <c r="O7" s="21" t="s">
        <v>737</v>
      </c>
      <c r="P7"/>
      <c r="Q7"/>
      <c r="S7" s="21">
        <v>83</v>
      </c>
      <c r="T7" s="13" t="s">
        <v>734</v>
      </c>
      <c r="U7" s="38"/>
      <c r="V7" s="14"/>
      <c r="W7" s="14"/>
      <c r="X7" s="14">
        <v>1971</v>
      </c>
      <c r="Y7" t="s">
        <v>663</v>
      </c>
    </row>
    <row r="8" spans="1:36" s="21" customFormat="1" ht="17.5" customHeight="1">
      <c r="C8" s="21" t="s">
        <v>749</v>
      </c>
      <c r="I8" s="21" t="s">
        <v>739</v>
      </c>
      <c r="L8" s="21" t="s">
        <v>736</v>
      </c>
      <c r="N8" s="13" t="s">
        <v>74</v>
      </c>
      <c r="O8" s="21" t="s">
        <v>737</v>
      </c>
      <c r="P8"/>
      <c r="Q8"/>
      <c r="S8" s="21">
        <v>54</v>
      </c>
      <c r="T8" s="13" t="s">
        <v>734</v>
      </c>
      <c r="U8" s="38"/>
      <c r="V8" s="14"/>
      <c r="W8" s="14"/>
      <c r="X8" s="14">
        <v>1971</v>
      </c>
      <c r="Y8" t="s">
        <v>663</v>
      </c>
    </row>
    <row r="9" spans="1:36" s="21" customFormat="1" ht="17.5" customHeight="1">
      <c r="C9" s="21" t="s">
        <v>749</v>
      </c>
      <c r="I9" s="21" t="s">
        <v>740</v>
      </c>
      <c r="L9" s="21" t="s">
        <v>736</v>
      </c>
      <c r="N9" s="13" t="s">
        <v>74</v>
      </c>
      <c r="O9" s="21" t="s">
        <v>737</v>
      </c>
      <c r="P9"/>
      <c r="Q9"/>
      <c r="S9" s="21">
        <v>73</v>
      </c>
      <c r="T9" s="13" t="s">
        <v>734</v>
      </c>
      <c r="U9" s="38"/>
      <c r="V9" s="14"/>
      <c r="W9" s="14"/>
      <c r="X9" s="14">
        <v>1971</v>
      </c>
      <c r="Y9" t="s">
        <v>663</v>
      </c>
    </row>
    <row r="10" spans="1:36" s="21" customFormat="1" ht="17.5" customHeight="1">
      <c r="C10" s="21" t="s">
        <v>750</v>
      </c>
      <c r="I10" s="21" t="s">
        <v>631</v>
      </c>
      <c r="L10" s="21" t="s">
        <v>741</v>
      </c>
      <c r="N10" s="21" t="s">
        <v>742</v>
      </c>
      <c r="O10" s="21" t="s">
        <v>743</v>
      </c>
      <c r="P10"/>
      <c r="Q10"/>
      <c r="S10" s="21">
        <v>89</v>
      </c>
      <c r="T10" s="13" t="s">
        <v>734</v>
      </c>
      <c r="U10" s="38"/>
      <c r="V10" s="14"/>
      <c r="W10" s="14"/>
      <c r="X10" s="14">
        <v>1971</v>
      </c>
      <c r="Y10" t="s">
        <v>663</v>
      </c>
    </row>
    <row r="11" spans="1:36" s="21" customFormat="1" ht="17.5" customHeight="1">
      <c r="C11" s="21" t="s">
        <v>750</v>
      </c>
      <c r="I11" s="21" t="s">
        <v>735</v>
      </c>
      <c r="L11" s="21" t="s">
        <v>741</v>
      </c>
      <c r="N11" s="21" t="s">
        <v>742</v>
      </c>
      <c r="O11" s="21" t="s">
        <v>743</v>
      </c>
      <c r="P11"/>
      <c r="Q11"/>
      <c r="S11" s="21">
        <v>98</v>
      </c>
      <c r="T11" s="13" t="s">
        <v>734</v>
      </c>
      <c r="U11" s="38"/>
      <c r="V11" s="14"/>
      <c r="W11" s="14"/>
      <c r="X11" s="14">
        <v>1971</v>
      </c>
      <c r="Y11" t="s">
        <v>663</v>
      </c>
    </row>
    <row r="12" spans="1:36" s="21" customFormat="1" ht="17.5" customHeight="1">
      <c r="C12" s="21" t="s">
        <v>750</v>
      </c>
      <c r="I12" s="21" t="s">
        <v>738</v>
      </c>
      <c r="L12" s="21" t="s">
        <v>741</v>
      </c>
      <c r="N12" s="21" t="s">
        <v>742</v>
      </c>
      <c r="O12" s="21" t="s">
        <v>743</v>
      </c>
      <c r="P12"/>
      <c r="Q12"/>
      <c r="S12" s="21">
        <v>85</v>
      </c>
      <c r="T12" s="13" t="s">
        <v>734</v>
      </c>
      <c r="U12" s="38"/>
      <c r="V12" s="14"/>
      <c r="W12" s="14"/>
      <c r="X12" s="14">
        <v>1971</v>
      </c>
      <c r="Y12" t="s">
        <v>663</v>
      </c>
    </row>
    <row r="13" spans="1:36" s="21" customFormat="1" ht="17.5" customHeight="1">
      <c r="C13" s="21" t="s">
        <v>750</v>
      </c>
      <c r="I13" s="21" t="s">
        <v>740</v>
      </c>
      <c r="L13" s="21" t="s">
        <v>741</v>
      </c>
      <c r="N13" s="21" t="s">
        <v>742</v>
      </c>
      <c r="O13" s="21" t="s">
        <v>743</v>
      </c>
      <c r="P13"/>
      <c r="Q13"/>
      <c r="S13" s="21">
        <v>93</v>
      </c>
      <c r="T13" s="13" t="s">
        <v>734</v>
      </c>
      <c r="U13" s="38"/>
      <c r="V13" s="14"/>
      <c r="W13" s="14"/>
      <c r="X13" s="14">
        <v>1971</v>
      </c>
      <c r="Y13" t="s">
        <v>663</v>
      </c>
    </row>
    <row r="14" spans="1:36" s="21" customFormat="1" ht="17.5" customHeight="1">
      <c r="C14" s="21" t="s">
        <v>751</v>
      </c>
      <c r="I14" s="21" t="s">
        <v>631</v>
      </c>
      <c r="L14" s="21" t="s">
        <v>741</v>
      </c>
      <c r="N14" s="21" t="s">
        <v>293</v>
      </c>
      <c r="O14" s="21" t="s">
        <v>747</v>
      </c>
      <c r="P14"/>
      <c r="Q14"/>
      <c r="S14" s="21">
        <v>92</v>
      </c>
      <c r="T14" s="13" t="s">
        <v>734</v>
      </c>
      <c r="U14" s="38"/>
      <c r="V14" s="14"/>
      <c r="W14" s="14"/>
      <c r="X14" s="14">
        <v>1971</v>
      </c>
      <c r="Y14" t="s">
        <v>663</v>
      </c>
    </row>
    <row r="15" spans="1:36" s="21" customFormat="1" ht="17.5" customHeight="1">
      <c r="C15" s="21" t="s">
        <v>751</v>
      </c>
      <c r="I15" s="21" t="s">
        <v>735</v>
      </c>
      <c r="L15" s="21" t="s">
        <v>741</v>
      </c>
      <c r="N15" s="21" t="s">
        <v>293</v>
      </c>
      <c r="O15" s="21" t="s">
        <v>747</v>
      </c>
      <c r="P15"/>
      <c r="Q15"/>
      <c r="S15" s="21">
        <v>99</v>
      </c>
      <c r="T15" s="13" t="s">
        <v>734</v>
      </c>
      <c r="U15" s="38"/>
      <c r="V15" s="14"/>
      <c r="W15" s="14"/>
      <c r="X15" s="14">
        <v>1971</v>
      </c>
      <c r="Y15" t="s">
        <v>663</v>
      </c>
    </row>
    <row r="16" spans="1:36" s="21" customFormat="1" ht="17.5" customHeight="1">
      <c r="C16" s="21" t="s">
        <v>751</v>
      </c>
      <c r="I16" s="21" t="s">
        <v>740</v>
      </c>
      <c r="L16" s="21" t="s">
        <v>741</v>
      </c>
      <c r="N16" s="21" t="s">
        <v>293</v>
      </c>
      <c r="O16" s="21" t="s">
        <v>747</v>
      </c>
      <c r="P16"/>
      <c r="Q16"/>
      <c r="S16" s="21">
        <v>93</v>
      </c>
      <c r="T16" s="13" t="s">
        <v>734</v>
      </c>
      <c r="U16" s="38"/>
      <c r="V16" s="14"/>
      <c r="W16" s="14"/>
      <c r="X16" s="14">
        <v>1971</v>
      </c>
      <c r="Y16" t="s">
        <v>663</v>
      </c>
    </row>
    <row r="17" spans="1:32" s="21" customFormat="1" ht="17.5" customHeight="1">
      <c r="C17" s="21" t="s">
        <v>752</v>
      </c>
      <c r="I17" s="21" t="s">
        <v>631</v>
      </c>
      <c r="L17" s="21" t="s">
        <v>741</v>
      </c>
      <c r="N17" s="21" t="s">
        <v>748</v>
      </c>
      <c r="O17" s="21" t="s">
        <v>747</v>
      </c>
      <c r="P17"/>
      <c r="Q17"/>
      <c r="S17" s="21">
        <v>89</v>
      </c>
      <c r="T17" s="13" t="s">
        <v>734</v>
      </c>
      <c r="U17" s="38"/>
      <c r="V17" s="14"/>
      <c r="W17" s="14"/>
      <c r="X17" s="14">
        <v>1971</v>
      </c>
      <c r="Y17" t="s">
        <v>663</v>
      </c>
    </row>
    <row r="18" spans="1:32" s="21" customFormat="1" ht="17.5" customHeight="1">
      <c r="C18" s="21" t="s">
        <v>752</v>
      </c>
      <c r="I18" s="21" t="s">
        <v>735</v>
      </c>
      <c r="L18" s="21" t="s">
        <v>741</v>
      </c>
      <c r="N18" s="21" t="s">
        <v>748</v>
      </c>
      <c r="O18" s="21" t="s">
        <v>747</v>
      </c>
      <c r="P18"/>
      <c r="Q18"/>
      <c r="S18" s="21">
        <v>98</v>
      </c>
      <c r="T18" s="13" t="s">
        <v>734</v>
      </c>
      <c r="U18" s="38"/>
      <c r="V18" s="14"/>
      <c r="W18" s="14"/>
      <c r="X18" s="14">
        <v>1971</v>
      </c>
      <c r="Y18" t="s">
        <v>663</v>
      </c>
    </row>
    <row r="19" spans="1:32" s="21" customFormat="1" ht="17.5" customHeight="1">
      <c r="C19" s="21" t="s">
        <v>752</v>
      </c>
      <c r="I19" s="21" t="s">
        <v>740</v>
      </c>
      <c r="L19" s="21" t="s">
        <v>741</v>
      </c>
      <c r="N19" s="21" t="s">
        <v>748</v>
      </c>
      <c r="O19" s="21" t="s">
        <v>747</v>
      </c>
      <c r="P19"/>
      <c r="Q19"/>
      <c r="S19" s="21">
        <v>84</v>
      </c>
      <c r="T19" s="13" t="s">
        <v>734</v>
      </c>
      <c r="U19" s="38"/>
      <c r="V19" s="14"/>
      <c r="W19" s="14"/>
      <c r="X19" s="14">
        <v>1971</v>
      </c>
      <c r="Y19" t="s">
        <v>663</v>
      </c>
    </row>
    <row r="20" spans="1:32" s="21" customFormat="1" ht="17.5" customHeight="1">
      <c r="C20" s="21" t="s">
        <v>753</v>
      </c>
      <c r="I20" s="21" t="s">
        <v>631</v>
      </c>
      <c r="L20" s="21" t="s">
        <v>741</v>
      </c>
      <c r="N20" s="21" t="s">
        <v>754</v>
      </c>
      <c r="O20" s="21" t="s">
        <v>745</v>
      </c>
      <c r="P20"/>
      <c r="Q20"/>
      <c r="S20" s="21">
        <v>24</v>
      </c>
      <c r="T20" s="13" t="s">
        <v>734</v>
      </c>
      <c r="U20" s="38"/>
      <c r="V20" s="14"/>
      <c r="W20" s="14"/>
      <c r="X20" s="14">
        <v>1971</v>
      </c>
      <c r="Y20" t="s">
        <v>663</v>
      </c>
    </row>
    <row r="21" spans="1:32" s="21" customFormat="1" ht="17.5" customHeight="1">
      <c r="C21" s="21" t="s">
        <v>753</v>
      </c>
      <c r="I21" s="21" t="s">
        <v>735</v>
      </c>
      <c r="L21" s="21" t="s">
        <v>741</v>
      </c>
      <c r="N21" s="21" t="s">
        <v>754</v>
      </c>
      <c r="O21" s="21" t="s">
        <v>745</v>
      </c>
      <c r="P21"/>
      <c r="Q21"/>
      <c r="S21" s="21">
        <v>44</v>
      </c>
      <c r="T21" s="13" t="s">
        <v>734</v>
      </c>
      <c r="U21" s="38"/>
      <c r="V21" s="14"/>
      <c r="W21" s="14"/>
      <c r="X21" s="14">
        <v>1971</v>
      </c>
      <c r="Y21" t="s">
        <v>663</v>
      </c>
    </row>
    <row r="22" spans="1:32" s="21" customFormat="1" ht="17.5" customHeight="1">
      <c r="C22" s="21" t="s">
        <v>753</v>
      </c>
      <c r="I22" s="21" t="s">
        <v>738</v>
      </c>
      <c r="L22" s="21" t="s">
        <v>741</v>
      </c>
      <c r="N22" s="21" t="s">
        <v>754</v>
      </c>
      <c r="O22" s="21" t="s">
        <v>745</v>
      </c>
      <c r="P22"/>
      <c r="Q22"/>
      <c r="S22" s="21">
        <v>23</v>
      </c>
      <c r="T22" s="13" t="s">
        <v>734</v>
      </c>
      <c r="U22" s="38"/>
      <c r="V22" s="14"/>
      <c r="W22" s="14"/>
      <c r="X22" s="14">
        <v>1971</v>
      </c>
      <c r="Y22" t="s">
        <v>663</v>
      </c>
    </row>
    <row r="23" spans="1:32" s="21" customFormat="1" ht="17.5" customHeight="1">
      <c r="C23" s="21" t="s">
        <v>753</v>
      </c>
      <c r="I23" s="21" t="s">
        <v>740</v>
      </c>
      <c r="L23" s="21" t="s">
        <v>741</v>
      </c>
      <c r="N23" s="21" t="s">
        <v>754</v>
      </c>
      <c r="O23" s="21" t="s">
        <v>745</v>
      </c>
      <c r="P23"/>
      <c r="Q23"/>
      <c r="S23" s="21">
        <v>28</v>
      </c>
      <c r="T23" s="13" t="s">
        <v>734</v>
      </c>
      <c r="U23" s="38"/>
      <c r="V23" s="14"/>
      <c r="W23" s="14"/>
      <c r="X23" s="14">
        <v>1971</v>
      </c>
      <c r="Y23" t="s">
        <v>663</v>
      </c>
    </row>
    <row r="24" spans="1:32" s="21" customFormat="1" ht="17.5" customHeight="1">
      <c r="C24" s="21" t="s">
        <v>755</v>
      </c>
      <c r="I24" s="21" t="s">
        <v>631</v>
      </c>
      <c r="L24" s="21" t="s">
        <v>741</v>
      </c>
      <c r="P24"/>
      <c r="Q24"/>
      <c r="T24" s="13"/>
      <c r="U24" s="38"/>
      <c r="V24" s="14"/>
      <c r="W24" s="14"/>
      <c r="X24" s="14"/>
      <c r="Y24"/>
    </row>
    <row r="25" spans="1:32" s="21" customFormat="1" ht="17.5" customHeight="1">
      <c r="I25" s="21" t="s">
        <v>735</v>
      </c>
      <c r="L25" s="21" t="s">
        <v>741</v>
      </c>
      <c r="P25"/>
      <c r="Q25"/>
      <c r="T25" s="13"/>
      <c r="U25" s="38"/>
      <c r="V25" s="14"/>
      <c r="W25" s="14"/>
      <c r="X25" s="14"/>
      <c r="Y25"/>
    </row>
    <row r="26" spans="1:32" s="21" customFormat="1" ht="17.5" customHeight="1">
      <c r="I26" s="21" t="s">
        <v>738</v>
      </c>
      <c r="L26" s="21" t="s">
        <v>741</v>
      </c>
      <c r="P26"/>
      <c r="Q26"/>
      <c r="T26" s="13"/>
      <c r="U26" s="38"/>
      <c r="V26" s="14"/>
      <c r="W26" s="14"/>
      <c r="X26" s="14"/>
      <c r="Y26"/>
    </row>
    <row r="27" spans="1:32" s="21" customFormat="1" ht="17.5" customHeight="1">
      <c r="I27" s="21" t="s">
        <v>740</v>
      </c>
      <c r="L27" s="21" t="s">
        <v>741</v>
      </c>
      <c r="P27"/>
      <c r="Q27"/>
      <c r="T27" s="13"/>
      <c r="U27" s="38"/>
      <c r="V27" s="14"/>
      <c r="W27" s="14"/>
      <c r="X27" s="14"/>
      <c r="Y27"/>
    </row>
    <row r="28" spans="1:32" s="21" customFormat="1" ht="17.5" customHeight="1">
      <c r="A28" s="21">
        <v>4</v>
      </c>
      <c r="C28" s="21" t="s">
        <v>525</v>
      </c>
      <c r="H28" s="21">
        <f>0.97/5</f>
        <v>0.19400000000000001</v>
      </c>
      <c r="I28" s="21" t="s">
        <v>243</v>
      </c>
      <c r="J28" s="21">
        <f>1.9/0.97</f>
        <v>1.9587628865979381</v>
      </c>
      <c r="K28" s="21" t="s">
        <v>351</v>
      </c>
      <c r="L28" s="21" t="s">
        <v>246</v>
      </c>
      <c r="N28" s="21" t="s">
        <v>27</v>
      </c>
      <c r="O28" s="21" t="s">
        <v>586</v>
      </c>
      <c r="P28"/>
      <c r="Q28"/>
      <c r="S28" s="21">
        <v>59</v>
      </c>
      <c r="T28" s="21">
        <f>$AI$1</f>
        <v>293.14999999999998</v>
      </c>
      <c r="V28" s="14" t="s">
        <v>163</v>
      </c>
      <c r="W28" s="14"/>
      <c r="X28" s="14">
        <v>1989</v>
      </c>
      <c r="Y28" s="21" t="s">
        <v>164</v>
      </c>
      <c r="Z28" s="21" t="s">
        <v>312</v>
      </c>
      <c r="AA28" s="21">
        <v>2</v>
      </c>
      <c r="AB28" s="21" t="s">
        <v>262</v>
      </c>
      <c r="AC28" s="21" t="s">
        <v>269</v>
      </c>
      <c r="AE28" s="21" t="s">
        <v>271</v>
      </c>
      <c r="AF28" s="21" t="s">
        <v>265</v>
      </c>
    </row>
    <row r="29" spans="1:32" s="21" customFormat="1" ht="21.5" customHeight="1">
      <c r="A29" s="21">
        <v>5</v>
      </c>
      <c r="C29" s="21" t="s">
        <v>526</v>
      </c>
      <c r="I29" s="21" t="s">
        <v>243</v>
      </c>
      <c r="K29" s="21" t="s">
        <v>350</v>
      </c>
      <c r="L29" s="21" t="s">
        <v>246</v>
      </c>
      <c r="N29" s="21" t="s">
        <v>596</v>
      </c>
      <c r="O29" s="21" t="s">
        <v>587</v>
      </c>
      <c r="P29"/>
      <c r="Q29"/>
      <c r="R29" s="21" t="s">
        <v>440</v>
      </c>
      <c r="S29" s="21">
        <f>2/3*100</f>
        <v>66.666666666666657</v>
      </c>
      <c r="T29" s="21">
        <f>$AI$1</f>
        <v>293.14999999999998</v>
      </c>
      <c r="V29" s="14" t="s">
        <v>163</v>
      </c>
      <c r="W29" s="14"/>
      <c r="X29" s="14">
        <v>1989</v>
      </c>
      <c r="Y29" s="21" t="s">
        <v>164</v>
      </c>
      <c r="AA29" s="21">
        <v>2</v>
      </c>
      <c r="AB29" s="21" t="s">
        <v>271</v>
      </c>
      <c r="AC29" s="21" t="s">
        <v>271</v>
      </c>
      <c r="AE29" s="21" t="s">
        <v>271</v>
      </c>
    </row>
    <row r="30" spans="1:32" s="21" customFormat="1" ht="20" customHeight="1">
      <c r="A30" s="21">
        <v>6</v>
      </c>
      <c r="C30" s="21" t="s">
        <v>247</v>
      </c>
      <c r="I30" s="21" t="s">
        <v>249</v>
      </c>
      <c r="L30" s="13" t="s">
        <v>250</v>
      </c>
      <c r="M30" s="13"/>
      <c r="N30" s="21" t="s">
        <v>596</v>
      </c>
      <c r="O30" s="23" t="s">
        <v>597</v>
      </c>
      <c r="P30" s="23"/>
      <c r="Q30" s="23"/>
      <c r="R30" s="21" t="s">
        <v>440</v>
      </c>
      <c r="S30" s="51">
        <f>1100/13</f>
        <v>84.615384615384613</v>
      </c>
      <c r="T30" s="38">
        <f>$AH$1-72</f>
        <v>201.14999999999998</v>
      </c>
      <c r="U30" s="38"/>
      <c r="V30" s="14" t="s">
        <v>163</v>
      </c>
      <c r="W30" s="14"/>
      <c r="X30" s="14">
        <v>1989</v>
      </c>
      <c r="Y30" s="21" t="s">
        <v>164</v>
      </c>
      <c r="AA30" s="21">
        <v>3</v>
      </c>
      <c r="AB30" s="21" t="b">
        <v>0</v>
      </c>
      <c r="AC30" s="21" t="s">
        <v>714</v>
      </c>
    </row>
    <row r="31" spans="1:32" s="21" customFormat="1" ht="24" customHeight="1">
      <c r="A31" s="21">
        <v>7</v>
      </c>
      <c r="C31" s="21" t="s">
        <v>247</v>
      </c>
      <c r="I31" s="21" t="s">
        <v>249</v>
      </c>
      <c r="L31" s="21" t="s">
        <v>598</v>
      </c>
      <c r="N31" s="21" t="s">
        <v>596</v>
      </c>
      <c r="O31" s="23" t="s">
        <v>597</v>
      </c>
      <c r="P31" s="23"/>
      <c r="Q31" s="23"/>
      <c r="R31" s="21" t="s">
        <v>440</v>
      </c>
      <c r="S31" s="51">
        <f>50</f>
        <v>50</v>
      </c>
      <c r="T31" s="21">
        <f>$AH$1-72</f>
        <v>201.14999999999998</v>
      </c>
      <c r="U31" s="38"/>
      <c r="V31" s="14" t="s">
        <v>163</v>
      </c>
      <c r="W31" s="14"/>
      <c r="X31" s="14">
        <v>1989</v>
      </c>
      <c r="Y31" s="21" t="s">
        <v>164</v>
      </c>
      <c r="AA31" s="21">
        <v>3</v>
      </c>
      <c r="AB31" s="21" t="b">
        <v>0</v>
      </c>
      <c r="AC31" s="21" t="s">
        <v>714</v>
      </c>
    </row>
    <row r="32" spans="1:32" s="21" customFormat="1" ht="24" customHeight="1">
      <c r="F32" s="21" t="b">
        <v>1</v>
      </c>
      <c r="I32" s="21" t="s">
        <v>601</v>
      </c>
      <c r="L32" s="21" t="s">
        <v>603</v>
      </c>
      <c r="M32" s="21" t="s">
        <v>604</v>
      </c>
      <c r="N32" s="21" t="s">
        <v>605</v>
      </c>
      <c r="O32" s="38" t="s">
        <v>599</v>
      </c>
      <c r="P32" s="38"/>
      <c r="Q32" s="38" t="s">
        <v>614</v>
      </c>
      <c r="S32" s="52">
        <v>15</v>
      </c>
      <c r="T32" s="21">
        <f>AVERAGE(-10,10)+$AH$1</f>
        <v>273.14999999999998</v>
      </c>
      <c r="U32" s="38"/>
      <c r="V32" s="14"/>
      <c r="W32" s="14"/>
      <c r="X32" s="14">
        <v>2015</v>
      </c>
      <c r="Y32" s="21" t="s">
        <v>600</v>
      </c>
    </row>
    <row r="33" spans="1:33" s="21" customFormat="1" ht="24" customHeight="1">
      <c r="F33" s="21" t="b">
        <v>1</v>
      </c>
      <c r="I33" s="21" t="s">
        <v>601</v>
      </c>
      <c r="L33" s="21" t="s">
        <v>603</v>
      </c>
      <c r="M33" s="21" t="s">
        <v>604</v>
      </c>
      <c r="N33" s="21" t="s">
        <v>606</v>
      </c>
      <c r="O33" s="38" t="s">
        <v>599</v>
      </c>
      <c r="P33" s="38"/>
      <c r="Q33" s="38" t="s">
        <v>615</v>
      </c>
      <c r="S33" s="52">
        <v>13</v>
      </c>
      <c r="T33" s="21">
        <f>AVERAGE(-10,10)+$AH$1</f>
        <v>273.14999999999998</v>
      </c>
      <c r="U33" s="38"/>
      <c r="V33" s="14"/>
      <c r="W33" s="14"/>
      <c r="X33" s="14">
        <v>2015</v>
      </c>
      <c r="Y33" s="21" t="s">
        <v>600</v>
      </c>
    </row>
    <row r="34" spans="1:33" s="21" customFormat="1" ht="24" customHeight="1">
      <c r="F34" s="21" t="b">
        <v>1</v>
      </c>
      <c r="I34" s="21" t="s">
        <v>601</v>
      </c>
      <c r="L34" s="21" t="s">
        <v>603</v>
      </c>
      <c r="M34" s="21" t="s">
        <v>604</v>
      </c>
      <c r="N34" s="21" t="s">
        <v>607</v>
      </c>
      <c r="O34" s="38" t="s">
        <v>599</v>
      </c>
      <c r="P34" s="38"/>
      <c r="Q34" s="38" t="s">
        <v>616</v>
      </c>
      <c r="S34" s="52">
        <v>10</v>
      </c>
      <c r="T34" s="21">
        <f>AVERAGE(-10,10)+$AH$1</f>
        <v>273.14999999999998</v>
      </c>
      <c r="U34" s="38"/>
      <c r="V34" s="14"/>
      <c r="W34" s="14"/>
      <c r="X34" s="14">
        <v>2015</v>
      </c>
      <c r="Y34" s="21" t="s">
        <v>600</v>
      </c>
    </row>
    <row r="35" spans="1:33" s="21" customFormat="1" ht="24" customHeight="1">
      <c r="F35" s="21" t="b">
        <v>1</v>
      </c>
      <c r="I35" s="21" t="s">
        <v>601</v>
      </c>
      <c r="L35" s="21" t="s">
        <v>603</v>
      </c>
      <c r="M35" s="21" t="s">
        <v>604</v>
      </c>
      <c r="N35" s="21" t="s">
        <v>608</v>
      </c>
      <c r="O35" s="38" t="s">
        <v>599</v>
      </c>
      <c r="P35" s="38"/>
      <c r="Q35" s="38" t="s">
        <v>617</v>
      </c>
      <c r="S35" s="52">
        <v>8</v>
      </c>
      <c r="T35" s="21">
        <f>AVERAGE(-10,10)+$AH$1</f>
        <v>273.14999999999998</v>
      </c>
      <c r="U35" s="38"/>
      <c r="V35" s="14"/>
      <c r="W35" s="14"/>
      <c r="X35" s="14">
        <v>2015</v>
      </c>
      <c r="Y35" s="21" t="s">
        <v>600</v>
      </c>
    </row>
    <row r="36" spans="1:33" s="21" customFormat="1" ht="17.5" customHeight="1">
      <c r="A36" s="13"/>
      <c r="B36" s="13"/>
      <c r="C36" s="13"/>
      <c r="D36" s="13"/>
      <c r="E36" s="13" t="b">
        <v>1</v>
      </c>
      <c r="F36" s="13"/>
      <c r="G36" s="13"/>
      <c r="H36" s="13"/>
      <c r="I36" s="21" t="s">
        <v>218</v>
      </c>
      <c r="J36" s="13"/>
      <c r="K36" s="13"/>
      <c r="L36" s="21" t="s">
        <v>618</v>
      </c>
      <c r="M36" s="13"/>
      <c r="N36" s="41" t="s">
        <v>610</v>
      </c>
      <c r="O36" s="41" t="s">
        <v>599</v>
      </c>
      <c r="P36" s="13"/>
      <c r="Q36" s="38" t="s">
        <v>622</v>
      </c>
      <c r="R36" s="13"/>
      <c r="S36" s="13">
        <v>0</v>
      </c>
      <c r="T36" s="13">
        <f>AH$1-78</f>
        <v>195.14999999999998</v>
      </c>
      <c r="U36" s="25"/>
      <c r="V36" s="27" t="s">
        <v>307</v>
      </c>
      <c r="W36" s="27"/>
      <c r="X36" s="27">
        <v>2015</v>
      </c>
      <c r="Y36" s="44" t="s">
        <v>460</v>
      </c>
      <c r="Z36" s="26"/>
      <c r="AA36" s="38">
        <v>3</v>
      </c>
      <c r="AB36" s="13"/>
      <c r="AC36" s="13" t="b">
        <v>0</v>
      </c>
      <c r="AD36" s="13" t="s">
        <v>481</v>
      </c>
      <c r="AE36" s="13"/>
      <c r="AF36" s="13"/>
      <c r="AG36" s="13"/>
    </row>
    <row r="37" spans="1:33" s="21" customFormat="1" ht="17.5" customHeight="1">
      <c r="A37" s="13"/>
      <c r="B37" s="13"/>
      <c r="C37" s="13"/>
      <c r="D37" s="13"/>
      <c r="E37" s="13" t="b">
        <v>1</v>
      </c>
      <c r="F37" s="13"/>
      <c r="G37" s="13"/>
      <c r="H37" s="13"/>
      <c r="I37" s="21" t="s">
        <v>218</v>
      </c>
      <c r="J37" s="13"/>
      <c r="K37" s="13"/>
      <c r="L37" s="21" t="s">
        <v>618</v>
      </c>
      <c r="M37" s="13"/>
      <c r="N37" s="41" t="s">
        <v>612</v>
      </c>
      <c r="O37" s="41" t="s">
        <v>599</v>
      </c>
      <c r="P37" s="13"/>
      <c r="Q37" s="38" t="s">
        <v>621</v>
      </c>
      <c r="R37" s="13"/>
      <c r="S37" s="52">
        <v>0</v>
      </c>
      <c r="T37" s="13">
        <f>AH$1-78</f>
        <v>195.14999999999998</v>
      </c>
      <c r="U37" s="25"/>
      <c r="V37" s="27"/>
      <c r="W37" s="27"/>
      <c r="X37" s="27">
        <v>2015</v>
      </c>
      <c r="Y37" s="44" t="s">
        <v>460</v>
      </c>
      <c r="Z37" s="26"/>
      <c r="AA37" s="38"/>
      <c r="AB37" s="13"/>
      <c r="AC37" s="13"/>
      <c r="AD37" s="13"/>
      <c r="AE37" s="13"/>
      <c r="AF37" s="13"/>
      <c r="AG37" s="13"/>
    </row>
    <row r="38" spans="1:33" s="21" customFormat="1" ht="17.5" customHeight="1">
      <c r="A38" s="13"/>
      <c r="B38" s="13"/>
      <c r="C38" s="13"/>
      <c r="D38" s="13"/>
      <c r="E38" s="13" t="b">
        <v>1</v>
      </c>
      <c r="F38" s="13"/>
      <c r="G38" s="13"/>
      <c r="H38" s="13"/>
      <c r="I38" s="21" t="s">
        <v>218</v>
      </c>
      <c r="J38" s="13"/>
      <c r="K38" s="13"/>
      <c r="L38" s="21" t="s">
        <v>618</v>
      </c>
      <c r="M38" s="13"/>
      <c r="N38" s="41" t="s">
        <v>611</v>
      </c>
      <c r="O38" s="41" t="s">
        <v>599</v>
      </c>
      <c r="P38" s="13"/>
      <c r="Q38" s="38" t="s">
        <v>620</v>
      </c>
      <c r="R38" s="13"/>
      <c r="S38" s="52">
        <v>0</v>
      </c>
      <c r="T38" s="13">
        <f>AH$1-78</f>
        <v>195.14999999999998</v>
      </c>
      <c r="U38" s="25"/>
      <c r="V38" s="27"/>
      <c r="W38" s="27"/>
      <c r="X38" s="27">
        <v>2015</v>
      </c>
      <c r="Y38" s="44" t="s">
        <v>460</v>
      </c>
      <c r="Z38" s="26"/>
      <c r="AA38" s="38"/>
      <c r="AB38" s="13"/>
      <c r="AC38" s="13"/>
      <c r="AD38" s="13"/>
      <c r="AE38" s="13"/>
      <c r="AF38" s="13"/>
      <c r="AG38" s="13"/>
    </row>
    <row r="39" spans="1:33" s="21" customFormat="1" ht="17.5" customHeight="1">
      <c r="A39" s="13"/>
      <c r="B39" s="13"/>
      <c r="C39" s="13"/>
      <c r="D39" s="13"/>
      <c r="E39" s="13" t="b">
        <v>1</v>
      </c>
      <c r="F39" s="13"/>
      <c r="G39" s="13"/>
      <c r="H39" s="13"/>
      <c r="I39" s="21" t="s">
        <v>218</v>
      </c>
      <c r="K39" s="13"/>
      <c r="L39" s="21" t="s">
        <v>618</v>
      </c>
      <c r="M39" s="13"/>
      <c r="N39" s="41" t="s">
        <v>613</v>
      </c>
      <c r="O39" s="41" t="s">
        <v>599</v>
      </c>
      <c r="P39" s="13"/>
      <c r="Q39" s="38" t="s">
        <v>619</v>
      </c>
      <c r="R39" s="13"/>
      <c r="S39" s="52">
        <v>0</v>
      </c>
      <c r="T39" s="13">
        <f>AH$1-78</f>
        <v>195.14999999999998</v>
      </c>
      <c r="U39" s="25"/>
      <c r="V39" s="27"/>
      <c r="W39" s="27"/>
      <c r="X39" s="27">
        <v>2015</v>
      </c>
      <c r="Y39" s="44" t="s">
        <v>460</v>
      </c>
      <c r="Z39" s="26"/>
      <c r="AA39" s="38"/>
      <c r="AB39" s="13"/>
      <c r="AC39" s="13"/>
      <c r="AD39" s="13"/>
      <c r="AE39" s="13"/>
      <c r="AF39" s="13"/>
      <c r="AG39" s="13"/>
    </row>
    <row r="40" spans="1:33" s="21" customFormat="1" ht="17.5" customHeight="1">
      <c r="A40" s="13"/>
      <c r="B40" s="13"/>
      <c r="C40" s="13"/>
      <c r="D40" s="13"/>
      <c r="E40" s="13"/>
      <c r="F40" s="13" t="b">
        <v>1</v>
      </c>
      <c r="G40" s="13"/>
      <c r="H40" s="13"/>
      <c r="I40" s="21" t="s">
        <v>601</v>
      </c>
      <c r="K40" s="13"/>
      <c r="L40" s="21" t="s">
        <v>626</v>
      </c>
      <c r="M40" s="13"/>
      <c r="N40" s="41" t="s">
        <v>624</v>
      </c>
      <c r="O40" s="41" t="s">
        <v>599</v>
      </c>
      <c r="P40" s="13"/>
      <c r="Q40" s="38" t="s">
        <v>625</v>
      </c>
      <c r="R40" s="13"/>
      <c r="S40" s="52">
        <v>33</v>
      </c>
      <c r="T40" s="13" t="s">
        <v>667</v>
      </c>
      <c r="U40" s="25"/>
      <c r="V40" s="27"/>
      <c r="W40" s="27"/>
      <c r="X40" s="27">
        <v>2004</v>
      </c>
      <c r="Y40" s="21" t="s">
        <v>181</v>
      </c>
      <c r="Z40" s="26"/>
      <c r="AA40" s="38"/>
      <c r="AB40" s="13"/>
      <c r="AC40" s="13"/>
      <c r="AD40" s="13"/>
      <c r="AE40" s="13"/>
      <c r="AF40" s="13"/>
      <c r="AG40" s="13"/>
    </row>
    <row r="41" spans="1:33" s="21" customFormat="1" ht="17.5" customHeight="1">
      <c r="A41" s="13"/>
      <c r="B41" s="13"/>
      <c r="C41" s="13"/>
      <c r="D41" s="13"/>
      <c r="E41" s="13"/>
      <c r="F41" s="13"/>
      <c r="G41" s="13"/>
      <c r="H41" s="13"/>
      <c r="I41" s="21" t="s">
        <v>601</v>
      </c>
      <c r="K41" s="13"/>
      <c r="L41" s="21" t="s">
        <v>603</v>
      </c>
      <c r="M41" s="13"/>
      <c r="N41" s="41" t="s">
        <v>630</v>
      </c>
      <c r="O41" s="41" t="s">
        <v>599</v>
      </c>
      <c r="P41" s="13"/>
      <c r="Q41" s="38" t="s">
        <v>632</v>
      </c>
      <c r="R41" s="13"/>
      <c r="S41" s="52">
        <v>99</v>
      </c>
      <c r="T41" s="21">
        <f t="shared" ref="T41:T46" si="0">25+$AH$1</f>
        <v>298.14999999999998</v>
      </c>
      <c r="U41" s="25"/>
      <c r="V41" s="27"/>
      <c r="W41" s="27"/>
      <c r="X41" s="27">
        <v>2004</v>
      </c>
      <c r="Y41" s="21" t="s">
        <v>181</v>
      </c>
      <c r="Z41" s="26"/>
      <c r="AA41" s="38"/>
      <c r="AB41" s="13"/>
      <c r="AC41" s="13"/>
      <c r="AD41" s="13"/>
      <c r="AE41" s="13"/>
      <c r="AF41" s="13"/>
      <c r="AG41" s="13"/>
    </row>
    <row r="42" spans="1:33" s="21" customFormat="1" ht="17.5" customHeight="1">
      <c r="A42" s="13"/>
      <c r="B42" s="13"/>
      <c r="C42" s="13"/>
      <c r="D42" s="13"/>
      <c r="E42" s="13"/>
      <c r="F42" s="13"/>
      <c r="G42" s="13"/>
      <c r="H42" s="13"/>
      <c r="I42" s="21" t="s">
        <v>631</v>
      </c>
      <c r="K42" s="13"/>
      <c r="L42" s="21" t="s">
        <v>618</v>
      </c>
      <c r="M42" s="13"/>
      <c r="N42" s="41" t="s">
        <v>630</v>
      </c>
      <c r="O42" s="41" t="s">
        <v>599</v>
      </c>
      <c r="P42" s="13"/>
      <c r="Q42" s="38" t="s">
        <v>632</v>
      </c>
      <c r="R42" s="13"/>
      <c r="S42" s="52">
        <v>99</v>
      </c>
      <c r="T42" s="21">
        <f t="shared" si="0"/>
        <v>298.14999999999998</v>
      </c>
      <c r="U42" s="25"/>
      <c r="V42" s="27"/>
      <c r="W42" s="27"/>
      <c r="X42" s="27">
        <v>2004</v>
      </c>
      <c r="Y42" s="21" t="s">
        <v>181</v>
      </c>
      <c r="Z42" s="26"/>
      <c r="AA42" s="38"/>
      <c r="AB42" s="13"/>
      <c r="AC42" s="13"/>
      <c r="AD42" s="13"/>
      <c r="AE42" s="13"/>
      <c r="AF42" s="13"/>
      <c r="AG42" s="13"/>
    </row>
    <row r="43" spans="1:33" s="21" customFormat="1" ht="17.5" customHeight="1">
      <c r="A43" s="13"/>
      <c r="B43" s="13"/>
      <c r="C43" s="13"/>
      <c r="D43" s="13"/>
      <c r="E43" s="13"/>
      <c r="F43" s="13"/>
      <c r="G43" s="13"/>
      <c r="H43" s="13"/>
      <c r="I43" s="21" t="s">
        <v>190</v>
      </c>
      <c r="K43" s="13"/>
      <c r="L43" s="21" t="s">
        <v>603</v>
      </c>
      <c r="M43" s="13"/>
      <c r="N43" s="41" t="s">
        <v>633</v>
      </c>
      <c r="O43" s="41" t="s">
        <v>599</v>
      </c>
      <c r="P43" s="13"/>
      <c r="Q43" s="38" t="s">
        <v>634</v>
      </c>
      <c r="R43" s="13"/>
      <c r="S43" s="52">
        <v>99</v>
      </c>
      <c r="T43" s="21">
        <f t="shared" si="0"/>
        <v>298.14999999999998</v>
      </c>
      <c r="U43" s="25"/>
      <c r="V43" s="27"/>
      <c r="W43" s="27"/>
      <c r="X43" s="27">
        <v>2004</v>
      </c>
      <c r="Y43" s="21" t="s">
        <v>181</v>
      </c>
      <c r="Z43" s="26"/>
      <c r="AA43" s="38"/>
      <c r="AB43" s="13"/>
      <c r="AC43" s="13"/>
      <c r="AD43" s="13"/>
      <c r="AE43" s="13"/>
      <c r="AF43" s="13"/>
      <c r="AG43" s="13"/>
    </row>
    <row r="44" spans="1:33" s="21" customFormat="1" ht="17.5" customHeight="1">
      <c r="A44" s="13"/>
      <c r="B44" s="13"/>
      <c r="C44" s="13"/>
      <c r="D44" s="13"/>
      <c r="E44" s="13"/>
      <c r="F44" s="13"/>
      <c r="G44" s="13"/>
      <c r="H44" s="13"/>
      <c r="I44" s="21" t="s">
        <v>190</v>
      </c>
      <c r="K44" s="13"/>
      <c r="L44" s="21" t="s">
        <v>603</v>
      </c>
      <c r="M44" s="13"/>
      <c r="N44" s="41" t="s">
        <v>633</v>
      </c>
      <c r="O44" s="41" t="s">
        <v>599</v>
      </c>
      <c r="P44" s="13"/>
      <c r="Q44" s="38" t="s">
        <v>634</v>
      </c>
      <c r="R44" s="13"/>
      <c r="S44" s="52">
        <v>99</v>
      </c>
      <c r="T44" s="21">
        <f t="shared" si="0"/>
        <v>298.14999999999998</v>
      </c>
      <c r="U44" s="25"/>
      <c r="V44" s="27"/>
      <c r="W44" s="27"/>
      <c r="X44" s="27">
        <v>2004</v>
      </c>
      <c r="Y44" s="21" t="s">
        <v>181</v>
      </c>
      <c r="Z44" s="26"/>
      <c r="AA44" s="38"/>
      <c r="AB44" s="13"/>
      <c r="AC44" s="13"/>
      <c r="AD44" s="13"/>
      <c r="AE44" s="13"/>
      <c r="AF44" s="13"/>
      <c r="AG44" s="13"/>
    </row>
    <row r="45" spans="1:33" s="21" customFormat="1" ht="21.5" customHeight="1">
      <c r="A45" s="21">
        <v>7</v>
      </c>
      <c r="I45" s="21" t="s">
        <v>254</v>
      </c>
      <c r="L45" s="21" t="s">
        <v>255</v>
      </c>
      <c r="N45" s="41" t="s">
        <v>627</v>
      </c>
      <c r="O45" s="21" t="s">
        <v>599</v>
      </c>
      <c r="Q45" s="21" t="s">
        <v>628</v>
      </c>
      <c r="S45" s="21">
        <v>49</v>
      </c>
      <c r="T45" s="21">
        <f t="shared" si="0"/>
        <v>298.14999999999998</v>
      </c>
      <c r="V45" s="14" t="s">
        <v>180</v>
      </c>
      <c r="W45" s="14"/>
      <c r="X45" s="14">
        <v>2004</v>
      </c>
      <c r="Y45" s="21" t="s">
        <v>181</v>
      </c>
      <c r="AA45" s="21">
        <v>4</v>
      </c>
      <c r="AB45" s="21" t="b">
        <v>0</v>
      </c>
      <c r="AC45" s="21" t="b">
        <v>0</v>
      </c>
      <c r="AF45" s="21" t="s">
        <v>265</v>
      </c>
    </row>
    <row r="46" spans="1:33" s="21" customFormat="1" ht="21.5" customHeight="1">
      <c r="C46" s="21" t="s">
        <v>264</v>
      </c>
      <c r="I46" s="21" t="s">
        <v>190</v>
      </c>
      <c r="L46" s="21" t="s">
        <v>134</v>
      </c>
      <c r="N46" s="41" t="s">
        <v>627</v>
      </c>
      <c r="O46" s="21" t="s">
        <v>599</v>
      </c>
      <c r="Q46" s="21" t="s">
        <v>628</v>
      </c>
      <c r="S46" s="21">
        <v>51</v>
      </c>
      <c r="T46" s="21">
        <f t="shared" si="0"/>
        <v>298.14999999999998</v>
      </c>
      <c r="V46" s="14"/>
      <c r="W46" s="14"/>
      <c r="X46" s="14">
        <v>2004</v>
      </c>
      <c r="Y46" s="21" t="s">
        <v>181</v>
      </c>
      <c r="AC46" s="21" t="s">
        <v>629</v>
      </c>
    </row>
    <row r="47" spans="1:33" s="21" customFormat="1" ht="21.5" customHeight="1">
      <c r="I47" s="21" t="s">
        <v>190</v>
      </c>
      <c r="L47" s="21" t="s">
        <v>134</v>
      </c>
      <c r="N47" s="21" t="s">
        <v>132</v>
      </c>
      <c r="O47" s="21" t="s">
        <v>599</v>
      </c>
      <c r="Q47" s="21" t="s">
        <v>635</v>
      </c>
      <c r="S47" s="21">
        <v>4</v>
      </c>
      <c r="T47" s="21">
        <f>AI$1</f>
        <v>293.14999999999998</v>
      </c>
      <c r="V47" s="14"/>
      <c r="W47" s="14"/>
      <c r="X47" s="14">
        <v>2002</v>
      </c>
      <c r="Y47" s="21" t="s">
        <v>128</v>
      </c>
      <c r="AC47" s="21" t="s">
        <v>629</v>
      </c>
    </row>
    <row r="48" spans="1:33" s="21" customFormat="1" ht="21.5" customHeight="1">
      <c r="I48" s="21" t="s">
        <v>636</v>
      </c>
      <c r="L48" s="21" t="s">
        <v>637</v>
      </c>
      <c r="N48" s="21" t="s">
        <v>132</v>
      </c>
      <c r="O48" s="21" t="s">
        <v>599</v>
      </c>
      <c r="Q48" s="21" t="s">
        <v>635</v>
      </c>
      <c r="S48" s="21">
        <v>2</v>
      </c>
      <c r="T48" s="21">
        <f>AI$1</f>
        <v>293.14999999999998</v>
      </c>
      <c r="V48" s="14"/>
      <c r="W48" s="14"/>
      <c r="X48" s="14">
        <v>2002</v>
      </c>
      <c r="Y48" s="21" t="s">
        <v>128</v>
      </c>
    </row>
    <row r="49" spans="1:36" s="21" customFormat="1" ht="20.5" customHeight="1">
      <c r="A49" s="13"/>
      <c r="B49" s="13"/>
      <c r="C49" s="13"/>
      <c r="D49" s="13"/>
      <c r="E49" s="13"/>
      <c r="F49" s="13"/>
      <c r="G49" s="13"/>
      <c r="H49" s="13">
        <f>50/999/2</f>
        <v>2.5025025025025027E-2</v>
      </c>
      <c r="I49" s="13" t="s">
        <v>190</v>
      </c>
      <c r="J49" s="13">
        <f>(61/99)/(50/999)</f>
        <v>12.310909090909089</v>
      </c>
      <c r="K49" s="13" t="s">
        <v>422</v>
      </c>
      <c r="L49" s="13" t="s">
        <v>485</v>
      </c>
      <c r="M49" s="13"/>
      <c r="N49" s="21" t="s">
        <v>639</v>
      </c>
      <c r="O49" s="21" t="s">
        <v>586</v>
      </c>
      <c r="P49" s="13"/>
      <c r="Q49" s="21" t="s">
        <v>640</v>
      </c>
      <c r="R49" s="13"/>
      <c r="S49" s="13">
        <f>27*100/(49+27)</f>
        <v>35.526315789473685</v>
      </c>
      <c r="T49" s="13">
        <f>$AI$1</f>
        <v>293.14999999999998</v>
      </c>
      <c r="U49" s="13"/>
      <c r="V49" s="10" t="s">
        <v>442</v>
      </c>
      <c r="W49" s="10"/>
      <c r="X49" s="10">
        <v>2004</v>
      </c>
      <c r="Y49" s="21" t="s">
        <v>638</v>
      </c>
      <c r="Z49" s="13"/>
      <c r="AA49" s="38">
        <v>4</v>
      </c>
      <c r="AB49" s="13"/>
      <c r="AC49" s="13" t="s">
        <v>262</v>
      </c>
      <c r="AD49" s="13"/>
      <c r="AF49" s="13"/>
      <c r="AG49" s="13"/>
      <c r="AI49" s="13"/>
      <c r="AJ49" s="13"/>
    </row>
    <row r="50" spans="1:36" s="21" customFormat="1" ht="20.5" customHeight="1">
      <c r="A50" s="13"/>
      <c r="B50" s="13"/>
      <c r="C50" s="13"/>
      <c r="D50" s="13"/>
      <c r="E50" s="13"/>
      <c r="F50" s="13"/>
      <c r="G50" s="13"/>
      <c r="H50" s="13"/>
      <c r="I50" s="21" t="s">
        <v>190</v>
      </c>
      <c r="J50" s="13"/>
      <c r="K50" s="13"/>
      <c r="L50" s="21" t="s">
        <v>134</v>
      </c>
      <c r="M50" s="13"/>
      <c r="N50" s="21" t="s">
        <v>86</v>
      </c>
      <c r="O50" s="21" t="s">
        <v>599</v>
      </c>
      <c r="P50" s="13"/>
      <c r="Q50" s="21" t="s">
        <v>641</v>
      </c>
      <c r="R50" s="13"/>
      <c r="S50" s="13">
        <f>100/3</f>
        <v>33.333333333333336</v>
      </c>
      <c r="T50" s="21">
        <f>$AH$1</f>
        <v>273.14999999999998</v>
      </c>
      <c r="U50" s="13"/>
      <c r="V50" s="10"/>
      <c r="W50" s="10"/>
      <c r="X50" s="10">
        <v>2011</v>
      </c>
      <c r="Y50" s="21" t="s">
        <v>136</v>
      </c>
      <c r="Z50" s="13"/>
      <c r="AA50" s="38"/>
      <c r="AB50" s="13"/>
      <c r="AC50" s="21" t="s">
        <v>629</v>
      </c>
      <c r="AD50" s="13"/>
      <c r="AF50" s="13"/>
      <c r="AG50" s="13"/>
      <c r="AI50" s="13"/>
      <c r="AJ50" s="13"/>
    </row>
    <row r="51" spans="1:36" s="21" customFormat="1" ht="31.5" customHeight="1">
      <c r="A51" s="21">
        <f>ROW()-1</f>
        <v>50</v>
      </c>
      <c r="C51" s="21">
        <v>6</v>
      </c>
      <c r="I51" s="21" t="s">
        <v>216</v>
      </c>
      <c r="L51" s="21" t="s">
        <v>217</v>
      </c>
      <c r="N51" s="21" t="s">
        <v>86</v>
      </c>
      <c r="O51" s="21" t="s">
        <v>599</v>
      </c>
      <c r="Q51" s="21" t="s">
        <v>642</v>
      </c>
      <c r="S51" s="21">
        <f>100*1/11</f>
        <v>9.0909090909090917</v>
      </c>
      <c r="T51" s="21">
        <f>-78+$AH$1</f>
        <v>195.14999999999998</v>
      </c>
      <c r="V51" s="14" t="s">
        <v>137</v>
      </c>
      <c r="W51" s="14"/>
      <c r="X51" s="14">
        <v>2011</v>
      </c>
      <c r="Y51" s="21" t="s">
        <v>136</v>
      </c>
    </row>
    <row r="52" spans="1:36" ht="26.5" customHeight="1">
      <c r="A52" s="13">
        <f>ROW()-1</f>
        <v>51</v>
      </c>
      <c r="C52" s="13">
        <v>6</v>
      </c>
      <c r="I52" s="13" t="s">
        <v>218</v>
      </c>
      <c r="L52" s="13" t="s">
        <v>101</v>
      </c>
      <c r="N52" s="13" t="s">
        <v>86</v>
      </c>
      <c r="O52" s="21" t="s">
        <v>599</v>
      </c>
      <c r="Q52" s="21" t="s">
        <v>643</v>
      </c>
      <c r="S52" s="13">
        <f>100*1/2</f>
        <v>50</v>
      </c>
      <c r="T52" s="15">
        <f>$AH$1+AVERAGE(-78,0)</f>
        <v>234.14999999999998</v>
      </c>
      <c r="V52" s="14" t="s">
        <v>137</v>
      </c>
      <c r="W52" s="14"/>
      <c r="X52" s="14">
        <v>2011</v>
      </c>
      <c r="Y52" s="13" t="s">
        <v>136</v>
      </c>
    </row>
    <row r="53" spans="1:36" ht="22.5" customHeight="1">
      <c r="A53" s="13">
        <f>ROW()-1</f>
        <v>52</v>
      </c>
      <c r="C53" s="13">
        <v>6</v>
      </c>
      <c r="I53" s="13" t="s">
        <v>219</v>
      </c>
      <c r="L53" s="13" t="s">
        <v>101</v>
      </c>
      <c r="N53" s="13" t="s">
        <v>86</v>
      </c>
      <c r="O53" s="21" t="s">
        <v>599</v>
      </c>
      <c r="Q53" s="21" t="s">
        <v>644</v>
      </c>
      <c r="S53" s="13">
        <f>100*5/6</f>
        <v>83.333333333333329</v>
      </c>
      <c r="T53" s="15">
        <f>$AH$1+AVERAGE(-78,0)</f>
        <v>234.14999999999998</v>
      </c>
      <c r="V53" s="14" t="s">
        <v>137</v>
      </c>
      <c r="W53" s="14"/>
      <c r="X53" s="14">
        <v>2011</v>
      </c>
      <c r="Y53" s="13" t="s">
        <v>136</v>
      </c>
    </row>
    <row r="54" spans="1:36" ht="20" customHeight="1">
      <c r="A54" s="13">
        <f>ROW()-1</f>
        <v>53</v>
      </c>
      <c r="C54" s="13">
        <v>6</v>
      </c>
      <c r="I54" s="18" t="s">
        <v>219</v>
      </c>
      <c r="J54" s="18"/>
      <c r="K54" s="18"/>
      <c r="L54" s="21" t="s">
        <v>217</v>
      </c>
      <c r="M54" s="18"/>
      <c r="N54" s="13" t="s">
        <v>86</v>
      </c>
      <c r="O54" s="21" t="s">
        <v>599</v>
      </c>
      <c r="Q54" s="21" t="s">
        <v>645</v>
      </c>
      <c r="S54" s="13">
        <f>100*1/1</f>
        <v>100</v>
      </c>
      <c r="T54" s="15">
        <f>$AH$1+AVERAGE(-78,0)</f>
        <v>234.14999999999998</v>
      </c>
      <c r="V54" s="14" t="s">
        <v>137</v>
      </c>
      <c r="W54" s="14"/>
      <c r="X54" s="14">
        <v>2011</v>
      </c>
      <c r="Y54" s="13" t="s">
        <v>136</v>
      </c>
    </row>
    <row r="55" spans="1:36" ht="20" customHeight="1">
      <c r="I55" s="18" t="s">
        <v>636</v>
      </c>
      <c r="J55" s="18"/>
      <c r="K55" s="18"/>
      <c r="L55" s="21" t="s">
        <v>648</v>
      </c>
      <c r="M55" s="18"/>
      <c r="N55" s="13" t="s">
        <v>359</v>
      </c>
      <c r="O55" s="21" t="s">
        <v>599</v>
      </c>
      <c r="Q55" s="21" t="s">
        <v>649</v>
      </c>
      <c r="S55" s="13">
        <f>100*25/(22+25)</f>
        <v>53.191489361702125</v>
      </c>
      <c r="T55" s="13">
        <f>$AI$1</f>
        <v>293.14999999999998</v>
      </c>
      <c r="V55" s="14"/>
      <c r="W55" s="14"/>
      <c r="X55" s="14">
        <v>2011</v>
      </c>
      <c r="Y55" s="13" t="s">
        <v>466</v>
      </c>
    </row>
    <row r="56" spans="1:36">
      <c r="A56" s="13">
        <f>ROW()-1</f>
        <v>55</v>
      </c>
      <c r="C56" s="13">
        <v>4</v>
      </c>
      <c r="I56" s="13" t="s">
        <v>295</v>
      </c>
      <c r="L56" s="13" t="s">
        <v>296</v>
      </c>
      <c r="N56" s="13" t="s">
        <v>646</v>
      </c>
      <c r="O56" s="21" t="s">
        <v>586</v>
      </c>
      <c r="Q56" s="21" t="s">
        <v>647</v>
      </c>
      <c r="S56" s="13">
        <f>100*45/(23+45)</f>
        <v>66.17647058823529</v>
      </c>
      <c r="T56" s="46">
        <f>AI$1</f>
        <v>293.14999999999998</v>
      </c>
      <c r="V56" s="14" t="s">
        <v>302</v>
      </c>
      <c r="W56" s="14"/>
      <c r="X56" s="14">
        <v>2011</v>
      </c>
      <c r="Y56" s="13" t="s">
        <v>466</v>
      </c>
      <c r="AA56" s="13">
        <v>7</v>
      </c>
      <c r="AC56" s="13" t="s">
        <v>292</v>
      </c>
    </row>
    <row r="57" spans="1:36">
      <c r="A57" s="13">
        <f>ROW()-1</f>
        <v>56</v>
      </c>
      <c r="B57" s="13" t="s">
        <v>305</v>
      </c>
      <c r="C57" s="13" t="s">
        <v>305</v>
      </c>
      <c r="E57" s="13" t="b">
        <v>1</v>
      </c>
      <c r="I57" s="13" t="s">
        <v>295</v>
      </c>
      <c r="K57" s="13" t="s">
        <v>360</v>
      </c>
      <c r="L57" s="13" t="s">
        <v>296</v>
      </c>
      <c r="N57" s="13" t="s">
        <v>650</v>
      </c>
      <c r="O57" s="41" t="s">
        <v>586</v>
      </c>
      <c r="Q57" s="21" t="s">
        <v>651</v>
      </c>
      <c r="S57" s="13">
        <v>43</v>
      </c>
      <c r="T57" s="13">
        <f>AH$1-78</f>
        <v>195.14999999999998</v>
      </c>
      <c r="V57" s="27" t="s">
        <v>354</v>
      </c>
      <c r="W57" s="27"/>
      <c r="X57" s="27">
        <v>1993</v>
      </c>
      <c r="Y57" s="26" t="s">
        <v>353</v>
      </c>
      <c r="Z57" s="26"/>
      <c r="AA57" s="38">
        <v>8</v>
      </c>
      <c r="AC57" s="13" t="s">
        <v>352</v>
      </c>
    </row>
    <row r="58" spans="1:36">
      <c r="A58" s="13">
        <f>ROW()-1</f>
        <v>57</v>
      </c>
      <c r="B58" s="13" t="s">
        <v>305</v>
      </c>
      <c r="C58" s="13" t="s">
        <v>305</v>
      </c>
      <c r="E58" s="13" t="b">
        <v>1</v>
      </c>
      <c r="I58" s="13" t="s">
        <v>295</v>
      </c>
      <c r="L58" s="13" t="s">
        <v>296</v>
      </c>
      <c r="N58" s="13" t="s">
        <v>652</v>
      </c>
      <c r="O58" s="21" t="s">
        <v>586</v>
      </c>
      <c r="Q58" s="21" t="s">
        <v>653</v>
      </c>
      <c r="S58" s="13">
        <v>30</v>
      </c>
      <c r="T58" s="13">
        <f>AH$1-78</f>
        <v>195.14999999999998</v>
      </c>
      <c r="V58" s="27" t="s">
        <v>354</v>
      </c>
      <c r="W58" s="27"/>
      <c r="X58" s="27">
        <v>1993</v>
      </c>
      <c r="Y58" s="26" t="s">
        <v>306</v>
      </c>
      <c r="Z58" s="26"/>
      <c r="AA58" s="38">
        <v>8</v>
      </c>
      <c r="AC58" s="13" t="s">
        <v>352</v>
      </c>
    </row>
    <row r="59" spans="1:36">
      <c r="C59" s="13" t="s">
        <v>39</v>
      </c>
      <c r="E59" s="13" t="b">
        <v>1</v>
      </c>
      <c r="I59" s="13" t="s">
        <v>654</v>
      </c>
      <c r="L59" s="13" t="s">
        <v>656</v>
      </c>
      <c r="N59" s="13" t="s">
        <v>652</v>
      </c>
      <c r="O59" s="21" t="s">
        <v>599</v>
      </c>
      <c r="Q59" s="21" t="s">
        <v>653</v>
      </c>
      <c r="S59" s="13">
        <v>47</v>
      </c>
      <c r="T59" s="13">
        <f>AH$1-78</f>
        <v>195.14999999999998</v>
      </c>
      <c r="V59" s="27"/>
      <c r="W59" s="27"/>
      <c r="X59" s="27">
        <v>1993</v>
      </c>
      <c r="Y59" s="26" t="s">
        <v>808</v>
      </c>
      <c r="Z59" s="26"/>
      <c r="AA59" s="38"/>
    </row>
    <row r="60" spans="1:36">
      <c r="C60" s="13" t="s">
        <v>39</v>
      </c>
      <c r="E60" s="13" t="b">
        <v>1</v>
      </c>
      <c r="I60" s="13" t="s">
        <v>655</v>
      </c>
      <c r="L60" s="13" t="s">
        <v>656</v>
      </c>
      <c r="N60" s="13" t="s">
        <v>652</v>
      </c>
      <c r="O60" s="21" t="s">
        <v>599</v>
      </c>
      <c r="Q60" s="21" t="s">
        <v>653</v>
      </c>
      <c r="S60" s="13">
        <v>52</v>
      </c>
      <c r="T60" s="13">
        <f>AH$1-78</f>
        <v>195.14999999999998</v>
      </c>
      <c r="V60" s="27"/>
      <c r="W60" s="27"/>
      <c r="X60" s="27">
        <v>1993</v>
      </c>
      <c r="Y60" s="26" t="s">
        <v>808</v>
      </c>
      <c r="Z60" s="26"/>
      <c r="AA60" s="38"/>
    </row>
    <row r="61" spans="1:36">
      <c r="A61" s="13">
        <f>ROW()-1</f>
        <v>60</v>
      </c>
      <c r="B61" s="13" t="s">
        <v>305</v>
      </c>
      <c r="C61" s="13" t="s">
        <v>305</v>
      </c>
      <c r="E61" s="13" t="b">
        <v>1</v>
      </c>
      <c r="I61" s="13" t="s">
        <v>295</v>
      </c>
      <c r="L61" s="13" t="s">
        <v>296</v>
      </c>
      <c r="N61" s="13" t="s">
        <v>657</v>
      </c>
      <c r="O61" s="21" t="s">
        <v>586</v>
      </c>
      <c r="Q61" s="21" t="s">
        <v>658</v>
      </c>
      <c r="S61" s="13">
        <v>11</v>
      </c>
      <c r="T61" s="13">
        <f>AH$1-78</f>
        <v>195.14999999999998</v>
      </c>
      <c r="V61" s="27" t="s">
        <v>354</v>
      </c>
      <c r="W61" s="27"/>
      <c r="X61" s="27">
        <v>1993</v>
      </c>
      <c r="Y61" s="26" t="s">
        <v>306</v>
      </c>
      <c r="Z61" s="26"/>
      <c r="AA61" s="38">
        <v>8</v>
      </c>
      <c r="AC61" s="13" t="s">
        <v>262</v>
      </c>
    </row>
    <row r="62" spans="1:36" ht="16.5" customHeight="1">
      <c r="A62" s="21">
        <v>7</v>
      </c>
      <c r="B62" s="21"/>
      <c r="C62" s="21" t="s">
        <v>39</v>
      </c>
      <c r="D62" s="21"/>
      <c r="E62" s="21"/>
      <c r="F62" s="21"/>
      <c r="G62" s="21"/>
      <c r="H62" s="21"/>
      <c r="I62" s="21" t="s">
        <v>190</v>
      </c>
      <c r="J62" s="21"/>
      <c r="K62" s="21"/>
      <c r="L62" s="21" t="s">
        <v>134</v>
      </c>
      <c r="M62" s="21"/>
      <c r="N62" s="21" t="s">
        <v>665</v>
      </c>
      <c r="O62" s="21" t="s">
        <v>586</v>
      </c>
      <c r="P62"/>
      <c r="Q62" s="21" t="s">
        <v>645</v>
      </c>
      <c r="R62" s="21"/>
      <c r="S62" s="21">
        <f>80/(80+12)*100</f>
        <v>86.956521739130437</v>
      </c>
      <c r="T62" s="21" t="s">
        <v>667</v>
      </c>
      <c r="U62" s="21"/>
      <c r="V62" s="24" t="s">
        <v>211</v>
      </c>
      <c r="W62" s="24"/>
      <c r="X62" s="24">
        <v>1995</v>
      </c>
      <c r="Y62" s="21" t="s">
        <v>212</v>
      </c>
      <c r="Z62" s="21" t="s">
        <v>314</v>
      </c>
      <c r="AA62" s="21">
        <v>9</v>
      </c>
      <c r="AB62" s="21" t="s">
        <v>262</v>
      </c>
      <c r="AC62" s="21" t="s">
        <v>269</v>
      </c>
      <c r="AD62" s="21"/>
      <c r="AE62" s="21"/>
      <c r="AF62" s="21" t="s">
        <v>279</v>
      </c>
      <c r="AG62" s="21"/>
    </row>
    <row r="63" spans="1:36" ht="16.5" customHeight="1">
      <c r="A63" s="21"/>
      <c r="B63" s="21"/>
      <c r="C63" s="21" t="s">
        <v>39</v>
      </c>
      <c r="D63" s="21"/>
      <c r="E63" s="21"/>
      <c r="F63" s="21"/>
      <c r="G63" s="21"/>
      <c r="H63" s="21"/>
      <c r="I63" s="21" t="s">
        <v>668</v>
      </c>
      <c r="J63" s="21"/>
      <c r="K63" s="21"/>
      <c r="L63" s="21" t="s">
        <v>669</v>
      </c>
      <c r="M63" s="21"/>
      <c r="N63" s="21" t="s">
        <v>665</v>
      </c>
      <c r="O63" s="21" t="s">
        <v>586</v>
      </c>
      <c r="P63"/>
      <c r="Q63" s="21" t="s">
        <v>645</v>
      </c>
      <c r="R63" s="21"/>
      <c r="S63" s="21">
        <f>100*7.1/8.1</f>
        <v>87.65432098765433</v>
      </c>
      <c r="T63" s="13">
        <f>AH$1-75</f>
        <v>198.14999999999998</v>
      </c>
      <c r="U63" s="21"/>
      <c r="V63" s="24"/>
      <c r="W63" s="24"/>
      <c r="X63" s="24">
        <v>1995</v>
      </c>
      <c r="Y63" s="21" t="s">
        <v>212</v>
      </c>
      <c r="Z63" s="21"/>
      <c r="AA63" s="21"/>
      <c r="AB63" s="21"/>
      <c r="AC63" s="21"/>
      <c r="AD63" s="21"/>
      <c r="AE63" s="21"/>
      <c r="AF63" s="21"/>
      <c r="AG63" s="21"/>
    </row>
    <row r="64" spans="1:36" ht="16.5" customHeight="1">
      <c r="A64" s="21"/>
      <c r="B64" s="21"/>
      <c r="C64" s="21"/>
      <c r="D64" s="21"/>
      <c r="E64" s="21"/>
      <c r="F64" s="21"/>
      <c r="G64" s="21"/>
      <c r="H64" s="21"/>
      <c r="I64" s="21" t="s">
        <v>671</v>
      </c>
      <c r="J64" s="21"/>
      <c r="K64" s="21"/>
      <c r="L64" s="21" t="s">
        <v>637</v>
      </c>
      <c r="M64" s="21"/>
      <c r="N64" s="21" t="s">
        <v>672</v>
      </c>
      <c r="O64" s="21" t="s">
        <v>597</v>
      </c>
      <c r="P64"/>
      <c r="Q64" s="21" t="s">
        <v>641</v>
      </c>
      <c r="R64" s="21"/>
      <c r="S64" s="21">
        <v>8</v>
      </c>
      <c r="T64" s="21">
        <f t="shared" ref="T64:T69" si="1">$AH$1</f>
        <v>273.14999999999998</v>
      </c>
      <c r="U64" s="21"/>
      <c r="V64" s="24"/>
      <c r="W64" s="24"/>
      <c r="X64" s="24">
        <v>1989</v>
      </c>
      <c r="Y64" s="13" t="s">
        <v>670</v>
      </c>
      <c r="Z64" s="21"/>
      <c r="AA64" s="21"/>
      <c r="AB64" s="21"/>
      <c r="AC64" s="21"/>
      <c r="AD64" s="21"/>
      <c r="AE64" s="21"/>
      <c r="AF64" s="21"/>
      <c r="AG64" s="21"/>
    </row>
    <row r="65" spans="1:33" ht="16.5" customHeight="1">
      <c r="A65" s="21"/>
      <c r="B65" s="21"/>
      <c r="C65" s="21"/>
      <c r="D65" s="21"/>
      <c r="E65" s="21"/>
      <c r="F65" s="21"/>
      <c r="G65" s="21"/>
      <c r="H65" s="21"/>
      <c r="I65" s="21" t="s">
        <v>671</v>
      </c>
      <c r="J65" s="21"/>
      <c r="K65" s="21"/>
      <c r="L65" s="21" t="s">
        <v>637</v>
      </c>
      <c r="M65" s="21"/>
      <c r="N65" s="21" t="s">
        <v>673</v>
      </c>
      <c r="O65" s="21" t="s">
        <v>597</v>
      </c>
      <c r="P65"/>
      <c r="Q65" s="21" t="s">
        <v>642</v>
      </c>
      <c r="R65" s="21"/>
      <c r="S65" s="21">
        <v>7</v>
      </c>
      <c r="T65" s="21">
        <f t="shared" si="1"/>
        <v>273.14999999999998</v>
      </c>
      <c r="U65" s="21"/>
      <c r="V65" s="24"/>
      <c r="W65" s="24"/>
      <c r="X65" s="24">
        <v>1989</v>
      </c>
      <c r="Y65" s="13" t="s">
        <v>670</v>
      </c>
      <c r="Z65" s="21"/>
      <c r="AA65" s="21"/>
      <c r="AB65" s="21"/>
      <c r="AC65" s="21"/>
      <c r="AD65" s="21"/>
      <c r="AE65" s="21"/>
      <c r="AF65" s="21"/>
      <c r="AG65" s="21"/>
    </row>
    <row r="66" spans="1:33" ht="16.5" customHeight="1">
      <c r="A66" s="21"/>
      <c r="B66" s="21"/>
      <c r="C66" s="21"/>
      <c r="D66" s="21"/>
      <c r="E66" s="21"/>
      <c r="F66" s="21"/>
      <c r="G66" s="21"/>
      <c r="H66" s="21"/>
      <c r="I66" s="21" t="s">
        <v>631</v>
      </c>
      <c r="J66" s="21"/>
      <c r="K66" s="21"/>
      <c r="L66" s="21" t="s">
        <v>637</v>
      </c>
      <c r="M66" s="21"/>
      <c r="N66" s="21" t="s">
        <v>674</v>
      </c>
      <c r="O66" s="21" t="s">
        <v>597</v>
      </c>
      <c r="P66"/>
      <c r="Q66" s="21" t="s">
        <v>643</v>
      </c>
      <c r="R66" s="21"/>
      <c r="S66" s="21">
        <v>7</v>
      </c>
      <c r="T66" s="21">
        <f t="shared" si="1"/>
        <v>273.14999999999998</v>
      </c>
      <c r="U66" s="21"/>
      <c r="V66" s="24"/>
      <c r="W66" s="24"/>
      <c r="X66" s="24">
        <v>1989</v>
      </c>
      <c r="Y66" s="13" t="s">
        <v>670</v>
      </c>
      <c r="Z66" s="21"/>
      <c r="AA66" s="21"/>
      <c r="AB66" s="21"/>
      <c r="AC66" s="21"/>
      <c r="AD66" s="21"/>
      <c r="AE66" s="21"/>
      <c r="AF66" s="21"/>
      <c r="AG66" s="21"/>
    </row>
    <row r="67" spans="1:33" ht="16.5" customHeight="1">
      <c r="A67" s="21"/>
      <c r="B67" s="21"/>
      <c r="C67" s="21"/>
      <c r="D67" s="21"/>
      <c r="E67" s="21"/>
      <c r="F67" s="21"/>
      <c r="G67" s="21"/>
      <c r="H67" s="21"/>
      <c r="I67" s="13" t="s">
        <v>190</v>
      </c>
      <c r="J67" s="21"/>
      <c r="K67" s="21"/>
      <c r="L67" s="13" t="s">
        <v>283</v>
      </c>
      <c r="M67" s="21"/>
      <c r="N67" s="21" t="s">
        <v>672</v>
      </c>
      <c r="O67" s="21" t="s">
        <v>597</v>
      </c>
      <c r="P67" s="21" t="s">
        <v>675</v>
      </c>
      <c r="Q67" s="21" t="s">
        <v>641</v>
      </c>
      <c r="R67" s="21"/>
      <c r="S67" s="21">
        <v>9</v>
      </c>
      <c r="T67" s="21">
        <f t="shared" si="1"/>
        <v>273.14999999999998</v>
      </c>
      <c r="U67" s="21"/>
      <c r="V67" s="24"/>
      <c r="W67" s="24"/>
      <c r="X67" s="24">
        <v>1989</v>
      </c>
      <c r="Y67" s="13" t="s">
        <v>670</v>
      </c>
      <c r="Z67" s="21"/>
      <c r="AA67" s="21"/>
      <c r="AB67" s="21"/>
      <c r="AC67" s="21"/>
      <c r="AD67" s="21"/>
      <c r="AE67" s="21"/>
      <c r="AF67" s="21"/>
      <c r="AG67" s="21"/>
    </row>
    <row r="68" spans="1:33" ht="16.5" customHeight="1">
      <c r="A68" s="21"/>
      <c r="B68" s="21"/>
      <c r="C68" s="21"/>
      <c r="D68" s="21"/>
      <c r="E68" s="21"/>
      <c r="F68" s="21"/>
      <c r="G68" s="21"/>
      <c r="H68" s="21"/>
      <c r="I68" s="13" t="s">
        <v>190</v>
      </c>
      <c r="J68" s="21"/>
      <c r="K68" s="21"/>
      <c r="L68" s="13" t="s">
        <v>283</v>
      </c>
      <c r="M68" s="21"/>
      <c r="N68" s="21" t="s">
        <v>673</v>
      </c>
      <c r="O68" s="21" t="s">
        <v>597</v>
      </c>
      <c r="P68"/>
      <c r="Q68" s="21" t="s">
        <v>642</v>
      </c>
      <c r="R68" s="21"/>
      <c r="S68" s="21">
        <v>6</v>
      </c>
      <c r="T68" s="21">
        <f t="shared" si="1"/>
        <v>273.14999999999998</v>
      </c>
      <c r="U68" s="21"/>
      <c r="V68" s="24"/>
      <c r="W68" s="24"/>
      <c r="X68" s="24">
        <v>1989</v>
      </c>
      <c r="Y68" s="13" t="s">
        <v>670</v>
      </c>
      <c r="Z68" s="21"/>
      <c r="AA68" s="21"/>
      <c r="AB68" s="21"/>
      <c r="AC68" s="21"/>
      <c r="AD68" s="21"/>
      <c r="AE68" s="21"/>
      <c r="AF68" s="21"/>
      <c r="AG68" s="21"/>
    </row>
    <row r="69" spans="1:33" ht="19" customHeight="1">
      <c r="A69" s="13">
        <f>ROW()-1</f>
        <v>68</v>
      </c>
      <c r="C69" s="13">
        <v>6</v>
      </c>
      <c r="I69" s="13" t="s">
        <v>190</v>
      </c>
      <c r="L69" s="13" t="s">
        <v>283</v>
      </c>
      <c r="N69" s="13" t="s">
        <v>18</v>
      </c>
      <c r="O69" s="21" t="s">
        <v>597</v>
      </c>
      <c r="Q69" s="21" t="s">
        <v>643</v>
      </c>
      <c r="R69" s="13" t="s">
        <v>278</v>
      </c>
      <c r="S69" s="13">
        <v>15</v>
      </c>
      <c r="T69" s="21">
        <f t="shared" si="1"/>
        <v>273.14999999999998</v>
      </c>
      <c r="V69" s="14" t="s">
        <v>169</v>
      </c>
      <c r="W69" s="14"/>
      <c r="X69" s="24">
        <v>1989</v>
      </c>
      <c r="Y69" s="13" t="s">
        <v>670</v>
      </c>
      <c r="AA69" s="13">
        <v>12</v>
      </c>
      <c r="AB69" s="13" t="s">
        <v>262</v>
      </c>
      <c r="AC69" s="13" t="b">
        <v>0</v>
      </c>
      <c r="AE69" s="13" t="s">
        <v>174</v>
      </c>
      <c r="AG69" s="13" t="s">
        <v>173</v>
      </c>
    </row>
    <row r="70" spans="1:33">
      <c r="I70" s="13" t="s">
        <v>190</v>
      </c>
      <c r="L70" s="13" t="s">
        <v>485</v>
      </c>
      <c r="N70" s="13" t="s">
        <v>676</v>
      </c>
      <c r="O70" s="21" t="s">
        <v>587</v>
      </c>
      <c r="Q70" s="21" t="s">
        <v>677</v>
      </c>
      <c r="S70" s="13">
        <f>100*1/2.8</f>
        <v>35.714285714285715</v>
      </c>
      <c r="T70" s="13" t="s">
        <v>666</v>
      </c>
      <c r="V70" s="10" t="s">
        <v>421</v>
      </c>
      <c r="W70" s="10"/>
      <c r="X70" s="10">
        <v>2001</v>
      </c>
      <c r="Y70" s="44" t="s">
        <v>464</v>
      </c>
      <c r="AA70" s="21">
        <v>11</v>
      </c>
      <c r="AC70" s="13" t="s">
        <v>352</v>
      </c>
    </row>
    <row r="71" spans="1:33">
      <c r="E71" s="13" t="b">
        <v>1</v>
      </c>
      <c r="I71" s="13" t="s">
        <v>190</v>
      </c>
      <c r="L71" s="13" t="s">
        <v>485</v>
      </c>
      <c r="N71" s="13" t="s">
        <v>678</v>
      </c>
      <c r="O71" s="21" t="s">
        <v>587</v>
      </c>
      <c r="Q71" s="21" t="s">
        <v>609</v>
      </c>
      <c r="R71" s="13" t="s">
        <v>439</v>
      </c>
      <c r="S71" s="13">
        <v>92</v>
      </c>
      <c r="T71" s="13">
        <f>$AI$1</f>
        <v>293.14999999999998</v>
      </c>
      <c r="V71" s="10" t="s">
        <v>420</v>
      </c>
      <c r="W71" s="10"/>
      <c r="X71" s="10">
        <v>2021</v>
      </c>
      <c r="Y71" s="44" t="s">
        <v>468</v>
      </c>
      <c r="AA71" s="21">
        <v>12</v>
      </c>
      <c r="AC71" s="13" t="s">
        <v>262</v>
      </c>
    </row>
    <row r="72" spans="1:33">
      <c r="I72" s="13" t="s">
        <v>601</v>
      </c>
      <c r="L72" s="13" t="s">
        <v>603</v>
      </c>
      <c r="N72" s="13" t="s">
        <v>679</v>
      </c>
      <c r="O72" s="21" t="s">
        <v>597</v>
      </c>
      <c r="Q72" s="21" t="s">
        <v>680</v>
      </c>
      <c r="S72" s="13">
        <f>0.61/(1.24+0.61)*100</f>
        <v>32.972972972972968</v>
      </c>
      <c r="T72" s="13">
        <f>$AI$1</f>
        <v>293.14999999999998</v>
      </c>
      <c r="V72" s="10"/>
      <c r="W72" s="10"/>
      <c r="X72" s="10">
        <v>2019</v>
      </c>
      <c r="Y72" s="44" t="s">
        <v>681</v>
      </c>
      <c r="AA72" s="21"/>
    </row>
    <row r="73" spans="1:33">
      <c r="F73" s="13" t="b">
        <v>1</v>
      </c>
      <c r="I73" s="13" t="s">
        <v>601</v>
      </c>
      <c r="L73" s="13" t="s">
        <v>603</v>
      </c>
      <c r="N73" s="13" t="s">
        <v>682</v>
      </c>
      <c r="O73" s="21" t="s">
        <v>597</v>
      </c>
      <c r="Q73" s="21" t="s">
        <v>683</v>
      </c>
      <c r="S73" s="13">
        <f>100*236.2/(236.2+425.6)</f>
        <v>35.690540948927172</v>
      </c>
      <c r="T73" s="13">
        <f>$AI$1</f>
        <v>293.14999999999998</v>
      </c>
      <c r="V73" s="10"/>
      <c r="W73" s="10"/>
      <c r="X73" s="10">
        <v>2019</v>
      </c>
      <c r="Y73" s="44" t="s">
        <v>681</v>
      </c>
      <c r="AA73" s="21"/>
    </row>
    <row r="74" spans="1:33">
      <c r="F74" s="13" t="b">
        <v>1</v>
      </c>
      <c r="I74" s="13" t="s">
        <v>190</v>
      </c>
      <c r="L74" s="13" t="s">
        <v>134</v>
      </c>
      <c r="N74" s="13" t="s">
        <v>684</v>
      </c>
      <c r="O74" s="21" t="s">
        <v>597</v>
      </c>
      <c r="Q74" s="21" t="s">
        <v>685</v>
      </c>
      <c r="S74" s="13">
        <f>216.2/(216.2+179.5)*100</f>
        <v>54.637351528936065</v>
      </c>
      <c r="T74" s="13">
        <f>$AI$1</f>
        <v>293.14999999999998</v>
      </c>
      <c r="V74" s="10"/>
      <c r="W74" s="10"/>
      <c r="X74" s="10">
        <v>2019</v>
      </c>
      <c r="Y74" s="44" t="s">
        <v>681</v>
      </c>
      <c r="AA74" s="21"/>
    </row>
    <row r="75" spans="1:33">
      <c r="I75" s="13" t="s">
        <v>190</v>
      </c>
      <c r="L75" s="13" t="s">
        <v>134</v>
      </c>
      <c r="N75" s="13" t="s">
        <v>686</v>
      </c>
      <c r="O75" s="21" t="s">
        <v>599</v>
      </c>
      <c r="Q75" s="21" t="s">
        <v>687</v>
      </c>
      <c r="S75" s="13">
        <f>40.1/(40.1+13.4)*100</f>
        <v>74.953271028037378</v>
      </c>
      <c r="T75" s="13">
        <f>$AI$1</f>
        <v>293.14999999999998</v>
      </c>
      <c r="V75" s="10"/>
      <c r="W75" s="10"/>
      <c r="X75" s="10">
        <v>2019</v>
      </c>
      <c r="Y75" s="44" t="s">
        <v>681</v>
      </c>
      <c r="AA75" s="21"/>
    </row>
    <row r="76" spans="1:33">
      <c r="E76" s="13" t="b">
        <v>1</v>
      </c>
      <c r="I76" s="13" t="s">
        <v>190</v>
      </c>
      <c r="K76" s="42"/>
      <c r="L76" s="42" t="s">
        <v>296</v>
      </c>
      <c r="M76" s="42"/>
      <c r="N76" s="42" t="s">
        <v>690</v>
      </c>
      <c r="O76" s="50" t="s">
        <v>587</v>
      </c>
      <c r="P76" s="42"/>
      <c r="Q76" s="50" t="s">
        <v>689</v>
      </c>
      <c r="R76" s="42"/>
      <c r="S76" s="42">
        <v>80</v>
      </c>
      <c r="T76" s="21">
        <f t="shared" ref="T76:T82" si="2">$AH$1</f>
        <v>273.14999999999998</v>
      </c>
      <c r="V76" s="43" t="s">
        <v>294</v>
      </c>
      <c r="W76" s="43"/>
      <c r="X76" s="43">
        <v>2021</v>
      </c>
      <c r="Y76" s="42" t="s">
        <v>298</v>
      </c>
      <c r="AA76" s="42">
        <v>13</v>
      </c>
      <c r="AB76" s="42"/>
      <c r="AC76" s="42" t="s">
        <v>271</v>
      </c>
    </row>
    <row r="77" spans="1:33">
      <c r="A77" s="13">
        <f>ROW()-1</f>
        <v>76</v>
      </c>
      <c r="B77" s="13">
        <v>4</v>
      </c>
      <c r="C77" s="13">
        <v>4</v>
      </c>
      <c r="E77" s="13" t="b">
        <v>1</v>
      </c>
      <c r="I77" s="13" t="s">
        <v>295</v>
      </c>
      <c r="L77" s="13" t="s">
        <v>296</v>
      </c>
      <c r="N77" s="13" t="s">
        <v>359</v>
      </c>
      <c r="O77" s="50" t="s">
        <v>587</v>
      </c>
      <c r="Q77" s="21" t="s">
        <v>688</v>
      </c>
      <c r="S77" s="13">
        <v>75</v>
      </c>
      <c r="T77" s="21">
        <f t="shared" si="2"/>
        <v>273.14999999999998</v>
      </c>
      <c r="V77" s="14" t="s">
        <v>294</v>
      </c>
      <c r="W77" s="14"/>
      <c r="X77" s="14">
        <v>2021</v>
      </c>
      <c r="Y77" s="13" t="s">
        <v>298</v>
      </c>
      <c r="AA77" s="13">
        <v>13</v>
      </c>
      <c r="AC77" s="13" t="s">
        <v>271</v>
      </c>
    </row>
    <row r="78" spans="1:33">
      <c r="A78" s="13">
        <f>ROW()-1</f>
        <v>77</v>
      </c>
      <c r="C78" s="13">
        <v>4</v>
      </c>
      <c r="I78" s="13" t="s">
        <v>295</v>
      </c>
      <c r="K78" s="13" t="s">
        <v>419</v>
      </c>
      <c r="L78" s="13" t="s">
        <v>296</v>
      </c>
      <c r="N78" s="13" t="s">
        <v>297</v>
      </c>
      <c r="O78" s="50" t="s">
        <v>587</v>
      </c>
      <c r="Q78" s="21" t="s">
        <v>691</v>
      </c>
      <c r="S78" s="13">
        <v>100</v>
      </c>
      <c r="T78" s="21">
        <f t="shared" si="2"/>
        <v>273.14999999999998</v>
      </c>
      <c r="V78" s="14" t="s">
        <v>294</v>
      </c>
      <c r="W78" s="14"/>
      <c r="X78" s="14">
        <v>2021</v>
      </c>
      <c r="Y78" s="13" t="s">
        <v>298</v>
      </c>
      <c r="AA78" s="13">
        <v>13</v>
      </c>
      <c r="AC78" s="13" t="s">
        <v>292</v>
      </c>
    </row>
    <row r="79" spans="1:33">
      <c r="E79" s="13" t="b">
        <v>1</v>
      </c>
      <c r="F79" s="13" t="b">
        <v>1</v>
      </c>
      <c r="I79" s="13" t="s">
        <v>190</v>
      </c>
      <c r="L79" s="13" t="s">
        <v>134</v>
      </c>
      <c r="N79" s="13" t="s">
        <v>692</v>
      </c>
      <c r="O79" s="50" t="s">
        <v>597</v>
      </c>
      <c r="Q79" s="21" t="s">
        <v>691</v>
      </c>
      <c r="S79" s="13">
        <f>870/(870+730)*100</f>
        <v>54.374999999999993</v>
      </c>
      <c r="T79" s="21">
        <f t="shared" si="2"/>
        <v>273.14999999999998</v>
      </c>
      <c r="V79" s="14"/>
      <c r="W79" s="14"/>
      <c r="X79" s="14">
        <v>2021</v>
      </c>
      <c r="Y79" s="13" t="s">
        <v>298</v>
      </c>
    </row>
    <row r="80" spans="1:33">
      <c r="E80" s="13" t="b">
        <v>1</v>
      </c>
      <c r="I80" s="13" t="s">
        <v>693</v>
      </c>
      <c r="L80" s="13" t="s">
        <v>695</v>
      </c>
      <c r="N80" s="13" t="s">
        <v>359</v>
      </c>
      <c r="O80" s="50" t="s">
        <v>597</v>
      </c>
      <c r="Q80" s="21" t="s">
        <v>694</v>
      </c>
      <c r="S80" s="13">
        <f>580/(580+290)*100</f>
        <v>66.666666666666657</v>
      </c>
      <c r="T80" s="21">
        <f t="shared" si="2"/>
        <v>273.14999999999998</v>
      </c>
      <c r="V80" s="14"/>
      <c r="W80" s="14"/>
      <c r="X80" s="14">
        <v>2021</v>
      </c>
      <c r="Y80" s="13" t="s">
        <v>298</v>
      </c>
    </row>
    <row r="81" spans="1:32">
      <c r="I81" s="13" t="s">
        <v>693</v>
      </c>
      <c r="L81" s="13" t="s">
        <v>618</v>
      </c>
      <c r="N81" s="13" t="s">
        <v>297</v>
      </c>
      <c r="O81" s="50" t="s">
        <v>597</v>
      </c>
      <c r="Q81" s="21" t="s">
        <v>697</v>
      </c>
      <c r="S81" s="13">
        <v>100</v>
      </c>
      <c r="T81" s="21">
        <f t="shared" si="2"/>
        <v>273.14999999999998</v>
      </c>
      <c r="V81" s="14"/>
      <c r="W81" s="14"/>
      <c r="X81" s="14">
        <v>2021</v>
      </c>
      <c r="Y81" s="13" t="s">
        <v>298</v>
      </c>
    </row>
    <row r="82" spans="1:32">
      <c r="E82" s="13" t="b">
        <v>1</v>
      </c>
      <c r="I82" s="13" t="s">
        <v>693</v>
      </c>
      <c r="L82" s="13" t="s">
        <v>618</v>
      </c>
      <c r="N82" s="42" t="s">
        <v>690</v>
      </c>
      <c r="O82" s="50" t="s">
        <v>597</v>
      </c>
      <c r="Q82" s="21" t="s">
        <v>696</v>
      </c>
      <c r="S82" s="13">
        <f>100*126.7/(49.5+126.7)</f>
        <v>71.906923950056765</v>
      </c>
      <c r="T82" s="21">
        <f t="shared" si="2"/>
        <v>273.14999999999998</v>
      </c>
      <c r="V82" s="14"/>
      <c r="W82" s="14"/>
      <c r="X82" s="14">
        <v>2021</v>
      </c>
      <c r="Y82" s="13" t="s">
        <v>298</v>
      </c>
    </row>
    <row r="83" spans="1:32">
      <c r="I83" s="13" t="s">
        <v>190</v>
      </c>
      <c r="L83" s="13" t="s">
        <v>485</v>
      </c>
      <c r="N83" s="13" t="s">
        <v>698</v>
      </c>
      <c r="O83" s="50" t="s">
        <v>589</v>
      </c>
      <c r="Q83" s="21" t="s">
        <v>699</v>
      </c>
      <c r="S83" s="13">
        <v>25</v>
      </c>
      <c r="T83" s="21">
        <f t="shared" ref="T83:T90" si="3">$AH$1+AVERAGE(0,5)</f>
        <v>275.64999999999998</v>
      </c>
      <c r="V83" s="14" t="s">
        <v>348</v>
      </c>
      <c r="W83" s="14"/>
      <c r="X83" s="14">
        <v>2002</v>
      </c>
      <c r="Y83" s="44" t="s">
        <v>461</v>
      </c>
      <c r="AA83" s="13">
        <v>14</v>
      </c>
      <c r="AC83" s="13" t="s">
        <v>352</v>
      </c>
      <c r="AE83"/>
      <c r="AF83"/>
    </row>
    <row r="84" spans="1:32">
      <c r="F84" s="13" t="b">
        <v>1</v>
      </c>
      <c r="I84" s="13" t="s">
        <v>190</v>
      </c>
      <c r="L84" s="13" t="s">
        <v>134</v>
      </c>
      <c r="N84" s="13" t="s">
        <v>700</v>
      </c>
      <c r="O84" s="50" t="s">
        <v>701</v>
      </c>
      <c r="Q84" s="21" t="s">
        <v>702</v>
      </c>
      <c r="S84" s="13">
        <v>47</v>
      </c>
      <c r="T84" s="21">
        <f t="shared" si="3"/>
        <v>275.64999999999998</v>
      </c>
      <c r="V84" s="14"/>
      <c r="W84" s="14"/>
      <c r="X84" s="14">
        <v>2002</v>
      </c>
      <c r="Y84" s="44" t="s">
        <v>461</v>
      </c>
      <c r="AE84"/>
      <c r="AF84"/>
    </row>
    <row r="85" spans="1:32">
      <c r="F85" s="13" t="b">
        <v>1</v>
      </c>
      <c r="I85" s="13" t="s">
        <v>190</v>
      </c>
      <c r="L85" s="13" t="s">
        <v>134</v>
      </c>
      <c r="N85" s="13" t="s">
        <v>703</v>
      </c>
      <c r="O85" s="50" t="s">
        <v>701</v>
      </c>
      <c r="Q85" s="21" t="s">
        <v>704</v>
      </c>
      <c r="S85" s="13">
        <v>44</v>
      </c>
      <c r="T85" s="21">
        <f t="shared" si="3"/>
        <v>275.64999999999998</v>
      </c>
      <c r="V85" s="14"/>
      <c r="W85" s="14"/>
      <c r="X85" s="14">
        <v>2002</v>
      </c>
      <c r="Y85" s="44" t="s">
        <v>461</v>
      </c>
      <c r="AE85"/>
      <c r="AF85"/>
    </row>
    <row r="86" spans="1:32">
      <c r="F86" s="13" t="b">
        <v>1</v>
      </c>
      <c r="I86" s="13" t="s">
        <v>190</v>
      </c>
      <c r="L86" s="13" t="s">
        <v>134</v>
      </c>
      <c r="N86" s="13" t="s">
        <v>705</v>
      </c>
      <c r="O86" s="50" t="s">
        <v>701</v>
      </c>
      <c r="Q86" s="21" t="s">
        <v>706</v>
      </c>
      <c r="S86" s="13">
        <v>84</v>
      </c>
      <c r="T86" s="21">
        <f t="shared" si="3"/>
        <v>275.64999999999998</v>
      </c>
      <c r="V86" s="14"/>
      <c r="W86" s="14"/>
      <c r="X86" s="14">
        <v>2002</v>
      </c>
      <c r="Y86" s="44" t="s">
        <v>461</v>
      </c>
      <c r="AE86"/>
      <c r="AF86"/>
    </row>
    <row r="87" spans="1:32">
      <c r="I87" s="13" t="s">
        <v>190</v>
      </c>
      <c r="L87" s="13" t="s">
        <v>134</v>
      </c>
      <c r="N87" s="13" t="s">
        <v>707</v>
      </c>
      <c r="O87" s="50" t="s">
        <v>701</v>
      </c>
      <c r="Q87" s="21" t="s">
        <v>708</v>
      </c>
      <c r="S87" s="13">
        <v>6</v>
      </c>
      <c r="T87" s="21">
        <f t="shared" si="3"/>
        <v>275.64999999999998</v>
      </c>
      <c r="V87" s="14"/>
      <c r="W87" s="14"/>
      <c r="X87" s="14">
        <v>2002</v>
      </c>
      <c r="Y87" s="44" t="s">
        <v>461</v>
      </c>
      <c r="AE87"/>
      <c r="AF87"/>
    </row>
    <row r="88" spans="1:32">
      <c r="F88" s="13" t="b">
        <v>1</v>
      </c>
      <c r="I88" s="13" t="s">
        <v>190</v>
      </c>
      <c r="L88" s="13" t="s">
        <v>134</v>
      </c>
      <c r="N88" s="13" t="s">
        <v>709</v>
      </c>
      <c r="O88" s="50" t="s">
        <v>701</v>
      </c>
      <c r="Q88" s="21" t="s">
        <v>710</v>
      </c>
      <c r="S88" s="13">
        <v>15</v>
      </c>
      <c r="T88" s="21">
        <f t="shared" si="3"/>
        <v>275.64999999999998</v>
      </c>
      <c r="V88" s="14"/>
      <c r="W88" s="14"/>
      <c r="X88" s="14">
        <v>2002</v>
      </c>
      <c r="Y88" s="44" t="s">
        <v>461</v>
      </c>
      <c r="AE88"/>
      <c r="AF88"/>
    </row>
    <row r="89" spans="1:32">
      <c r="F89" s="13" t="b">
        <v>1</v>
      </c>
      <c r="I89" s="13" t="s">
        <v>190</v>
      </c>
      <c r="L89" s="13" t="s">
        <v>134</v>
      </c>
      <c r="N89" s="13" t="s">
        <v>711</v>
      </c>
      <c r="O89" s="50" t="s">
        <v>701</v>
      </c>
      <c r="Q89" s="21" t="s">
        <v>509</v>
      </c>
      <c r="S89" s="13">
        <v>10</v>
      </c>
      <c r="T89" s="21">
        <f t="shared" si="3"/>
        <v>275.64999999999998</v>
      </c>
      <c r="V89" s="14"/>
      <c r="W89" s="14"/>
      <c r="X89" s="14">
        <v>2002</v>
      </c>
      <c r="Y89" s="44" t="s">
        <v>461</v>
      </c>
      <c r="AE89"/>
      <c r="AF89"/>
    </row>
    <row r="90" spans="1:32">
      <c r="F90" s="13" t="b">
        <v>1</v>
      </c>
      <c r="I90" s="13" t="s">
        <v>190</v>
      </c>
      <c r="L90" s="13" t="s">
        <v>134</v>
      </c>
      <c r="N90" s="13" t="s">
        <v>712</v>
      </c>
      <c r="O90" s="50" t="s">
        <v>701</v>
      </c>
      <c r="Q90" s="21" t="s">
        <v>713</v>
      </c>
      <c r="S90" s="13">
        <v>42</v>
      </c>
      <c r="T90" s="21">
        <f t="shared" si="3"/>
        <v>275.64999999999998</v>
      </c>
      <c r="V90" s="14"/>
      <c r="W90" s="14"/>
      <c r="X90" s="14">
        <v>2002</v>
      </c>
      <c r="Y90" s="44" t="s">
        <v>461</v>
      </c>
      <c r="AE90"/>
      <c r="AF90"/>
    </row>
    <row r="91" spans="1:32">
      <c r="A91" s="13">
        <f>ROW()-1</f>
        <v>90</v>
      </c>
      <c r="C91" s="13" t="s">
        <v>39</v>
      </c>
      <c r="E91" s="13" t="b">
        <v>1</v>
      </c>
      <c r="I91" s="18" t="s">
        <v>190</v>
      </c>
      <c r="J91" s="18"/>
      <c r="K91" s="18"/>
      <c r="L91" s="18" t="s">
        <v>134</v>
      </c>
      <c r="M91" s="18"/>
      <c r="N91" s="13" t="s">
        <v>715</v>
      </c>
      <c r="O91" s="50" t="s">
        <v>716</v>
      </c>
      <c r="P91" s="18"/>
      <c r="Q91" s="18" t="s">
        <v>717</v>
      </c>
      <c r="S91" s="13">
        <v>20</v>
      </c>
      <c r="T91" s="18">
        <f t="shared" ref="T91:T103" si="4">AI$1</f>
        <v>293.14999999999998</v>
      </c>
      <c r="U91" s="13" t="s">
        <v>244</v>
      </c>
      <c r="V91" s="10" t="s">
        <v>316</v>
      </c>
      <c r="W91" s="10"/>
      <c r="X91" s="10">
        <v>2016</v>
      </c>
      <c r="Y91" s="13" t="s">
        <v>203</v>
      </c>
      <c r="Z91" s="13" t="s">
        <v>315</v>
      </c>
      <c r="AA91" s="13">
        <v>15</v>
      </c>
      <c r="AB91" s="13" t="s">
        <v>262</v>
      </c>
      <c r="AC91" s="13" t="s">
        <v>262</v>
      </c>
      <c r="AF91" s="13" t="s">
        <v>282</v>
      </c>
    </row>
    <row r="92" spans="1:32">
      <c r="C92" s="13" t="s">
        <v>724</v>
      </c>
      <c r="E92" s="13" t="b">
        <v>1</v>
      </c>
      <c r="F92" s="13" t="b">
        <v>1</v>
      </c>
      <c r="I92" s="18" t="s">
        <v>190</v>
      </c>
      <c r="J92" s="18"/>
      <c r="K92" s="18"/>
      <c r="L92" s="18" t="s">
        <v>134</v>
      </c>
      <c r="M92" s="18"/>
      <c r="N92" s="13" t="s">
        <v>718</v>
      </c>
      <c r="O92" s="50" t="s">
        <v>719</v>
      </c>
      <c r="P92" s="18"/>
      <c r="Q92" s="18" t="s">
        <v>720</v>
      </c>
      <c r="S92" s="13">
        <v>16</v>
      </c>
      <c r="T92" s="18">
        <f t="shared" si="4"/>
        <v>293.14999999999998</v>
      </c>
      <c r="V92" s="10"/>
      <c r="W92" s="10"/>
      <c r="X92" s="10">
        <v>2016</v>
      </c>
      <c r="Y92" s="13" t="s">
        <v>203</v>
      </c>
    </row>
    <row r="93" spans="1:32">
      <c r="C93" s="13" t="s">
        <v>724</v>
      </c>
      <c r="E93" s="13" t="b">
        <v>1</v>
      </c>
      <c r="F93" s="13" t="b">
        <v>1</v>
      </c>
      <c r="I93" s="18" t="s">
        <v>190</v>
      </c>
      <c r="J93" s="18"/>
      <c r="K93" s="18"/>
      <c r="L93" s="18" t="s">
        <v>134</v>
      </c>
      <c r="M93" s="18"/>
      <c r="N93" s="13" t="s">
        <v>721</v>
      </c>
      <c r="O93" s="50" t="s">
        <v>719</v>
      </c>
      <c r="P93" s="18"/>
      <c r="Q93" s="18" t="s">
        <v>699</v>
      </c>
      <c r="S93" s="13">
        <v>14</v>
      </c>
      <c r="T93" s="18">
        <f t="shared" si="4"/>
        <v>293.14999999999998</v>
      </c>
      <c r="V93" s="10"/>
      <c r="W93" s="10"/>
      <c r="X93" s="10">
        <v>2016</v>
      </c>
      <c r="Y93" s="13" t="s">
        <v>203</v>
      </c>
    </row>
    <row r="94" spans="1:32">
      <c r="C94" s="13" t="s">
        <v>724</v>
      </c>
      <c r="E94" s="13" t="b">
        <v>1</v>
      </c>
      <c r="F94" s="13" t="b">
        <v>1</v>
      </c>
      <c r="I94" s="18" t="s">
        <v>190</v>
      </c>
      <c r="J94" s="18"/>
      <c r="K94" s="18"/>
      <c r="L94" s="18" t="s">
        <v>134</v>
      </c>
      <c r="M94" s="18"/>
      <c r="N94" s="13" t="s">
        <v>722</v>
      </c>
      <c r="O94" s="50" t="s">
        <v>719</v>
      </c>
      <c r="P94" s="18"/>
      <c r="Q94" s="18" t="s">
        <v>702</v>
      </c>
      <c r="S94" s="13">
        <v>23</v>
      </c>
      <c r="T94" s="18">
        <f t="shared" si="4"/>
        <v>293.14999999999998</v>
      </c>
      <c r="V94" s="10"/>
      <c r="W94" s="10"/>
      <c r="X94" s="10">
        <v>2016</v>
      </c>
      <c r="Y94" s="13" t="s">
        <v>203</v>
      </c>
    </row>
    <row r="95" spans="1:32">
      <c r="C95" s="13" t="s">
        <v>724</v>
      </c>
      <c r="E95" s="13" t="b">
        <v>1</v>
      </c>
      <c r="F95" s="13" t="b">
        <v>1</v>
      </c>
      <c r="I95" s="18" t="s">
        <v>190</v>
      </c>
      <c r="J95" s="18"/>
      <c r="K95" s="18"/>
      <c r="L95" s="18" t="s">
        <v>134</v>
      </c>
      <c r="M95" s="18"/>
      <c r="N95" s="13" t="s">
        <v>723</v>
      </c>
      <c r="O95" s="50" t="s">
        <v>719</v>
      </c>
      <c r="P95" s="18"/>
      <c r="Q95" s="18" t="s">
        <v>704</v>
      </c>
      <c r="S95" s="13">
        <v>13</v>
      </c>
      <c r="T95" s="18">
        <f t="shared" si="4"/>
        <v>293.14999999999998</v>
      </c>
      <c r="V95" s="10"/>
      <c r="W95" s="10"/>
      <c r="X95" s="10">
        <v>2016</v>
      </c>
      <c r="Y95" s="13" t="s">
        <v>203</v>
      </c>
    </row>
    <row r="96" spans="1:32">
      <c r="C96" s="13" t="s">
        <v>724</v>
      </c>
      <c r="E96" s="13" t="b">
        <v>1</v>
      </c>
      <c r="I96" s="18" t="s">
        <v>190</v>
      </c>
      <c r="J96" s="18"/>
      <c r="K96" s="18"/>
      <c r="L96" s="18" t="s">
        <v>134</v>
      </c>
      <c r="M96" s="18"/>
      <c r="N96" s="13" t="s">
        <v>725</v>
      </c>
      <c r="O96" s="50" t="s">
        <v>719</v>
      </c>
      <c r="P96" s="18"/>
      <c r="Q96" s="18" t="s">
        <v>731</v>
      </c>
      <c r="S96" s="13">
        <v>13</v>
      </c>
      <c r="T96" s="18">
        <f t="shared" si="4"/>
        <v>293.14999999999998</v>
      </c>
      <c r="V96" s="10"/>
      <c r="W96" s="10"/>
      <c r="X96" s="10">
        <v>2016</v>
      </c>
      <c r="Y96" s="13" t="s">
        <v>203</v>
      </c>
    </row>
    <row r="97" spans="1:30">
      <c r="C97" s="13" t="s">
        <v>724</v>
      </c>
      <c r="E97" s="13" t="b">
        <v>1</v>
      </c>
      <c r="I97" s="18" t="s">
        <v>190</v>
      </c>
      <c r="J97" s="18"/>
      <c r="K97" s="18"/>
      <c r="L97" s="18" t="s">
        <v>134</v>
      </c>
      <c r="M97" s="18"/>
      <c r="N97" s="13" t="s">
        <v>726</v>
      </c>
      <c r="O97" s="50" t="s">
        <v>719</v>
      </c>
      <c r="P97" s="18"/>
      <c r="Q97" s="18" t="s">
        <v>732</v>
      </c>
      <c r="S97" s="13">
        <v>16</v>
      </c>
      <c r="T97" s="18">
        <f t="shared" si="4"/>
        <v>293.14999999999998</v>
      </c>
      <c r="V97" s="10"/>
      <c r="W97" s="10"/>
      <c r="X97" s="10">
        <v>2016</v>
      </c>
      <c r="Y97" s="13" t="s">
        <v>203</v>
      </c>
    </row>
    <row r="98" spans="1:30">
      <c r="C98" s="13" t="s">
        <v>724</v>
      </c>
      <c r="E98" s="13" t="b">
        <v>1</v>
      </c>
      <c r="I98" s="18" t="s">
        <v>190</v>
      </c>
      <c r="J98" s="18"/>
      <c r="K98" s="18"/>
      <c r="L98" s="18" t="s">
        <v>134</v>
      </c>
      <c r="M98" s="18"/>
      <c r="N98" s="13" t="s">
        <v>727</v>
      </c>
      <c r="O98" s="50" t="s">
        <v>719</v>
      </c>
      <c r="P98" s="18"/>
      <c r="Q98" s="18" t="s">
        <v>706</v>
      </c>
      <c r="S98" s="13">
        <v>19</v>
      </c>
      <c r="T98" s="18">
        <f t="shared" si="4"/>
        <v>293.14999999999998</v>
      </c>
      <c r="V98" s="10"/>
      <c r="W98" s="10"/>
      <c r="X98" s="10">
        <v>2016</v>
      </c>
      <c r="Y98" s="13" t="s">
        <v>203</v>
      </c>
    </row>
    <row r="99" spans="1:30">
      <c r="C99" s="13" t="s">
        <v>724</v>
      </c>
      <c r="E99" s="13" t="b">
        <v>1</v>
      </c>
      <c r="I99" s="18" t="s">
        <v>190</v>
      </c>
      <c r="J99" s="18"/>
      <c r="K99" s="18"/>
      <c r="L99" s="18" t="s">
        <v>134</v>
      </c>
      <c r="M99" s="18"/>
      <c r="N99" s="13" t="s">
        <v>728</v>
      </c>
      <c r="O99" s="50" t="s">
        <v>719</v>
      </c>
      <c r="P99" s="18"/>
      <c r="Q99" s="18" t="s">
        <v>708</v>
      </c>
      <c r="S99" s="13">
        <v>15</v>
      </c>
      <c r="T99" s="18">
        <f t="shared" si="4"/>
        <v>293.14999999999998</v>
      </c>
      <c r="V99" s="10"/>
      <c r="W99" s="10"/>
      <c r="X99" s="10">
        <v>2016</v>
      </c>
      <c r="Y99" s="13" t="s">
        <v>203</v>
      </c>
    </row>
    <row r="100" spans="1:30">
      <c r="C100" s="13" t="s">
        <v>724</v>
      </c>
      <c r="E100" s="13" t="b">
        <v>1</v>
      </c>
      <c r="I100" s="18" t="s">
        <v>190</v>
      </c>
      <c r="J100" s="18"/>
      <c r="K100" s="18"/>
      <c r="L100" s="18" t="s">
        <v>134</v>
      </c>
      <c r="M100" s="18"/>
      <c r="N100" s="13" t="s">
        <v>729</v>
      </c>
      <c r="O100" s="50" t="s">
        <v>719</v>
      </c>
      <c r="P100" s="18"/>
      <c r="Q100" s="18" t="s">
        <v>710</v>
      </c>
      <c r="S100" s="13">
        <v>21</v>
      </c>
      <c r="T100" s="18">
        <f t="shared" si="4"/>
        <v>293.14999999999998</v>
      </c>
      <c r="V100" s="10"/>
      <c r="W100" s="10"/>
      <c r="X100" s="10">
        <v>2016</v>
      </c>
      <c r="Y100" s="13" t="s">
        <v>203</v>
      </c>
    </row>
    <row r="101" spans="1:30">
      <c r="C101" s="13" t="s">
        <v>724</v>
      </c>
      <c r="E101" s="13" t="b">
        <v>1</v>
      </c>
      <c r="I101" s="18" t="s">
        <v>190</v>
      </c>
      <c r="J101" s="18"/>
      <c r="K101" s="18"/>
      <c r="L101" s="18" t="s">
        <v>134</v>
      </c>
      <c r="M101" s="18"/>
      <c r="N101" s="13" t="s">
        <v>730</v>
      </c>
      <c r="O101" s="50" t="s">
        <v>719</v>
      </c>
      <c r="P101" s="18"/>
      <c r="Q101" s="18" t="s">
        <v>733</v>
      </c>
      <c r="S101" s="13">
        <v>14</v>
      </c>
      <c r="T101" s="18">
        <f t="shared" si="4"/>
        <v>293.14999999999998</v>
      </c>
      <c r="V101" s="10"/>
      <c r="W101" s="10"/>
      <c r="X101" s="10">
        <v>2016</v>
      </c>
      <c r="Y101" s="13" t="s">
        <v>203</v>
      </c>
    </row>
    <row r="102" spans="1:30">
      <c r="I102" s="18" t="s">
        <v>190</v>
      </c>
      <c r="J102" s="18"/>
      <c r="K102" s="18"/>
      <c r="L102" s="13" t="s">
        <v>299</v>
      </c>
      <c r="M102" s="18"/>
      <c r="N102" s="13" t="s">
        <v>756</v>
      </c>
      <c r="O102" s="50" t="s">
        <v>757</v>
      </c>
      <c r="P102" s="18"/>
      <c r="Q102" s="18" t="s">
        <v>758</v>
      </c>
      <c r="S102" s="13">
        <f>45/(121+45)*100</f>
        <v>27.108433734939759</v>
      </c>
      <c r="T102" s="18">
        <f t="shared" si="4"/>
        <v>293.14999999999998</v>
      </c>
      <c r="V102" s="10"/>
      <c r="W102" s="10"/>
      <c r="X102" s="14">
        <v>2018</v>
      </c>
      <c r="Y102" s="13" t="s">
        <v>301</v>
      </c>
    </row>
    <row r="103" spans="1:30" ht="27.5" customHeight="1">
      <c r="A103" s="13">
        <f>ROW()-1</f>
        <v>102</v>
      </c>
      <c r="B103" s="13">
        <v>4</v>
      </c>
      <c r="C103" s="13">
        <v>4</v>
      </c>
      <c r="I103" s="13" t="s">
        <v>295</v>
      </c>
      <c r="L103" s="13" t="s">
        <v>299</v>
      </c>
      <c r="N103" s="13" t="s">
        <v>744</v>
      </c>
      <c r="O103" s="50" t="s">
        <v>745</v>
      </c>
      <c r="Q103" s="18" t="s">
        <v>746</v>
      </c>
      <c r="S103" s="13">
        <f>31*100/(31+10)</f>
        <v>75.609756097560975</v>
      </c>
      <c r="T103" s="18">
        <f t="shared" si="4"/>
        <v>293.14999999999998</v>
      </c>
      <c r="V103" s="14" t="s">
        <v>300</v>
      </c>
      <c r="W103" s="14"/>
      <c r="X103" s="14">
        <v>2018</v>
      </c>
      <c r="Y103" s="13" t="s">
        <v>301</v>
      </c>
      <c r="AC103" s="13" t="b">
        <v>0</v>
      </c>
    </row>
    <row r="104" spans="1:30">
      <c r="E104" s="13" t="b">
        <v>1</v>
      </c>
      <c r="I104" s="13" t="s">
        <v>190</v>
      </c>
      <c r="L104" s="18" t="s">
        <v>485</v>
      </c>
      <c r="M104" s="18"/>
      <c r="N104" s="13" t="s">
        <v>761</v>
      </c>
      <c r="O104" s="50" t="s">
        <v>587</v>
      </c>
      <c r="Q104" s="18" t="s">
        <v>760</v>
      </c>
      <c r="S104" s="13">
        <f>601.4*100/(601.4+125.7)</f>
        <v>82.712144134231878</v>
      </c>
      <c r="T104" s="13">
        <f>AI$1</f>
        <v>293.14999999999998</v>
      </c>
      <c r="V104" s="10" t="s">
        <v>411</v>
      </c>
      <c r="W104" s="10"/>
      <c r="X104" s="10">
        <v>2021</v>
      </c>
      <c r="Y104" s="44" t="s">
        <v>459</v>
      </c>
      <c r="AA104" s="26">
        <v>17</v>
      </c>
      <c r="AC104" s="13" t="s">
        <v>352</v>
      </c>
    </row>
    <row r="105" spans="1:30">
      <c r="A105" s="13">
        <f>ROW()-1</f>
        <v>104</v>
      </c>
      <c r="C105" s="13">
        <v>5</v>
      </c>
      <c r="E105" s="13" t="b">
        <v>1</v>
      </c>
      <c r="I105" s="13" t="s">
        <v>190</v>
      </c>
      <c r="L105" s="18" t="s">
        <v>485</v>
      </c>
      <c r="M105" s="18"/>
      <c r="N105" s="41" t="s">
        <v>196</v>
      </c>
      <c r="O105" s="41" t="s">
        <v>587</v>
      </c>
      <c r="Q105" s="18" t="s">
        <v>759</v>
      </c>
      <c r="S105" s="13">
        <f>117.4/(117.4+223.9)*100</f>
        <v>34.397890418986229</v>
      </c>
      <c r="T105" s="13">
        <f>AI$1</f>
        <v>293.14999999999998</v>
      </c>
      <c r="V105" s="10" t="s">
        <v>411</v>
      </c>
      <c r="W105" s="10"/>
      <c r="X105" s="10">
        <v>2021</v>
      </c>
      <c r="Y105" s="44" t="s">
        <v>459</v>
      </c>
      <c r="AA105" s="26">
        <v>17</v>
      </c>
      <c r="AC105" s="13" t="s">
        <v>352</v>
      </c>
    </row>
    <row r="106" spans="1:30">
      <c r="E106" s="13" t="b">
        <v>1</v>
      </c>
      <c r="I106" s="13" t="s">
        <v>762</v>
      </c>
      <c r="L106" s="18" t="s">
        <v>763</v>
      </c>
      <c r="M106" s="18"/>
      <c r="N106" s="41" t="s">
        <v>764</v>
      </c>
      <c r="O106" s="41" t="s">
        <v>765</v>
      </c>
      <c r="Q106" s="18" t="s">
        <v>766</v>
      </c>
      <c r="S106" s="13">
        <f>2/3*100</f>
        <v>66.666666666666657</v>
      </c>
      <c r="T106">
        <f>AH$1</f>
        <v>273.14999999999998</v>
      </c>
      <c r="V106" s="10"/>
      <c r="W106" s="10"/>
      <c r="X106" s="10">
        <v>2021</v>
      </c>
      <c r="Y106" s="44" t="s">
        <v>459</v>
      </c>
      <c r="AA106" s="26"/>
    </row>
    <row r="107" spans="1:30">
      <c r="I107" s="13" t="s">
        <v>344</v>
      </c>
      <c r="L107" s="18" t="s">
        <v>485</v>
      </c>
      <c r="M107" s="18"/>
      <c r="N107" s="13" t="s">
        <v>424</v>
      </c>
      <c r="O107" s="13" t="s">
        <v>586</v>
      </c>
      <c r="Q107" s="18" t="s">
        <v>769</v>
      </c>
      <c r="S107" s="13">
        <v>24</v>
      </c>
      <c r="T107" s="13">
        <f>AI$1</f>
        <v>293.14999999999998</v>
      </c>
      <c r="V107" t="s">
        <v>465</v>
      </c>
      <c r="W107"/>
      <c r="X107"/>
      <c r="Y107" s="45" t="s">
        <v>768</v>
      </c>
      <c r="AA107" s="26">
        <v>18</v>
      </c>
      <c r="AC107" s="13" t="s">
        <v>352</v>
      </c>
    </row>
    <row r="108" spans="1:30">
      <c r="I108" s="13" t="s">
        <v>344</v>
      </c>
      <c r="L108" s="18" t="s">
        <v>485</v>
      </c>
      <c r="M108" s="18"/>
      <c r="N108" s="13" t="s">
        <v>772</v>
      </c>
      <c r="O108" s="50" t="s">
        <v>586</v>
      </c>
      <c r="Q108" s="18" t="s">
        <v>770</v>
      </c>
      <c r="S108" s="13">
        <v>32</v>
      </c>
      <c r="T108" s="13">
        <f>AI$1</f>
        <v>293.14999999999998</v>
      </c>
      <c r="V108" t="s">
        <v>425</v>
      </c>
      <c r="W108"/>
      <c r="X108"/>
      <c r="Y108" s="45" t="s">
        <v>467</v>
      </c>
      <c r="AA108" s="26">
        <v>18</v>
      </c>
      <c r="AC108" s="13" t="s">
        <v>352</v>
      </c>
    </row>
    <row r="109" spans="1:30">
      <c r="A109" s="13">
        <f t="shared" ref="A109:A118" si="5">ROW()-1</f>
        <v>108</v>
      </c>
      <c r="C109" s="13">
        <v>6</v>
      </c>
      <c r="I109" s="13" t="s">
        <v>190</v>
      </c>
      <c r="L109" s="13" t="s">
        <v>134</v>
      </c>
      <c r="N109" s="13" t="s">
        <v>25</v>
      </c>
      <c r="O109" s="13" t="s">
        <v>587</v>
      </c>
      <c r="Q109" s="18" t="s">
        <v>771</v>
      </c>
      <c r="S109" s="13">
        <f>50/(50+57)*100</f>
        <v>46.728971962616825</v>
      </c>
      <c r="T109">
        <f>AH$1</f>
        <v>273.14999999999998</v>
      </c>
      <c r="V109" s="14" t="s">
        <v>285</v>
      </c>
      <c r="W109" s="14"/>
      <c r="X109" s="14"/>
      <c r="Y109" s="13" t="s">
        <v>161</v>
      </c>
      <c r="Z109" s="13" t="s">
        <v>317</v>
      </c>
      <c r="AA109" s="13">
        <v>19</v>
      </c>
      <c r="AB109" s="13" t="s">
        <v>262</v>
      </c>
      <c r="AC109" s="13" t="s">
        <v>262</v>
      </c>
    </row>
    <row r="110" spans="1:30">
      <c r="A110" s="13">
        <f t="shared" si="5"/>
        <v>109</v>
      </c>
      <c r="C110" s="13">
        <v>6</v>
      </c>
      <c r="I110" s="18" t="s">
        <v>341</v>
      </c>
      <c r="J110" s="18"/>
      <c r="K110" s="18" t="s">
        <v>423</v>
      </c>
      <c r="L110" s="18" t="s">
        <v>342</v>
      </c>
      <c r="M110" s="18"/>
      <c r="N110" s="13" t="s">
        <v>29</v>
      </c>
      <c r="O110" s="18" t="s">
        <v>586</v>
      </c>
      <c r="Q110" s="13" t="s">
        <v>773</v>
      </c>
      <c r="S110" s="13">
        <f>100/2.7</f>
        <v>37.037037037037038</v>
      </c>
      <c r="T110" s="13">
        <f>AI$1</f>
        <v>293.14999999999998</v>
      </c>
      <c r="V110" s="10" t="s">
        <v>343</v>
      </c>
      <c r="W110" s="10"/>
      <c r="X110" s="10"/>
      <c r="Y110" s="13" t="s">
        <v>170</v>
      </c>
      <c r="AA110" s="13">
        <v>20</v>
      </c>
      <c r="AB110" s="13" t="s">
        <v>262</v>
      </c>
      <c r="AC110" s="13" t="s">
        <v>262</v>
      </c>
    </row>
    <row r="111" spans="1:30">
      <c r="A111" s="13">
        <f t="shared" si="5"/>
        <v>110</v>
      </c>
      <c r="B111" s="13">
        <v>4</v>
      </c>
      <c r="C111" s="13">
        <v>4</v>
      </c>
      <c r="E111" s="13" t="b">
        <v>1</v>
      </c>
      <c r="I111" s="13" t="s">
        <v>295</v>
      </c>
      <c r="L111" s="13" t="s">
        <v>134</v>
      </c>
      <c r="N111" s="13" t="s">
        <v>67</v>
      </c>
      <c r="O111" s="13" t="s">
        <v>586</v>
      </c>
      <c r="S111" s="13">
        <v>90</v>
      </c>
      <c r="V111" s="13" t="s">
        <v>303</v>
      </c>
      <c r="Y111" s="13" t="s">
        <v>304</v>
      </c>
      <c r="AA111" s="13">
        <v>21</v>
      </c>
      <c r="AC111" s="13" t="s">
        <v>271</v>
      </c>
    </row>
    <row r="112" spans="1:30" hidden="1">
      <c r="A112" s="13">
        <f t="shared" si="5"/>
        <v>111</v>
      </c>
      <c r="C112" s="13" t="s">
        <v>272</v>
      </c>
      <c r="I112" s="13" t="s">
        <v>273</v>
      </c>
      <c r="L112" s="13" t="s">
        <v>274</v>
      </c>
      <c r="N112" s="13" t="s">
        <v>275</v>
      </c>
      <c r="R112" s="13" t="s">
        <v>437</v>
      </c>
      <c r="S112">
        <v>22.089875473741202</v>
      </c>
      <c r="T112">
        <f>40+AH1</f>
        <v>313.14999999999998</v>
      </c>
      <c r="V112" s="13" t="s">
        <v>276</v>
      </c>
      <c r="AA112" s="13">
        <v>0</v>
      </c>
      <c r="AB112" s="13" t="s">
        <v>262</v>
      </c>
      <c r="AC112" s="13" t="b">
        <v>0</v>
      </c>
      <c r="AD112" s="13" t="s">
        <v>288</v>
      </c>
    </row>
    <row r="113" spans="1:30" hidden="1">
      <c r="A113" s="13">
        <f t="shared" si="5"/>
        <v>112</v>
      </c>
      <c r="C113" s="13" t="s">
        <v>263</v>
      </c>
      <c r="I113" s="13" t="s">
        <v>190</v>
      </c>
      <c r="L113" s="13" t="s">
        <v>134</v>
      </c>
      <c r="N113" s="13" t="s">
        <v>275</v>
      </c>
      <c r="R113" s="13" t="s">
        <v>437</v>
      </c>
      <c r="S113">
        <v>21.976241900647949</v>
      </c>
      <c r="T113">
        <f>AH1+20</f>
        <v>293.14999999999998</v>
      </c>
      <c r="V113" s="13" t="s">
        <v>276</v>
      </c>
      <c r="AA113" s="13">
        <v>0</v>
      </c>
      <c r="AC113" s="13" t="b">
        <v>0</v>
      </c>
      <c r="AD113" s="13" t="s">
        <v>287</v>
      </c>
    </row>
    <row r="114" spans="1:30">
      <c r="A114" s="13">
        <f t="shared" si="5"/>
        <v>113</v>
      </c>
      <c r="C114" s="13">
        <v>6</v>
      </c>
      <c r="E114" s="13" t="b">
        <v>1</v>
      </c>
      <c r="L114" s="18" t="s">
        <v>485</v>
      </c>
      <c r="M114" s="18"/>
      <c r="N114" s="13" t="s">
        <v>75</v>
      </c>
      <c r="O114" s="13" t="s">
        <v>586</v>
      </c>
      <c r="S114" s="13">
        <f>41*100/(41+46)</f>
        <v>47.126436781609193</v>
      </c>
      <c r="V114" s="14" t="s">
        <v>150</v>
      </c>
      <c r="W114" s="14"/>
      <c r="X114" s="14"/>
      <c r="Y114" s="13" t="s">
        <v>149</v>
      </c>
      <c r="AA114" s="13">
        <v>22</v>
      </c>
      <c r="AB114" s="13" t="s">
        <v>262</v>
      </c>
      <c r="AC114" s="13" t="s">
        <v>262</v>
      </c>
    </row>
    <row r="115" spans="1:30" hidden="1">
      <c r="A115" s="13">
        <f t="shared" si="5"/>
        <v>114</v>
      </c>
      <c r="C115" s="13" t="s">
        <v>263</v>
      </c>
      <c r="I115" s="13" t="s">
        <v>190</v>
      </c>
      <c r="L115" s="13" t="s">
        <v>134</v>
      </c>
      <c r="N115" s="13" t="s">
        <v>275</v>
      </c>
      <c r="R115" s="13" t="s">
        <v>437</v>
      </c>
      <c r="S115">
        <v>14.104372355430185</v>
      </c>
      <c r="T115">
        <f>AH1+-20</f>
        <v>253.14999999999998</v>
      </c>
      <c r="V115" s="13" t="s">
        <v>276</v>
      </c>
      <c r="AD115" s="13" t="s">
        <v>288</v>
      </c>
    </row>
    <row r="116" spans="1:30" hidden="1">
      <c r="A116" s="13">
        <f t="shared" si="5"/>
        <v>115</v>
      </c>
      <c r="C116" s="13" t="s">
        <v>263</v>
      </c>
      <c r="I116" s="13" t="s">
        <v>190</v>
      </c>
      <c r="L116" s="13" t="s">
        <v>134</v>
      </c>
      <c r="N116" s="13" t="s">
        <v>275</v>
      </c>
      <c r="R116" s="13" t="s">
        <v>437</v>
      </c>
      <c r="S116">
        <v>9.1164095371669003</v>
      </c>
      <c r="T116">
        <f>AH1+-40</f>
        <v>233.14999999999998</v>
      </c>
      <c r="V116" s="13" t="s">
        <v>276</v>
      </c>
      <c r="AD116" s="13" t="s">
        <v>288</v>
      </c>
    </row>
    <row r="117" spans="1:30" hidden="1">
      <c r="A117" s="13">
        <f t="shared" si="5"/>
        <v>116</v>
      </c>
      <c r="C117" s="13" t="s">
        <v>263</v>
      </c>
      <c r="I117" s="13" t="s">
        <v>190</v>
      </c>
      <c r="L117" s="13" t="s">
        <v>134</v>
      </c>
      <c r="N117" s="25" t="s">
        <v>275</v>
      </c>
      <c r="O117" s="25"/>
      <c r="P117" s="25"/>
      <c r="Q117" s="25"/>
      <c r="R117" s="13" t="s">
        <v>437</v>
      </c>
      <c r="S117" s="39">
        <v>8.7511825922421949</v>
      </c>
      <c r="T117">
        <f>AH1+-60</f>
        <v>213.14999999999998</v>
      </c>
      <c r="V117" s="13" t="s">
        <v>276</v>
      </c>
      <c r="AD117" s="13" t="s">
        <v>288</v>
      </c>
    </row>
    <row r="118" spans="1:30" hidden="1">
      <c r="A118" s="13">
        <f t="shared" si="5"/>
        <v>117</v>
      </c>
      <c r="C118" s="13" t="s">
        <v>263</v>
      </c>
      <c r="I118" s="13" t="s">
        <v>190</v>
      </c>
      <c r="L118" s="13" t="s">
        <v>134</v>
      </c>
      <c r="N118" s="13" t="s">
        <v>275</v>
      </c>
      <c r="R118" s="13" t="s">
        <v>437</v>
      </c>
      <c r="S118">
        <v>8.7404994571118362</v>
      </c>
      <c r="T118">
        <f>AH1+-80</f>
        <v>193.14999999999998</v>
      </c>
      <c r="V118" s="13" t="s">
        <v>276</v>
      </c>
      <c r="AB118" s="13" t="s">
        <v>262</v>
      </c>
      <c r="AD118" s="13" t="s">
        <v>288</v>
      </c>
    </row>
    <row r="119" spans="1:30" hidden="1"/>
    <row r="120" spans="1:30" hidden="1">
      <c r="A120" s="13">
        <f t="shared" ref="A120:A126" si="6">ROW()-1</f>
        <v>119</v>
      </c>
      <c r="C120" s="13">
        <v>6</v>
      </c>
      <c r="N120" s="13" t="s">
        <v>74</v>
      </c>
      <c r="S120" s="13">
        <v>58</v>
      </c>
      <c r="V120" s="10" t="s">
        <v>417</v>
      </c>
      <c r="W120" s="10"/>
      <c r="X120" s="10"/>
      <c r="Y120" s="13" t="s">
        <v>418</v>
      </c>
    </row>
    <row r="121" spans="1:30" hidden="1">
      <c r="A121" s="13">
        <f t="shared" si="6"/>
        <v>120</v>
      </c>
      <c r="C121" s="13">
        <v>6</v>
      </c>
      <c r="N121" s="13" t="s">
        <v>79</v>
      </c>
      <c r="S121" s="13">
        <f>24*100/(24+54)</f>
        <v>30.76923076923077</v>
      </c>
    </row>
    <row r="122" spans="1:30" hidden="1">
      <c r="A122" s="13">
        <f t="shared" si="6"/>
        <v>121</v>
      </c>
      <c r="C122" s="13" t="s">
        <v>39</v>
      </c>
      <c r="N122" s="13" t="s">
        <v>78</v>
      </c>
      <c r="S122" s="13">
        <f>62/(62+26)*100</f>
        <v>70.454545454545453</v>
      </c>
    </row>
    <row r="123" spans="1:30" hidden="1">
      <c r="A123" s="13">
        <f t="shared" si="6"/>
        <v>122</v>
      </c>
      <c r="C123" s="13" t="s">
        <v>39</v>
      </c>
      <c r="N123" s="13" t="s">
        <v>80</v>
      </c>
      <c r="S123" s="13">
        <v>84</v>
      </c>
    </row>
    <row r="124" spans="1:30" ht="17.5" hidden="1" customHeight="1">
      <c r="A124" s="13">
        <f t="shared" si="6"/>
        <v>123</v>
      </c>
      <c r="B124" s="13" t="s">
        <v>308</v>
      </c>
      <c r="I124" s="13" t="s">
        <v>190</v>
      </c>
      <c r="L124" s="13" t="s">
        <v>134</v>
      </c>
      <c r="N124" s="13" t="s">
        <v>97</v>
      </c>
    </row>
    <row r="125" spans="1:30" ht="25" hidden="1" customHeight="1">
      <c r="A125" s="13">
        <f t="shared" si="6"/>
        <v>124</v>
      </c>
      <c r="B125" s="13" t="s">
        <v>309</v>
      </c>
      <c r="I125" s="13" t="s">
        <v>190</v>
      </c>
      <c r="L125" s="13" t="s">
        <v>134</v>
      </c>
      <c r="N125" s="13" t="s">
        <v>99</v>
      </c>
    </row>
    <row r="126" spans="1:30">
      <c r="A126" s="13">
        <f t="shared" si="6"/>
        <v>125</v>
      </c>
      <c r="C126" s="13">
        <v>6</v>
      </c>
      <c r="I126" s="13" t="s">
        <v>361</v>
      </c>
      <c r="L126" s="13" t="s">
        <v>485</v>
      </c>
      <c r="N126" s="41" t="s">
        <v>267</v>
      </c>
      <c r="O126" s="41" t="s">
        <v>587</v>
      </c>
      <c r="Q126" s="13" t="s">
        <v>774</v>
      </c>
      <c r="S126" s="13">
        <v>33</v>
      </c>
      <c r="T126">
        <f>AH$1</f>
        <v>273.14999999999998</v>
      </c>
      <c r="V126" s="10" t="s">
        <v>457</v>
      </c>
      <c r="W126" s="10"/>
      <c r="X126" s="10"/>
      <c r="Y126" s="44" t="s">
        <v>458</v>
      </c>
      <c r="Z126" s="11"/>
      <c r="AA126" s="11">
        <v>23</v>
      </c>
      <c r="AB126" s="13" t="s">
        <v>262</v>
      </c>
      <c r="AC126" s="13" t="s">
        <v>352</v>
      </c>
    </row>
    <row r="127" spans="1:30">
      <c r="I127" s="13" t="s">
        <v>361</v>
      </c>
      <c r="L127" s="41" t="s">
        <v>134</v>
      </c>
      <c r="M127" s="41"/>
      <c r="N127" s="41" t="s">
        <v>674</v>
      </c>
      <c r="O127" s="41" t="s">
        <v>587</v>
      </c>
      <c r="Q127" s="41" t="s">
        <v>775</v>
      </c>
      <c r="S127" s="13">
        <v>12</v>
      </c>
      <c r="T127">
        <f>AH$1</f>
        <v>273.14999999999998</v>
      </c>
      <c r="V127" s="10" t="s">
        <v>412</v>
      </c>
      <c r="W127" s="10"/>
      <c r="X127" s="10"/>
      <c r="Y127" s="44" t="s">
        <v>458</v>
      </c>
      <c r="Z127" s="11"/>
      <c r="AA127" s="11">
        <v>23</v>
      </c>
      <c r="AC127" s="13" t="s">
        <v>352</v>
      </c>
    </row>
    <row r="128" spans="1:30" ht="17.5" customHeight="1">
      <c r="A128" s="13">
        <f>ROW()-1</f>
        <v>127</v>
      </c>
      <c r="C128" s="13">
        <v>6</v>
      </c>
      <c r="E128" s="13" t="b">
        <v>1</v>
      </c>
      <c r="I128" s="13" t="s">
        <v>190</v>
      </c>
      <c r="L128" s="13" t="s">
        <v>134</v>
      </c>
      <c r="N128" s="13" t="s">
        <v>76</v>
      </c>
      <c r="O128" s="13" t="s">
        <v>586</v>
      </c>
      <c r="S128" s="13">
        <f>100*9/(86+9)</f>
        <v>9.473684210526315</v>
      </c>
      <c r="Y128" s="13" t="s">
        <v>158</v>
      </c>
      <c r="AA128" s="13">
        <v>24</v>
      </c>
      <c r="AB128" s="13" t="s">
        <v>262</v>
      </c>
      <c r="AC128" s="13" t="s">
        <v>262</v>
      </c>
    </row>
    <row r="129" spans="1:30" hidden="1">
      <c r="I129" s="13" t="s">
        <v>344</v>
      </c>
      <c r="N129" s="21" t="s">
        <v>346</v>
      </c>
      <c r="O129" s="21"/>
      <c r="P129" s="21"/>
      <c r="Q129" s="21"/>
      <c r="V129" s="13" t="s">
        <v>406</v>
      </c>
    </row>
    <row r="130" spans="1:30" hidden="1">
      <c r="I130" s="13" t="s">
        <v>344</v>
      </c>
      <c r="N130" s="13" t="s">
        <v>404</v>
      </c>
      <c r="S130" s="13">
        <f>43*100/(43+48)</f>
        <v>47.252747252747255</v>
      </c>
      <c r="V130" s="13" t="s">
        <v>405</v>
      </c>
      <c r="AC130" s="13" t="b">
        <v>0</v>
      </c>
    </row>
    <row r="131" spans="1:30" hidden="1">
      <c r="I131" s="13" t="s">
        <v>344</v>
      </c>
      <c r="N131" s="13" t="s">
        <v>408</v>
      </c>
      <c r="P131" s="13" t="s">
        <v>410</v>
      </c>
      <c r="S131" s="13">
        <f>100*46/56</f>
        <v>82.142857142857139</v>
      </c>
      <c r="V131" s="10" t="s">
        <v>409</v>
      </c>
      <c r="W131" s="10"/>
      <c r="X131" s="10"/>
      <c r="Y131" s="13" t="s">
        <v>407</v>
      </c>
      <c r="AC131" s="13" t="b">
        <v>0</v>
      </c>
    </row>
    <row r="132" spans="1:30">
      <c r="E132" s="13" t="b">
        <v>1</v>
      </c>
      <c r="I132" s="13" t="s">
        <v>344</v>
      </c>
      <c r="L132" s="13" t="s">
        <v>485</v>
      </c>
      <c r="N132" s="13" t="s">
        <v>435</v>
      </c>
      <c r="O132" s="13" t="s">
        <v>586</v>
      </c>
      <c r="Q132" s="13">
        <f>20*100/91</f>
        <v>21.978021978021978</v>
      </c>
      <c r="S132" s="13">
        <v>80</v>
      </c>
      <c r="V132" s="10" t="s">
        <v>462</v>
      </c>
      <c r="W132" s="10"/>
      <c r="X132" s="10"/>
      <c r="Y132" s="45" t="s">
        <v>463</v>
      </c>
      <c r="AA132" s="13">
        <v>25</v>
      </c>
      <c r="AC132" s="13" t="s">
        <v>262</v>
      </c>
    </row>
    <row r="133" spans="1:30" hidden="1">
      <c r="I133" s="13" t="s">
        <v>361</v>
      </c>
      <c r="N133" s="13" t="s">
        <v>415</v>
      </c>
      <c r="S133" s="13" t="s">
        <v>413</v>
      </c>
      <c r="V133" s="10" t="s">
        <v>414</v>
      </c>
      <c r="W133" s="10"/>
      <c r="X133" s="10"/>
      <c r="Y133" s="13" t="s">
        <v>416</v>
      </c>
    </row>
    <row r="134" spans="1:30">
      <c r="A134" s="13">
        <f>ROW()-1</f>
        <v>133</v>
      </c>
      <c r="C134" s="25">
        <v>6</v>
      </c>
      <c r="D134" s="25"/>
      <c r="E134" s="25"/>
      <c r="F134" s="25"/>
      <c r="G134" s="25"/>
      <c r="H134" s="25"/>
      <c r="I134" s="25" t="s">
        <v>190</v>
      </c>
      <c r="J134" s="25"/>
      <c r="K134" s="25"/>
      <c r="L134" s="25" t="s">
        <v>134</v>
      </c>
      <c r="M134" s="25"/>
      <c r="N134" s="25" t="s">
        <v>776</v>
      </c>
      <c r="O134" s="26" t="s">
        <v>716</v>
      </c>
      <c r="P134" s="26"/>
      <c r="Q134" s="26" t="s">
        <v>778</v>
      </c>
      <c r="R134" s="26"/>
      <c r="S134" s="25">
        <v>60</v>
      </c>
      <c r="T134" s="25">
        <f>AH$1+2.5</f>
        <v>275.64999999999998</v>
      </c>
      <c r="U134" s="25"/>
      <c r="V134" s="25"/>
      <c r="W134" s="25"/>
      <c r="X134" s="25"/>
      <c r="Y134" s="25" t="s">
        <v>186</v>
      </c>
      <c r="Z134" s="25"/>
      <c r="AA134" s="25">
        <v>26</v>
      </c>
      <c r="AB134" s="13" t="s">
        <v>262</v>
      </c>
      <c r="AC134" s="13" t="s">
        <v>262</v>
      </c>
    </row>
    <row r="135" spans="1:30">
      <c r="A135" s="13">
        <f>ROW()-1</f>
        <v>134</v>
      </c>
      <c r="C135" s="13">
        <v>5</v>
      </c>
      <c r="I135" s="13" t="s">
        <v>190</v>
      </c>
      <c r="L135" s="13" t="s">
        <v>134</v>
      </c>
      <c r="N135" s="25" t="s">
        <v>780</v>
      </c>
      <c r="O135" s="26" t="s">
        <v>716</v>
      </c>
      <c r="Q135" s="26" t="s">
        <v>777</v>
      </c>
      <c r="S135" s="13">
        <v>47</v>
      </c>
      <c r="T135" s="25">
        <f>AH$1+2.5</f>
        <v>275.64999999999998</v>
      </c>
      <c r="U135" s="25"/>
      <c r="Y135" s="13" t="s">
        <v>186</v>
      </c>
      <c r="AA135" s="26">
        <v>26</v>
      </c>
      <c r="AB135" s="13" t="s">
        <v>262</v>
      </c>
      <c r="AC135" s="13" t="s">
        <v>262</v>
      </c>
    </row>
    <row r="136" spans="1:30">
      <c r="A136" s="13">
        <f>ROW()-1</f>
        <v>135</v>
      </c>
      <c r="C136" s="13">
        <v>5</v>
      </c>
      <c r="I136" s="13" t="s">
        <v>190</v>
      </c>
      <c r="L136" s="13" t="s">
        <v>134</v>
      </c>
      <c r="N136" s="25" t="s">
        <v>781</v>
      </c>
      <c r="O136" s="26" t="s">
        <v>716</v>
      </c>
      <c r="Q136" s="26" t="s">
        <v>779</v>
      </c>
      <c r="S136" s="13">
        <v>44</v>
      </c>
      <c r="T136" s="25">
        <f>AH$1+2.5</f>
        <v>275.64999999999998</v>
      </c>
      <c r="U136" s="25"/>
      <c r="Y136" s="13" t="s">
        <v>186</v>
      </c>
      <c r="AA136" s="26">
        <v>26</v>
      </c>
      <c r="AB136" s="13" t="s">
        <v>262</v>
      </c>
      <c r="AC136" s="13" t="s">
        <v>262</v>
      </c>
    </row>
    <row r="137" spans="1:30" hidden="1">
      <c r="I137" s="13" t="s">
        <v>344</v>
      </c>
      <c r="N137" s="13" t="s">
        <v>427</v>
      </c>
      <c r="R137" s="13" t="s">
        <v>441</v>
      </c>
      <c r="S137" s="13">
        <v>8</v>
      </c>
      <c r="T137" s="13">
        <f>AI1</f>
        <v>293.14999999999998</v>
      </c>
      <c r="V137" t="s">
        <v>425</v>
      </c>
      <c r="W137"/>
      <c r="X137"/>
      <c r="AC137" s="13" t="b">
        <v>0</v>
      </c>
    </row>
    <row r="138" spans="1:30" hidden="1">
      <c r="I138" s="13" t="s">
        <v>344</v>
      </c>
      <c r="N138" s="13" t="s">
        <v>434</v>
      </c>
      <c r="S138" s="13">
        <v>0</v>
      </c>
      <c r="T138" s="13">
        <f>AI1</f>
        <v>293.14999999999998</v>
      </c>
      <c r="V138" t="s">
        <v>425</v>
      </c>
      <c r="W138"/>
      <c r="X138"/>
      <c r="AC138" s="13" t="b">
        <v>0</v>
      </c>
    </row>
    <row r="139" spans="1:30">
      <c r="A139" s="13">
        <f>ROW()-1</f>
        <v>138</v>
      </c>
      <c r="C139" s="13" t="s">
        <v>263</v>
      </c>
      <c r="E139" s="13" t="b">
        <v>1</v>
      </c>
      <c r="I139" s="13" t="s">
        <v>190</v>
      </c>
      <c r="L139" s="13" t="s">
        <v>134</v>
      </c>
      <c r="N139" s="13" t="s">
        <v>275</v>
      </c>
      <c r="O139" s="26" t="s">
        <v>587</v>
      </c>
      <c r="R139" s="13" t="s">
        <v>437</v>
      </c>
      <c r="S139">
        <v>16.95</v>
      </c>
      <c r="T139">
        <f>AH$1+0</f>
        <v>273.14999999999998</v>
      </c>
      <c r="U139" s="25"/>
      <c r="V139" s="13" t="s">
        <v>276</v>
      </c>
      <c r="AA139" s="26">
        <v>99</v>
      </c>
      <c r="AB139" s="13" t="s">
        <v>262</v>
      </c>
      <c r="AC139" s="13" t="s">
        <v>484</v>
      </c>
      <c r="AD139" s="13" t="s">
        <v>288</v>
      </c>
    </row>
    <row r="140" spans="1:30">
      <c r="L140" s="13" t="s">
        <v>134</v>
      </c>
      <c r="N140" s="13" t="s">
        <v>122</v>
      </c>
      <c r="O140" s="26" t="s">
        <v>587</v>
      </c>
      <c r="R140" s="13" t="s">
        <v>476</v>
      </c>
      <c r="S140">
        <v>14</v>
      </c>
      <c r="T140">
        <f>AH$1+25</f>
        <v>298.14999999999998</v>
      </c>
      <c r="U140" s="25"/>
      <c r="V140" t="s">
        <v>477</v>
      </c>
      <c r="W140"/>
      <c r="X140"/>
      <c r="Y140" t="s">
        <v>782</v>
      </c>
      <c r="AA140" s="26">
        <v>999</v>
      </c>
      <c r="AC140" s="13" t="s">
        <v>783</v>
      </c>
    </row>
    <row r="141" spans="1:30">
      <c r="L141" s="13" t="s">
        <v>134</v>
      </c>
      <c r="N141" s="13" t="s">
        <v>456</v>
      </c>
      <c r="O141" s="26" t="s">
        <v>586</v>
      </c>
      <c r="S141">
        <v>50</v>
      </c>
      <c r="T141">
        <f>AH$1+25</f>
        <v>298.14999999999998</v>
      </c>
      <c r="U141" s="25"/>
      <c r="V141" t="s">
        <v>480</v>
      </c>
      <c r="W141"/>
      <c r="X141"/>
      <c r="Y141" t="s">
        <v>480</v>
      </c>
      <c r="AA141" s="26">
        <v>999</v>
      </c>
      <c r="AC141" s="13" t="s">
        <v>783</v>
      </c>
    </row>
    <row r="142" spans="1:30" ht="16.5" customHeight="1">
      <c r="I142" s="13" t="s">
        <v>344</v>
      </c>
      <c r="N142" s="13" t="s">
        <v>426</v>
      </c>
      <c r="P142" s="13" t="s">
        <v>428</v>
      </c>
      <c r="S142" s="13">
        <v>64</v>
      </c>
      <c r="T142" s="13">
        <f>AI$1</f>
        <v>293.14999999999998</v>
      </c>
      <c r="V142" t="s">
        <v>478</v>
      </c>
      <c r="W142"/>
      <c r="X142"/>
      <c r="AA142" s="26"/>
      <c r="AC142" s="13" t="b">
        <v>0</v>
      </c>
    </row>
    <row r="143" spans="1:30" ht="16.5" customHeight="1">
      <c r="I143" s="13" t="s">
        <v>344</v>
      </c>
      <c r="N143" s="13" t="s">
        <v>429</v>
      </c>
      <c r="P143" s="13" t="s">
        <v>430</v>
      </c>
      <c r="S143" s="13">
        <v>44</v>
      </c>
      <c r="T143" s="13">
        <f>AI$1</f>
        <v>293.14999999999998</v>
      </c>
      <c r="V143" t="s">
        <v>479</v>
      </c>
      <c r="W143"/>
      <c r="X143"/>
      <c r="AC143" s="13" t="b">
        <v>0</v>
      </c>
    </row>
    <row r="144" spans="1:30">
      <c r="K144" s="13" t="s">
        <v>469</v>
      </c>
      <c r="L144" s="13" t="s">
        <v>485</v>
      </c>
      <c r="N144" s="13" t="s">
        <v>472</v>
      </c>
      <c r="O144" s="13" t="s">
        <v>586</v>
      </c>
      <c r="S144" s="13">
        <v>52</v>
      </c>
      <c r="T144" s="13">
        <f>AH$1-20</f>
        <v>253.14999999999998</v>
      </c>
      <c r="V144" s="13" t="s">
        <v>470</v>
      </c>
      <c r="Y144" s="13" t="s">
        <v>276</v>
      </c>
      <c r="AC144" s="13" t="s">
        <v>262</v>
      </c>
    </row>
    <row r="145" spans="9:32">
      <c r="K145" s="13" t="s">
        <v>471</v>
      </c>
      <c r="L145" s="13" t="s">
        <v>485</v>
      </c>
      <c r="N145" s="13" t="s">
        <v>473</v>
      </c>
      <c r="O145" s="13" t="s">
        <v>586</v>
      </c>
      <c r="S145" s="13">
        <v>97</v>
      </c>
      <c r="T145" s="13">
        <f>AH$1-20</f>
        <v>253.14999999999998</v>
      </c>
      <c r="V145" s="13" t="s">
        <v>470</v>
      </c>
      <c r="Y145" s="13" t="s">
        <v>276</v>
      </c>
      <c r="AC145" s="13" t="s">
        <v>262</v>
      </c>
    </row>
    <row r="146" spans="9:32">
      <c r="N146" s="13" t="s">
        <v>431</v>
      </c>
    </row>
    <row r="147" spans="9:32">
      <c r="N147" s="13" t="s">
        <v>432</v>
      </c>
    </row>
    <row r="148" spans="9:32">
      <c r="N148" s="13" t="s">
        <v>433</v>
      </c>
    </row>
    <row r="149" spans="9:32">
      <c r="I149" s="13" t="s">
        <v>785</v>
      </c>
      <c r="L149" s="13" t="s">
        <v>784</v>
      </c>
      <c r="N149" s="13" t="s">
        <v>787</v>
      </c>
      <c r="O149" s="13" t="s">
        <v>788</v>
      </c>
      <c r="Q149" s="13" t="s">
        <v>789</v>
      </c>
      <c r="S149" s="13">
        <f>100*15/(15+10)</f>
        <v>60</v>
      </c>
      <c r="T149">
        <f>AH$1+0</f>
        <v>273.14999999999998</v>
      </c>
      <c r="V149" t="s">
        <v>790</v>
      </c>
      <c r="AC149" s="13" t="s">
        <v>791</v>
      </c>
      <c r="AF149" s="13" t="s">
        <v>786</v>
      </c>
    </row>
    <row r="150" spans="9:32">
      <c r="I150" s="13" t="s">
        <v>785</v>
      </c>
      <c r="L150" s="13" t="s">
        <v>784</v>
      </c>
      <c r="N150" s="13" t="s">
        <v>792</v>
      </c>
      <c r="O150" s="13" t="s">
        <v>788</v>
      </c>
      <c r="Q150" s="13" t="s">
        <v>793</v>
      </c>
      <c r="S150" s="13">
        <v>50</v>
      </c>
      <c r="T150" s="13">
        <f>AI$1</f>
        <v>293.14999999999998</v>
      </c>
      <c r="V150" s="13" t="s">
        <v>794</v>
      </c>
      <c r="AC150" s="13" t="s">
        <v>791</v>
      </c>
    </row>
    <row r="151" spans="9:32">
      <c r="I151" s="13" t="s">
        <v>785</v>
      </c>
      <c r="L151" s="13" t="s">
        <v>784</v>
      </c>
      <c r="N151" s="13" t="s">
        <v>795</v>
      </c>
      <c r="O151" s="13" t="s">
        <v>788</v>
      </c>
      <c r="Q151" s="13" t="s">
        <v>796</v>
      </c>
      <c r="S151" s="13">
        <f>1/2.91*100</f>
        <v>34.364261168384878</v>
      </c>
      <c r="T151" s="13">
        <f>AI$1</f>
        <v>293.14999999999998</v>
      </c>
      <c r="V151" t="s">
        <v>797</v>
      </c>
      <c r="AC151" s="13" t="s">
        <v>791</v>
      </c>
    </row>
    <row r="152" spans="9:32">
      <c r="I152" s="13" t="s">
        <v>785</v>
      </c>
      <c r="L152" s="13" t="s">
        <v>784</v>
      </c>
      <c r="N152" s="13" t="s">
        <v>798</v>
      </c>
      <c r="O152" s="13" t="s">
        <v>799</v>
      </c>
      <c r="Q152" s="13" t="s">
        <v>800</v>
      </c>
      <c r="S152" s="13">
        <f>10/11*100</f>
        <v>90.909090909090907</v>
      </c>
      <c r="T152" s="13">
        <f>AI$1</f>
        <v>293.14999999999998</v>
      </c>
      <c r="V152" t="s">
        <v>801</v>
      </c>
      <c r="AC152" s="13" t="s">
        <v>791</v>
      </c>
    </row>
    <row r="153" spans="9:32">
      <c r="I153" s="13" t="s">
        <v>785</v>
      </c>
      <c r="L153" s="13" t="s">
        <v>784</v>
      </c>
      <c r="N153" s="13" t="s">
        <v>802</v>
      </c>
      <c r="O153" s="13" t="s">
        <v>799</v>
      </c>
      <c r="Q153" s="13" t="s">
        <v>803</v>
      </c>
      <c r="S153" s="13">
        <v>78</v>
      </c>
      <c r="T153">
        <f>AH$1+0</f>
        <v>273.14999999999998</v>
      </c>
      <c r="V153" t="s">
        <v>804</v>
      </c>
      <c r="AC153" s="13" t="s">
        <v>791</v>
      </c>
    </row>
    <row r="154" spans="9:32">
      <c r="I154" s="13" t="s">
        <v>785</v>
      </c>
      <c r="L154" s="13" t="s">
        <v>784</v>
      </c>
      <c r="N154" s="13" t="s">
        <v>805</v>
      </c>
      <c r="O154" s="13" t="s">
        <v>799</v>
      </c>
      <c r="Q154" s="13" t="s">
        <v>806</v>
      </c>
      <c r="S154" s="13">
        <v>25</v>
      </c>
      <c r="T154">
        <f>$AJ$1</f>
        <v>337.84999999999997</v>
      </c>
      <c r="V154" t="s">
        <v>807</v>
      </c>
      <c r="AC154" s="13" t="s">
        <v>791</v>
      </c>
    </row>
    <row r="155" spans="9:32">
      <c r="I155" s="13" t="s">
        <v>443</v>
      </c>
      <c r="L155" s="13" t="s">
        <v>445</v>
      </c>
      <c r="N155" s="13" t="s">
        <v>449</v>
      </c>
      <c r="S155" s="13">
        <v>12</v>
      </c>
    </row>
    <row r="156" spans="9:32">
      <c r="L156" s="13" t="s">
        <v>445</v>
      </c>
      <c r="N156" s="13" t="s">
        <v>446</v>
      </c>
    </row>
    <row r="157" spans="9:32">
      <c r="L157" s="13" t="s">
        <v>445</v>
      </c>
      <c r="N157" s="13" t="s">
        <v>447</v>
      </c>
    </row>
    <row r="158" spans="9:32">
      <c r="L158" s="13" t="s">
        <v>445</v>
      </c>
      <c r="N158" s="13" t="s">
        <v>448</v>
      </c>
    </row>
    <row r="159" spans="9:32">
      <c r="V159" s="13" t="s">
        <v>407</v>
      </c>
      <c r="Y159" s="14" t="s">
        <v>286</v>
      </c>
    </row>
    <row r="166" spans="1:32">
      <c r="C166" s="13" t="s">
        <v>489</v>
      </c>
      <c r="L166" s="13" t="s">
        <v>444</v>
      </c>
      <c r="N166" s="41" t="s">
        <v>455</v>
      </c>
      <c r="O166" s="41"/>
      <c r="S166" s="13">
        <v>60</v>
      </c>
      <c r="T166" s="13">
        <f>AH$1+82</f>
        <v>355.15</v>
      </c>
      <c r="Y166" s="13" t="s">
        <v>486</v>
      </c>
      <c r="AC166" s="13" t="b">
        <v>0</v>
      </c>
    </row>
    <row r="168" spans="1:32">
      <c r="A168" s="47"/>
      <c r="C168" s="47" t="s">
        <v>488</v>
      </c>
      <c r="D168" s="47"/>
      <c r="E168" s="47"/>
      <c r="F168" s="47"/>
      <c r="G168" s="47"/>
      <c r="H168" s="47"/>
      <c r="J168" s="47"/>
      <c r="L168" s="47" t="s">
        <v>445</v>
      </c>
      <c r="M168" s="47"/>
      <c r="N168" s="47" t="s">
        <v>18</v>
      </c>
      <c r="O168" s="47"/>
      <c r="P168" s="47"/>
      <c r="Q168" s="47"/>
      <c r="R168" s="47" t="s">
        <v>438</v>
      </c>
      <c r="S168" s="47">
        <v>15</v>
      </c>
      <c r="T168" s="47"/>
      <c r="U168" s="47"/>
      <c r="V168" s="48" t="s">
        <v>169</v>
      </c>
      <c r="W168" s="48"/>
      <c r="X168" s="48"/>
      <c r="Y168" s="47" t="s">
        <v>487</v>
      </c>
      <c r="Z168" s="47"/>
      <c r="AA168" s="47"/>
      <c r="AB168" s="47"/>
      <c r="AC168" s="47" t="b">
        <v>0</v>
      </c>
    </row>
    <row r="169" spans="1:32">
      <c r="C169" s="13" t="s">
        <v>496</v>
      </c>
      <c r="L169" s="13" t="s">
        <v>445</v>
      </c>
      <c r="N169" s="13" t="s">
        <v>503</v>
      </c>
      <c r="O169" s="13" t="s">
        <v>587</v>
      </c>
      <c r="R169" s="13" t="s">
        <v>504</v>
      </c>
      <c r="S169" s="13">
        <v>11</v>
      </c>
      <c r="T169" s="13">
        <f>$AH$1</f>
        <v>273.14999999999998</v>
      </c>
      <c r="Y169" s="13" t="s">
        <v>538</v>
      </c>
      <c r="AC169" s="13" t="s">
        <v>484</v>
      </c>
      <c r="AF169" s="13" t="s">
        <v>497</v>
      </c>
    </row>
    <row r="170" spans="1:32">
      <c r="C170" s="13" t="s">
        <v>488</v>
      </c>
      <c r="L170" s="13" t="s">
        <v>445</v>
      </c>
      <c r="N170" s="13" t="s">
        <v>18</v>
      </c>
      <c r="O170" s="13" t="s">
        <v>587</v>
      </c>
      <c r="R170" s="13" t="s">
        <v>438</v>
      </c>
      <c r="S170" s="13">
        <v>13</v>
      </c>
      <c r="T170" s="13">
        <f>$AH$1</f>
        <v>273.14999999999998</v>
      </c>
      <c r="Y170" s="13" t="s">
        <v>538</v>
      </c>
      <c r="AC170" s="13" t="s">
        <v>484</v>
      </c>
      <c r="AF170" s="13" t="s">
        <v>535</v>
      </c>
    </row>
    <row r="171" spans="1:32">
      <c r="C171" s="13" t="s">
        <v>499</v>
      </c>
      <c r="L171" s="13" t="s">
        <v>445</v>
      </c>
      <c r="N171" s="13" t="s">
        <v>500</v>
      </c>
      <c r="O171" s="13" t="s">
        <v>586</v>
      </c>
      <c r="S171" s="13">
        <v>12</v>
      </c>
      <c r="T171" s="13">
        <f>$AH$1</f>
        <v>273.14999999999998</v>
      </c>
      <c r="Y171" s="13" t="s">
        <v>486</v>
      </c>
      <c r="AC171" s="13" t="s">
        <v>484</v>
      </c>
      <c r="AF171" s="13" t="s">
        <v>498</v>
      </c>
    </row>
    <row r="172" spans="1:32">
      <c r="L172" s="13" t="s">
        <v>445</v>
      </c>
      <c r="N172" s="13" t="s">
        <v>534</v>
      </c>
      <c r="O172" s="13" t="s">
        <v>588</v>
      </c>
      <c r="S172" s="13">
        <v>4</v>
      </c>
      <c r="Y172" s="13" t="s">
        <v>486</v>
      </c>
      <c r="AC172" s="13" t="s">
        <v>484</v>
      </c>
      <c r="AF172" s="13" t="s">
        <v>543</v>
      </c>
    </row>
    <row r="173" spans="1:32">
      <c r="L173" s="13" t="s">
        <v>445</v>
      </c>
      <c r="N173" s="13" t="s">
        <v>532</v>
      </c>
      <c r="O173" s="13" t="s">
        <v>586</v>
      </c>
      <c r="S173" s="13">
        <f>100-7</f>
        <v>93</v>
      </c>
      <c r="T173" s="13">
        <f>$AH$1</f>
        <v>273.14999999999998</v>
      </c>
      <c r="Y173" s="13" t="s">
        <v>486</v>
      </c>
      <c r="AC173" s="13" t="s">
        <v>484</v>
      </c>
      <c r="AF173" s="13" t="s">
        <v>533</v>
      </c>
    </row>
    <row r="174" spans="1:32">
      <c r="C174" s="13" t="s">
        <v>491</v>
      </c>
      <c r="L174" s="13" t="s">
        <v>445</v>
      </c>
      <c r="N174" s="13" t="s">
        <v>449</v>
      </c>
      <c r="O174" s="13" t="s">
        <v>586</v>
      </c>
      <c r="S174" s="13">
        <v>27</v>
      </c>
      <c r="T174" s="13">
        <f>AH$1</f>
        <v>273.14999999999998</v>
      </c>
      <c r="Y174" s="13" t="s">
        <v>538</v>
      </c>
      <c r="AC174" s="13" t="s">
        <v>484</v>
      </c>
      <c r="AF174" s="13" t="s">
        <v>536</v>
      </c>
    </row>
    <row r="175" spans="1:32">
      <c r="C175" s="13" t="s">
        <v>492</v>
      </c>
      <c r="L175" s="13" t="s">
        <v>445</v>
      </c>
      <c r="N175" s="13" t="s">
        <v>450</v>
      </c>
      <c r="O175" s="13" t="s">
        <v>586</v>
      </c>
      <c r="S175" s="13">
        <v>32</v>
      </c>
      <c r="T175" s="13">
        <f>AH$1</f>
        <v>273.14999999999998</v>
      </c>
      <c r="Y175" s="13" t="s">
        <v>538</v>
      </c>
      <c r="AC175" s="13" t="s">
        <v>484</v>
      </c>
      <c r="AF175" s="13" t="s">
        <v>537</v>
      </c>
    </row>
    <row r="176" spans="1:32">
      <c r="C176" s="13" t="s">
        <v>493</v>
      </c>
      <c r="K176" s="13" t="s">
        <v>451</v>
      </c>
      <c r="L176" s="13" t="s">
        <v>445</v>
      </c>
      <c r="N176" s="13" t="s">
        <v>451</v>
      </c>
      <c r="O176" s="13" t="s">
        <v>586</v>
      </c>
      <c r="S176" s="13">
        <v>34</v>
      </c>
      <c r="T176" s="13">
        <v>273.14999999999998</v>
      </c>
      <c r="Y176" s="13" t="s">
        <v>486</v>
      </c>
      <c r="AC176" s="13" t="s">
        <v>484</v>
      </c>
      <c r="AF176" s="13" t="s">
        <v>539</v>
      </c>
    </row>
    <row r="177" spans="3:32">
      <c r="C177" s="13" t="s">
        <v>494</v>
      </c>
      <c r="L177" s="13" t="s">
        <v>445</v>
      </c>
      <c r="N177" s="13" t="s">
        <v>452</v>
      </c>
      <c r="O177" s="13" t="s">
        <v>586</v>
      </c>
      <c r="S177" s="13">
        <v>6</v>
      </c>
      <c r="T177" s="13">
        <f>AH$1</f>
        <v>273.14999999999998</v>
      </c>
      <c r="Y177" s="13" t="s">
        <v>486</v>
      </c>
      <c r="AC177" s="13" t="s">
        <v>484</v>
      </c>
      <c r="AF177" s="13" t="s">
        <v>540</v>
      </c>
    </row>
    <row r="178" spans="3:32">
      <c r="C178" s="13" t="s">
        <v>501</v>
      </c>
      <c r="L178" s="13" t="s">
        <v>445</v>
      </c>
      <c r="N178" s="13" t="s">
        <v>502</v>
      </c>
      <c r="O178" s="13" t="s">
        <v>587</v>
      </c>
      <c r="R178" s="13" t="s">
        <v>505</v>
      </c>
      <c r="S178" s="13">
        <v>38</v>
      </c>
      <c r="T178" s="13">
        <f>$AH$1</f>
        <v>273.14999999999998</v>
      </c>
      <c r="Y178" s="13" t="s">
        <v>486</v>
      </c>
      <c r="AC178" s="13" t="s">
        <v>484</v>
      </c>
      <c r="AF178" s="13" t="s">
        <v>509</v>
      </c>
    </row>
    <row r="179" spans="3:32">
      <c r="C179" s="13" t="s">
        <v>495</v>
      </c>
      <c r="L179" s="13" t="s">
        <v>444</v>
      </c>
      <c r="N179" s="13" t="s">
        <v>454</v>
      </c>
      <c r="O179" s="13" t="s">
        <v>586</v>
      </c>
      <c r="S179" s="13">
        <v>33</v>
      </c>
      <c r="T179" s="13">
        <f>AH$1</f>
        <v>273.14999999999998</v>
      </c>
      <c r="Y179" s="13" t="s">
        <v>486</v>
      </c>
      <c r="AC179" s="13" t="s">
        <v>484</v>
      </c>
      <c r="AF179" s="13" t="s">
        <v>520</v>
      </c>
    </row>
    <row r="180" spans="3:32">
      <c r="C180" s="13" t="s">
        <v>507</v>
      </c>
      <c r="L180" s="13" t="s">
        <v>445</v>
      </c>
      <c r="N180" s="13" t="s">
        <v>511</v>
      </c>
      <c r="O180" s="13" t="s">
        <v>586</v>
      </c>
      <c r="S180" s="13">
        <v>57</v>
      </c>
      <c r="T180" s="13">
        <f>$AH$1</f>
        <v>273.14999999999998</v>
      </c>
      <c r="Y180" s="13" t="s">
        <v>486</v>
      </c>
      <c r="AC180" s="13" t="s">
        <v>484</v>
      </c>
      <c r="AF180" s="13" t="s">
        <v>506</v>
      </c>
    </row>
    <row r="181" spans="3:32">
      <c r="C181" s="13" t="s">
        <v>508</v>
      </c>
      <c r="L181" s="13" t="s">
        <v>445</v>
      </c>
      <c r="N181" s="13" t="s">
        <v>512</v>
      </c>
      <c r="O181" s="13" t="s">
        <v>586</v>
      </c>
      <c r="S181" s="13">
        <v>61</v>
      </c>
      <c r="T181" s="13">
        <f>$AH$1</f>
        <v>273.14999999999998</v>
      </c>
      <c r="Y181" s="13" t="s">
        <v>486</v>
      </c>
      <c r="AC181" s="13" t="s">
        <v>484</v>
      </c>
      <c r="AF181" s="13" t="s">
        <v>510</v>
      </c>
    </row>
    <row r="182" spans="3:32">
      <c r="C182" s="13" t="s">
        <v>528</v>
      </c>
      <c r="L182" s="13" t="s">
        <v>445</v>
      </c>
      <c r="N182" s="13" t="s">
        <v>527</v>
      </c>
      <c r="O182" s="13" t="s">
        <v>586</v>
      </c>
      <c r="S182" s="13">
        <v>29.4</v>
      </c>
      <c r="Y182" s="13" t="s">
        <v>515</v>
      </c>
      <c r="AC182" s="13" t="s">
        <v>484</v>
      </c>
      <c r="AF182" s="13" t="s">
        <v>498</v>
      </c>
    </row>
    <row r="183" spans="3:32">
      <c r="C183" s="13" t="s">
        <v>541</v>
      </c>
      <c r="L183" s="13" t="s">
        <v>445</v>
      </c>
      <c r="N183" s="13" t="s">
        <v>542</v>
      </c>
      <c r="O183" s="13" t="s">
        <v>587</v>
      </c>
      <c r="R183" s="13" t="s">
        <v>544</v>
      </c>
      <c r="S183" s="13">
        <f>100-26.6</f>
        <v>73.400000000000006</v>
      </c>
      <c r="Y183" s="13" t="s">
        <v>515</v>
      </c>
      <c r="AC183" s="13" t="s">
        <v>484</v>
      </c>
      <c r="AF183" s="13" t="s">
        <v>536</v>
      </c>
    </row>
    <row r="184" spans="3:32">
      <c r="C184" s="13" t="s">
        <v>513</v>
      </c>
      <c r="L184" s="13" t="s">
        <v>445</v>
      </c>
      <c r="N184" s="41" t="s">
        <v>514</v>
      </c>
      <c r="O184" s="41" t="s">
        <v>586</v>
      </c>
      <c r="S184" s="13">
        <v>18.399999999999999</v>
      </c>
      <c r="Y184" s="13" t="s">
        <v>515</v>
      </c>
      <c r="AC184" s="13" t="s">
        <v>484</v>
      </c>
      <c r="AF184" s="13" t="s">
        <v>509</v>
      </c>
    </row>
    <row r="185" spans="3:32">
      <c r="C185" s="13" t="s">
        <v>516</v>
      </c>
      <c r="L185" s="13" t="s">
        <v>445</v>
      </c>
      <c r="N185" s="13" t="s">
        <v>517</v>
      </c>
      <c r="O185" s="13" t="s">
        <v>586</v>
      </c>
      <c r="S185" s="13">
        <f>100-22.9</f>
        <v>77.099999999999994</v>
      </c>
      <c r="Y185" s="13" t="s">
        <v>515</v>
      </c>
      <c r="AC185" s="13" t="s">
        <v>484</v>
      </c>
      <c r="AF185" s="13" t="s">
        <v>518</v>
      </c>
    </row>
    <row r="186" spans="3:32">
      <c r="C186" s="13" t="s">
        <v>522</v>
      </c>
      <c r="L186" s="13" t="s">
        <v>445</v>
      </c>
      <c r="N186" s="13" t="s">
        <v>519</v>
      </c>
      <c r="O186" s="13" t="s">
        <v>586</v>
      </c>
      <c r="S186" s="13">
        <v>23.9</v>
      </c>
      <c r="Y186" s="13" t="s">
        <v>515</v>
      </c>
      <c r="AC186" s="13" t="s">
        <v>484</v>
      </c>
      <c r="AF186" s="13" t="s">
        <v>520</v>
      </c>
    </row>
    <row r="187" spans="3:32">
      <c r="C187" s="13" t="s">
        <v>521</v>
      </c>
      <c r="L187" s="13" t="s">
        <v>445</v>
      </c>
      <c r="N187" s="13" t="s">
        <v>523</v>
      </c>
      <c r="O187" s="13" t="s">
        <v>587</v>
      </c>
      <c r="R187" s="13" t="s">
        <v>545</v>
      </c>
      <c r="S187" s="13">
        <f>100-22.9</f>
        <v>77.099999999999994</v>
      </c>
      <c r="Y187" s="13" t="s">
        <v>515</v>
      </c>
      <c r="AC187" s="13" t="s">
        <v>484</v>
      </c>
      <c r="AF187" s="13" t="s">
        <v>524</v>
      </c>
    </row>
    <row r="188" spans="3:32">
      <c r="C188" s="13" t="s">
        <v>529</v>
      </c>
      <c r="L188" s="13" t="s">
        <v>445</v>
      </c>
      <c r="N188" s="13" t="s">
        <v>530</v>
      </c>
      <c r="O188" s="13" t="s">
        <v>586</v>
      </c>
      <c r="S188" s="13">
        <f>100-82</f>
        <v>18</v>
      </c>
      <c r="Y188" t="s">
        <v>531</v>
      </c>
      <c r="AC188" s="13" t="s">
        <v>484</v>
      </c>
      <c r="AF188" s="13" t="s">
        <v>520</v>
      </c>
    </row>
    <row r="189" spans="3:32">
      <c r="C189" s="13" t="s">
        <v>490</v>
      </c>
      <c r="L189" s="13" t="s">
        <v>444</v>
      </c>
      <c r="N189" s="13" t="s">
        <v>456</v>
      </c>
      <c r="O189" s="13" t="s">
        <v>586</v>
      </c>
      <c r="S189" s="13">
        <v>50</v>
      </c>
      <c r="Y189" t="s">
        <v>531</v>
      </c>
      <c r="AC189" s="13" t="s">
        <v>484</v>
      </c>
      <c r="AF189" s="13" t="s">
        <v>506</v>
      </c>
    </row>
    <row r="190" spans="3:32">
      <c r="C190" s="13" t="s">
        <v>550</v>
      </c>
      <c r="L190" s="13" t="s">
        <v>546</v>
      </c>
      <c r="N190" s="13" t="s">
        <v>547</v>
      </c>
      <c r="O190" s="13" t="s">
        <v>586</v>
      </c>
      <c r="S190" s="13">
        <v>73</v>
      </c>
      <c r="Y190" s="13" t="s">
        <v>548</v>
      </c>
      <c r="AC190" s="13" t="s">
        <v>484</v>
      </c>
    </row>
    <row r="191" spans="3:32">
      <c r="C191" s="13" t="s">
        <v>551</v>
      </c>
      <c r="L191" s="13" t="s">
        <v>546</v>
      </c>
      <c r="N191" s="13" t="s">
        <v>549</v>
      </c>
      <c r="O191" s="13" t="s">
        <v>586</v>
      </c>
      <c r="S191" s="13">
        <v>93</v>
      </c>
      <c r="Y191" s="13" t="s">
        <v>548</v>
      </c>
      <c r="AC191" s="13" t="s">
        <v>484</v>
      </c>
    </row>
    <row r="192" spans="3:32">
      <c r="C192" s="13" t="s">
        <v>552</v>
      </c>
      <c r="L192" s="13" t="s">
        <v>546</v>
      </c>
      <c r="N192" s="46" t="s">
        <v>556</v>
      </c>
      <c r="O192" s="46" t="s">
        <v>586</v>
      </c>
      <c r="S192" s="13">
        <v>86</v>
      </c>
      <c r="T192" s="13">
        <f t="shared" ref="T192:T201" si="7">$AH$1</f>
        <v>273.14999999999998</v>
      </c>
      <c r="Y192" s="13" t="s">
        <v>553</v>
      </c>
      <c r="AC192" s="13" t="s">
        <v>484</v>
      </c>
    </row>
    <row r="193" spans="3:29">
      <c r="C193" s="13" t="s">
        <v>554</v>
      </c>
      <c r="L193" s="13" t="s">
        <v>546</v>
      </c>
      <c r="N193" s="13" t="s">
        <v>555</v>
      </c>
      <c r="O193" s="13" t="s">
        <v>586</v>
      </c>
      <c r="S193" s="13">
        <v>95</v>
      </c>
      <c r="T193" s="13">
        <f t="shared" si="7"/>
        <v>273.14999999999998</v>
      </c>
      <c r="Y193" s="13" t="s">
        <v>553</v>
      </c>
      <c r="AC193" s="13" t="s">
        <v>484</v>
      </c>
    </row>
    <row r="194" spans="3:29">
      <c r="C194" s="13" t="s">
        <v>558</v>
      </c>
      <c r="L194" s="13" t="s">
        <v>546</v>
      </c>
      <c r="N194" s="13" t="s">
        <v>557</v>
      </c>
      <c r="O194" s="13" t="s">
        <v>586</v>
      </c>
      <c r="S194" s="13">
        <v>82</v>
      </c>
      <c r="T194" s="13">
        <f t="shared" si="7"/>
        <v>273.14999999999998</v>
      </c>
      <c r="Y194" s="13" t="s">
        <v>553</v>
      </c>
      <c r="AC194" s="13" t="s">
        <v>484</v>
      </c>
    </row>
    <row r="195" spans="3:29">
      <c r="L195" s="13" t="s">
        <v>546</v>
      </c>
      <c r="N195" s="13" t="s">
        <v>564</v>
      </c>
      <c r="O195" s="13" t="s">
        <v>589</v>
      </c>
      <c r="Q195" s="49" t="s">
        <v>560</v>
      </c>
      <c r="R195" s="13" t="s">
        <v>559</v>
      </c>
      <c r="S195" s="13">
        <v>85</v>
      </c>
      <c r="T195" s="13">
        <f t="shared" si="7"/>
        <v>273.14999999999998</v>
      </c>
      <c r="Y195" s="13" t="s">
        <v>553</v>
      </c>
      <c r="AC195" s="13" t="s">
        <v>484</v>
      </c>
    </row>
    <row r="196" spans="3:29">
      <c r="C196" s="13" t="s">
        <v>552</v>
      </c>
      <c r="L196" s="13" t="s">
        <v>546</v>
      </c>
      <c r="N196" s="46" t="s">
        <v>561</v>
      </c>
      <c r="O196" s="46" t="s">
        <v>586</v>
      </c>
      <c r="Q196" s="13">
        <v>85</v>
      </c>
      <c r="S196" s="13">
        <v>15</v>
      </c>
      <c r="T196" s="13">
        <f t="shared" si="7"/>
        <v>273.14999999999998</v>
      </c>
      <c r="Y196" s="13" t="s">
        <v>553</v>
      </c>
      <c r="AC196" s="13" t="s">
        <v>484</v>
      </c>
    </row>
    <row r="197" spans="3:29">
      <c r="L197" s="13" t="s">
        <v>546</v>
      </c>
      <c r="N197" s="13" t="s">
        <v>562</v>
      </c>
      <c r="O197" s="13" t="s">
        <v>586</v>
      </c>
      <c r="S197" s="13">
        <v>20</v>
      </c>
      <c r="T197" s="13">
        <f t="shared" si="7"/>
        <v>273.14999999999998</v>
      </c>
      <c r="Y197" s="13" t="s">
        <v>553</v>
      </c>
      <c r="AC197" s="13" t="s">
        <v>484</v>
      </c>
    </row>
    <row r="198" spans="3:29">
      <c r="C198" s="13" t="s">
        <v>563</v>
      </c>
      <c r="L198" s="13" t="s">
        <v>546</v>
      </c>
      <c r="N198" s="21" t="s">
        <v>293</v>
      </c>
      <c r="O198" s="21" t="s">
        <v>586</v>
      </c>
      <c r="S198" s="13">
        <v>14</v>
      </c>
      <c r="T198" s="13">
        <f t="shared" si="7"/>
        <v>273.14999999999998</v>
      </c>
      <c r="Y198" s="13" t="s">
        <v>553</v>
      </c>
      <c r="AC198" s="13" t="s">
        <v>484</v>
      </c>
    </row>
    <row r="200" spans="3:29">
      <c r="C200" s="13" t="s">
        <v>568</v>
      </c>
      <c r="I200" s="13" t="s">
        <v>565</v>
      </c>
      <c r="L200" s="13" t="s">
        <v>566</v>
      </c>
      <c r="N200" s="13" t="s">
        <v>567</v>
      </c>
      <c r="O200" s="13" t="s">
        <v>586</v>
      </c>
      <c r="S200" s="13">
        <v>98.5</v>
      </c>
      <c r="T200" s="13">
        <f t="shared" si="7"/>
        <v>273.14999999999998</v>
      </c>
      <c r="Y200" s="13" t="s">
        <v>581</v>
      </c>
      <c r="AC200" s="13" t="s">
        <v>583</v>
      </c>
    </row>
    <row r="201" spans="3:29">
      <c r="C201" s="13" t="s">
        <v>569</v>
      </c>
      <c r="I201" s="13" t="s">
        <v>565</v>
      </c>
      <c r="L201" s="13" t="s">
        <v>566</v>
      </c>
      <c r="N201" s="13" t="s">
        <v>577</v>
      </c>
      <c r="O201" s="13" t="s">
        <v>586</v>
      </c>
      <c r="S201" s="13">
        <v>99.3</v>
      </c>
      <c r="T201" s="13">
        <f t="shared" si="7"/>
        <v>273.14999999999998</v>
      </c>
      <c r="Y201" s="13" t="s">
        <v>581</v>
      </c>
      <c r="AC201" s="13" t="s">
        <v>583</v>
      </c>
    </row>
    <row r="202" spans="3:29">
      <c r="C202" s="13" t="s">
        <v>570</v>
      </c>
      <c r="I202" s="13" t="s">
        <v>565</v>
      </c>
      <c r="L202" s="13" t="s">
        <v>566</v>
      </c>
      <c r="N202" s="13" t="s">
        <v>578</v>
      </c>
      <c r="O202" s="13" t="s">
        <v>586</v>
      </c>
      <c r="S202" s="13">
        <v>95</v>
      </c>
      <c r="T202" s="13">
        <f>$AH$1-78</f>
        <v>195.14999999999998</v>
      </c>
      <c r="Y202" s="13" t="s">
        <v>581</v>
      </c>
      <c r="AC202" s="13" t="s">
        <v>583</v>
      </c>
    </row>
    <row r="203" spans="3:29">
      <c r="C203" s="13" t="s">
        <v>571</v>
      </c>
      <c r="I203" s="13" t="s">
        <v>565</v>
      </c>
      <c r="L203" s="13" t="s">
        <v>566</v>
      </c>
      <c r="N203" s="13" t="s">
        <v>579</v>
      </c>
      <c r="O203" s="13" t="s">
        <v>587</v>
      </c>
      <c r="R203" s="13" t="s">
        <v>476</v>
      </c>
      <c r="S203" s="13">
        <v>90</v>
      </c>
      <c r="T203" s="13">
        <f>$AH$1-78</f>
        <v>195.14999999999998</v>
      </c>
      <c r="Y203" s="13" t="s">
        <v>581</v>
      </c>
      <c r="AC203" s="13" t="s">
        <v>583</v>
      </c>
    </row>
    <row r="204" spans="3:29">
      <c r="C204" s="13" t="s">
        <v>572</v>
      </c>
      <c r="L204" s="13" t="s">
        <v>566</v>
      </c>
      <c r="Y204" s="13" t="s">
        <v>581</v>
      </c>
    </row>
    <row r="205" spans="3:29">
      <c r="C205" s="13" t="s">
        <v>573</v>
      </c>
      <c r="L205" s="13" t="s">
        <v>566</v>
      </c>
      <c r="Y205" s="13" t="s">
        <v>581</v>
      </c>
    </row>
    <row r="206" spans="3:29">
      <c r="C206" s="13" t="s">
        <v>574</v>
      </c>
      <c r="I206" s="13" t="s">
        <v>565</v>
      </c>
      <c r="L206" s="13" t="s">
        <v>566</v>
      </c>
      <c r="N206" s="13" t="s">
        <v>18</v>
      </c>
      <c r="O206" s="13" t="s">
        <v>587</v>
      </c>
      <c r="R206" s="13" t="s">
        <v>438</v>
      </c>
      <c r="S206" s="13">
        <v>96.5</v>
      </c>
      <c r="T206" s="13">
        <f>$AH$1-78</f>
        <v>195.14999999999998</v>
      </c>
      <c r="Y206" s="13" t="s">
        <v>581</v>
      </c>
      <c r="AC206" s="13" t="s">
        <v>583</v>
      </c>
    </row>
    <row r="207" spans="3:29">
      <c r="C207" s="13" t="s">
        <v>575</v>
      </c>
      <c r="I207" s="13" t="s">
        <v>565</v>
      </c>
      <c r="L207" s="13" t="s">
        <v>566</v>
      </c>
      <c r="N207" s="13" t="s">
        <v>580</v>
      </c>
      <c r="O207" s="13" t="s">
        <v>586</v>
      </c>
      <c r="S207" s="13">
        <v>99.6</v>
      </c>
      <c r="T207" s="13">
        <f>$AH$1</f>
        <v>273.14999999999998</v>
      </c>
      <c r="Y207" s="13" t="s">
        <v>581</v>
      </c>
      <c r="AC207" s="13" t="s">
        <v>583</v>
      </c>
    </row>
    <row r="208" spans="3:29">
      <c r="C208" s="13" t="s">
        <v>576</v>
      </c>
      <c r="I208" s="13" t="s">
        <v>565</v>
      </c>
      <c r="L208" s="13" t="s">
        <v>566</v>
      </c>
      <c r="N208" s="21" t="s">
        <v>293</v>
      </c>
      <c r="O208" s="21" t="s">
        <v>586</v>
      </c>
      <c r="S208" s="13">
        <v>0.4</v>
      </c>
      <c r="T208" s="13">
        <f>$AH$1</f>
        <v>273.14999999999998</v>
      </c>
      <c r="Y208" s="13" t="s">
        <v>581</v>
      </c>
      <c r="AC208" s="13" t="s">
        <v>583</v>
      </c>
    </row>
    <row r="209" spans="3:29">
      <c r="C209" s="13" t="s">
        <v>507</v>
      </c>
      <c r="I209" s="13" t="s">
        <v>565</v>
      </c>
      <c r="L209" s="13" t="s">
        <v>566</v>
      </c>
      <c r="N209" s="13" t="s">
        <v>511</v>
      </c>
      <c r="O209" s="13" t="s">
        <v>586</v>
      </c>
      <c r="S209" s="13">
        <v>99.8</v>
      </c>
      <c r="T209" s="13">
        <f>$AH$1</f>
        <v>273.14999999999998</v>
      </c>
      <c r="Y209" t="s">
        <v>582</v>
      </c>
      <c r="AC209" s="13" t="s">
        <v>583</v>
      </c>
    </row>
    <row r="210" spans="3:29">
      <c r="C210" s="13" t="s">
        <v>550</v>
      </c>
      <c r="I210" s="13" t="s">
        <v>565</v>
      </c>
      <c r="L210" s="13" t="s">
        <v>566</v>
      </c>
      <c r="N210" s="13" t="s">
        <v>547</v>
      </c>
      <c r="O210" s="13" t="s">
        <v>586</v>
      </c>
      <c r="S210" s="13">
        <v>1</v>
      </c>
      <c r="Y210" s="13" t="s">
        <v>548</v>
      </c>
      <c r="AC210" s="13" t="s">
        <v>583</v>
      </c>
    </row>
    <row r="211" spans="3:29">
      <c r="C211" s="13" t="s">
        <v>551</v>
      </c>
      <c r="I211" s="13" t="s">
        <v>565</v>
      </c>
      <c r="L211" s="13" t="s">
        <v>566</v>
      </c>
      <c r="N211" s="13" t="s">
        <v>549</v>
      </c>
      <c r="O211" s="13" t="s">
        <v>586</v>
      </c>
      <c r="S211" s="13">
        <v>87</v>
      </c>
      <c r="Y211" s="13" t="s">
        <v>548</v>
      </c>
      <c r="AC211" s="13" t="s">
        <v>583</v>
      </c>
    </row>
    <row r="212" spans="3:29">
      <c r="I212" s="13" t="s">
        <v>591</v>
      </c>
      <c r="K212" s="13" t="s">
        <v>592</v>
      </c>
      <c r="N212" s="13" t="s">
        <v>593</v>
      </c>
      <c r="S212" s="13">
        <v>6</v>
      </c>
      <c r="Y212" s="13" t="s">
        <v>594</v>
      </c>
    </row>
    <row r="216" spans="3:29">
      <c r="C216" s="13" t="s">
        <v>585</v>
      </c>
      <c r="N216" s="13" t="s">
        <v>584</v>
      </c>
      <c r="S216" s="13">
        <v>50</v>
      </c>
      <c r="AC216" s="13" t="s">
        <v>583</v>
      </c>
    </row>
  </sheetData>
  <sheetProtection formatRows="0"/>
  <autoFilter ref="A1:AG143" xr:uid="{1B86F0A3-2D51-4DBD-830F-1AAB6601C358}">
    <filterColumn colId="28">
      <filters>
        <filter val="test"/>
        <filter val="train"/>
      </filters>
    </filterColumn>
    <sortState xmlns:xlrd2="http://schemas.microsoft.com/office/spreadsheetml/2017/richdata2" ref="A3:AG143">
      <sortCondition ref="Y1:Y143"/>
    </sortState>
  </autoFilter>
  <phoneticPr fontId="1"/>
  <hyperlinks>
    <hyperlink ref="V3" r:id="rId1" xr:uid="{870CA25B-EC19-427B-9EBA-D53CD2078A7E}"/>
    <hyperlink ref="V28" r:id="rId2" xr:uid="{801164BB-E441-43E9-9243-C6120DB66CF9}"/>
    <hyperlink ref="V62" r:id="rId3" xr:uid="{22F1F9C1-FB4A-4377-AAEC-822A2337FAB4}"/>
    <hyperlink ref="V69" r:id="rId4" display="https://scifinder.cas.org/scifinder/view/scifinder/scifinderExplore.jsf?sfow_newpage=/scifinder/view/reaction/reactionList.jsf&amp;nav=eNpb85aBtYSBMbGEQcXC0MDR2cLSJcLCzM3Y1MDSIsLY2dHA2NjR0cjN1M3ExdHNwASoNKm4iEEwK7EsUS8nMS9dzzOvJDU9tUjo0YIl3xvbLZgYGD0ZWMsSc0pTK4oYBBDq_Epzk1KL2tZMleWe8qCbiYGhooCBgYEJaGBGCQN7kKuju6tfCJCXX1zIUMfADJRjLGFgKipDtc0pPz8nNTHvrEJRw9U5v94BbYuC2VbAAACgiD1h" xr:uid="{E1D38B9B-CB00-4323-B232-7BD27BD65622}"/>
    <hyperlink ref="V109" r:id="rId5" xr:uid="{3E006B3C-ABFA-4CB1-A78B-14AABF9DB922}"/>
    <hyperlink ref="V114" r:id="rId6" xr:uid="{E8B8579D-B7A6-4E32-B0FB-43F85B8729F1}"/>
    <hyperlink ref="Y159" r:id="rId7" xr:uid="{24B7345C-E45A-42D8-AD97-CF2DB712E886}"/>
    <hyperlink ref="V77" r:id="rId8" xr:uid="{37C9DD6F-2A0D-4BE1-8860-FACFA978C7AF}"/>
    <hyperlink ref="V78" r:id="rId9" xr:uid="{8DF488A2-CA7B-4195-8E85-A702B05E7A8B}"/>
    <hyperlink ref="V103" r:id="rId10" xr:uid="{CA7B5E31-329B-4B7E-970E-0F417BF580BF}"/>
    <hyperlink ref="V56" r:id="rId11" xr:uid="{A0F65C08-5FD3-4061-8AEF-9CE31E126BD5}"/>
    <hyperlink ref="V91" r:id="rId12" display="https://onlinelibrary.wiley.com/doi/abs/10.1002/adsc.201500801?casa_token=8aVWMRepqPYAAAAA:9KVqpXFsKAlQcsmCAsIYPQmjTVXOPX1PIPTZyelPTyCjexF6IsCwEEV1P7gkd-ycg7KuJ_5afkJXeeey_g" xr:uid="{B735B0F9-F466-4335-8DB3-CD0A9B4C9C94}"/>
    <hyperlink ref="V29" r:id="rId13" xr:uid="{0697B690-0545-48B3-8324-24B6A2A1D33C}"/>
    <hyperlink ref="V30" r:id="rId14" xr:uid="{37661141-1D65-4087-8D59-1E88FC7915DA}"/>
    <hyperlink ref="V31" r:id="rId15" xr:uid="{5ECA0BA7-6880-43A7-98F5-759E231CDDB8}"/>
    <hyperlink ref="V45" r:id="rId16" xr:uid="{3CAB48C4-AFF8-4968-85EE-58B91036C368}"/>
    <hyperlink ref="V51" r:id="rId17" xr:uid="{FCFE4B50-6109-4DF2-83B5-D9DA278E0566}"/>
    <hyperlink ref="V52" r:id="rId18" xr:uid="{53A58D28-9A3F-416F-B7E8-8008D16B99F0}"/>
    <hyperlink ref="V53" r:id="rId19" xr:uid="{8FC85CEA-0BB4-4FAF-BC15-58CB9EF8C71A}"/>
    <hyperlink ref="V54" r:id="rId20" xr:uid="{76375180-4BDD-47CF-8911-FCEAE8E63775}"/>
    <hyperlink ref="V110" r:id="rId21" display="https://click.endnote.com/viewer?doi=10.1007%2Fs00044-016-1573-3&amp;token=WzMwNzc5NzksIjEwLjEwMDcvczAwMDQ0LTAxNi0xNTczLTMiXQ.koctvDIq1HlKLYkUqVZCGyWAO40" xr:uid="{6094779A-39A4-4FE8-AAAC-A3862A07966A}"/>
    <hyperlink ref="V83" r:id="rId22" xr:uid="{EA4D703B-B82B-4E6C-8F47-CD87B7A87C28}"/>
    <hyperlink ref="V57" r:id="rId23" xr:uid="{D9C38BE0-D38F-4A1F-A2B6-BBF0EF77B6B3}"/>
    <hyperlink ref="V58" r:id="rId24" xr:uid="{44E4461C-CDAA-4028-9E5E-12C025BEB2BD}"/>
    <hyperlink ref="V61" r:id="rId25" xr:uid="{09C1F44D-9C29-4558-9294-5268BFBA5F95}"/>
    <hyperlink ref="V36" r:id="rId26" xr:uid="{283B23D0-5DFE-4618-9715-149A24576A2D}"/>
    <hyperlink ref="V131" r:id="rId27" display="https://www.publish.csiro.au/ch/CH9870523" xr:uid="{EE25D825-8979-4C10-8213-F324F5375391}"/>
    <hyperlink ref="V105" r:id="rId28" display="https://click.endnote.com/viewer?doi=10.1002/adsc.202100809&amp;route=6" xr:uid="{73F345A5-8FAF-43B9-98E3-80DFD943C99F}"/>
    <hyperlink ref="V104" r:id="rId29" display="https://click.endnote.com/viewer?doi=10.1002/adsc.202100809&amp;route=6" xr:uid="{6B52552B-BFFB-4851-870A-233E57E69FE8}"/>
    <hyperlink ref="V126" r:id="rId30" display="https://click.endnote.com/viewer?doi=10.1246%2Fbcsj.58.1601&amp;token=WzMwNzc5NzksIjEwLjEyNDYvYmNzai41OC4xNjAxIl0.WPQutF1wDvmuKXfvk1banpLQi9o" xr:uid="{32DE31B0-CA17-474D-8D9B-935EBC66C672}"/>
    <hyperlink ref="V127" r:id="rId31" display="https://click.endnote.com/viewer?doi=10.1246%2Fbcsj.58.1601&amp;token=WzMwNzc5NzksIjEwLjEyNDYvYmNzai41OC4xNjAxIl0.WPQutF1wDvmuKXfvk1banpLQi9o" xr:uid="{9C7647D4-9A7B-4E5D-8C37-588C712F1060}"/>
    <hyperlink ref="V133" r:id="rId32" display="https://click.endnote.com/viewer?doi=10.1021%2Facs.orglett.6b00025&amp;token=WzMwNzc5NzksIjEwLjEwMjEvYWNzLm9yZ2xldHQuNmIwMDAyNSJd.Tlmq4YzU3jGmg1rBPoHDTbCW4l4" xr:uid="{EC6E9883-D6FE-46A7-8E27-18D535DF9045}"/>
    <hyperlink ref="V120" r:id="rId33" display="https://onlinelibrary.wiley.com/doi/abs/10.1002/0471264180.or034.01" xr:uid="{B66029F0-97CD-472D-8004-B97F1AECDD10}"/>
    <hyperlink ref="V71" r:id="rId34" display="https://pubs.acs.org/doi/suppl/10.1021/acs.orglett.1c03137/suppl_file/ol1c03137_si_001.pdf" xr:uid="{CB50A40A-2901-4041-A1E7-F02123543286}"/>
    <hyperlink ref="V70" r:id="rId35" display="https://click.endnote.com/viewer?doi=10.1016%2Fs0040-4039%2801%2901929-3&amp;token=WzMwNzc5NzksIjEwLjEwMTYvczAwNDAtNDAzOSgwMSkwMTkyOS0zIl0.x7y0D9t8__7JVrjC9dKeLfaiZ9M" xr:uid="{2D680308-4F86-4D54-803D-B7E793D5A7B5}"/>
    <hyperlink ref="V2" r:id="rId36" xr:uid="{EEB78CD2-A327-43EC-93BF-78DEF186D85E}"/>
    <hyperlink ref="V49" r:id="rId37" display="https://pubs.acs.org/doi/pdf/10.1021/np030354e" xr:uid="{BC8EF5F0-73B3-4298-A504-939D3BD91A74}"/>
    <hyperlink ref="V76" r:id="rId38" xr:uid="{54E102A1-A814-4CD3-8665-BC6477E63AA3}"/>
    <hyperlink ref="V132" r:id="rId39" display="https://pubs.acs.org/doi/pdf/10.1021/jo00008a070?casa_token=Ko5wjknUj9QAAAAA:4brs74VUP4ohAjdQomU7RR3E4v5MHnehbasq4fLIiHZuCw_2F7HHmecQGFINeJWvBpGwVoydPS7A3aVSeaI" xr:uid="{AE22EA6D-C972-44CD-A9DC-D00561E8E4BD}"/>
    <hyperlink ref="V168" r:id="rId40" display="https://scifinder.cas.org/scifinder/view/scifinder/scifinderExplore.jsf?sfow_newpage=/scifinder/view/reaction/reactionList.jsf&amp;nav=eNpb85aBtYSBMbGEQcXC0MDR2cLSJcLCzM3Y1MDSIsLY2dHA2NjR0cjN1M3ExdHNwASoNKm4iEEwK7EsUS8nMS9dzzOvJDU9tUjo0YIl3xvbLZgYGD0ZWMsSc0pTK4oYBBDq_Epzk1KL2tZMleWe8qCbiYGhooCBgYEJaGBGCQN7kKuju6tfCJCXX1zIUMfADJRjLGFgKipDtc0pPz8nNTHvrEJRw9U5v94BbYuC2VbAAACgiD1h" xr:uid="{57F023D0-C2B0-41FF-BF83-F587954FE5D4}"/>
  </hyperlinks>
  <pageMargins left="0.7" right="0.7" top="0.75" bottom="0.75" header="0.3" footer="0.3"/>
  <pageSetup paperSize="9" orientation="portrait" horizontalDpi="4294967293" verticalDpi="360" r:id="rId4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E510D-C8EE-46B1-BFB0-1B3A8B1FD44C}">
  <dimension ref="A1"/>
  <sheetViews>
    <sheetView workbookViewId="0"/>
  </sheetViews>
  <sheetFormatPr defaultRowHeight="18"/>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AA0EF-7D4A-4364-A20A-4F2EAA933D47}">
  <dimension ref="A1:C68"/>
  <sheetViews>
    <sheetView topLeftCell="A33" zoomScale="40" zoomScaleNormal="40" workbookViewId="0">
      <selection activeCell="A65" sqref="A65"/>
    </sheetView>
  </sheetViews>
  <sheetFormatPr defaultRowHeight="18"/>
  <cols>
    <col min="2" max="2" width="29.08203125" customWidth="1"/>
  </cols>
  <sheetData>
    <row r="1" spans="1:3">
      <c r="A1" t="s">
        <v>364</v>
      </c>
      <c r="B1" t="str">
        <f t="shared" ref="B1:B6" ca="1" si="0">OFFSET(A$2,(ROW()-1)*2,0,1,1)</f>
        <v>(1, 0, 2, 10)</v>
      </c>
      <c r="C1">
        <f>(ROW()-1)*2</f>
        <v>0</v>
      </c>
    </row>
    <row r="2" spans="1:3">
      <c r="A2" t="s">
        <v>400</v>
      </c>
      <c r="B2" t="str">
        <f t="shared" ca="1" si="0"/>
        <v>(1, 0, 2, 12)</v>
      </c>
      <c r="C2">
        <f>(ROW()-1)*2</f>
        <v>2</v>
      </c>
    </row>
    <row r="3" spans="1:3">
      <c r="A3" t="s">
        <v>365</v>
      </c>
      <c r="B3" t="str">
        <f t="shared" ca="1" si="0"/>
        <v>(1, 0, 2, 12)</v>
      </c>
      <c r="C3">
        <f>(ROW()-1)*2</f>
        <v>4</v>
      </c>
    </row>
    <row r="4" spans="1:3">
      <c r="A4" t="s">
        <v>366</v>
      </c>
      <c r="B4" t="str">
        <f t="shared" ca="1" si="0"/>
        <v>(1, 0, 2, 11)</v>
      </c>
      <c r="C4">
        <f>(ROW()-1)*2</f>
        <v>6</v>
      </c>
    </row>
    <row r="5" spans="1:3">
      <c r="A5" t="s">
        <v>268</v>
      </c>
      <c r="B5" t="str">
        <f t="shared" ca="1" si="0"/>
        <v>(1, 0, 2, 11)</v>
      </c>
    </row>
    <row r="6" spans="1:3">
      <c r="A6" t="s">
        <v>366</v>
      </c>
      <c r="B6" t="str">
        <f t="shared" ca="1" si="0"/>
        <v>(1, 2, 0, 3)</v>
      </c>
    </row>
    <row r="7" spans="1:3">
      <c r="A7" t="s">
        <v>367</v>
      </c>
      <c r="B7" t="str">
        <f t="shared" ref="B7:B68" ca="1" si="1">OFFSET(A$2,(ROW()-1)*2,0,1,1)</f>
        <v>(1, 0, 2, 13)</v>
      </c>
    </row>
    <row r="8" spans="1:3">
      <c r="A8" t="s">
        <v>368</v>
      </c>
      <c r="B8" t="str">
        <f t="shared" ca="1" si="1"/>
        <v>(1, 2, 0, 3)</v>
      </c>
    </row>
    <row r="9" spans="1:3">
      <c r="A9" t="s">
        <v>369</v>
      </c>
      <c r="B9" t="str">
        <f t="shared" ca="1" si="1"/>
        <v>(1, 2, 0, 3)</v>
      </c>
    </row>
    <row r="10" spans="1:3">
      <c r="A10" t="s">
        <v>368</v>
      </c>
      <c r="B10" t="str">
        <f t="shared" ca="1" si="1"/>
        <v>(1, 2, 0, 3)</v>
      </c>
    </row>
    <row r="11" spans="1:3">
      <c r="A11" t="s">
        <v>370</v>
      </c>
      <c r="B11" t="str">
        <f t="shared" ca="1" si="1"/>
        <v>(1, 2, 0, 3)</v>
      </c>
    </row>
    <row r="12" spans="1:3">
      <c r="A12" t="s">
        <v>371</v>
      </c>
      <c r="B12" t="str">
        <f t="shared" ca="1" si="1"/>
        <v>(1, 2, 0, 3)</v>
      </c>
    </row>
    <row r="13" spans="1:3">
      <c r="A13" t="s">
        <v>372</v>
      </c>
      <c r="B13" t="str">
        <f t="shared" ca="1" si="1"/>
        <v>(1, 0, 2, 9)</v>
      </c>
    </row>
    <row r="14" spans="1:3">
      <c r="A14" t="s">
        <v>373</v>
      </c>
      <c r="B14" t="str">
        <f t="shared" ca="1" si="1"/>
        <v>(1, 0, 2, 10)</v>
      </c>
    </row>
    <row r="15" spans="1:3">
      <c r="A15" t="s">
        <v>374</v>
      </c>
      <c r="B15" t="str">
        <f t="shared" ca="1" si="1"/>
        <v>(1, 0, 2, 12)</v>
      </c>
    </row>
    <row r="16" spans="1:3">
      <c r="A16" t="s">
        <v>402</v>
      </c>
      <c r="B16" t="str">
        <f t="shared" ca="1" si="1"/>
        <v>(1, 0, 2, 15)</v>
      </c>
    </row>
    <row r="17" spans="1:2">
      <c r="A17" t="s">
        <v>375</v>
      </c>
      <c r="B17" t="str">
        <f t="shared" ca="1" si="1"/>
        <v>(1, 0, 2, 8)</v>
      </c>
    </row>
    <row r="18" spans="1:2">
      <c r="A18" t="s">
        <v>402</v>
      </c>
      <c r="B18" t="str">
        <f t="shared" ca="1" si="1"/>
        <v>(1, 0, 2, 8)</v>
      </c>
    </row>
    <row r="19" spans="1:2">
      <c r="A19" t="s">
        <v>376</v>
      </c>
      <c r="B19" t="str">
        <f t="shared" ca="1" si="1"/>
        <v>(1, 0, 2, 8)</v>
      </c>
    </row>
    <row r="20" spans="1:2">
      <c r="A20" t="s">
        <v>371</v>
      </c>
      <c r="B20" t="str">
        <f t="shared" ca="1" si="1"/>
        <v>(1, 2, 0, 3)</v>
      </c>
    </row>
    <row r="21" spans="1:2">
      <c r="A21" t="s">
        <v>377</v>
      </c>
      <c r="B21" t="str">
        <f t="shared" ca="1" si="1"/>
        <v>(1, 0, 2, 12)</v>
      </c>
    </row>
    <row r="22" spans="1:2">
      <c r="A22" t="s">
        <v>371</v>
      </c>
      <c r="B22" t="str">
        <f t="shared" ca="1" si="1"/>
        <v>(1, 0, 2, 12)</v>
      </c>
    </row>
    <row r="23" spans="1:2">
      <c r="A23" t="s">
        <v>378</v>
      </c>
      <c r="B23" t="str">
        <f t="shared" ca="1" si="1"/>
        <v>(1, 0, 2, 10)</v>
      </c>
    </row>
    <row r="24" spans="1:2">
      <c r="A24" t="s">
        <v>371</v>
      </c>
      <c r="B24" t="str">
        <f t="shared" ca="1" si="1"/>
        <v>(1, 0, 2, 9)</v>
      </c>
    </row>
    <row r="25" spans="1:2">
      <c r="A25" t="s">
        <v>379</v>
      </c>
      <c r="B25" t="str">
        <f t="shared" ca="1" si="1"/>
        <v>(1, 0, 2, 13)</v>
      </c>
    </row>
    <row r="26" spans="1:2">
      <c r="A26" t="s">
        <v>380</v>
      </c>
      <c r="B26" t="str">
        <f t="shared" ca="1" si="1"/>
        <v>(4, 5, 2, 6)</v>
      </c>
    </row>
    <row r="27" spans="1:2">
      <c r="A27" t="s">
        <v>381</v>
      </c>
      <c r="B27" t="str">
        <f t="shared" ca="1" si="1"/>
        <v>(4, 5, 2, 6)</v>
      </c>
    </row>
    <row r="28" spans="1:2">
      <c r="A28" t="s">
        <v>363</v>
      </c>
      <c r="B28" t="str">
        <f t="shared" ca="1" si="1"/>
        <v>(4, 5, 2, 6)</v>
      </c>
    </row>
    <row r="29" spans="1:2">
      <c r="A29" t="s">
        <v>382</v>
      </c>
      <c r="B29" t="str">
        <f t="shared" ca="1" si="1"/>
        <v>(6, 7, 5, 8)</v>
      </c>
    </row>
    <row r="30" spans="1:2">
      <c r="A30" t="s">
        <v>366</v>
      </c>
      <c r="B30" t="str">
        <f t="shared" ca="1" si="1"/>
        <v>(1, 0, 2, 12)</v>
      </c>
    </row>
    <row r="31" spans="1:2">
      <c r="A31" t="s">
        <v>383</v>
      </c>
      <c r="B31" t="str">
        <f t="shared" ca="1" si="1"/>
        <v>(1, 0, 2, 12)</v>
      </c>
    </row>
    <row r="32" spans="1:2">
      <c r="A32" t="s">
        <v>384</v>
      </c>
      <c r="B32" t="str">
        <f t="shared" ca="1" si="1"/>
        <v>(1, 0, 2, 15)</v>
      </c>
    </row>
    <row r="33" spans="1:2">
      <c r="A33" t="s">
        <v>385</v>
      </c>
      <c r="B33" t="str">
        <f t="shared" ca="1" si="1"/>
        <v>(1, 0, 2, 10)</v>
      </c>
    </row>
    <row r="34" spans="1:2">
      <c r="A34" t="s">
        <v>386</v>
      </c>
      <c r="B34" t="str">
        <f t="shared" ca="1" si="1"/>
        <v>(9, 10, 8, 4)</v>
      </c>
    </row>
    <row r="35" spans="1:2">
      <c r="A35" t="s">
        <v>387</v>
      </c>
      <c r="B35">
        <f t="shared" ca="1" si="1"/>
        <v>0</v>
      </c>
    </row>
    <row r="36" spans="1:2">
      <c r="A36" t="s">
        <v>386</v>
      </c>
      <c r="B36">
        <f t="shared" ca="1" si="1"/>
        <v>0</v>
      </c>
    </row>
    <row r="37" spans="1:2">
      <c r="A37" t="s">
        <v>388</v>
      </c>
      <c r="B37">
        <f t="shared" ca="1" si="1"/>
        <v>0</v>
      </c>
    </row>
    <row r="38" spans="1:2">
      <c r="A38" t="s">
        <v>386</v>
      </c>
      <c r="B38">
        <f t="shared" ca="1" si="1"/>
        <v>0</v>
      </c>
    </row>
    <row r="39" spans="1:2">
      <c r="A39" t="s">
        <v>389</v>
      </c>
      <c r="B39">
        <f t="shared" ca="1" si="1"/>
        <v>0</v>
      </c>
    </row>
    <row r="40" spans="1:2">
      <c r="A40" t="s">
        <v>371</v>
      </c>
      <c r="B40">
        <f t="shared" ca="1" si="1"/>
        <v>0</v>
      </c>
    </row>
    <row r="41" spans="1:2">
      <c r="A41" t="s">
        <v>390</v>
      </c>
      <c r="B41">
        <f t="shared" ca="1" si="1"/>
        <v>0</v>
      </c>
    </row>
    <row r="42" spans="1:2">
      <c r="A42" t="s">
        <v>366</v>
      </c>
      <c r="B42">
        <f t="shared" ca="1" si="1"/>
        <v>0</v>
      </c>
    </row>
    <row r="43" spans="1:2">
      <c r="A43" t="s">
        <v>391</v>
      </c>
      <c r="B43">
        <f t="shared" ca="1" si="1"/>
        <v>0</v>
      </c>
    </row>
    <row r="44" spans="1:2">
      <c r="A44" t="s">
        <v>366</v>
      </c>
      <c r="B44">
        <f t="shared" ca="1" si="1"/>
        <v>0</v>
      </c>
    </row>
    <row r="45" spans="1:2">
      <c r="A45" t="s">
        <v>358</v>
      </c>
      <c r="B45">
        <f t="shared" ca="1" si="1"/>
        <v>0</v>
      </c>
    </row>
    <row r="46" spans="1:2">
      <c r="A46" t="s">
        <v>363</v>
      </c>
      <c r="B46">
        <f t="shared" ca="1" si="1"/>
        <v>0</v>
      </c>
    </row>
    <row r="47" spans="1:2">
      <c r="A47" t="s">
        <v>392</v>
      </c>
      <c r="B47">
        <f t="shared" ca="1" si="1"/>
        <v>0</v>
      </c>
    </row>
    <row r="48" spans="1:2">
      <c r="A48" t="s">
        <v>380</v>
      </c>
      <c r="B48">
        <f t="shared" ca="1" si="1"/>
        <v>0</v>
      </c>
    </row>
    <row r="49" spans="1:2">
      <c r="A49" t="s">
        <v>393</v>
      </c>
      <c r="B49">
        <f t="shared" ca="1" si="1"/>
        <v>0</v>
      </c>
    </row>
    <row r="50" spans="1:2">
      <c r="A50" t="s">
        <v>373</v>
      </c>
      <c r="B50">
        <f t="shared" ca="1" si="1"/>
        <v>0</v>
      </c>
    </row>
    <row r="51" spans="1:2">
      <c r="A51" t="s">
        <v>355</v>
      </c>
      <c r="B51">
        <f t="shared" ca="1" si="1"/>
        <v>0</v>
      </c>
    </row>
    <row r="52" spans="1:2">
      <c r="A52" t="s">
        <v>403</v>
      </c>
      <c r="B52">
        <f t="shared" ca="1" si="1"/>
        <v>0</v>
      </c>
    </row>
    <row r="53" spans="1:2">
      <c r="A53" t="s">
        <v>356</v>
      </c>
      <c r="B53">
        <f t="shared" ca="1" si="1"/>
        <v>0</v>
      </c>
    </row>
    <row r="54" spans="1:2">
      <c r="A54" t="s">
        <v>394</v>
      </c>
      <c r="B54">
        <f t="shared" ca="1" si="1"/>
        <v>0</v>
      </c>
    </row>
    <row r="55" spans="1:2">
      <c r="A55" t="s">
        <v>357</v>
      </c>
      <c r="B55">
        <f t="shared" ca="1" si="1"/>
        <v>0</v>
      </c>
    </row>
    <row r="56" spans="1:2">
      <c r="A56" t="s">
        <v>394</v>
      </c>
      <c r="B56">
        <f t="shared" ca="1" si="1"/>
        <v>0</v>
      </c>
    </row>
    <row r="57" spans="1:2">
      <c r="A57" t="s">
        <v>362</v>
      </c>
      <c r="B57">
        <f t="shared" ca="1" si="1"/>
        <v>0</v>
      </c>
    </row>
    <row r="58" spans="1:2">
      <c r="A58" t="s">
        <v>395</v>
      </c>
      <c r="B58">
        <f t="shared" ca="1" si="1"/>
        <v>0</v>
      </c>
    </row>
    <row r="59" spans="1:2">
      <c r="A59" t="s">
        <v>396</v>
      </c>
      <c r="B59">
        <f t="shared" ca="1" si="1"/>
        <v>0</v>
      </c>
    </row>
    <row r="60" spans="1:2">
      <c r="A60" t="s">
        <v>366</v>
      </c>
      <c r="B60">
        <f t="shared" ca="1" si="1"/>
        <v>0</v>
      </c>
    </row>
    <row r="61" spans="1:2">
      <c r="A61" t="s">
        <v>396</v>
      </c>
      <c r="B61">
        <f t="shared" ca="1" si="1"/>
        <v>0</v>
      </c>
    </row>
    <row r="62" spans="1:2">
      <c r="A62" t="s">
        <v>366</v>
      </c>
      <c r="B62">
        <f t="shared" ca="1" si="1"/>
        <v>0</v>
      </c>
    </row>
    <row r="63" spans="1:2">
      <c r="A63" t="s">
        <v>397</v>
      </c>
      <c r="B63">
        <f t="shared" ca="1" si="1"/>
        <v>0</v>
      </c>
    </row>
    <row r="64" spans="1:2">
      <c r="A64" t="s">
        <v>384</v>
      </c>
      <c r="B64">
        <f t="shared" ca="1" si="1"/>
        <v>0</v>
      </c>
    </row>
    <row r="65" spans="1:2">
      <c r="A65" t="s">
        <v>398</v>
      </c>
      <c r="B65">
        <f t="shared" ca="1" si="1"/>
        <v>0</v>
      </c>
    </row>
    <row r="66" spans="1:2">
      <c r="A66" t="s">
        <v>363</v>
      </c>
      <c r="B66">
        <f t="shared" ca="1" si="1"/>
        <v>0</v>
      </c>
    </row>
    <row r="67" spans="1:2">
      <c r="A67" t="s">
        <v>347</v>
      </c>
      <c r="B67">
        <f t="shared" ca="1" si="1"/>
        <v>0</v>
      </c>
    </row>
    <row r="68" spans="1:2">
      <c r="A68" t="s">
        <v>399</v>
      </c>
      <c r="B68">
        <f t="shared" ca="1" si="1"/>
        <v>0</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1D8AF-EB5E-4442-A85C-A00CEFB4F7A1}">
  <dimension ref="A1:B17"/>
  <sheetViews>
    <sheetView zoomScale="55" zoomScaleNormal="55" workbookViewId="0">
      <selection activeCell="B2" sqref="B2:B17"/>
    </sheetView>
  </sheetViews>
  <sheetFormatPr defaultRowHeight="18"/>
  <cols>
    <col min="2" max="2" width="80.25" customWidth="1"/>
  </cols>
  <sheetData>
    <row r="1" spans="1:2">
      <c r="A1" s="37" t="s">
        <v>319</v>
      </c>
      <c r="B1" s="37" t="s">
        <v>92</v>
      </c>
    </row>
    <row r="2" spans="1:2">
      <c r="A2" s="34">
        <v>1</v>
      </c>
      <c r="B2" s="36" t="s">
        <v>318</v>
      </c>
    </row>
    <row r="3" spans="1:2">
      <c r="A3" s="37">
        <v>2</v>
      </c>
      <c r="B3" s="37" t="s">
        <v>311</v>
      </c>
    </row>
    <row r="4" spans="1:2">
      <c r="A4" s="34">
        <v>3</v>
      </c>
      <c r="B4" s="36" t="s">
        <v>312</v>
      </c>
    </row>
    <row r="5" spans="1:2">
      <c r="A5" s="37">
        <v>4</v>
      </c>
      <c r="B5" s="37" t="s">
        <v>313</v>
      </c>
    </row>
    <row r="6" spans="1:2">
      <c r="A6" s="34">
        <v>5</v>
      </c>
      <c r="B6" s="36" t="s">
        <v>314</v>
      </c>
    </row>
    <row r="7" spans="1:2">
      <c r="A7" s="37">
        <v>2</v>
      </c>
      <c r="B7" s="37" t="s">
        <v>334</v>
      </c>
    </row>
    <row r="8" spans="1:2">
      <c r="A8" s="34">
        <v>7</v>
      </c>
      <c r="B8" s="36" t="s">
        <v>330</v>
      </c>
    </row>
    <row r="9" spans="1:2">
      <c r="A9" s="37">
        <v>8</v>
      </c>
      <c r="B9" s="37" t="s">
        <v>335</v>
      </c>
    </row>
    <row r="10" spans="1:2">
      <c r="A10" s="34">
        <v>9</v>
      </c>
      <c r="B10" s="36" t="s">
        <v>331</v>
      </c>
    </row>
    <row r="11" spans="1:2">
      <c r="A11" s="37">
        <v>10</v>
      </c>
      <c r="B11" s="37" t="s">
        <v>336</v>
      </c>
    </row>
    <row r="12" spans="1:2">
      <c r="A12" s="34">
        <v>11</v>
      </c>
      <c r="B12" s="36" t="s">
        <v>332</v>
      </c>
    </row>
    <row r="13" spans="1:2">
      <c r="A13" s="37">
        <v>12</v>
      </c>
      <c r="B13" s="37" t="s">
        <v>337</v>
      </c>
    </row>
    <row r="14" spans="1:2">
      <c r="A14" s="34">
        <v>13</v>
      </c>
      <c r="B14" s="36" t="s">
        <v>340</v>
      </c>
    </row>
    <row r="15" spans="1:2">
      <c r="A15" s="37">
        <v>14</v>
      </c>
      <c r="B15" s="37" t="s">
        <v>338</v>
      </c>
    </row>
    <row r="16" spans="1:2">
      <c r="A16" s="34">
        <v>15</v>
      </c>
      <c r="B16" s="36" t="s">
        <v>333</v>
      </c>
    </row>
    <row r="17" spans="1:2">
      <c r="A17" s="37">
        <v>16</v>
      </c>
      <c r="B17" s="37" t="s">
        <v>339</v>
      </c>
    </row>
  </sheetData>
  <phoneticPr fontId="1"/>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3B903-1168-4A93-A41C-011C40FF1CDF}">
  <dimension ref="A1:I25"/>
  <sheetViews>
    <sheetView zoomScale="40" zoomScaleNormal="40" workbookViewId="0">
      <selection activeCell="D10" sqref="D10"/>
    </sheetView>
  </sheetViews>
  <sheetFormatPr defaultRowHeight="18"/>
  <sheetData>
    <row r="1" spans="1:9">
      <c r="A1" t="s">
        <v>88</v>
      </c>
      <c r="B1" t="s">
        <v>322</v>
      </c>
      <c r="D1" t="s">
        <v>320</v>
      </c>
      <c r="E1" t="s">
        <v>321</v>
      </c>
    </row>
    <row r="2" spans="1:9">
      <c r="A2">
        <v>1</v>
      </c>
      <c r="B2">
        <f>G2</f>
        <v>293.14999999999998</v>
      </c>
      <c r="C2" t="s">
        <v>323</v>
      </c>
      <c r="D2">
        <v>39</v>
      </c>
      <c r="E2">
        <v>1</v>
      </c>
      <c r="G2">
        <v>293.14999999999998</v>
      </c>
      <c r="H2" t="s">
        <v>323</v>
      </c>
      <c r="I2" t="s">
        <v>326</v>
      </c>
    </row>
    <row r="3" spans="1:9">
      <c r="A3">
        <v>2</v>
      </c>
      <c r="B3" s="21">
        <f>64.7+273.15</f>
        <v>337.84999999999997</v>
      </c>
      <c r="C3" s="21" t="s">
        <v>324</v>
      </c>
      <c r="D3">
        <v>14</v>
      </c>
      <c r="E3">
        <v>2</v>
      </c>
      <c r="G3">
        <v>337.85</v>
      </c>
      <c r="H3" t="s">
        <v>324</v>
      </c>
      <c r="I3" t="s">
        <v>325</v>
      </c>
    </row>
    <row r="4" spans="1:9">
      <c r="A4">
        <v>3</v>
      </c>
      <c r="D4">
        <v>59</v>
      </c>
    </row>
    <row r="5" spans="1:9">
      <c r="A5">
        <v>4</v>
      </c>
      <c r="D5">
        <v>66.7</v>
      </c>
    </row>
    <row r="6" spans="1:9">
      <c r="A6">
        <v>5</v>
      </c>
      <c r="D6">
        <v>51</v>
      </c>
    </row>
    <row r="7" spans="1:9">
      <c r="A7">
        <v>6</v>
      </c>
      <c r="D7">
        <v>87</v>
      </c>
    </row>
    <row r="8" spans="1:9">
      <c r="A8">
        <v>7</v>
      </c>
      <c r="D8">
        <v>33.299999999999997</v>
      </c>
    </row>
    <row r="9" spans="1:9">
      <c r="A9">
        <v>8</v>
      </c>
      <c r="D9">
        <v>79.599999999999994</v>
      </c>
    </row>
    <row r="10" spans="1:9">
      <c r="A10">
        <v>9</v>
      </c>
      <c r="D10">
        <v>81</v>
      </c>
    </row>
    <row r="11" spans="1:9">
      <c r="A11">
        <v>10</v>
      </c>
      <c r="D11">
        <v>87</v>
      </c>
    </row>
    <row r="12" spans="1:9">
      <c r="A12">
        <v>11</v>
      </c>
      <c r="D12">
        <v>21</v>
      </c>
    </row>
    <row r="13" spans="1:9">
      <c r="A13">
        <v>12</v>
      </c>
      <c r="D13">
        <v>46.7</v>
      </c>
    </row>
    <row r="14" spans="1:9">
      <c r="A14">
        <v>13</v>
      </c>
      <c r="D14">
        <v>37</v>
      </c>
    </row>
    <row r="15" spans="1:9">
      <c r="A15">
        <v>14</v>
      </c>
      <c r="D15">
        <v>47.1</v>
      </c>
    </row>
    <row r="16" spans="1:9">
      <c r="A16">
        <v>15</v>
      </c>
      <c r="D16">
        <v>9.5</v>
      </c>
    </row>
    <row r="17" spans="1:4">
      <c r="A17">
        <v>16</v>
      </c>
      <c r="D17">
        <v>60</v>
      </c>
    </row>
    <row r="18" spans="1:4">
      <c r="A18">
        <v>17</v>
      </c>
      <c r="D18">
        <v>47</v>
      </c>
    </row>
    <row r="19" spans="1:4">
      <c r="A19">
        <v>18</v>
      </c>
      <c r="D19">
        <v>44</v>
      </c>
    </row>
    <row r="20" spans="1:4">
      <c r="A20">
        <v>19</v>
      </c>
      <c r="D20">
        <v>90</v>
      </c>
    </row>
    <row r="21" spans="1:4">
      <c r="A21">
        <v>20</v>
      </c>
      <c r="D21">
        <v>20</v>
      </c>
    </row>
    <row r="22" spans="1:4">
      <c r="A22">
        <v>21</v>
      </c>
      <c r="D22">
        <v>90</v>
      </c>
    </row>
    <row r="23" spans="1:4">
      <c r="A23">
        <v>22</v>
      </c>
      <c r="D23">
        <v>75</v>
      </c>
    </row>
    <row r="24" spans="1:4">
      <c r="A24">
        <v>23</v>
      </c>
      <c r="D24">
        <v>100</v>
      </c>
    </row>
    <row r="25" spans="1:4">
      <c r="A25">
        <v>24</v>
      </c>
      <c r="D25">
        <v>33.799999999999997</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D8134-192E-49BB-996D-48E4197EAB98}">
  <dimension ref="A1:Y27"/>
  <sheetViews>
    <sheetView zoomScale="70" zoomScaleNormal="70" workbookViewId="0">
      <selection activeCell="W11" sqref="W11"/>
    </sheetView>
  </sheetViews>
  <sheetFormatPr defaultRowHeight="18"/>
  <cols>
    <col min="1" max="1" width="8.75" bestFit="1" customWidth="1"/>
    <col min="2" max="2" width="8.75" customWidth="1"/>
    <col min="3" max="3" width="9.6640625" bestFit="1" customWidth="1"/>
    <col min="4" max="4" width="8.75" bestFit="1" customWidth="1"/>
  </cols>
  <sheetData>
    <row r="1" spans="1:25">
      <c r="A1" s="29" t="s">
        <v>327</v>
      </c>
      <c r="B1" s="29" t="s">
        <v>322</v>
      </c>
      <c r="C1" s="30" t="s">
        <v>320</v>
      </c>
      <c r="D1" s="29" t="s">
        <v>328</v>
      </c>
      <c r="E1" s="29" t="s">
        <v>327</v>
      </c>
      <c r="F1" s="29" t="s">
        <v>322</v>
      </c>
      <c r="G1" s="30" t="s">
        <v>320</v>
      </c>
      <c r="H1" s="29" t="s">
        <v>328</v>
      </c>
      <c r="I1" s="29" t="s">
        <v>327</v>
      </c>
      <c r="J1" s="29" t="s">
        <v>322</v>
      </c>
      <c r="K1" s="30" t="s">
        <v>320</v>
      </c>
      <c r="L1" s="29" t="s">
        <v>328</v>
      </c>
      <c r="N1" s="29" t="s">
        <v>327</v>
      </c>
      <c r="O1" s="29" t="s">
        <v>322</v>
      </c>
      <c r="P1" s="30" t="s">
        <v>320</v>
      </c>
      <c r="Q1" s="29" t="s">
        <v>328</v>
      </c>
      <c r="R1" s="29" t="s">
        <v>327</v>
      </c>
      <c r="S1" s="29" t="s">
        <v>322</v>
      </c>
      <c r="T1" s="30" t="s">
        <v>320</v>
      </c>
      <c r="U1" s="29" t="s">
        <v>328</v>
      </c>
      <c r="V1" s="29" t="s">
        <v>327</v>
      </c>
      <c r="W1" s="29" t="s">
        <v>322</v>
      </c>
      <c r="X1" s="30" t="s">
        <v>320</v>
      </c>
      <c r="Y1" s="29" t="s">
        <v>328</v>
      </c>
    </row>
    <row r="2" spans="1:25">
      <c r="A2" s="31">
        <v>1</v>
      </c>
      <c r="B2" s="32">
        <v>293.14999999999998</v>
      </c>
      <c r="C2" s="32">
        <v>39</v>
      </c>
      <c r="D2" s="32">
        <v>1</v>
      </c>
      <c r="E2" s="31">
        <v>11</v>
      </c>
      <c r="F2" s="32">
        <v>293.14999999999998</v>
      </c>
      <c r="G2" s="32">
        <v>21</v>
      </c>
      <c r="H2" s="32">
        <v>7</v>
      </c>
      <c r="I2" s="31">
        <v>21</v>
      </c>
      <c r="J2" s="32" t="s">
        <v>329</v>
      </c>
      <c r="K2" s="32">
        <v>90</v>
      </c>
      <c r="L2" s="32">
        <v>17</v>
      </c>
      <c r="N2" s="31">
        <v>1</v>
      </c>
      <c r="O2" s="32">
        <v>293.14999999999998</v>
      </c>
      <c r="P2" s="32">
        <v>39</v>
      </c>
      <c r="Q2" s="32">
        <v>1</v>
      </c>
      <c r="R2" s="35">
        <v>16</v>
      </c>
      <c r="S2" s="33">
        <v>275.64999999999998</v>
      </c>
      <c r="T2" s="33">
        <v>60</v>
      </c>
      <c r="U2" s="33">
        <v>14</v>
      </c>
    </row>
    <row r="3" spans="1:25">
      <c r="A3" s="35">
        <v>2</v>
      </c>
      <c r="B3" s="33">
        <v>337.85</v>
      </c>
      <c r="C3" s="33">
        <v>14</v>
      </c>
      <c r="D3" s="33">
        <v>2</v>
      </c>
      <c r="E3" s="35">
        <v>12</v>
      </c>
      <c r="F3" s="33" t="s">
        <v>329</v>
      </c>
      <c r="G3" s="33">
        <v>46.728971999999999</v>
      </c>
      <c r="H3" s="33">
        <v>8</v>
      </c>
      <c r="I3" s="35">
        <v>22</v>
      </c>
      <c r="J3" s="33">
        <v>273.14999999999998</v>
      </c>
      <c r="K3" s="33">
        <v>75</v>
      </c>
      <c r="L3" s="33">
        <v>16</v>
      </c>
      <c r="N3" s="35">
        <v>2</v>
      </c>
      <c r="O3" s="33">
        <v>337.85</v>
      </c>
      <c r="P3" s="33">
        <v>14</v>
      </c>
      <c r="Q3" s="33">
        <v>2</v>
      </c>
      <c r="R3" s="31">
        <v>17</v>
      </c>
      <c r="S3" s="32">
        <v>275.64999999999998</v>
      </c>
      <c r="T3" s="32">
        <v>47</v>
      </c>
      <c r="U3" s="32">
        <v>14</v>
      </c>
    </row>
    <row r="4" spans="1:25">
      <c r="A4" s="31">
        <v>3</v>
      </c>
      <c r="B4" s="32">
        <v>293.14999999999998</v>
      </c>
      <c r="C4" s="32">
        <v>59</v>
      </c>
      <c r="D4" s="32">
        <v>3</v>
      </c>
      <c r="E4" s="31">
        <v>13</v>
      </c>
      <c r="F4" s="32">
        <v>293.14999999999998</v>
      </c>
      <c r="G4" s="32">
        <v>37.037036999999998</v>
      </c>
      <c r="H4" s="32">
        <v>10</v>
      </c>
      <c r="I4" s="31">
        <v>23</v>
      </c>
      <c r="J4" s="32">
        <v>273.14999999999998</v>
      </c>
      <c r="K4" s="32">
        <v>100</v>
      </c>
      <c r="L4" s="32">
        <v>16</v>
      </c>
      <c r="N4" s="31">
        <v>3</v>
      </c>
      <c r="O4" s="32">
        <v>293.14999999999998</v>
      </c>
      <c r="P4" s="32">
        <v>59</v>
      </c>
      <c r="Q4" s="32">
        <v>3</v>
      </c>
      <c r="R4" s="35">
        <v>18</v>
      </c>
      <c r="S4" s="33">
        <v>275.64999999999998</v>
      </c>
      <c r="T4" s="33">
        <v>44</v>
      </c>
      <c r="U4" s="33">
        <v>14</v>
      </c>
    </row>
    <row r="5" spans="1:25">
      <c r="A5" s="35">
        <v>4</v>
      </c>
      <c r="B5" s="33">
        <v>293.14999999999998</v>
      </c>
      <c r="C5" s="33">
        <v>66.666667000000004</v>
      </c>
      <c r="D5" s="33">
        <v>3</v>
      </c>
      <c r="E5" s="35">
        <v>14</v>
      </c>
      <c r="F5" s="33" t="s">
        <v>329</v>
      </c>
      <c r="G5" s="33">
        <v>47.126437000000003</v>
      </c>
      <c r="H5" s="33">
        <v>11</v>
      </c>
      <c r="I5" s="35">
        <v>24</v>
      </c>
      <c r="J5" s="33">
        <v>273.14999999999998</v>
      </c>
      <c r="K5" s="33">
        <v>33.823529000000001</v>
      </c>
      <c r="L5" s="33">
        <v>18</v>
      </c>
      <c r="N5" s="35">
        <v>4</v>
      </c>
      <c r="O5" s="33">
        <v>293.14999999999998</v>
      </c>
      <c r="P5" s="33">
        <v>66.666667000000004</v>
      </c>
      <c r="Q5" s="33">
        <v>3</v>
      </c>
      <c r="R5" s="31">
        <v>19</v>
      </c>
      <c r="S5" s="32" t="s">
        <v>329</v>
      </c>
      <c r="T5" s="32">
        <v>90</v>
      </c>
      <c r="U5" s="32">
        <v>15</v>
      </c>
    </row>
    <row r="6" spans="1:25">
      <c r="A6" s="31">
        <v>5</v>
      </c>
      <c r="B6" s="32">
        <v>298.14999999999998</v>
      </c>
      <c r="C6" s="32">
        <v>51</v>
      </c>
      <c r="D6" s="32">
        <v>4</v>
      </c>
      <c r="E6" s="31">
        <v>15</v>
      </c>
      <c r="F6" s="32" t="s">
        <v>329</v>
      </c>
      <c r="G6" s="32">
        <v>9.4736840000000004</v>
      </c>
      <c r="H6" s="32">
        <v>13</v>
      </c>
      <c r="I6" s="31"/>
      <c r="J6" s="32"/>
      <c r="K6" s="32"/>
      <c r="L6" s="32"/>
      <c r="N6" s="31">
        <v>5</v>
      </c>
      <c r="O6" s="32">
        <v>298.14999999999998</v>
      </c>
      <c r="P6" s="32">
        <v>51</v>
      </c>
      <c r="Q6" s="32">
        <v>4</v>
      </c>
      <c r="R6" s="35">
        <v>20</v>
      </c>
      <c r="S6" s="33">
        <v>273.14999999999998</v>
      </c>
      <c r="T6" s="33">
        <v>20</v>
      </c>
      <c r="U6" s="33">
        <v>16</v>
      </c>
    </row>
    <row r="7" spans="1:25">
      <c r="A7" s="35">
        <v>6</v>
      </c>
      <c r="B7" s="33">
        <v>293.14999999999998</v>
      </c>
      <c r="C7" s="33">
        <v>86.956522000000007</v>
      </c>
      <c r="D7" s="33">
        <v>5</v>
      </c>
      <c r="E7" s="35">
        <v>16</v>
      </c>
      <c r="F7" s="33">
        <v>275.64999999999998</v>
      </c>
      <c r="G7" s="33">
        <v>60</v>
      </c>
      <c r="H7" s="33">
        <v>14</v>
      </c>
      <c r="I7" s="35"/>
      <c r="J7" s="33"/>
      <c r="K7" s="33"/>
      <c r="L7" s="33"/>
      <c r="N7" s="35">
        <v>6</v>
      </c>
      <c r="O7" s="33">
        <v>293.14999999999998</v>
      </c>
      <c r="P7" s="33">
        <v>86.956522000000007</v>
      </c>
      <c r="Q7" s="33">
        <v>5</v>
      </c>
      <c r="R7" s="31">
        <v>21</v>
      </c>
      <c r="S7" s="32" t="s">
        <v>329</v>
      </c>
      <c r="T7" s="32">
        <v>90</v>
      </c>
      <c r="U7" s="32">
        <v>17</v>
      </c>
    </row>
    <row r="8" spans="1:25">
      <c r="A8" s="31">
        <v>7</v>
      </c>
      <c r="B8" s="32">
        <v>273.14999999999998</v>
      </c>
      <c r="C8" s="32">
        <v>33.333333000000003</v>
      </c>
      <c r="D8" s="32">
        <v>6</v>
      </c>
      <c r="E8" s="31">
        <v>17</v>
      </c>
      <c r="F8" s="32">
        <v>275.64999999999998</v>
      </c>
      <c r="G8" s="32">
        <v>47</v>
      </c>
      <c r="H8" s="32">
        <v>14</v>
      </c>
      <c r="I8" s="31"/>
      <c r="J8" s="32"/>
      <c r="K8" s="32"/>
      <c r="L8" s="32"/>
      <c r="N8" s="31">
        <v>7</v>
      </c>
      <c r="O8" s="32">
        <v>273.14999999999998</v>
      </c>
      <c r="P8" s="32">
        <v>33.333333000000003</v>
      </c>
      <c r="Q8" s="32">
        <v>6</v>
      </c>
      <c r="R8" s="35">
        <v>22</v>
      </c>
      <c r="S8" s="33">
        <v>273.14999999999998</v>
      </c>
      <c r="T8" s="33">
        <v>75</v>
      </c>
      <c r="U8" s="33">
        <v>16</v>
      </c>
    </row>
    <row r="9" spans="1:25">
      <c r="A9" s="35">
        <v>8</v>
      </c>
      <c r="B9" s="33">
        <v>293.14999999999998</v>
      </c>
      <c r="C9" s="33">
        <v>79.569891999999996</v>
      </c>
      <c r="D9" s="33">
        <v>7</v>
      </c>
      <c r="E9" s="35">
        <v>18</v>
      </c>
      <c r="F9" s="33">
        <v>275.64999999999998</v>
      </c>
      <c r="G9" s="33">
        <v>44</v>
      </c>
      <c r="H9" s="33">
        <v>14</v>
      </c>
      <c r="I9" s="35"/>
      <c r="J9" s="33"/>
      <c r="K9" s="33"/>
      <c r="L9" s="33"/>
      <c r="N9" s="35">
        <v>8</v>
      </c>
      <c r="O9" s="33">
        <v>293.14999999999998</v>
      </c>
      <c r="P9" s="33">
        <v>79.569891999999996</v>
      </c>
      <c r="Q9" s="33">
        <v>7</v>
      </c>
      <c r="R9" s="31">
        <v>23</v>
      </c>
      <c r="S9" s="32">
        <v>273.14999999999998</v>
      </c>
      <c r="T9" s="32">
        <v>100</v>
      </c>
      <c r="U9" s="32">
        <v>16</v>
      </c>
    </row>
    <row r="10" spans="1:25">
      <c r="A10" s="31">
        <v>9</v>
      </c>
      <c r="B10" s="32">
        <v>293.14999999999998</v>
      </c>
      <c r="C10" s="32">
        <v>81</v>
      </c>
      <c r="D10" s="32">
        <v>7</v>
      </c>
      <c r="E10" s="31">
        <v>19</v>
      </c>
      <c r="F10" s="32" t="s">
        <v>329</v>
      </c>
      <c r="G10" s="32">
        <v>90</v>
      </c>
      <c r="H10" s="32">
        <v>15</v>
      </c>
      <c r="I10" s="31"/>
      <c r="J10" s="32"/>
      <c r="K10" s="32"/>
      <c r="L10" s="32"/>
      <c r="N10" s="31">
        <v>9</v>
      </c>
      <c r="O10" s="32">
        <v>293.14999999999998</v>
      </c>
      <c r="P10" s="32">
        <v>81</v>
      </c>
      <c r="Q10" s="32">
        <v>7</v>
      </c>
      <c r="R10" s="35">
        <v>24</v>
      </c>
      <c r="S10" s="33">
        <v>273.14999999999998</v>
      </c>
      <c r="T10" s="33">
        <v>33.823529000000001</v>
      </c>
      <c r="U10" s="33">
        <v>18</v>
      </c>
    </row>
    <row r="11" spans="1:25">
      <c r="A11" s="35">
        <v>10</v>
      </c>
      <c r="B11" s="33">
        <v>293.14999999999998</v>
      </c>
      <c r="C11" s="33">
        <v>87</v>
      </c>
      <c r="D11" s="33">
        <v>7</v>
      </c>
      <c r="E11" s="35">
        <v>20</v>
      </c>
      <c r="F11" s="33">
        <v>273.14999999999998</v>
      </c>
      <c r="G11" s="33">
        <v>20</v>
      </c>
      <c r="H11" s="33">
        <v>16</v>
      </c>
      <c r="I11" s="35"/>
      <c r="J11" s="33"/>
      <c r="K11" s="33"/>
      <c r="L11" s="33"/>
      <c r="N11" s="35">
        <v>10</v>
      </c>
      <c r="O11" s="33">
        <v>293.14999999999998</v>
      </c>
      <c r="P11" s="33">
        <v>87</v>
      </c>
      <c r="Q11" s="33">
        <v>7</v>
      </c>
      <c r="R11" s="31"/>
      <c r="S11" s="32"/>
      <c r="T11" s="32"/>
      <c r="U11" s="32"/>
    </row>
    <row r="12" spans="1:25">
      <c r="N12" s="31">
        <v>11</v>
      </c>
      <c r="O12" s="32">
        <v>293.14999999999998</v>
      </c>
      <c r="P12" s="32">
        <v>21</v>
      </c>
      <c r="Q12" s="32">
        <v>7</v>
      </c>
      <c r="R12" s="35"/>
      <c r="S12" s="33"/>
      <c r="T12" s="33"/>
      <c r="U12" s="33"/>
    </row>
    <row r="13" spans="1:25">
      <c r="N13" s="35">
        <v>12</v>
      </c>
      <c r="O13" s="33" t="s">
        <v>329</v>
      </c>
      <c r="P13" s="33">
        <v>46.728971999999999</v>
      </c>
      <c r="Q13" s="33">
        <v>8</v>
      </c>
      <c r="R13" s="31"/>
      <c r="S13" s="32"/>
      <c r="T13" s="32"/>
      <c r="U13" s="32"/>
    </row>
    <row r="14" spans="1:25">
      <c r="N14" s="31">
        <v>13</v>
      </c>
      <c r="O14" s="32">
        <v>293.14999999999998</v>
      </c>
      <c r="P14" s="32">
        <v>37.037036999999998</v>
      </c>
      <c r="Q14" s="32">
        <v>10</v>
      </c>
      <c r="R14" s="35"/>
      <c r="S14" s="33"/>
      <c r="T14" s="33"/>
      <c r="U14" s="33"/>
    </row>
    <row r="15" spans="1:25">
      <c r="N15" s="35">
        <v>14</v>
      </c>
      <c r="O15" s="33" t="s">
        <v>329</v>
      </c>
      <c r="P15" s="33">
        <v>47.126437000000003</v>
      </c>
      <c r="Q15" s="33">
        <v>11</v>
      </c>
      <c r="R15" s="31"/>
      <c r="S15" s="32"/>
      <c r="T15" s="32"/>
      <c r="U15" s="32"/>
    </row>
    <row r="16" spans="1:25">
      <c r="N16" s="31">
        <v>15</v>
      </c>
      <c r="O16" s="32" t="s">
        <v>329</v>
      </c>
      <c r="P16" s="32">
        <v>9.4736840000000004</v>
      </c>
      <c r="Q16" s="32">
        <v>13</v>
      </c>
      <c r="R16" s="35"/>
      <c r="S16" s="33"/>
      <c r="T16" s="33"/>
      <c r="U16" s="33"/>
    </row>
    <row r="27" spans="1:1">
      <c r="A27" s="28"/>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FCBF3-F9DB-48BD-9F6D-825FD14CAED4}">
  <dimension ref="A1:X57"/>
  <sheetViews>
    <sheetView zoomScale="40" zoomScaleNormal="40" workbookViewId="0">
      <pane ySplit="1" topLeftCell="A10" activePane="bottomLeft" state="frozen"/>
      <selection pane="bottomLeft" activeCell="AI33" sqref="AI33"/>
    </sheetView>
  </sheetViews>
  <sheetFormatPr defaultRowHeight="18" outlineLevelRow="1"/>
  <cols>
    <col min="1" max="1" width="4.1640625" style="13" customWidth="1"/>
    <col min="2" max="2" width="3.83203125" style="13" customWidth="1"/>
    <col min="3" max="3" width="5.6640625" style="13" customWidth="1"/>
    <col min="4" max="4" width="7.75" style="13" customWidth="1"/>
    <col min="5" max="5" width="7" style="13" customWidth="1"/>
    <col min="6" max="6" width="6.4140625" style="13" customWidth="1"/>
    <col min="7" max="8" width="6.08203125" style="13" customWidth="1"/>
    <col min="9" max="10" width="9.33203125" style="13" customWidth="1"/>
    <col min="11" max="13" width="6.83203125" style="13" customWidth="1"/>
    <col min="14" max="15" width="8.6640625" style="13"/>
    <col min="16" max="16" width="9.9140625" style="13" bestFit="1" customWidth="1"/>
    <col min="17" max="16384" width="8.6640625" style="13"/>
  </cols>
  <sheetData>
    <row r="1" spans="1:24" s="12" customFormat="1" ht="16.5">
      <c r="A1" s="12" t="s">
        <v>88</v>
      </c>
      <c r="B1" s="12" t="s">
        <v>38</v>
      </c>
      <c r="C1" s="12" t="s">
        <v>21</v>
      </c>
      <c r="D1" s="12" t="s">
        <v>58</v>
      </c>
      <c r="E1" s="12" t="s">
        <v>36</v>
      </c>
      <c r="F1" s="12" t="s">
        <v>12</v>
      </c>
      <c r="G1" s="12" t="s">
        <v>1</v>
      </c>
      <c r="H1" s="12" t="s">
        <v>3</v>
      </c>
      <c r="I1" s="12" t="s">
        <v>2</v>
      </c>
      <c r="J1" s="12" t="s">
        <v>238</v>
      </c>
      <c r="K1" s="12" t="s">
        <v>0</v>
      </c>
      <c r="L1" s="12" t="s">
        <v>110</v>
      </c>
      <c r="M1" s="12" t="s">
        <v>237</v>
      </c>
      <c r="N1" s="12" t="s">
        <v>94</v>
      </c>
      <c r="O1" s="12" t="s">
        <v>93</v>
      </c>
      <c r="P1" s="12" t="s">
        <v>236</v>
      </c>
      <c r="Q1" s="12" t="s">
        <v>135</v>
      </c>
      <c r="R1" s="12" t="s">
        <v>234</v>
      </c>
      <c r="S1" s="12" t="s">
        <v>89</v>
      </c>
      <c r="T1" s="12" t="s">
        <v>92</v>
      </c>
      <c r="U1" s="12" t="s">
        <v>126</v>
      </c>
      <c r="V1" s="12" t="s">
        <v>129</v>
      </c>
      <c r="W1" s="12" t="s">
        <v>147</v>
      </c>
    </row>
    <row r="2" spans="1:24" ht="21.5" customHeight="1">
      <c r="A2" s="13">
        <f t="shared" ref="A2:A54" si="0">ROW()-1</f>
        <v>1</v>
      </c>
      <c r="B2" s="13">
        <v>6</v>
      </c>
      <c r="E2" s="13" t="b">
        <v>1</v>
      </c>
      <c r="F2" s="13" t="b">
        <v>0</v>
      </c>
      <c r="G2" s="13" t="s">
        <v>22</v>
      </c>
      <c r="I2" s="13" t="s">
        <v>155</v>
      </c>
      <c r="K2" s="13">
        <v>39</v>
      </c>
      <c r="Q2" s="13" t="b">
        <v>1</v>
      </c>
      <c r="T2" s="13" t="s">
        <v>154</v>
      </c>
      <c r="U2" s="14" t="s">
        <v>151</v>
      </c>
      <c r="V2" s="14" t="s">
        <v>153</v>
      </c>
      <c r="W2" s="13" t="s">
        <v>152</v>
      </c>
    </row>
    <row r="3" spans="1:24" ht="17.5" customHeight="1">
      <c r="A3" s="13">
        <f t="shared" si="0"/>
        <v>2</v>
      </c>
      <c r="B3" s="13">
        <v>6</v>
      </c>
      <c r="E3" s="13" t="b">
        <v>1</v>
      </c>
      <c r="F3" s="13" t="b">
        <v>1</v>
      </c>
      <c r="G3" s="13" t="s">
        <v>13</v>
      </c>
      <c r="H3" s="13" t="s">
        <v>177</v>
      </c>
      <c r="I3" s="13" t="s">
        <v>168</v>
      </c>
      <c r="J3" s="18">
        <v>6.57</v>
      </c>
      <c r="K3" s="13">
        <v>14</v>
      </c>
      <c r="L3" s="18" t="s">
        <v>190</v>
      </c>
      <c r="M3" s="18">
        <f>26.43/6.57</f>
        <v>4.0228310502283104</v>
      </c>
      <c r="N3" s="18" t="s">
        <v>235</v>
      </c>
      <c r="O3" s="18" t="s">
        <v>134</v>
      </c>
      <c r="P3" s="18">
        <v>0.65700000000000003</v>
      </c>
      <c r="Q3" s="13" t="b">
        <v>1</v>
      </c>
      <c r="T3" s="13" t="s">
        <v>144</v>
      </c>
      <c r="V3" s="14" t="s">
        <v>167</v>
      </c>
      <c r="W3" s="13" t="s">
        <v>226</v>
      </c>
    </row>
    <row r="4" spans="1:24" ht="17.5" customHeight="1" outlineLevel="1">
      <c r="A4" s="13">
        <f t="shared" si="0"/>
        <v>3</v>
      </c>
      <c r="B4" s="13">
        <v>6</v>
      </c>
      <c r="E4" s="13" t="b">
        <v>1</v>
      </c>
      <c r="F4" s="13" t="b">
        <v>0</v>
      </c>
      <c r="G4" s="13" t="s">
        <v>13</v>
      </c>
      <c r="H4" s="13" t="s">
        <v>177</v>
      </c>
      <c r="I4" s="13" t="s">
        <v>168</v>
      </c>
      <c r="J4" s="18">
        <v>6.57</v>
      </c>
      <c r="K4" s="13">
        <f>100*1/4</f>
        <v>25</v>
      </c>
      <c r="L4" s="18" t="s">
        <v>190</v>
      </c>
      <c r="M4" s="18">
        <f>26.43/6.57</f>
        <v>4.0228310502283104</v>
      </c>
      <c r="N4" s="18" t="s">
        <v>235</v>
      </c>
      <c r="O4" s="18" t="s">
        <v>227</v>
      </c>
      <c r="P4" s="18">
        <v>0.65700000000000003</v>
      </c>
      <c r="Q4" s="13" t="b">
        <v>1</v>
      </c>
      <c r="T4" s="13" t="s">
        <v>144</v>
      </c>
      <c r="V4" s="14" t="s">
        <v>167</v>
      </c>
      <c r="W4" s="13" t="s">
        <v>226</v>
      </c>
    </row>
    <row r="5" spans="1:24" ht="17.5" customHeight="1">
      <c r="A5" s="13">
        <f t="shared" si="0"/>
        <v>4</v>
      </c>
      <c r="B5" s="13">
        <v>6</v>
      </c>
      <c r="E5" s="13" t="b">
        <v>1</v>
      </c>
      <c r="F5" s="13" t="b">
        <v>1</v>
      </c>
      <c r="G5" s="13" t="s">
        <v>26</v>
      </c>
      <c r="H5" s="13" t="s">
        <v>248</v>
      </c>
      <c r="I5" s="13" t="s">
        <v>27</v>
      </c>
      <c r="J5" s="13">
        <v>0.97</v>
      </c>
      <c r="K5" s="13">
        <v>59</v>
      </c>
      <c r="L5" s="13" t="s">
        <v>243</v>
      </c>
      <c r="M5" s="13">
        <f>1.9/0.97</f>
        <v>1.9587628865979381</v>
      </c>
      <c r="N5" s="13" t="s">
        <v>245</v>
      </c>
      <c r="O5" s="13" t="s">
        <v>246</v>
      </c>
      <c r="P5" s="13">
        <f>0.97/5</f>
        <v>0.19400000000000001</v>
      </c>
      <c r="Q5" s="13" t="b">
        <v>1</v>
      </c>
      <c r="R5" s="13" t="s">
        <v>244</v>
      </c>
      <c r="T5" s="13" t="s">
        <v>164</v>
      </c>
      <c r="U5" s="14" t="s">
        <v>162</v>
      </c>
      <c r="V5" s="14" t="s">
        <v>163</v>
      </c>
    </row>
    <row r="6" spans="1:24" ht="17.5" customHeight="1" outlineLevel="1" collapsed="1">
      <c r="A6" s="13">
        <f t="shared" si="0"/>
        <v>5</v>
      </c>
      <c r="B6" s="13">
        <v>6</v>
      </c>
      <c r="E6" s="13" t="b">
        <v>0</v>
      </c>
      <c r="F6" s="13" t="b">
        <v>0</v>
      </c>
      <c r="G6" s="13" t="s">
        <v>247</v>
      </c>
      <c r="J6" s="13">
        <v>10</v>
      </c>
      <c r="K6" s="17">
        <v>44502</v>
      </c>
      <c r="L6" s="13" t="s">
        <v>249</v>
      </c>
      <c r="M6" s="13">
        <v>3</v>
      </c>
      <c r="N6" s="13">
        <v>-72</v>
      </c>
      <c r="O6" s="13" t="s">
        <v>251</v>
      </c>
      <c r="P6" s="13">
        <f>10/80</f>
        <v>0.125</v>
      </c>
      <c r="Q6" s="13" t="b">
        <v>1</v>
      </c>
      <c r="T6" s="13" t="s">
        <v>164</v>
      </c>
      <c r="U6" s="14" t="s">
        <v>162</v>
      </c>
      <c r="V6" s="14" t="s">
        <v>163</v>
      </c>
      <c r="W6" s="13" t="s">
        <v>252</v>
      </c>
    </row>
    <row r="7" spans="1:24" ht="17.5" customHeight="1">
      <c r="A7" s="13">
        <f t="shared" si="0"/>
        <v>6</v>
      </c>
      <c r="B7" s="13">
        <v>6</v>
      </c>
      <c r="F7" s="13" t="b">
        <v>1</v>
      </c>
      <c r="G7" s="13" t="s">
        <v>22</v>
      </c>
      <c r="I7" s="13" t="s">
        <v>84</v>
      </c>
      <c r="K7" s="13">
        <v>50</v>
      </c>
      <c r="L7" s="13" t="s">
        <v>243</v>
      </c>
      <c r="O7" s="13" t="s">
        <v>246</v>
      </c>
      <c r="Q7" s="13" t="b">
        <v>1</v>
      </c>
      <c r="T7" s="13" t="s">
        <v>181</v>
      </c>
      <c r="U7" s="14" t="s">
        <v>179</v>
      </c>
      <c r="V7" s="14" t="s">
        <v>180</v>
      </c>
      <c r="W7" s="13" t="s">
        <v>182</v>
      </c>
    </row>
    <row r="8" spans="1:24" ht="17.5" customHeight="1" outlineLevel="1" collapsed="1">
      <c r="A8" s="13">
        <f t="shared" si="0"/>
        <v>7</v>
      </c>
      <c r="B8" s="13">
        <v>6</v>
      </c>
      <c r="F8" s="13" t="b">
        <v>0</v>
      </c>
      <c r="G8" s="13" t="s">
        <v>22</v>
      </c>
      <c r="I8" s="13" t="s">
        <v>84</v>
      </c>
      <c r="K8" s="13">
        <v>50</v>
      </c>
      <c r="L8" s="13" t="s">
        <v>254</v>
      </c>
      <c r="O8" s="13" t="s">
        <v>255</v>
      </c>
      <c r="Q8" s="13" t="b">
        <v>1</v>
      </c>
      <c r="T8" s="13" t="s">
        <v>181</v>
      </c>
      <c r="U8" s="14" t="s">
        <v>179</v>
      </c>
      <c r="V8" s="14" t="s">
        <v>180</v>
      </c>
      <c r="W8" s="13" t="s">
        <v>182</v>
      </c>
    </row>
    <row r="9" spans="1:24" ht="17.5" customHeight="1" outlineLevel="1" collapsed="1">
      <c r="A9" s="13">
        <f t="shared" si="0"/>
        <v>8</v>
      </c>
      <c r="B9" s="13">
        <v>6</v>
      </c>
      <c r="F9" s="13" t="b">
        <v>0</v>
      </c>
      <c r="G9" s="13" t="s">
        <v>22</v>
      </c>
      <c r="I9" s="13" t="s">
        <v>253</v>
      </c>
      <c r="J9" s="18">
        <f>25.8/209.27</f>
        <v>0.12328570745926315</v>
      </c>
      <c r="K9" s="13">
        <v>50</v>
      </c>
      <c r="L9" s="18" t="s">
        <v>243</v>
      </c>
      <c r="M9" s="18">
        <f>(6.7/37.83)/J9</f>
        <v>1.4365664836774883</v>
      </c>
      <c r="N9" s="18" t="s">
        <v>256</v>
      </c>
      <c r="O9" s="18" t="s">
        <v>246</v>
      </c>
      <c r="P9" s="18">
        <f>J9/4</f>
        <v>3.0821426864815787E-2</v>
      </c>
      <c r="Q9" s="13" t="b">
        <v>1</v>
      </c>
      <c r="T9" s="13" t="s">
        <v>181</v>
      </c>
      <c r="U9" s="14" t="s">
        <v>179</v>
      </c>
      <c r="V9" s="14" t="s">
        <v>180</v>
      </c>
      <c r="W9" s="13" t="s">
        <v>182</v>
      </c>
      <c r="X9" s="13" t="s">
        <v>257</v>
      </c>
    </row>
    <row r="10" spans="1:24" ht="17.5" customHeight="1" outlineLevel="1" collapsed="1">
      <c r="A10" s="13">
        <f t="shared" si="0"/>
        <v>9</v>
      </c>
      <c r="B10" s="13">
        <v>6</v>
      </c>
      <c r="F10" s="13" t="b">
        <v>0</v>
      </c>
      <c r="G10" s="13" t="s">
        <v>22</v>
      </c>
      <c r="I10" s="13" t="s">
        <v>84</v>
      </c>
      <c r="K10" s="13">
        <v>50</v>
      </c>
      <c r="L10" s="13" t="s">
        <v>254</v>
      </c>
      <c r="O10" s="13" t="s">
        <v>255</v>
      </c>
      <c r="Q10" s="13" t="b">
        <v>1</v>
      </c>
      <c r="T10" s="13" t="s">
        <v>181</v>
      </c>
      <c r="U10" s="14" t="s">
        <v>179</v>
      </c>
      <c r="V10" s="14" t="s">
        <v>180</v>
      </c>
      <c r="W10" s="13" t="s">
        <v>182</v>
      </c>
    </row>
    <row r="11" spans="1:24" ht="17.5" customHeight="1" outlineLevel="1" collapsed="1">
      <c r="A11" s="13">
        <f t="shared" si="0"/>
        <v>10</v>
      </c>
      <c r="B11" s="13">
        <v>6</v>
      </c>
      <c r="F11" s="13" t="b">
        <v>0</v>
      </c>
      <c r="G11" s="13" t="s">
        <v>22</v>
      </c>
      <c r="I11" s="13" t="s">
        <v>84</v>
      </c>
      <c r="K11" s="13">
        <v>50</v>
      </c>
      <c r="L11" s="13" t="s">
        <v>190</v>
      </c>
      <c r="O11" s="13" t="s">
        <v>246</v>
      </c>
      <c r="Q11" s="13" t="b">
        <v>1</v>
      </c>
      <c r="T11" s="13" t="s">
        <v>181</v>
      </c>
      <c r="U11" s="14" t="s">
        <v>179</v>
      </c>
      <c r="V11" s="14" t="s">
        <v>180</v>
      </c>
      <c r="W11" s="13" t="s">
        <v>182</v>
      </c>
    </row>
    <row r="12" spans="1:24" ht="17.5" customHeight="1" outlineLevel="1" collapsed="1">
      <c r="A12" s="13">
        <f t="shared" si="0"/>
        <v>11</v>
      </c>
      <c r="B12" s="13">
        <v>6</v>
      </c>
      <c r="F12" s="13" t="b">
        <v>0</v>
      </c>
      <c r="G12" s="13" t="s">
        <v>22</v>
      </c>
      <c r="I12" s="13" t="s">
        <v>84</v>
      </c>
      <c r="K12" s="13">
        <v>50</v>
      </c>
      <c r="L12" s="13" t="s">
        <v>254</v>
      </c>
      <c r="O12" s="13" t="s">
        <v>255</v>
      </c>
      <c r="Q12" s="13" t="b">
        <v>1</v>
      </c>
      <c r="T12" s="13" t="s">
        <v>181</v>
      </c>
      <c r="U12" s="14" t="s">
        <v>179</v>
      </c>
      <c r="V12" s="14" t="s">
        <v>180</v>
      </c>
      <c r="W12" s="13" t="s">
        <v>182</v>
      </c>
    </row>
    <row r="13" spans="1:24">
      <c r="A13" s="13">
        <f t="shared" si="0"/>
        <v>12</v>
      </c>
      <c r="B13" s="13">
        <v>5</v>
      </c>
      <c r="F13" s="13" t="b">
        <v>0</v>
      </c>
      <c r="H13" s="13" t="s">
        <v>131</v>
      </c>
      <c r="I13" s="13" t="s">
        <v>132</v>
      </c>
      <c r="K13" s="13">
        <v>4</v>
      </c>
      <c r="L13" s="13" t="s">
        <v>190</v>
      </c>
      <c r="N13" s="13" t="s">
        <v>118</v>
      </c>
      <c r="O13" s="13" t="s">
        <v>134</v>
      </c>
      <c r="Q13" s="13" t="b">
        <v>1</v>
      </c>
      <c r="S13" s="13" t="b">
        <v>0</v>
      </c>
      <c r="T13" s="13" t="s">
        <v>128</v>
      </c>
      <c r="U13" s="14" t="s">
        <v>240</v>
      </c>
      <c r="V13" s="14" t="s">
        <v>130</v>
      </c>
    </row>
    <row r="14" spans="1:24" outlineLevel="1">
      <c r="A14" s="13">
        <f t="shared" si="0"/>
        <v>13</v>
      </c>
      <c r="B14" s="13">
        <v>7</v>
      </c>
      <c r="F14" s="13" t="b">
        <v>0</v>
      </c>
      <c r="K14" s="13">
        <v>21</v>
      </c>
      <c r="L14" s="13" t="s">
        <v>190</v>
      </c>
      <c r="Q14" s="13" t="b">
        <v>1</v>
      </c>
      <c r="S14" s="13" t="b">
        <v>0</v>
      </c>
      <c r="T14" s="13" t="s">
        <v>128</v>
      </c>
      <c r="U14" s="14"/>
      <c r="V14" s="14" t="s">
        <v>130</v>
      </c>
    </row>
    <row r="15" spans="1:24" outlineLevel="1">
      <c r="A15" s="13">
        <f t="shared" si="0"/>
        <v>14</v>
      </c>
      <c r="B15" s="13">
        <v>7</v>
      </c>
      <c r="F15" s="13" t="b">
        <v>0</v>
      </c>
      <c r="K15" s="13">
        <v>43</v>
      </c>
      <c r="L15" s="13" t="s">
        <v>216</v>
      </c>
      <c r="Q15" s="13" t="b">
        <v>1</v>
      </c>
      <c r="S15" s="13" t="b">
        <v>0</v>
      </c>
      <c r="T15" s="13" t="s">
        <v>128</v>
      </c>
      <c r="U15" s="14"/>
      <c r="V15" s="14" t="s">
        <v>130</v>
      </c>
    </row>
    <row r="16" spans="1:24">
      <c r="A16" s="13">
        <f t="shared" si="0"/>
        <v>15</v>
      </c>
      <c r="B16" s="13" t="s">
        <v>39</v>
      </c>
      <c r="E16" s="13" t="s">
        <v>83</v>
      </c>
      <c r="F16" s="13" t="b">
        <v>1</v>
      </c>
      <c r="G16" s="13" t="s">
        <v>61</v>
      </c>
      <c r="I16" s="13" t="s">
        <v>82</v>
      </c>
      <c r="K16" s="13">
        <f>80/(80+12)*100</f>
        <v>86.956521739130437</v>
      </c>
      <c r="L16" s="13" t="s">
        <v>190</v>
      </c>
      <c r="N16" s="13" t="s">
        <v>214</v>
      </c>
      <c r="O16" s="13" t="s">
        <v>134</v>
      </c>
      <c r="T16" s="13" t="s">
        <v>212</v>
      </c>
      <c r="U16" s="14" t="s">
        <v>210</v>
      </c>
      <c r="V16" s="14" t="s">
        <v>211</v>
      </c>
      <c r="W16" s="13" t="s">
        <v>213</v>
      </c>
    </row>
    <row r="17" spans="1:24">
      <c r="A17" s="13">
        <f t="shared" si="0"/>
        <v>16</v>
      </c>
      <c r="B17" s="13">
        <v>6</v>
      </c>
      <c r="E17" s="13" t="s">
        <v>87</v>
      </c>
      <c r="F17" s="13" t="b">
        <v>1</v>
      </c>
      <c r="G17" s="13" t="s">
        <v>30</v>
      </c>
      <c r="H17" s="13" t="s">
        <v>176</v>
      </c>
      <c r="I17" s="13" t="s">
        <v>86</v>
      </c>
      <c r="K17" s="13">
        <f>100*1/3</f>
        <v>33.333333333333336</v>
      </c>
      <c r="L17" s="13" t="s">
        <v>190</v>
      </c>
      <c r="M17" s="13">
        <v>10</v>
      </c>
      <c r="N17" s="13">
        <v>0</v>
      </c>
      <c r="O17" s="13" t="s">
        <v>134</v>
      </c>
      <c r="Q17" s="13" t="b">
        <v>0</v>
      </c>
      <c r="T17" s="13" t="s">
        <v>136</v>
      </c>
      <c r="U17" s="14" t="s">
        <v>127</v>
      </c>
      <c r="V17" s="14" t="s">
        <v>137</v>
      </c>
      <c r="W17" s="13" t="s">
        <v>165</v>
      </c>
    </row>
    <row r="18" spans="1:24" hidden="1" outlineLevel="1">
      <c r="A18" s="13">
        <f t="shared" si="0"/>
        <v>17</v>
      </c>
      <c r="B18" s="13">
        <v>6</v>
      </c>
      <c r="F18" s="13" t="b">
        <v>0</v>
      </c>
      <c r="G18" s="13" t="s">
        <v>30</v>
      </c>
      <c r="H18" s="13" t="s">
        <v>176</v>
      </c>
      <c r="I18" s="13" t="s">
        <v>86</v>
      </c>
      <c r="K18" s="13">
        <f>100*1/11</f>
        <v>9.0909090909090917</v>
      </c>
      <c r="L18" s="13" t="s">
        <v>216</v>
      </c>
      <c r="M18" s="13">
        <v>2</v>
      </c>
      <c r="N18" s="13">
        <v>-78</v>
      </c>
      <c r="O18" s="13" t="s">
        <v>217</v>
      </c>
      <c r="Q18" s="13" t="b">
        <v>0</v>
      </c>
      <c r="T18" s="13" t="s">
        <v>136</v>
      </c>
      <c r="U18" s="14"/>
      <c r="V18" s="14" t="s">
        <v>137</v>
      </c>
      <c r="W18" s="13" t="s">
        <v>165</v>
      </c>
    </row>
    <row r="19" spans="1:24" hidden="1" outlineLevel="1">
      <c r="A19" s="13">
        <f t="shared" si="0"/>
        <v>18</v>
      </c>
      <c r="B19" s="13">
        <v>6</v>
      </c>
      <c r="F19" s="13" t="b">
        <v>0</v>
      </c>
      <c r="G19" s="13" t="s">
        <v>30</v>
      </c>
      <c r="H19" s="13" t="s">
        <v>176</v>
      </c>
      <c r="I19" s="13" t="s">
        <v>86</v>
      </c>
      <c r="K19" s="13">
        <f>100*1/2</f>
        <v>50</v>
      </c>
      <c r="L19" s="13" t="s">
        <v>218</v>
      </c>
      <c r="M19" s="13">
        <v>1.5</v>
      </c>
      <c r="N19" s="15" t="s">
        <v>220</v>
      </c>
      <c r="O19" s="13" t="s">
        <v>101</v>
      </c>
      <c r="Q19" s="13" t="b">
        <v>0</v>
      </c>
      <c r="T19" s="13" t="s">
        <v>136</v>
      </c>
      <c r="U19" s="14"/>
      <c r="V19" s="14" t="s">
        <v>137</v>
      </c>
      <c r="W19" s="13" t="s">
        <v>165</v>
      </c>
    </row>
    <row r="20" spans="1:24" hidden="1" outlineLevel="1">
      <c r="A20" s="13">
        <f t="shared" si="0"/>
        <v>19</v>
      </c>
      <c r="B20" s="13">
        <v>6</v>
      </c>
      <c r="F20" s="13" t="b">
        <v>0</v>
      </c>
      <c r="G20" s="13" t="s">
        <v>30</v>
      </c>
      <c r="H20" s="13" t="s">
        <v>176</v>
      </c>
      <c r="I20" s="13" t="s">
        <v>86</v>
      </c>
      <c r="K20" s="13">
        <f>100*5/6</f>
        <v>83.333333333333329</v>
      </c>
      <c r="L20" s="13" t="s">
        <v>219</v>
      </c>
      <c r="M20" s="13">
        <v>6</v>
      </c>
      <c r="N20" s="15" t="s">
        <v>220</v>
      </c>
      <c r="O20" s="13" t="s">
        <v>101</v>
      </c>
      <c r="Q20" s="13" t="b">
        <v>0</v>
      </c>
      <c r="T20" s="13" t="s">
        <v>136</v>
      </c>
      <c r="U20" s="14"/>
      <c r="V20" s="14" t="s">
        <v>137</v>
      </c>
      <c r="W20" s="13" t="s">
        <v>165</v>
      </c>
    </row>
    <row r="21" spans="1:24" hidden="1" outlineLevel="1">
      <c r="A21" s="13">
        <f t="shared" si="0"/>
        <v>20</v>
      </c>
      <c r="B21" s="13">
        <v>6</v>
      </c>
      <c r="F21" s="13" t="b">
        <v>0</v>
      </c>
      <c r="G21" s="13" t="s">
        <v>30</v>
      </c>
      <c r="H21" s="13" t="s">
        <v>176</v>
      </c>
      <c r="I21" s="13" t="s">
        <v>86</v>
      </c>
      <c r="J21" s="19">
        <v>5.32</v>
      </c>
      <c r="K21" s="13">
        <f>100*1/1</f>
        <v>100</v>
      </c>
      <c r="L21" s="18" t="s">
        <v>219</v>
      </c>
      <c r="M21" s="18">
        <v>5</v>
      </c>
      <c r="N21" s="20" t="s">
        <v>258</v>
      </c>
      <c r="O21" s="18" t="s">
        <v>239</v>
      </c>
      <c r="P21" s="19">
        <f>J21/1.0226</f>
        <v>5.2024251906903975</v>
      </c>
      <c r="Q21" s="13" t="b">
        <v>0</v>
      </c>
      <c r="T21" s="13" t="s">
        <v>136</v>
      </c>
      <c r="U21" s="14"/>
      <c r="V21" s="14" t="s">
        <v>137</v>
      </c>
      <c r="W21" s="13" t="s">
        <v>221</v>
      </c>
    </row>
    <row r="22" spans="1:24" collapsed="1">
      <c r="A22" s="13">
        <f t="shared" si="0"/>
        <v>21</v>
      </c>
      <c r="B22" s="13" t="s">
        <v>39</v>
      </c>
      <c r="F22" s="13" t="b">
        <v>1</v>
      </c>
      <c r="G22" s="13" t="s">
        <v>40</v>
      </c>
      <c r="I22" s="13" t="s">
        <v>68</v>
      </c>
      <c r="K22" s="13">
        <f>100*74/(19+74)</f>
        <v>79.569892473118273</v>
      </c>
      <c r="L22" s="18" t="s">
        <v>190</v>
      </c>
      <c r="M22" s="18">
        <v>1</v>
      </c>
      <c r="N22" s="18" t="s">
        <v>118</v>
      </c>
      <c r="O22" s="18" t="s">
        <v>134</v>
      </c>
      <c r="P22" s="18">
        <v>0.1</v>
      </c>
      <c r="Q22" s="13" t="b">
        <v>0</v>
      </c>
      <c r="R22" s="13" t="s">
        <v>244</v>
      </c>
      <c r="T22" s="13" t="s">
        <v>203</v>
      </c>
      <c r="U22" s="14" t="s">
        <v>228</v>
      </c>
      <c r="V22" s="14" t="s">
        <v>202</v>
      </c>
      <c r="W22" s="13" t="s">
        <v>205</v>
      </c>
      <c r="X22" s="13" t="s">
        <v>259</v>
      </c>
    </row>
    <row r="23" spans="1:24" outlineLevel="1">
      <c r="A23" s="13">
        <f t="shared" si="0"/>
        <v>22</v>
      </c>
      <c r="B23" s="13" t="s">
        <v>39</v>
      </c>
      <c r="F23" s="13" t="b">
        <v>1</v>
      </c>
      <c r="G23" s="13" t="s">
        <v>41</v>
      </c>
      <c r="I23" s="13" t="s">
        <v>69</v>
      </c>
      <c r="K23" s="13">
        <v>81</v>
      </c>
      <c r="L23" s="18" t="s">
        <v>190</v>
      </c>
      <c r="M23" s="18">
        <v>1</v>
      </c>
      <c r="N23" s="18" t="s">
        <v>118</v>
      </c>
      <c r="O23" s="18" t="s">
        <v>134</v>
      </c>
      <c r="P23" s="18">
        <v>0.1</v>
      </c>
      <c r="Q23" s="13" t="b">
        <v>0</v>
      </c>
      <c r="T23" s="13" t="s">
        <v>203</v>
      </c>
      <c r="U23" s="14" t="s">
        <v>195</v>
      </c>
      <c r="V23" s="14" t="s">
        <v>206</v>
      </c>
      <c r="W23" s="13" t="s">
        <v>205</v>
      </c>
    </row>
    <row r="24" spans="1:24" outlineLevel="1">
      <c r="A24" s="13">
        <f t="shared" si="0"/>
        <v>23</v>
      </c>
      <c r="B24" s="13" t="s">
        <v>39</v>
      </c>
      <c r="F24" s="13" t="b">
        <v>1</v>
      </c>
      <c r="G24" s="13" t="s">
        <v>42</v>
      </c>
      <c r="I24" s="13" t="s">
        <v>70</v>
      </c>
      <c r="K24" s="13">
        <v>87</v>
      </c>
      <c r="L24" s="18" t="s">
        <v>190</v>
      </c>
      <c r="M24" s="18">
        <v>1</v>
      </c>
      <c r="N24" s="18" t="s">
        <v>118</v>
      </c>
      <c r="O24" s="18" t="s">
        <v>134</v>
      </c>
      <c r="P24" s="18">
        <v>0.1</v>
      </c>
      <c r="Q24" s="13" t="b">
        <v>0</v>
      </c>
      <c r="T24" s="13" t="s">
        <v>203</v>
      </c>
      <c r="U24" s="14" t="s">
        <v>195</v>
      </c>
      <c r="V24" s="14" t="s">
        <v>207</v>
      </c>
      <c r="W24" s="13" t="s">
        <v>205</v>
      </c>
    </row>
    <row r="25" spans="1:24" outlineLevel="1">
      <c r="A25" s="13">
        <f t="shared" si="0"/>
        <v>24</v>
      </c>
      <c r="B25" s="13" t="s">
        <v>39</v>
      </c>
      <c r="C25" s="13" t="b">
        <v>1</v>
      </c>
      <c r="F25" s="13" t="b">
        <v>1</v>
      </c>
      <c r="G25" s="13" t="s">
        <v>43</v>
      </c>
      <c r="I25" s="13" t="s">
        <v>71</v>
      </c>
      <c r="K25" s="13">
        <v>14</v>
      </c>
      <c r="L25" s="18" t="s">
        <v>190</v>
      </c>
      <c r="M25" s="18">
        <v>1</v>
      </c>
      <c r="N25" s="18" t="s">
        <v>118</v>
      </c>
      <c r="O25" s="18" t="s">
        <v>134</v>
      </c>
      <c r="P25" s="18">
        <v>0.1</v>
      </c>
      <c r="Q25" s="13" t="b">
        <v>0</v>
      </c>
      <c r="T25" s="13" t="s">
        <v>203</v>
      </c>
      <c r="U25" s="14" t="s">
        <v>195</v>
      </c>
      <c r="V25" s="14" t="s">
        <v>207</v>
      </c>
      <c r="W25" s="13" t="s">
        <v>205</v>
      </c>
    </row>
    <row r="26" spans="1:24" outlineLevel="1">
      <c r="A26" s="13">
        <f t="shared" si="0"/>
        <v>25</v>
      </c>
      <c r="B26" s="13" t="s">
        <v>39</v>
      </c>
      <c r="F26" s="13" t="b">
        <v>1</v>
      </c>
      <c r="I26" s="13" t="s">
        <v>73</v>
      </c>
      <c r="K26" s="13">
        <v>21</v>
      </c>
      <c r="L26" s="18" t="s">
        <v>190</v>
      </c>
      <c r="M26" s="18">
        <v>1</v>
      </c>
      <c r="N26" s="18" t="s">
        <v>118</v>
      </c>
      <c r="O26" s="18" t="s">
        <v>134</v>
      </c>
      <c r="P26" s="18">
        <v>0.1</v>
      </c>
      <c r="T26" s="13" t="s">
        <v>203</v>
      </c>
      <c r="V26" s="14" t="s">
        <v>215</v>
      </c>
    </row>
    <row r="27" spans="1:24">
      <c r="A27" s="13">
        <f t="shared" si="0"/>
        <v>26</v>
      </c>
      <c r="B27" s="13">
        <v>6</v>
      </c>
      <c r="E27" s="13" t="b">
        <v>1</v>
      </c>
      <c r="F27" s="13" t="b">
        <v>1</v>
      </c>
      <c r="G27" s="13" t="s">
        <v>24</v>
      </c>
      <c r="I27" s="13" t="s">
        <v>25</v>
      </c>
      <c r="K27" s="13">
        <f>50/(50+57)*100</f>
        <v>46.728971962616825</v>
      </c>
      <c r="L27" s="13" t="s">
        <v>190</v>
      </c>
      <c r="O27" s="13" t="s">
        <v>134</v>
      </c>
      <c r="Q27" s="13" t="b">
        <v>1</v>
      </c>
      <c r="T27" s="13" t="s">
        <v>161</v>
      </c>
      <c r="U27" s="14" t="s">
        <v>159</v>
      </c>
      <c r="V27" s="14" t="s">
        <v>160</v>
      </c>
      <c r="W27" s="13" t="s">
        <v>157</v>
      </c>
    </row>
    <row r="28" spans="1:24">
      <c r="A28" s="13">
        <f t="shared" si="0"/>
        <v>27</v>
      </c>
      <c r="B28" s="13">
        <v>6</v>
      </c>
      <c r="E28" s="13" t="b">
        <v>1</v>
      </c>
      <c r="F28" s="13" t="b">
        <v>1</v>
      </c>
      <c r="G28" s="13" t="s">
        <v>28</v>
      </c>
      <c r="I28" s="13" t="s">
        <v>29</v>
      </c>
      <c r="K28" s="13">
        <f>100/2.7</f>
        <v>37.037037037037038</v>
      </c>
      <c r="N28" s="13" t="s">
        <v>118</v>
      </c>
      <c r="Q28" s="13" t="b">
        <v>1</v>
      </c>
      <c r="T28" s="13" t="s">
        <v>170</v>
      </c>
      <c r="U28" s="14" t="s">
        <v>169</v>
      </c>
      <c r="V28" s="14" t="s">
        <v>171</v>
      </c>
      <c r="W28" s="13" t="s">
        <v>172</v>
      </c>
    </row>
    <row r="29" spans="1:24">
      <c r="A29" s="13">
        <f t="shared" si="0"/>
        <v>28</v>
      </c>
      <c r="B29" s="13">
        <v>6</v>
      </c>
      <c r="E29" s="13" t="b">
        <v>1</v>
      </c>
      <c r="F29" s="13" t="b">
        <v>1</v>
      </c>
      <c r="G29" s="13" t="s">
        <v>14</v>
      </c>
      <c r="H29" s="13" t="s">
        <v>178</v>
      </c>
      <c r="I29" s="13" t="s">
        <v>75</v>
      </c>
      <c r="K29" s="13">
        <f>41*100/(41+46)</f>
        <v>47.126436781609193</v>
      </c>
      <c r="Q29" s="13" t="b">
        <v>1</v>
      </c>
      <c r="T29" s="13" t="s">
        <v>149</v>
      </c>
      <c r="U29" s="14" t="s">
        <v>146</v>
      </c>
      <c r="V29" s="14" t="s">
        <v>150</v>
      </c>
      <c r="W29" s="13" t="s">
        <v>148</v>
      </c>
    </row>
    <row r="30" spans="1:24">
      <c r="A30" s="13">
        <f t="shared" si="0"/>
        <v>29</v>
      </c>
      <c r="B30" s="13">
        <v>6</v>
      </c>
      <c r="E30" s="13" t="b">
        <v>1</v>
      </c>
      <c r="F30" s="13" t="b">
        <v>1</v>
      </c>
      <c r="G30" s="13" t="s">
        <v>23</v>
      </c>
      <c r="I30" s="13" t="s">
        <v>76</v>
      </c>
      <c r="K30" s="13">
        <v>9</v>
      </c>
      <c r="L30" s="13" t="s">
        <v>190</v>
      </c>
      <c r="O30" s="13" t="s">
        <v>134</v>
      </c>
      <c r="Q30" s="13" t="b">
        <v>1</v>
      </c>
      <c r="T30" s="13" t="s">
        <v>158</v>
      </c>
      <c r="U30" s="14" t="s">
        <v>156</v>
      </c>
      <c r="W30" s="13" t="s">
        <v>157</v>
      </c>
    </row>
    <row r="31" spans="1:24">
      <c r="A31" s="13">
        <f t="shared" si="0"/>
        <v>30</v>
      </c>
      <c r="B31" s="13">
        <v>6</v>
      </c>
      <c r="E31" s="13" t="b">
        <v>1</v>
      </c>
      <c r="F31" s="13" t="b">
        <v>1</v>
      </c>
      <c r="G31" s="13" t="s">
        <v>31</v>
      </c>
      <c r="I31" s="13" t="s">
        <v>32</v>
      </c>
      <c r="K31" s="13">
        <v>60</v>
      </c>
      <c r="L31" s="13" t="s">
        <v>190</v>
      </c>
      <c r="N31" s="13" t="s">
        <v>188</v>
      </c>
      <c r="O31" s="13" t="s">
        <v>134</v>
      </c>
      <c r="Q31" s="13" t="b">
        <v>1</v>
      </c>
      <c r="T31" s="13" t="s">
        <v>186</v>
      </c>
      <c r="U31" s="14" t="s">
        <v>183</v>
      </c>
      <c r="V31" s="14" t="s">
        <v>184</v>
      </c>
      <c r="W31" s="13" t="s">
        <v>187</v>
      </c>
    </row>
    <row r="32" spans="1:24">
      <c r="A32" s="13">
        <f t="shared" si="0"/>
        <v>31</v>
      </c>
      <c r="B32" s="13">
        <v>5</v>
      </c>
      <c r="F32" s="13" t="b">
        <v>1</v>
      </c>
      <c r="G32" s="13" t="s">
        <v>47</v>
      </c>
      <c r="H32" s="13" t="s">
        <v>198</v>
      </c>
      <c r="I32" s="13" t="s">
        <v>48</v>
      </c>
      <c r="K32" s="13">
        <v>47</v>
      </c>
      <c r="L32" s="13" t="s">
        <v>190</v>
      </c>
      <c r="N32" s="13" t="s">
        <v>199</v>
      </c>
      <c r="O32" s="13" t="s">
        <v>134</v>
      </c>
      <c r="Q32" s="13" t="b">
        <v>1</v>
      </c>
      <c r="T32" s="13" t="s">
        <v>186</v>
      </c>
      <c r="U32" s="14" t="s">
        <v>200</v>
      </c>
      <c r="V32" s="14" t="s">
        <v>184</v>
      </c>
      <c r="W32" s="13" t="s">
        <v>187</v>
      </c>
    </row>
    <row r="33" spans="1:23">
      <c r="A33" s="13">
        <f t="shared" si="0"/>
        <v>32</v>
      </c>
      <c r="B33" s="13">
        <v>5</v>
      </c>
      <c r="F33" s="13" t="b">
        <v>1</v>
      </c>
      <c r="G33" s="13" t="s">
        <v>49</v>
      </c>
      <c r="I33" s="13" t="s">
        <v>50</v>
      </c>
      <c r="K33" s="13">
        <v>44</v>
      </c>
      <c r="L33" s="13" t="s">
        <v>190</v>
      </c>
      <c r="N33" s="13" t="s">
        <v>199</v>
      </c>
      <c r="O33" s="13" t="s">
        <v>134</v>
      </c>
      <c r="Q33" s="13" t="b">
        <v>1</v>
      </c>
      <c r="T33" s="13" t="s">
        <v>186</v>
      </c>
      <c r="U33" s="14" t="s">
        <v>183</v>
      </c>
      <c r="V33" s="14" t="s">
        <v>184</v>
      </c>
      <c r="W33" s="13" t="s">
        <v>187</v>
      </c>
    </row>
    <row r="34" spans="1:23">
      <c r="A34" s="13">
        <f t="shared" si="0"/>
        <v>33</v>
      </c>
      <c r="B34" s="13">
        <v>6</v>
      </c>
      <c r="C34" s="13" t="b">
        <v>1</v>
      </c>
      <c r="E34" s="13" t="b">
        <v>1</v>
      </c>
      <c r="F34" s="13" t="b">
        <v>1</v>
      </c>
      <c r="G34" s="13" t="s">
        <v>9</v>
      </c>
      <c r="I34" s="13" t="s">
        <v>10</v>
      </c>
      <c r="K34" s="13">
        <v>75</v>
      </c>
      <c r="Q34" s="13" t="b">
        <v>1</v>
      </c>
      <c r="T34" s="11"/>
      <c r="W34" s="13" t="s">
        <v>145</v>
      </c>
    </row>
    <row r="35" spans="1:23">
      <c r="A35" s="13">
        <f t="shared" si="0"/>
        <v>34</v>
      </c>
      <c r="B35" s="13">
        <v>6</v>
      </c>
      <c r="E35" s="13" t="b">
        <v>1</v>
      </c>
      <c r="F35" s="13" t="b">
        <v>1</v>
      </c>
      <c r="G35" s="13" t="s">
        <v>15</v>
      </c>
      <c r="I35" s="13" t="s">
        <v>16</v>
      </c>
      <c r="K35" s="13">
        <v>86</v>
      </c>
      <c r="Q35" s="13" t="b">
        <v>1</v>
      </c>
      <c r="W35" s="13" t="s">
        <v>145</v>
      </c>
    </row>
    <row r="36" spans="1:23">
      <c r="A36" s="13">
        <f t="shared" si="0"/>
        <v>35</v>
      </c>
      <c r="B36" s="13">
        <v>5</v>
      </c>
      <c r="E36" s="13" t="b">
        <v>1</v>
      </c>
      <c r="F36" s="13" t="b">
        <v>1</v>
      </c>
      <c r="G36" s="13" t="s">
        <v>33</v>
      </c>
      <c r="H36" s="13" t="s">
        <v>193</v>
      </c>
      <c r="I36" s="13" t="s">
        <v>34</v>
      </c>
      <c r="K36" s="13">
        <f>43/(43+48)*100</f>
        <v>47.252747252747248</v>
      </c>
      <c r="Q36" s="13" t="b">
        <v>1</v>
      </c>
      <c r="U36" s="14" t="s">
        <v>191</v>
      </c>
      <c r="V36" s="14" t="s">
        <v>192</v>
      </c>
      <c r="W36" s="13" t="s">
        <v>194</v>
      </c>
    </row>
    <row r="37" spans="1:23">
      <c r="A37" s="13">
        <f t="shared" si="0"/>
        <v>36</v>
      </c>
      <c r="B37" s="13">
        <v>5</v>
      </c>
      <c r="C37" s="13" t="b">
        <v>1</v>
      </c>
      <c r="F37" s="13" t="b">
        <v>1</v>
      </c>
      <c r="G37" s="13" t="s">
        <v>35</v>
      </c>
      <c r="I37" s="13" t="s">
        <v>196</v>
      </c>
      <c r="K37" s="13">
        <f>42*100/(42+29)</f>
        <v>59.154929577464792</v>
      </c>
      <c r="Q37" s="13" t="b">
        <v>1</v>
      </c>
      <c r="U37" s="14" t="s">
        <v>242</v>
      </c>
      <c r="W37" s="13" t="s">
        <v>197</v>
      </c>
    </row>
    <row r="38" spans="1:23">
      <c r="A38" s="13">
        <f t="shared" si="0"/>
        <v>37</v>
      </c>
      <c r="B38" s="13">
        <v>5</v>
      </c>
      <c r="F38" s="13" t="b">
        <v>1</v>
      </c>
      <c r="G38" s="13" t="s">
        <v>51</v>
      </c>
      <c r="I38" s="13" t="s">
        <v>52</v>
      </c>
      <c r="K38" s="13">
        <v>2</v>
      </c>
      <c r="Q38" s="13" t="b">
        <v>1</v>
      </c>
      <c r="W38" s="13" t="s">
        <v>201</v>
      </c>
    </row>
    <row r="39" spans="1:23">
      <c r="A39" s="13">
        <f t="shared" si="0"/>
        <v>38</v>
      </c>
      <c r="B39" s="13" t="s">
        <v>39</v>
      </c>
      <c r="F39" s="13" t="b">
        <v>1</v>
      </c>
      <c r="G39" s="13" t="s">
        <v>46</v>
      </c>
      <c r="I39" s="13" t="s">
        <v>72</v>
      </c>
      <c r="K39" s="13">
        <v>90</v>
      </c>
      <c r="Q39" s="13" t="b">
        <v>0</v>
      </c>
      <c r="U39" s="14" t="s">
        <v>195</v>
      </c>
      <c r="V39" s="14" t="s">
        <v>208</v>
      </c>
      <c r="W39" s="13" t="s">
        <v>209</v>
      </c>
    </row>
    <row r="40" spans="1:23">
      <c r="A40" s="13">
        <f t="shared" si="0"/>
        <v>39</v>
      </c>
      <c r="B40" s="13">
        <v>4</v>
      </c>
      <c r="F40" s="13" t="b">
        <v>0</v>
      </c>
      <c r="G40" s="13" t="s">
        <v>54</v>
      </c>
      <c r="I40" s="13" t="s">
        <v>55</v>
      </c>
      <c r="K40" s="13">
        <f>32*100/(32+10)</f>
        <v>76.19047619047619</v>
      </c>
      <c r="Q40" s="13" t="b">
        <v>1</v>
      </c>
    </row>
    <row r="41" spans="1:23">
      <c r="A41" s="13">
        <f t="shared" si="0"/>
        <v>40</v>
      </c>
      <c r="B41" s="13">
        <v>4</v>
      </c>
      <c r="F41" s="13" t="b">
        <v>0</v>
      </c>
      <c r="G41" s="13" t="s">
        <v>56</v>
      </c>
      <c r="I41" s="13" t="s">
        <v>77</v>
      </c>
      <c r="K41" s="13">
        <v>80</v>
      </c>
      <c r="Q41" s="13" t="b">
        <v>1</v>
      </c>
    </row>
    <row r="42" spans="1:23">
      <c r="A42" s="13">
        <f t="shared" si="0"/>
        <v>41</v>
      </c>
      <c r="B42" s="13">
        <v>4</v>
      </c>
      <c r="F42" s="13" t="b">
        <v>0</v>
      </c>
      <c r="G42" s="13" t="s">
        <v>64</v>
      </c>
      <c r="I42" s="13" t="s">
        <v>67</v>
      </c>
      <c r="K42" s="13">
        <v>90</v>
      </c>
      <c r="Q42" s="13" t="b">
        <v>1</v>
      </c>
    </row>
    <row r="43" spans="1:23">
      <c r="A43" s="13">
        <f t="shared" si="0"/>
        <v>42</v>
      </c>
      <c r="B43" s="13">
        <v>4</v>
      </c>
      <c r="F43" s="13" t="b">
        <v>0</v>
      </c>
      <c r="G43" s="13" t="s">
        <v>14</v>
      </c>
      <c r="I43" s="13" t="s">
        <v>66</v>
      </c>
      <c r="K43" s="13">
        <v>75</v>
      </c>
    </row>
    <row r="44" spans="1:23">
      <c r="A44" s="13">
        <f t="shared" si="0"/>
        <v>43</v>
      </c>
      <c r="C44" s="13" t="b">
        <v>1</v>
      </c>
      <c r="G44" s="13" t="s">
        <v>96</v>
      </c>
      <c r="I44" s="13" t="s">
        <v>97</v>
      </c>
    </row>
    <row r="45" spans="1:23">
      <c r="A45" s="13">
        <f t="shared" si="0"/>
        <v>44</v>
      </c>
      <c r="C45" s="13" t="b">
        <v>1</v>
      </c>
      <c r="G45" s="13" t="s">
        <v>98</v>
      </c>
      <c r="I45" s="13" t="s">
        <v>99</v>
      </c>
    </row>
    <row r="46" spans="1:23">
      <c r="A46" s="13">
        <f t="shared" si="0"/>
        <v>45</v>
      </c>
    </row>
    <row r="47" spans="1:23">
      <c r="A47" s="13">
        <f t="shared" si="0"/>
        <v>46</v>
      </c>
      <c r="B47" s="13">
        <v>6</v>
      </c>
      <c r="D47" s="13" t="s">
        <v>59</v>
      </c>
      <c r="E47" s="13" t="b">
        <v>1</v>
      </c>
      <c r="G47" s="13" t="s">
        <v>17</v>
      </c>
      <c r="I47" s="13" t="s">
        <v>18</v>
      </c>
      <c r="K47" s="13">
        <v>20</v>
      </c>
      <c r="Q47" s="13" t="b">
        <v>1</v>
      </c>
    </row>
    <row r="48" spans="1:23">
      <c r="A48" s="13">
        <f t="shared" si="0"/>
        <v>47</v>
      </c>
      <c r="B48" s="13">
        <v>6</v>
      </c>
      <c r="D48" s="13" t="s">
        <v>62</v>
      </c>
      <c r="E48" s="13" t="b">
        <v>1</v>
      </c>
      <c r="F48" s="13" t="b">
        <v>0</v>
      </c>
      <c r="G48" s="13" t="s">
        <v>8</v>
      </c>
      <c r="I48" s="13" t="s">
        <v>74</v>
      </c>
      <c r="K48" s="13">
        <v>58</v>
      </c>
      <c r="Q48" s="13" t="b">
        <v>1</v>
      </c>
    </row>
    <row r="49" spans="1:23">
      <c r="A49" s="13">
        <f t="shared" si="0"/>
        <v>48</v>
      </c>
      <c r="B49" s="13">
        <v>6</v>
      </c>
      <c r="F49" s="13" t="b">
        <v>0</v>
      </c>
      <c r="I49" s="13" t="s">
        <v>79</v>
      </c>
      <c r="K49" s="13">
        <f>24*100/(24+54)</f>
        <v>30.76923076923077</v>
      </c>
    </row>
    <row r="50" spans="1:23">
      <c r="A50" s="13">
        <f t="shared" si="0"/>
        <v>49</v>
      </c>
      <c r="B50" s="13" t="s">
        <v>39</v>
      </c>
      <c r="F50" s="13" t="b">
        <v>0</v>
      </c>
      <c r="I50" s="13" t="s">
        <v>78</v>
      </c>
      <c r="K50" s="13">
        <f>62/(62+26)*100</f>
        <v>70.454545454545453</v>
      </c>
    </row>
    <row r="51" spans="1:23">
      <c r="A51" s="13">
        <f t="shared" si="0"/>
        <v>50</v>
      </c>
      <c r="B51" s="13" t="s">
        <v>39</v>
      </c>
      <c r="E51" s="13" t="s">
        <v>81</v>
      </c>
      <c r="F51" s="13" t="b">
        <v>0</v>
      </c>
      <c r="I51" s="13" t="s">
        <v>80</v>
      </c>
      <c r="K51" s="13">
        <v>84</v>
      </c>
    </row>
    <row r="52" spans="1:23">
      <c r="A52" s="13">
        <f t="shared" si="0"/>
        <v>51</v>
      </c>
      <c r="H52" s="13" t="s">
        <v>224</v>
      </c>
      <c r="U52" s="14" t="s">
        <v>223</v>
      </c>
      <c r="V52" s="14" t="s">
        <v>222</v>
      </c>
      <c r="W52" s="13" t="s">
        <v>225</v>
      </c>
    </row>
    <row r="53" spans="1:23">
      <c r="A53" s="13">
        <f t="shared" si="0"/>
        <v>52</v>
      </c>
      <c r="H53" s="13" t="s">
        <v>230</v>
      </c>
      <c r="U53" s="14" t="s">
        <v>229</v>
      </c>
    </row>
    <row r="54" spans="1:23">
      <c r="A54" s="13">
        <f t="shared" si="0"/>
        <v>53</v>
      </c>
      <c r="G54" s="13" t="s">
        <v>233</v>
      </c>
      <c r="H54" s="13" t="s">
        <v>232</v>
      </c>
      <c r="K54" s="13">
        <f>100*66/(66+14)</f>
        <v>82.5</v>
      </c>
      <c r="U54" s="14" t="s">
        <v>231</v>
      </c>
    </row>
    <row r="57" spans="1:23">
      <c r="N57" s="13">
        <f>EXP(-1)</f>
        <v>0.36787944117144233</v>
      </c>
      <c r="O57" s="13">
        <f>EXP(-30/27)</f>
        <v>0.32919298780790557</v>
      </c>
      <c r="P57" s="13">
        <f>EXP(-30/20)</f>
        <v>0.22313016014842982</v>
      </c>
    </row>
  </sheetData>
  <sheetProtection formatRows="0"/>
  <autoFilter ref="A1:W51" xr:uid="{00000000-0001-0000-0000-000000000000}">
    <sortState xmlns:xlrd2="http://schemas.microsoft.com/office/spreadsheetml/2017/richdata2" ref="A2:W54">
      <sortCondition ref="T1:T51"/>
    </sortState>
  </autoFilter>
  <phoneticPr fontId="1"/>
  <hyperlinks>
    <hyperlink ref="U17" r:id="rId1" xr:uid="{E1F21067-7DF5-49E3-B12E-8299CD976B88}"/>
    <hyperlink ref="V13" r:id="rId2" xr:uid="{7D790539-3A9D-4F62-B4E2-D49972E21B83}"/>
    <hyperlink ref="V17" r:id="rId3" xr:uid="{F25B9AAD-BD02-41C7-ACFD-9EFAB5037D4B}"/>
    <hyperlink ref="U29" r:id="rId4" display="https://scifinder.cas.org/scifinder/view/scifinder/scifinderExplore.jsf?sfow_newpage=/scifinder/view/reaction/reactionList.jsf&amp;nav=eNpb85aBtYSBMbGEQcXcycjVzcTUJMLCzM3Y1NDEKcLU0sLN0cDY2cjS1djYwtLAwhioNKm4iEEwK7EsUS8nMS9dzzOvJDU9tUjo0YIl3xvbLZgYGD0ZWMsSc0pTK4oYBBDq_Epzk1KL2tZMleWe8qCbiYGhooCBgYEbaGBGCQN7kKuju6tfCJCXX1zIUMfADJRjLGFgKipDtc0pPz8nNTHvrEJRw9U5v94BbYuC2VbAAACKUD1B" xr:uid="{E42720FD-564E-4980-B44C-B78B0F26F6AB}"/>
    <hyperlink ref="V29" r:id="rId5" xr:uid="{32425DA2-2587-47F0-8188-BF957E3C09B7}"/>
    <hyperlink ref="U2" r:id="rId6" xr:uid="{E69ADD59-3AB1-46C4-845F-730E71BB17EB}"/>
    <hyperlink ref="V2" r:id="rId7" xr:uid="{DBC6CA05-2824-4F4B-8E37-86CF69A9180B}"/>
    <hyperlink ref="U30" r:id="rId8" display="https://scifinder.cas.org/scifinder/view/scifinder/scifinderExplore.jsf?sfow_newpage=/scifinder/view/reaction/reactionList.jsf&amp;nav=eNpb85aBtYSBMbGEQcXc2cXAxNncMsLCzM3Y1NDEKcLE0MLAyNnCxdjA3MnN2cDAzRioNKm4iEEwK7EsUS8nMS9dzzOvJDU9tUjo0YIl3xvbLZgYGD0ZWMsSc0pTK4oYBBDq_Epzk1KL2tZMleWe8qCbiYGhooCBgYEFaGBGCQN7kKuju6tfCJCXX1zIUMfADJRjLGFgKipDtc0pPz8nNTHvrEJRw9U5v94BbYuC2VbAAACMxT1D" xr:uid="{D46FC470-2D2C-43B0-9BDE-B3A9ACE49E88}"/>
    <hyperlink ref="U27" r:id="rId9" display="https://scifinder.cas.org/scifinder/view/scifinder/scifinderExplore.jsf?sfow_newpage=/scifinder/view/reaction/reactionList.jsf&amp;nav=eNpb85aBtYSBMbGEQcXc2cXM0NHCOMLCzM3Y1NDEKcLcwtgQKOJiYmnsZGFs4GRiAlSaVFzEIJiVWJaol5OYl67nmVeSmp5aJPRowZLvje0WTAyMngysZYk5pakVRQwCCHV-pblJqUVta6bKck950M3EwFBRwMDAwAk0MKOEgT3I1dHd1S8EyMsvLmSoY2AGyjGWMDAVlaHa5pSfn5OamHdWoajh6pxf74C2RcFsK2AAAH8UPTA" xr:uid="{62476E37-E0E0-4CCF-B79E-522EDE99E9E2}"/>
    <hyperlink ref="V27" r:id="rId10" xr:uid="{E992CC98-AC87-4915-9772-75D6525CB63D}"/>
    <hyperlink ref="U5" r:id="rId11" display="https://scifinder.cas.org/scifinder/view/scifinder/scifinderExplore.jsf?sfow_newpage=/scifinder/view/reaction/reactionList.jsf&amp;nav=eNpb85aBtYSBMbGEQcXc2cXRwsnMOMLCzM3Y1NDEKcLE0cTR0c3C2NDN0cLR1NDI2RyoNKm4iEEwK7EsUS8nMS9dzzOvJDU9tUjo0YIl3xvbLZgYGD0ZWMsSc0pTK4oYBBDq_Epzk1KL2tZMleWe8qCbiYGhooCBgYEXaGBGCQN7kKuju6tfCJCXX1zIUMfADJRjLGFgKipDtc0pPz8nNTHvrEJRw9U5v94BbYuC2VbAAACxHT18" xr:uid="{7CC4A667-1E03-457C-9F5D-B156D4CA6444}"/>
    <hyperlink ref="V5" r:id="rId12" xr:uid="{966CC10D-4627-4B36-8AC2-4319F99BA741}"/>
    <hyperlink ref="V3" r:id="rId13" xr:uid="{3C0E5581-4702-442D-AAE3-0605BC7F9241}"/>
    <hyperlink ref="U28" r:id="rId14" display="https://scifinder.cas.org/scifinder/view/scifinder/scifinderExplore.jsf?sfow_newpage=/scifinder/view/reaction/reactionList.jsf&amp;nav=eNpb85aBtYSBMbGEQcXC0MDR2cLSJcLCzM3Y1MDSIsLY2dHA2NjR0cjN1M3ExdHNwASoNKm4iEEwK7EsUS8nMS9dzzOvJDU9tUjo0YIl3xvbLZgYGD0ZWMsSc0pTK4oYBBDq_Epzk1KL2tZMleWe8qCbiYGhooCBgYEJaGBGCQN7kKuju6tfCJCXX1zIUMfADJRjLGFgKipDtc0pPz8nNTHvrEJRw9U5v94BbYuC2VbAAACgiD1h" xr:uid="{8D7A7BC9-9C94-4A78-989B-BF2734F821A0}"/>
    <hyperlink ref="V28" r:id="rId15" xr:uid="{C07C328C-961B-48DC-8DF7-46EF2C2A0DC0}"/>
    <hyperlink ref="U7" r:id="rId16" display="https://scifinder.cas.org/scifinder/view/scifinder/scifinderExplore.jsf?sfow_newpage=/scifinder/view/reaction/reactionList.jsf&amp;nav=eNpb85aBtYSBMbGEQcXSydDR1NLCKcLCzM3Y1MDSJMLQydzc0NANKO7s6mZiaOpkAFSaVFzEIJiVWJaol5OYl67nmVeSmp5aJPRowZLvje0WTAyMngysZYk5pakVRQwCCHV-pblJqUVta6bKck950M3EwFBRwMDAwAQ0MKOEgT3I1dHd1S8EyMsvLmSoY2AGyjGWMDAVlaHa5pSfn5OamHdWoajh6pxf74C2RcFsK2AAAJdFPVI" xr:uid="{188EDD56-A1A0-4C00-8434-8AC34EAAD9BE}"/>
    <hyperlink ref="V7" r:id="rId17" xr:uid="{0CB46C7F-47CD-41C6-8925-614093BFA113}"/>
    <hyperlink ref="U31" r:id="rId18" display="https://scifinder.cas.org/scifinder/view/scifinder/scifinderExplore.jsf?sfow_newpage=/scifinder/view/reaction/reactionList.jsf&amp;nav=eNpb85aBtYSBMbGEQcXSycjc0tXMLcLCzM3Y1MDSJMLM1NXCws3E3MjcxdHF2cXU1QCoNKm4iEEwK7EsUS8nMS9dzzOvJDU9tUjo0YIl3xvbLZgYGD0ZWMsSc0pTK4oYBBDq_Epzk1KL2tZMleWe8qCbiYGhooCBgYENaGBGCQN7kKuju6tfCJCXX1zIUMfADJRjLGFgKipDtc0pPz8nNTHvrEJRw9U5v94BbYuC2VbAAACxhj18" xr:uid="{CB57ED08-DD1F-4751-BCDD-8E179358C6D3}"/>
    <hyperlink ref="V31" r:id="rId19" xr:uid="{2E6F1A0A-2D1A-4E3D-BA5E-00D81D46B86B}"/>
    <hyperlink ref="U36" r:id="rId20" display="https://scifinder.cas.org/scifinder/view/scifinder/scifinderExplore.jsf?sfow_newpage=/scifinder/view/reaction/reactionList.jsf&amp;nav=eNpb85aBtYSBMbGEQcXSycjV3MTCMsLCzM3Y1MDSJMLIwsjA1M3Q2NjY0NTSxc3V0gioNKm4iEEwK7EsUS8nMS9dzzOvJDU9tUjo0YIl3xvbLZgYGD0ZWMsSc0pTK4oYBBDq_Epzk1KL2tZMleWe8qCbiYGhooCBgYELaGBGCQN7kKuju6tfCJCXX1zIUMfADJRjLGFgKipDtc0pPz8nNTHvrEJRw9U5v94BbYuC2VbAAAB2cj0m" xr:uid="{1AB9623F-6E14-432E-B025-19FD7C5002D2}"/>
    <hyperlink ref="V36" r:id="rId21" xr:uid="{C4B14EAA-0E1E-43CD-987B-8340BFB725EF}"/>
    <hyperlink ref="U37" r:id="rId22" xr:uid="{FA1E1F83-82B2-47AF-862B-23C3D4C03CE1}"/>
    <hyperlink ref="U32" r:id="rId23" display="https://scifinder.cas.org/scifinder/view/scifinder/scifinderExplore.jsf?sfow_newpage=/scifinder/view/reaction/reactionList.jsf&amp;nav=eNpb85aBtYSBMbGEQcXS2dLAwNzVMsLCzM3Y1MDSJMLEwsnUyNHV3NDNydDSwMLZ0hWoNKm4iEEwK7EsUS8nMS9dzzOvJDU9tUjo0YIl3xvbLZgYGD0ZWMsSc0pTK4oYBBDq_Epzk1KL2tZMleWe8qCbiYGhooCBgYEJaGBGCQN7kKuju6tfCJCXX1zIUMfADJRjLGFgKipDtc0pPz8nNTHvrEJRw9U5v94BbYuC2VbAAACTbT1O" xr:uid="{6FA7CD7C-4573-4F66-98F6-39A8E416AF18}"/>
    <hyperlink ref="V32" r:id="rId24" xr:uid="{63DEFE9A-3B10-47A3-951C-AE36194B70DA}"/>
    <hyperlink ref="U33" r:id="rId25" display="https://scifinder.cas.org/scifinder/view/scifinder/scifinderExplore.jsf?sfow_newpage=/scifinder/view/reaction/reactionList.jsf&amp;nav=eNpb85aBtYSBMbGEQcXSycjc0tXMLcLCzM3Y1MDSJMLM1NXCws3E3MjcxdHF2cXU1QCoNKm4iEEwK7EsUS8nMS9dzzOvJDU9tUjo0YIl3xvbLZgYGD0ZWMsSc0pTK4oYBBDq_Epzk1KL2tZMleWe8qCbiYGhooCBgYENaGBGCQN7kKuju6tfCJCXX1zIUMfADJRjLGFgKipDtc0pPz8nNTHvrEJRw9U5v94BbYuC2VbAAACxhj18" xr:uid="{5057E8BD-B957-411D-8652-14D9BCF000D7}"/>
    <hyperlink ref="V33" r:id="rId26" xr:uid="{AD1A8CC9-9C01-4A38-89EA-A2D1C6C4296D}"/>
    <hyperlink ref="U22" r:id="rId27" xr:uid="{CE2610A1-5DB2-4E87-8749-E20656048079}"/>
    <hyperlink ref="V22" r:id="rId28" xr:uid="{2D99AB91-18DA-4B8C-B337-A48AB143208B}"/>
    <hyperlink ref="U23" r:id="rId29" xr:uid="{30241FBF-D0C3-42A7-A59D-337C7B6559D2}"/>
    <hyperlink ref="U24" r:id="rId30" xr:uid="{FB02F2A3-828C-4718-968F-BDE60ECB2845}"/>
    <hyperlink ref="V23" r:id="rId31" display="https://click.endnote.com/viewer?doi=10.1002/adsc.201500801&amp;route=2" xr:uid="{C82AAB6B-B94C-4762-860A-57E891E648A6}"/>
    <hyperlink ref="V24" r:id="rId32" display="https://click.endnote.com/viewer?doi=10.1002/adsc.201500801&amp;route=2" xr:uid="{C8AA0B4C-C9CA-4943-A5C6-DC460A0E3524}"/>
    <hyperlink ref="V25" r:id="rId33" display="https://click.endnote.com/viewer?doi=10.1002/adsc.201500801&amp;route=2" xr:uid="{C7B3CC46-F00B-4E6A-B530-51EAE3A2F7F5}"/>
    <hyperlink ref="U25" r:id="rId34" xr:uid="{97ABC329-CEB1-4701-8EDC-B75AB44E03C0}"/>
    <hyperlink ref="U39" r:id="rId35" xr:uid="{4AD216BD-322B-42C0-8C71-30213C0FEC37}"/>
    <hyperlink ref="V39" r:id="rId36" xr:uid="{28A8CEF9-4323-4E57-869B-FD304154F101}"/>
    <hyperlink ref="U16" r:id="rId37" display="https://scifinder.cas.org/scifinder/view/scifinder/scifinderExplore.jsf?sfow_newpage=/scifinder/view/reaction/reactionList.jsf&amp;nav=eNpb85aBtYSBMbGEQcXS1cXc3MDAOcLCzM3Y1MDSJMLU0NnExcnS0sjQxNXQ0dzF0BmoNKm4iEEwK7EsUS8nMS9dzzOvJDU9tUjo0YIl3xvbLZgYGD0ZWMsSc0pTK4oYBBDq_Epzk1KL2tZMleWe8qCbiYGhooCBgYENaGBGCQN7kKuju6tfCJCXX1zIUMfADJRjLGFgKipDtc0pPz8nNTHvrEJRw9U5v94BbYuC2VbAAACTxj1P" xr:uid="{A6D1CEA7-45BD-40AD-8CC4-825CD4FDE51F}"/>
    <hyperlink ref="V16" r:id="rId38" xr:uid="{46209834-54B6-4C25-9F24-FE9013C2A03B}"/>
    <hyperlink ref="V26" r:id="rId39" xr:uid="{9E3ECEA6-C262-47B9-B78B-4174BA196DE8}"/>
    <hyperlink ref="V18" r:id="rId40" xr:uid="{44DC7F89-0B72-4210-9704-D180FE4BCDC8}"/>
    <hyperlink ref="V21" r:id="rId41" xr:uid="{18094997-5F8E-4373-8CD8-493232F2880F}"/>
    <hyperlink ref="V19" r:id="rId42" xr:uid="{CD167488-738A-4D38-AF03-0A9796CF734E}"/>
    <hyperlink ref="V20" r:id="rId43" xr:uid="{3C6A88E7-8E33-49EB-8BCB-2A597E612D50}"/>
    <hyperlink ref="V52" r:id="rId44" xr:uid="{D95B90BC-593B-4045-84C1-4F5D94A8F7D0}"/>
    <hyperlink ref="U52" r:id="rId45" display="https://scifinder.cas.org/scifinder/view/scifinder/scifinderExplore.jsf?sfow_newpage=/scifinder/view/reaction/reactionList.jsf&amp;nav=eNpb85aBtYSBMbGEQcXS1cXFzdnZPMLCzM3Y1MDSJMLMwMDJ0czUwtjA2czFxcTIwhmoNKm4iEEwK7EsUS8nMS9dzzOvJDU9tUjo0YIl3xvbLZgYGD0ZWMsSc0pTK4oYBBDq_Epzk1KL2tZMleWe8qCbiYGhooCBgYELaGBGCQN7kKuju6tfCJCXX1zIUMfADJRjLGFgKipDtc0pPz8nNTHvrEJRw9U5v94BbYuC2VbAAACxYj14" xr:uid="{689649BD-E238-4AD8-8F6D-EB650F771FC3}"/>
    <hyperlink ref="V4" r:id="rId46" xr:uid="{2FAFF807-86C0-47BB-834D-21D41E900BF1}"/>
    <hyperlink ref="U53" r:id="rId47" xr:uid="{171AF075-B74A-451B-AC9F-EAAFA8F47F58}"/>
    <hyperlink ref="U54" r:id="rId48" xr:uid="{A09DB465-5008-47DD-95C5-2B07AD9BBC6B}"/>
    <hyperlink ref="U13" r:id="rId49" xr:uid="{5E646E3B-60BA-4CB0-B990-F1FB1B2EC32F}"/>
    <hyperlink ref="V14" r:id="rId50" xr:uid="{3A831470-BBB2-4DDC-A46F-769A48277E62}"/>
    <hyperlink ref="V15" r:id="rId51" xr:uid="{43FDFB92-59D5-45B9-B41D-97A11F4A0A60}"/>
    <hyperlink ref="U6" r:id="rId52" display="https://scifinder.cas.org/scifinder/view/scifinder/scifinderExplore.jsf?sfow_newpage=/scifinder/view/reaction/reactionList.jsf&amp;nav=eNpb85aBtYSBMbGEQcXc2cXRwsnMOMLCzM3Y1NDEKcLE0cTR0c3C2NDN0cLR1NDI2RyoNKm4iEEwK7EsUS8nMS9dzzOvJDU9tUjo0YIl3xvbLZgYGD0ZWMsSc0pTK4oYBBDq_Epzk1KL2tZMleWe8qCbiYGhooCBgYEXaGBGCQN7kKuju6tfCJCXX1zIUMfADJRjLGFgKipDtc0pPz8nNTHvrEJRw9U5v94BbYuC2VbAAACxHT18" xr:uid="{D36590ED-439B-47C9-BCC0-05529323B0EC}"/>
    <hyperlink ref="V6" r:id="rId53" xr:uid="{AB95ECEA-A54A-49DD-B124-6CD0D0596F42}"/>
    <hyperlink ref="U10" r:id="rId54" display="https://scifinder.cas.org/scifinder/view/scifinder/scifinderExplore.jsf?sfow_newpage=/scifinder/view/reaction/reactionList.jsf&amp;nav=eNpb85aBtYSBMbGEQcXSydDR1NLCKcLCzM3Y1MDSJMLQydzc0NANKO7s6mZiaOpkAFSaVFzEIJiVWJaol5OYl67nmVeSmp5aJPRowZLvje0WTAyMngysZYk5pakVRQwCCHV-pblJqUVta6bKck950M3EwFBRwMDAwAQ0MKOEgT3I1dHd1S8EyMsvLmSoY2AGyjGWMDAVlaHa5pSfn5OamHdWoajh6pxf74C2RcFsK2AAAJdFPVI" xr:uid="{8DB2F173-4604-491F-8409-DC2C5AFA63AE}"/>
    <hyperlink ref="V10" r:id="rId55" xr:uid="{0DBDB843-7F8D-4F50-8019-75E491BE8741}"/>
    <hyperlink ref="U9" r:id="rId56" display="https://scifinder.cas.org/scifinder/view/scifinder/scifinderExplore.jsf?sfow_newpage=/scifinder/view/reaction/reactionList.jsf&amp;nav=eNpb85aBtYSBMbGEQcXSydDR1NLCKcLCzM3Y1MDSJMLQydzc0NANKO7s6mZiaOpkAFSaVFzEIJiVWJaol5OYl67nmVeSmp5aJPRowZLvje0WTAyMngysZYk5pakVRQwCCHV-pblJqUVta6bKck950M3EwFBRwMDAwAQ0MKOEgT3I1dHd1S8EyMsvLmSoY2AGyjGWMDAVlaHa5pSfn5OamHdWoajh6pxf74C2RcFsK2AAAJdFPVI" xr:uid="{275103B9-6248-45A5-80A6-C591C1E41751}"/>
    <hyperlink ref="V9" r:id="rId57" xr:uid="{4D02E6C7-367A-48A7-865F-0A591FDF8EA0}"/>
    <hyperlink ref="U8" r:id="rId58" display="https://scifinder.cas.org/scifinder/view/scifinder/scifinderExplore.jsf?sfow_newpage=/scifinder/view/reaction/reactionList.jsf&amp;nav=eNpb85aBtYSBMbGEQcXSydDR1NLCKcLCzM3Y1MDSJMLQydzc0NANKO7s6mZiaOpkAFSaVFzEIJiVWJaol5OYl67nmVeSmp5aJPRowZLvje0WTAyMngysZYk5pakVRQwCCHV-pblJqUVta6bKck950M3EwFBRwMDAwAQ0MKOEgT3I1dHd1S8EyMsvLmSoY2AGyjGWMDAVlaHa5pSfn5OamHdWoajh6pxf74C2RcFsK2AAAJdFPVI" xr:uid="{A30FFF64-0279-4F98-8487-83A909B0A92B}"/>
    <hyperlink ref="V8" r:id="rId59" xr:uid="{8DCC0029-009B-494A-9DC6-F415E53AE875}"/>
    <hyperlink ref="U11" r:id="rId60" display="https://scifinder.cas.org/scifinder/view/scifinder/scifinderExplore.jsf?sfow_newpage=/scifinder/view/reaction/reactionList.jsf&amp;nav=eNpb85aBtYSBMbGEQcXSydDR1NLCKcLCzM3Y1MDSJMLQydzc0NANKO7s6mZiaOpkAFSaVFzEIJiVWJaol5OYl67nmVeSmp5aJPRowZLvje0WTAyMngysZYk5pakVRQwCCHV-pblJqUVta6bKck950M3EwFBRwMDAwAQ0MKOEgT3I1dHd1S8EyMsvLmSoY2AGyjGWMDAVlaHa5pSfn5OamHdWoajh6pxf74C2RcFsK2AAAJdFPVI" xr:uid="{83270526-D8B9-4054-B404-F59808ECD0D3}"/>
    <hyperlink ref="V11" r:id="rId61" xr:uid="{BD104CF7-D1AC-4308-B7BD-FB9D360FD6E4}"/>
    <hyperlink ref="U12" r:id="rId62" display="https://scifinder.cas.org/scifinder/view/scifinder/scifinderExplore.jsf?sfow_newpage=/scifinder/view/reaction/reactionList.jsf&amp;nav=eNpb85aBtYSBMbGEQcXSydDR1NLCKcLCzM3Y1MDSJMLQydzc0NANKO7s6mZiaOpkAFSaVFzEIJiVWJaol5OYl67nmVeSmp5aJPRowZLvje0WTAyMngysZYk5pakVRQwCCHV-pblJqUVta6bKck950M3EwFBRwMDAwAQ0MKOEgT3I1dHd1S8EyMsvLmSoY2AGyjGWMDAVlaHa5pSfn5OamHdWoajh6pxf74C2RcFsK2AAAJdFPVI" xr:uid="{EBA8F0BE-5512-486A-B17C-ADE03E31260F}"/>
    <hyperlink ref="V12" r:id="rId63" xr:uid="{ED6B9A38-8FA1-4016-AD10-D271964F349E}"/>
  </hyperlinks>
  <pageMargins left="0.7" right="0.7" top="0.75" bottom="0.75" header="0.3" footer="0.3"/>
  <pageSetup paperSize="9" orientation="portrait" horizontalDpi="4294967293" verticalDpi="360" r:id="rId6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A1B92D97FCC7F741B8BCD05AD8770951" ma:contentTypeVersion="4" ma:contentTypeDescription="新しいドキュメントを作成します。" ma:contentTypeScope="" ma:versionID="af05d40441d6729cf5bb9937d54f5743">
  <xsd:schema xmlns:xsd="http://www.w3.org/2001/XMLSchema" xmlns:xs="http://www.w3.org/2001/XMLSchema" xmlns:p="http://schemas.microsoft.com/office/2006/metadata/properties" xmlns:ns3="5e8010ae-6416-4c61-a9b8-7b63922b6425" targetNamespace="http://schemas.microsoft.com/office/2006/metadata/properties" ma:root="true" ma:fieldsID="46c7d9030a20d3756c629ee736fed93d" ns3:_="">
    <xsd:import namespace="5e8010ae-6416-4c61-a9b8-7b63922b6425"/>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e8010ae-6416-4c61-a9b8-7b63922b64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C2B4E3B-7450-497D-A2AF-6F99547E1CD3}">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5e8010ae-6416-4c61-a9b8-7b63922b6425"/>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2FE1B263-5FF3-45FA-B792-4F735DC26F51}">
  <ds:schemaRefs>
    <ds:schemaRef ds:uri="http://schemas.microsoft.com/sharepoint/v3/contenttype/forms"/>
  </ds:schemaRefs>
</ds:datastoreItem>
</file>

<file path=customXml/itemProps3.xml><?xml version="1.0" encoding="utf-8"?>
<ds:datastoreItem xmlns:ds="http://schemas.openxmlformats.org/officeDocument/2006/customXml" ds:itemID="{E9AA247A-7E88-4DC5-8CFD-346BFF9F20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e8010ae-6416-4c61-a9b8-7b63922b642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17</vt:i4>
      </vt:variant>
    </vt:vector>
  </HeadingPairs>
  <TitlesOfParts>
    <vt:vector size="17" baseType="lpstr">
      <vt:lpstr>main_old</vt:lpstr>
      <vt:lpstr>main_iPrOH</vt:lpstr>
      <vt:lpstr>main</vt:lpstr>
      <vt:lpstr>reference</vt:lpstr>
      <vt:lpstr>Sheet2</vt:lpstr>
      <vt:lpstr>ref</vt:lpstr>
      <vt:lpstr>yld&amp;ref</vt:lpstr>
      <vt:lpstr>Sheet1</vt:lpstr>
      <vt:lpstr>main20210903バックアップ</vt:lpstr>
      <vt:lpstr>keep</vt:lpstr>
      <vt:lpstr>新方式</vt:lpstr>
      <vt:lpstr>文献</vt:lpstr>
      <vt:lpstr>mini</vt:lpstr>
      <vt:lpstr>l-selectride</vt:lpstr>
      <vt:lpstr>没</vt:lpstr>
      <vt:lpstr>テンプレ</vt:lpstr>
      <vt:lpst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坂口大門</dc:creator>
  <cp:lastModifiedBy>Sakaguchi Daimon</cp:lastModifiedBy>
  <dcterms:created xsi:type="dcterms:W3CDTF">2015-06-05T18:19:34Z</dcterms:created>
  <dcterms:modified xsi:type="dcterms:W3CDTF">2022-06-02T02:30:47Z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0x010100A1B92D97FCC7F741B8BCD05AD8770951</vt:lpwstr>
  </property>
</Properties>
</file>