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asa\Documents\"/>
    </mc:Choice>
  </mc:AlternateContent>
  <xr:revisionPtr revIDLastSave="0" documentId="8_{E96ACACA-39FA-415D-A39C-29C975B0B59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Notes" sheetId="1" r:id="rId1"/>
    <sheet name="Instructions" sheetId="2" r:id="rId2"/>
    <sheet name="1_Summary_Dashboard" sheetId="3" r:id="rId3"/>
    <sheet name="2_Assumptions" sheetId="4" r:id="rId4"/>
    <sheet name="3_TCO_Calculation" sheetId="5" r:id="rId5"/>
    <sheet name="4_Savings_Calculation" sheetId="6" r:id="rId6"/>
    <sheet name="5_Investment_Plan" sheetId="7" r:id="rId7"/>
    <sheet name="6_Payback_Analysis" sheetId="8" r:id="rId8"/>
  </sheets>
  <definedNames>
    <definedName name="Annual_Trips">'2_Assumptions'!$B$9</definedName>
    <definedName name="Asset_Cost_Mid">'2_Assumptions'!$C$27</definedName>
    <definedName name="Asset_Life_Mid">'2_Assumptions'!$C$28</definedName>
    <definedName name="CAPEX_Pct_Y0">'2_Assumptions'!$C$52</definedName>
    <definedName name="CAPEX_Pct_Y1">'2_Assumptions'!$C$53</definedName>
    <definedName name="CAPEX_Pct_Y2">'2_Assumptions'!$C$54</definedName>
    <definedName name="Current_Spend">'2_Assumptions'!$B$3</definedName>
    <definedName name="Diesel_Price_Mid">'2_Assumptions'!$C$26</definedName>
    <definedName name="Driver_Cost_Mid">'2_Assumptions'!$C$33</definedName>
    <definedName name="Driver_Pct_Spend">'2_Assumptions'!$B$16</definedName>
    <definedName name="Empty_Pct_Spend">'2_Assumptions'!$B$17</definedName>
    <definedName name="Empty_Waste_Annual_Value">'2_Assumptions'!$B$38</definedName>
    <definedName name="Fuel_Eff_Mid">'2_Assumptions'!$C$25</definedName>
    <definedName name="Fuel_Gain_ConsBase">'2_Assumptions'!$B$39</definedName>
    <definedName name="Fuel_Gain_Upside">'2_Assumptions'!$C$39</definedName>
    <definedName name="Fuel_Pct_Spend">'2_Assumptions'!$B$13</definedName>
    <definedName name="Fuel_Spend_Annual_Value">'2_Assumptions'!$B$40</definedName>
    <definedName name="Hourly_Cost_Mid">'3_TCO_Calculation'!$D$11</definedName>
    <definedName name="Hours_Per_Year_Mid">'2_Assumptions'!$C$24</definedName>
    <definedName name="Initial_Empty_Ratio">'2_Assumptions'!$B$4</definedName>
    <definedName name="Initial_TAT">'2_Assumptions'!$B$5</definedName>
    <definedName name="Insurance_Cost_Mid">'2_Assumptions'!$C$29</definedName>
    <definedName name="Km_Per_Year_Mid">'2_Assumptions'!$C$23</definedName>
    <definedName name="Maint_Cost_Km_Mid">'2_Assumptions'!$C$31</definedName>
    <definedName name="MM_Saving_Base">'2_Assumptions'!$C$41</definedName>
    <definedName name="MM_Saving_Cons">'2_Assumptions'!$B$41</definedName>
    <definedName name="MM_Saving_Upside">'2_Assumptions'!$D$41</definedName>
    <definedName name="Others_Pct_Spend">'2_Assumptions'!$B$18</definedName>
    <definedName name="P3_Saving_Base">'2_Assumptions'!$C$42</definedName>
    <definedName name="P3_Saving_Cons">'2_Assumptions'!$B$42</definedName>
    <definedName name="P3_Saving_Upside">'2_Assumptions'!$D$42</definedName>
    <definedName name="Payback_Period">'6_Payback_Analysis'!$J$2</definedName>
    <definedName name="Pilot_CAPEX_Mid">'2_Assumptions'!$C$46</definedName>
    <definedName name="Realization_Y1">'2_Assumptions'!$C$49</definedName>
    <definedName name="Realization_Y2">'2_Assumptions'!$C$50</definedName>
    <definedName name="Realization_Y3">'2_Assumptions'!$C$51</definedName>
    <definedName name="RoadTax_Cost_Mid">'2_Assumptions'!$C$30</definedName>
    <definedName name="Scale_CAPEX_Mid">'2_Assumptions'!$C$47</definedName>
    <definedName name="Scale_OPEX_Mid">'2_Assumptions'!$C$48</definedName>
    <definedName name="Target_Empty_Ratio_ConsBase">'2_Assumptions'!$B$7</definedName>
    <definedName name="Target_Empty_Ratio_Upside">'2_Assumptions'!$B$8</definedName>
    <definedName name="Target_TAT_Base">'2_Assumptions'!$B$6</definedName>
    <definedName name="TAT_Saved_Base">'2_Assumptions'!$C$37</definedName>
    <definedName name="TAT_Saved_Cons">'2_Assumptions'!$B$37</definedName>
    <definedName name="TAT_Saved_Upside">'2_Assumptions'!$D$37</definedName>
    <definedName name="Toll_Cost_Km_Mid">'2_Assumptions'!$C$32</definedName>
    <definedName name="Toll_Pct_Spend">'2_Assumptions'!$B$14</definedName>
    <definedName name="Total_Annual_Cost_Mid">'3_TCO_Calculation'!$D$9</definedName>
    <definedName name="Total_CAPEX_Y0">'5_Investment_Plan'!$D$11</definedName>
    <definedName name="Total_CAPEX_Y1">'5_Investment_Plan'!$E$11</definedName>
    <definedName name="Total_CAPEX_Y2">'5_Investment_Plan'!$F$11</definedName>
    <definedName name="Total_OPEX_Y1">'5_Investment_Plan'!$G$11</definedName>
    <definedName name="Total_OPEX_Y2">'5_Investment_Plan'!$G$11</definedName>
    <definedName name="Total_OPEX_Y3">'5_Investment_Plan'!$G$11</definedName>
    <definedName name="Total_Savings_Base">'4_Savings_Calculation'!$D$8</definedName>
    <definedName name="Total_Savings_Cons">'4_Savings_Calculation'!$C$8</definedName>
    <definedName name="Total_Savings_Upside">'4_Savings_Calculation'!$E$8</definedName>
    <definedName name="Vehicle_Pct_Spend">'2_Assumptions'!$B$15</definedName>
  </definedNames>
  <calcPr calcId="191029"/>
</workbook>
</file>

<file path=xl/calcChain.xml><?xml version="1.0" encoding="utf-8"?>
<calcChain xmlns="http://schemas.openxmlformats.org/spreadsheetml/2006/main">
  <c r="E5" i="8" l="1"/>
  <c r="C5" i="8"/>
  <c r="D5" i="8" s="1"/>
  <c r="E4" i="8"/>
  <c r="E3" i="8"/>
  <c r="D3" i="8"/>
  <c r="C3" i="8"/>
  <c r="B3" i="8"/>
  <c r="G11" i="7"/>
  <c r="C4" i="8" s="1"/>
  <c r="F11" i="7"/>
  <c r="B4" i="8" s="1"/>
  <c r="D4" i="8" s="1"/>
  <c r="E11" i="7"/>
  <c r="D11" i="7"/>
  <c r="B2" i="8" s="1"/>
  <c r="D2" i="8" s="1"/>
  <c r="G2" i="8" s="1"/>
  <c r="G10" i="7"/>
  <c r="F10" i="7"/>
  <c r="E10" i="7"/>
  <c r="D10" i="7"/>
  <c r="D9" i="7"/>
  <c r="D8" i="7"/>
  <c r="C8" i="7"/>
  <c r="F9" i="7" s="1"/>
  <c r="G7" i="7"/>
  <c r="D7" i="7"/>
  <c r="F6" i="7"/>
  <c r="E6" i="7"/>
  <c r="D6" i="7"/>
  <c r="F5" i="7"/>
  <c r="E5" i="7"/>
  <c r="D5" i="7"/>
  <c r="D4" i="7"/>
  <c r="C4" i="7"/>
  <c r="F4" i="7" s="1"/>
  <c r="F3" i="7"/>
  <c r="E3" i="7"/>
  <c r="C3" i="7"/>
  <c r="D3" i="7" s="1"/>
  <c r="F2" i="7"/>
  <c r="E2" i="7"/>
  <c r="C2" i="7"/>
  <c r="E6" i="6"/>
  <c r="D6" i="6"/>
  <c r="C6" i="6"/>
  <c r="E5" i="6"/>
  <c r="D5" i="6"/>
  <c r="C5" i="6"/>
  <c r="C3" i="6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B40" i="4"/>
  <c r="E4" i="6" s="1"/>
  <c r="B38" i="4"/>
  <c r="D3" i="6" s="1"/>
  <c r="B19" i="4"/>
  <c r="B8" i="3"/>
  <c r="E3" i="6" l="1"/>
  <c r="E9" i="5"/>
  <c r="E11" i="5" s="1"/>
  <c r="C2" i="6" s="1"/>
  <c r="E4" i="7"/>
  <c r="G9" i="7"/>
  <c r="F9" i="5"/>
  <c r="F11" i="5" s="1"/>
  <c r="B7" i="3" s="1"/>
  <c r="C7" i="7"/>
  <c r="F7" i="7" s="1"/>
  <c r="F13" i="7" s="1"/>
  <c r="D9" i="5"/>
  <c r="D11" i="5" s="1"/>
  <c r="B12" i="3" s="1"/>
  <c r="G8" i="7"/>
  <c r="F8" i="7"/>
  <c r="E8" i="7"/>
  <c r="H2" i="8"/>
  <c r="C4" i="6"/>
  <c r="D4" i="6"/>
  <c r="D2" i="7"/>
  <c r="D13" i="7" s="1"/>
  <c r="E9" i="7"/>
  <c r="B5" i="3" l="1"/>
  <c r="B6" i="3"/>
  <c r="D2" i="6"/>
  <c r="D8" i="6" s="1"/>
  <c r="E2" i="6"/>
  <c r="E8" i="6" s="1"/>
  <c r="B27" i="3" s="1"/>
  <c r="E7" i="7"/>
  <c r="E13" i="7" s="1"/>
  <c r="C8" i="6"/>
  <c r="B23" i="3" l="1"/>
  <c r="B22" i="3"/>
  <c r="B4" i="3"/>
  <c r="B26" i="3"/>
  <c r="B21" i="3"/>
  <c r="F5" i="8"/>
  <c r="G5" i="8" s="1"/>
  <c r="F3" i="8"/>
  <c r="G3" i="8" s="1"/>
  <c r="B25" i="3"/>
  <c r="F4" i="8"/>
  <c r="G4" i="8" s="1"/>
  <c r="K3" i="8" l="1"/>
  <c r="B11" i="8" s="1"/>
  <c r="H3" i="8"/>
  <c r="H4" i="8" l="1"/>
  <c r="H5" i="8" s="1"/>
  <c r="J2" i="8"/>
  <c r="B2" i="3"/>
  <c r="B10" i="3" l="1"/>
  <c r="C13" i="7"/>
  <c r="G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Modeler</author>
  </authors>
  <commentList>
    <comment ref="B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NPV linked to Payback Analysis (B11).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Modeler</author>
  </authors>
  <commentList>
    <comment ref="E2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2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E3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3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E4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4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D5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Fuel = Km_Per_Year_Mid / Fuel_Eff_Mid * Diesel_Price_Mid. Uses Named Ranges from Assumptions.</t>
        </r>
      </text>
    </comment>
    <comment ref="E5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5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E6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6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E7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7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E8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Annual Cost (Low) derived by mapping underlying '_Mid' named ranges to Low inputs in '2_Assumptions'.</t>
        </r>
      </text>
    </comment>
    <comment ref="F8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>Annual Cost (High) derived by mapping underlying '_Mid' named ranges to High inputs in '2_Assumptions'.</t>
        </r>
      </text>
    </comment>
    <comment ref="D9" authorId="0" shapeId="0" xr:uid="{00000000-0006-0000-0400-000010000000}">
      <text>
        <r>
          <rPr>
            <sz val="11"/>
            <color theme="1"/>
            <rFont val="Calibri"/>
            <family val="2"/>
            <scheme val="minor"/>
          </rPr>
          <t>Sum of annual cost components (Mid).</t>
        </r>
      </text>
    </comment>
    <comment ref="E9" authorId="0" shapeId="0" xr:uid="{00000000-0006-0000-0400-000011000000}">
      <text>
        <r>
          <rPr>
            <sz val="11"/>
            <color theme="1"/>
            <rFont val="Calibri"/>
            <family val="2"/>
            <scheme val="minor"/>
          </rPr>
          <t>Total Annual Cost (Low) - sum of component lows.</t>
        </r>
      </text>
    </comment>
    <comment ref="F9" authorId="0" shapeId="0" xr:uid="{00000000-0006-0000-0400-000012000000}">
      <text>
        <r>
          <rPr>
            <sz val="11"/>
            <color theme="1"/>
            <rFont val="Calibri"/>
            <family val="2"/>
            <scheme val="minor"/>
          </rPr>
          <t>Total Annual Cost (High) - sum of component highs.</t>
        </r>
      </text>
    </comment>
    <comment ref="D11" authorId="0" shapeId="0" xr:uid="{00000000-0006-0000-0400-000013000000}">
      <text>
        <r>
          <rPr>
            <sz val="11"/>
            <color theme="1"/>
            <rFont val="Calibri"/>
            <family val="2"/>
            <scheme val="minor"/>
          </rPr>
          <t>Key output: Hourly_Cost_Mid</t>
        </r>
      </text>
    </comment>
    <comment ref="E11" authorId="0" shapeId="0" xr:uid="{00000000-0006-0000-0400-000014000000}">
      <text>
        <r>
          <rPr>
            <sz val="11"/>
            <color theme="1"/>
            <rFont val="Calibri"/>
            <family val="2"/>
            <scheme val="minor"/>
          </rPr>
          <t>Hourly Cost (Low) = Total Annual Cost (Low) / Annual Operating Hours (Low).</t>
        </r>
      </text>
    </comment>
    <comment ref="F11" authorId="0" shapeId="0" xr:uid="{00000000-0006-0000-0400-000015000000}">
      <text>
        <r>
          <rPr>
            <sz val="11"/>
            <color theme="1"/>
            <rFont val="Calibri"/>
            <family val="2"/>
            <scheme val="minor"/>
          </rPr>
          <t>Hourly Cost (High) = Total Annual Cost (High) / Annual Operating Hours (High).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Modeler</author>
  </authors>
  <commentList>
    <comment ref="C2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Pillar 1 savings use corresponding Low/Mid/High Hourly Cost from 3_TCO_Calculation.</t>
        </r>
      </text>
    </comment>
    <comment ref="D2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Pillar 1 savings use corresponding Low/Mid/High Hourly Cost from 3_TCO_Calculation.</t>
        </r>
      </text>
    </comment>
    <comment ref="E2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Pillar 1 savings use corresponding Low/Mid/High Hourly Cost from 3_TCO_Calculation.</t>
        </r>
      </text>
    </comment>
    <comment ref="C3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References Empty_Waste_Annual_Value (=Current_Spend*Empty%) and Target Empty Ratios in '2_Assumptions'. Calculation: Empty_Waste_Annual_Value * (Initial_Empty_Ratio - Target_Empty_Ratio_*)/Initial_Empty_Ratio</t>
        </r>
      </text>
    </comment>
    <comment ref="D3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References Empty_Waste_Annual_Value (=Current_Spend*Empty%) and Target Empty Ratios in '2_Assumptions'. Calculation: Empty_Waste_Annual_Value * (Initial_Empty_Ratio - Target_Empty_Ratio_*)/Initial_Empty_Ratio</t>
        </r>
      </text>
    </comment>
    <comment ref="E3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References Empty_Waste_Annual_Value (=Current_Spend*Empty%) and Target Empty Ratios in '2_Assumptions'. Calculation: Empty_Waste_Annual_Value * (Initial_Empty_Ratio - Target_Empty_Ratio_*)/Initial_Empty_Ratio</t>
        </r>
      </text>
    </comment>
    <comment ref="C6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Estimate (placeholder). Primary benefits are qualitative: Safety, OTD, Retention.</t>
        </r>
      </text>
    </comment>
    <comment ref="D6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Estimate (placeholder). Primary benefits are qualitative: Safety, OTD, Retention.</t>
        </r>
      </text>
    </comment>
    <comment ref="E6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Estimate (placeholder). Primary benefits are qualitative: Safety, OTD, Retention.</t>
        </r>
      </text>
    </comment>
    <comment ref="C8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Key output: Total_Savings_Cons</t>
        </r>
      </text>
    </comment>
    <comment ref="D8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Key output: Total_Savings_Base</t>
        </r>
      </text>
    </comment>
    <comment ref="E8" authorId="0" shapeId="0" xr:uid="{00000000-0006-0000-0500-00000C000000}">
      <text>
        <r>
          <rPr>
            <sz val="11"/>
            <color theme="1"/>
            <rFont val="Calibri"/>
            <family val="2"/>
            <scheme val="minor"/>
          </rPr>
          <t>Key output: Total_Savings_Upside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Modeler</author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Investment plan updated: CAPEX/OPEX contingencies added (10%). Totals updated to include contingencies.</t>
        </r>
      </text>
    </comment>
    <comment ref="C8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Includes YMS, AI Platform, Telematics SaaS fees</t>
        </r>
      </text>
    </comment>
    <comment ref="C11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Assumes ~7 FTEs (Analysts, Support) based on ₹1.5 Cr mid estimate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Modeler</author>
  </authors>
  <commentList>
    <comment ref="J2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Key output: Payback_Period</t>
        </r>
      </text>
    </comment>
    <comment ref="F3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Conservative scenario annual savings scaled by realization factor.</t>
        </r>
      </text>
    </comment>
    <comment ref="K3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NPV @12% using Net Cash Flows Y1:Y3 plus Year0 cashflow.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Conservative scenario annual savings scaled by realization factor.</t>
        </r>
      </text>
    </comment>
    <comment ref="F5" authorId="0" shapeId="0" xr:uid="{00000000-0006-0000-0700-000006000000}">
      <text>
        <r>
          <rPr>
            <sz val="11"/>
            <color theme="1"/>
            <rFont val="Calibri"/>
            <family val="2"/>
            <scheme val="minor"/>
          </rPr>
          <t>Conservative scenario annual savings scaled by realization factor.</t>
        </r>
      </text>
    </comment>
    <comment ref="B11" authorId="0" shapeId="0" xr:uid="{00000000-0006-0000-0700-000007000000}">
      <text>
        <r>
          <rPr>
            <sz val="11"/>
            <color theme="1"/>
            <rFont val="Calibri"/>
            <family val="2"/>
            <scheme val="minor"/>
          </rPr>
          <t>Mirror of NPV (K3) for easier linking.</t>
        </r>
      </text>
    </comment>
  </commentList>
</comments>
</file>

<file path=xl/sharedStrings.xml><?xml version="1.0" encoding="utf-8"?>
<sst xmlns="http://schemas.openxmlformats.org/spreadsheetml/2006/main" count="251" uniqueCount="173">
  <si>
    <t>Model Changes / Notes</t>
  </si>
  <si>
    <t>IRR removed from outputs: IRR was unstable/non-convergent for the model cashflows. Showing IRR may mislead; it's therefore reported as 'Not reported' across the workbook.</t>
  </si>
  <si>
    <t>Investment plan: 10% CAPEX and OPEX contingencies were added. Totals updated to include contingencies. See 5_Investment_Plan for details.</t>
  </si>
  <si>
    <t>Sensitivity: IRR is not reported in scenario outputs. For full scenario recalculation, open the file in Excel and run recalculation (F9) after adjusting assumptions.</t>
  </si>
  <si>
    <t>Color coding: Light yellow = manual inputs; Light blue = key outputs; Light grey = formula cells.</t>
  </si>
  <si>
    <t>How to use: Edit assumptions on '2_Assumptions' only. All other sheets update automatically via Named Ranges.</t>
  </si>
  <si>
    <t>Project GATI - Financial Summary</t>
  </si>
  <si>
    <t>NPV @ 12% (₹ Cr)</t>
  </si>
  <si>
    <t>Base Case Annual Savings (₹)</t>
  </si>
  <si>
    <t>Hourly Cost (Low, ₹/Hour)</t>
  </si>
  <si>
    <t>Hourly Cost (Mid, ₹/Hour)</t>
  </si>
  <si>
    <t>Hourly Cost (High, ₹/Hour)</t>
  </si>
  <si>
    <t>Ongoing Annual OPEX (₹ Cr)</t>
  </si>
  <si>
    <t>Payback Period (years)</t>
  </si>
  <si>
    <t>Savings Scenario</t>
  </si>
  <si>
    <t>Value (₹)</t>
  </si>
  <si>
    <t>Conservative</t>
  </si>
  <si>
    <t>Base</t>
  </si>
  <si>
    <t>Upside</t>
  </si>
  <si>
    <t>Section A: Operational Baseline &amp; Targets (Case Study Data)</t>
  </si>
  <si>
    <t>Item</t>
  </si>
  <si>
    <t>Value</t>
  </si>
  <si>
    <t>Unit</t>
  </si>
  <si>
    <t>Source</t>
  </si>
  <si>
    <t>Current Annual Road Logistics Spend</t>
  </si>
  <si>
    <t>₹ Cr</t>
  </si>
  <si>
    <t>Case Study</t>
  </si>
  <si>
    <t>Current Empty Return Ratio</t>
  </si>
  <si>
    <t>%</t>
  </si>
  <si>
    <t>Current Avg. Truck TAT</t>
  </si>
  <si>
    <t>Hours</t>
  </si>
  <si>
    <t>Target TAT (Base)</t>
  </si>
  <si>
    <t>Solution Target</t>
  </si>
  <si>
    <t>Target Empty Return Ratio (Conservative/Base)</t>
  </si>
  <si>
    <t>Target Empty Return Ratio (Upside)</t>
  </si>
  <si>
    <t>NDFE Validation / Solution Target</t>
  </si>
  <si>
    <t>Annual First Leg Trips (Est.)</t>
  </si>
  <si>
    <t>Trips</t>
  </si>
  <si>
    <t>Case Data Derived (10.5M Tonnes / 25T)</t>
  </si>
  <si>
    <t>Section B: Cost Structure (Case Study Data)</t>
  </si>
  <si>
    <t>Cost Component</t>
  </si>
  <si>
    <t>Percentage</t>
  </si>
  <si>
    <t>Fuel %</t>
  </si>
  <si>
    <t>Toll &amp; Taxes %</t>
  </si>
  <si>
    <t>Vehicle Cost (Implied) %</t>
  </si>
  <si>
    <t>Driver Costs %</t>
  </si>
  <si>
    <t>Empty Returns/Idle Time %</t>
  </si>
  <si>
    <t>Others %</t>
  </si>
  <si>
    <t>Cost Structure Check</t>
  </si>
  <si>
    <t>Check equals 100%</t>
  </si>
  <si>
    <t>Section C: TCO Calculation Assumptions</t>
  </si>
  <si>
    <t>Value (Low)</t>
  </si>
  <si>
    <t>Value (Mid)</t>
  </si>
  <si>
    <t>Value (High)</t>
  </si>
  <si>
    <t>Source/Notes</t>
  </si>
  <si>
    <t>Annual Kilometers per Truck</t>
  </si>
  <si>
    <t>km</t>
  </si>
  <si>
    <t>Annual Operating Hours per Truck</t>
  </si>
  <si>
    <t>Fuel Efficiency</t>
  </si>
  <si>
    <t>kmpl</t>
  </si>
  <si>
    <t>Diesel Price</t>
  </si>
  <si>
    <t>₹/Litre</t>
  </si>
  <si>
    <t>Truck Asset Cost</t>
  </si>
  <si>
    <t>₹</t>
  </si>
  <si>
    <t>Asset Life</t>
  </si>
  <si>
    <t>Years</t>
  </si>
  <si>
    <t>Assumption for Dep/EMI</t>
  </si>
  <si>
    <t>Insurance &amp; Permits (Annual)</t>
  </si>
  <si>
    <t>₹/Year</t>
  </si>
  <si>
    <t>Road Tax &amp; Misc (Annual)</t>
  </si>
  <si>
    <t>Maintenance &amp; Tyres Cost per km</t>
  </si>
  <si>
    <t>₹/km</t>
  </si>
  <si>
    <t>Tolls Cost per km</t>
  </si>
  <si>
    <t>Driver Wages &amp; Allowances (Annual)</t>
  </si>
  <si>
    <t>Section D: Savings Calculation Assumptions</t>
  </si>
  <si>
    <t>Pillar 1 - TAT Hours Saved</t>
  </si>
  <si>
    <t>Hours/Trip</t>
  </si>
  <si>
    <t>Pillar 2 - Current Annual Waste from Empty Miles</t>
  </si>
  <si>
    <t>Spend * Empty% (Case Data)</t>
  </si>
  <si>
    <t>Pillar 2 - Fuel Efficiency % Gain</t>
  </si>
  <si>
    <t>Pillar 2 - Current Annual Fuel Spend</t>
  </si>
  <si>
    <t>Spend * Fuel% (Case Data)</t>
  </si>
  <si>
    <t>Multimodal Savings (Pilot Estimate)</t>
  </si>
  <si>
    <t>Pillar 3 Direct Savings Estimate</t>
  </si>
  <si>
    <t>Section E: Investment &amp; Payback Assumptions</t>
  </si>
  <si>
    <t>Pilot CAPEX</t>
  </si>
  <si>
    <t>Full Scale CAPEX (Total)</t>
  </si>
  <si>
    <t>Annual Full Scale OPEX</t>
  </si>
  <si>
    <t>₹ Cr/Year</t>
  </si>
  <si>
    <t>Savings Realization Ramp - Year 1</t>
  </si>
  <si>
    <t>Savings Realization Ramp - Year 2</t>
  </si>
  <si>
    <t>Savings Realization Ramp - Year 3</t>
  </si>
  <si>
    <t>CAPEX Spend Profile - Year 0 (Pilot)</t>
  </si>
  <si>
    <t>% of Pilot CAPEX</t>
  </si>
  <si>
    <t>Assumption</t>
  </si>
  <si>
    <t>CAPEX Spend Profile - Year 1 (Scale Part 1)</t>
  </si>
  <si>
    <t>% of (Total Scale - Pilot)</t>
  </si>
  <si>
    <t>CAPEX Spend Profile - Year 2 (Scale Part 2)</t>
  </si>
  <si>
    <t>Basis/Formula</t>
  </si>
  <si>
    <t>Annual Cost (Mid, ₹)</t>
  </si>
  <si>
    <t>Annual Cost (Low, ₹)</t>
  </si>
  <si>
    <t>Annual Cost (High, ₹)</t>
  </si>
  <si>
    <t>Depreciation/EMI</t>
  </si>
  <si>
    <t>Asset_Cost_Mid / Asset_Life_Mid</t>
  </si>
  <si>
    <t>Insurance &amp; Permits</t>
  </si>
  <si>
    <t>Insurance_Cost_Mid</t>
  </si>
  <si>
    <t>Road Tax &amp; Misc</t>
  </si>
  <si>
    <t>RoadTax_Cost_Mid</t>
  </si>
  <si>
    <t>Fuel</t>
  </si>
  <si>
    <t>Km_Per_Year_Mid / Fuel_Eff_Mid * Diesel_Price_Mid</t>
  </si>
  <si>
    <t>Maintenance &amp; Tyres</t>
  </si>
  <si>
    <t>Maint_Cost_Km_Mid * Km_Per_Year_Mid</t>
  </si>
  <si>
    <t>Tolls</t>
  </si>
  <si>
    <t>Toll_Cost_Km_Mid * Km_Per_Year_Mid</t>
  </si>
  <si>
    <t>Driver Wages &amp; Allowances</t>
  </si>
  <si>
    <t>Driver_Cost_Mid</t>
  </si>
  <si>
    <t>Total Annual Cost (Mid)</t>
  </si>
  <si>
    <t>Savings Lever</t>
  </si>
  <si>
    <t>Calculation Logic</t>
  </si>
  <si>
    <t>Conservative (₹)</t>
  </si>
  <si>
    <t>Base (₹)</t>
  </si>
  <si>
    <t>Upside (₹)</t>
  </si>
  <si>
    <t>Pillar 1 - Digital Yard (TAT)</t>
  </si>
  <si>
    <t>Annual_Trips * TAT_Saved_* * Hourly_Cost_Mid</t>
  </si>
  <si>
    <t>Pillar 2 - Network (Backhaul)</t>
  </si>
  <si>
    <t>Empty_Waste_Annual_Value * (Initial_Empty_Ratio - Target)/Initial_Empty_Ratio</t>
  </si>
  <si>
    <t>Pillar 2 - Network (Fuel)</t>
  </si>
  <si>
    <t>Fuel_Spend_Annual_Value * Fuel_Gain</t>
  </si>
  <si>
    <t>Multimodal Shift (Pilot)</t>
  </si>
  <si>
    <t>MM_Saving_* * 10,000,000 to convert Cr to ₹</t>
  </si>
  <si>
    <t>Pillar 3 - Driver (Direct)</t>
  </si>
  <si>
    <t>P3_Saving_* * 10,000,000 to convert Cr to ₹</t>
  </si>
  <si>
    <t>Total Direct Savings (₹)</t>
  </si>
  <si>
    <t>Cost Item</t>
  </si>
  <si>
    <t>Type</t>
  </si>
  <si>
    <t>Total Est. (Mid, ₹ Cr)</t>
  </si>
  <si>
    <t>Year 0 (₹ Cr)</t>
  </si>
  <si>
    <t>Year 1 (₹ Cr)</t>
  </si>
  <si>
    <t>Year 2 (₹ Cr)</t>
  </si>
  <si>
    <t>Year 3+ (Annual) (₹ Cr)</t>
  </si>
  <si>
    <t>Smart Gates &amp; RFID</t>
  </si>
  <si>
    <t>CAPEX</t>
  </si>
  <si>
    <t>YMS Software</t>
  </si>
  <si>
    <t>AI Routing Platform</t>
  </si>
  <si>
    <t>Telematics Hardware</t>
  </si>
  <si>
    <t>Integration Services</t>
  </si>
  <si>
    <t>CAPEX Contingency (10%)</t>
  </si>
  <si>
    <t>Software Licenses/Subs</t>
  </si>
  <si>
    <t>OPEX</t>
  </si>
  <si>
    <t>Cloud Hosting</t>
  </si>
  <si>
    <t>Maintenance &amp; Support</t>
  </si>
  <si>
    <t>GATI Operations Team</t>
  </si>
  <si>
    <t>Total</t>
  </si>
  <si>
    <t>Year</t>
  </si>
  <si>
    <t>CAPEX Spend (₹ Cr)</t>
  </si>
  <si>
    <t>OPEX Spend (₹ Cr)</t>
  </si>
  <si>
    <t>Total Investment (₹ Cr)</t>
  </si>
  <si>
    <t>Savings Rate</t>
  </si>
  <si>
    <t>Annual Savings (₹ Cr)</t>
  </si>
  <si>
    <t>Net Cash Flow (₹ Cr)</t>
  </si>
  <si>
    <t>Cumulative Cash Flow (₹ Cr)</t>
  </si>
  <si>
    <t>Payback_Period (years approx)</t>
  </si>
  <si>
    <t xml:space="preserve"> See Comments on key inputs for sources </t>
  </si>
  <si>
    <t>Project_GATI_Financial_Model- Instructions</t>
  </si>
  <si>
    <t>Vendor Research / Calibrated Estimate</t>
  </si>
  <si>
    <t>Appendix A / Research</t>
  </si>
  <si>
    <t>Appendix A / Research (300 days * 16 hrs)</t>
  </si>
  <si>
    <t>Appendix A / PPAC Data</t>
  </si>
  <si>
    <t>Appendix A / Research (Using Mid-range)</t>
  </si>
  <si>
    <t>Appendix A / Research (Aligns ~12%)</t>
  </si>
  <si>
    <t>Appendix C</t>
  </si>
  <si>
    <t>Appendix C / Solution Estimate</t>
  </si>
  <si>
    <t>Appendix 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</si>
</sst>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\ #,##0.00"/>
    <numFmt numFmtId="165" formatCode="0.0%"/>
    <numFmt numFmtId="166" formatCode="\₹#,##0.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99"/>
        <bgColor rgb="FFFFFF99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rgb="FFADD8E6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5" borderId="0" xfId="0" applyFill="1"/>
    <xf numFmtId="3" fontId="0" fillId="5" borderId="0" xfId="0" applyNumberFormat="1" applyFill="1"/>
    <xf numFmtId="166" fontId="0" fillId="5" borderId="0" xfId="0" applyNumberFormat="1" applyFill="1"/>
    <xf numFmtId="4" fontId="0" fillId="5" borderId="0" xfId="0" applyNumberFormat="1" applyFill="1"/>
    <xf numFmtId="166" fontId="0" fillId="0" borderId="0" xfId="0" applyNumberFormat="1"/>
    <xf numFmtId="0" fontId="1" fillId="3" borderId="0" xfId="0" applyFont="1" applyFill="1"/>
    <xf numFmtId="166" fontId="2" fillId="3" borderId="1" xfId="0" applyNumberFormat="1" applyFont="1" applyFill="1" applyBorder="1"/>
    <xf numFmtId="0" fontId="0" fillId="3" borderId="1" xfId="0" applyFill="1" applyBorder="1"/>
    <xf numFmtId="166" fontId="0" fillId="3" borderId="1" xfId="0" applyNumberFormat="1" applyFill="1" applyBorder="1"/>
    <xf numFmtId="165" fontId="1" fillId="3" borderId="1" xfId="0" applyNumberFormat="1" applyFont="1" applyFill="1" applyBorder="1"/>
    <xf numFmtId="166" fontId="0" fillId="4" borderId="1" xfId="0" applyNumberFormat="1" applyFill="1" applyBorder="1"/>
    <xf numFmtId="0" fontId="0" fillId="4" borderId="0" xfId="0" applyFill="1"/>
    <xf numFmtId="3" fontId="0" fillId="4" borderId="1" xfId="0" applyNumberFormat="1" applyFill="1" applyBorder="1"/>
    <xf numFmtId="3" fontId="1" fillId="4" borderId="1" xfId="0" applyNumberFormat="1" applyFont="1" applyFill="1" applyBorder="1"/>
    <xf numFmtId="164" fontId="3" fillId="4" borderId="1" xfId="0" applyNumberFormat="1" applyFont="1" applyFill="1" applyBorder="1"/>
    <xf numFmtId="3" fontId="3" fillId="4" borderId="1" xfId="0" applyNumberFormat="1" applyFont="1" applyFill="1" applyBorder="1"/>
    <xf numFmtId="0" fontId="0" fillId="4" borderId="1" xfId="0" applyFill="1" applyBorder="1"/>
    <xf numFmtId="166" fontId="0" fillId="0" borderId="1" xfId="0" applyNumberFormat="1" applyBorder="1"/>
    <xf numFmtId="0" fontId="3" fillId="4" borderId="1" xfId="0" applyFont="1" applyFill="1" applyBorder="1"/>
    <xf numFmtId="49" fontId="0" fillId="5" borderId="0" xfId="0" applyNumberFormat="1" applyFill="1"/>
    <xf numFmtId="10" fontId="2" fillId="3" borderId="1" xfId="0" applyNumberFormat="1" applyFont="1" applyFill="1" applyBorder="1"/>
    <xf numFmtId="2" fontId="2" fillId="3" borderId="1" xfId="0" applyNumberFormat="1" applyFont="1" applyFill="1" applyBorder="1"/>
    <xf numFmtId="10" fontId="0" fillId="3" borderId="1" xfId="0" applyNumberFormat="1" applyFill="1" applyBorder="1"/>
    <xf numFmtId="2" fontId="0" fillId="3" borderId="1" xfId="0" applyNumberFormat="1" applyFill="1" applyBorder="1"/>
    <xf numFmtId="166" fontId="0" fillId="4" borderId="0" xfId="0" applyNumberFormat="1" applyFill="1"/>
    <xf numFmtId="0" fontId="3" fillId="0" borderId="1" xfId="0" applyFont="1" applyBorder="1"/>
    <xf numFmtId="166" fontId="1" fillId="5" borderId="1" xfId="0" applyNumberFormat="1" applyFont="1" applyFill="1" applyBorder="1"/>
    <xf numFmtId="0" fontId="3" fillId="2" borderId="0" xfId="0" applyFont="1" applyFill="1"/>
    <xf numFmtId="0" fontId="0" fillId="0" borderId="0" xfId="0"/>
    <xf numFmtId="0" fontId="1" fillId="2" borderId="0" xfId="0" applyFont="1" applyFill="1"/>
    <xf numFmtId="49" fontId="1" fillId="6" borderId="0" xfId="0" applyNumberFormat="1" applyFont="1" applyFill="1"/>
    <xf numFmtId="49" fontId="0" fillId="6" borderId="0" xfId="0" applyNumberForma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Annual Savings (Scenarios)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'1_Summary_Dashboard'!$A$25:$A$27</c:f>
              <c:strCache>
                <c:ptCount val="3"/>
                <c:pt idx="0">
                  <c:v>Conservative</c:v>
                </c:pt>
                <c:pt idx="1">
                  <c:v>Base</c:v>
                </c:pt>
                <c:pt idx="2">
                  <c:v>Upside</c:v>
                </c:pt>
              </c:strCache>
            </c:strRef>
          </c:cat>
          <c:val>
            <c:numRef>
              <c:f>'1_Summary_Dashboard'!$B$25:$B$27</c:f>
              <c:numCache>
                <c:formatCode>\₹#,##0.00</c:formatCode>
                <c:ptCount val="3"/>
                <c:pt idx="0">
                  <c:v>4192014035.087719</c:v>
                </c:pt>
                <c:pt idx="1">
                  <c:v>5163000000</c:v>
                </c:pt>
                <c:pt idx="2">
                  <c:v>6955900000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2-499F-A1DE-37AF58AEF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₹ (Cr)</a:t>
                </a:r>
              </a:p>
            </c:rich>
          </c:tx>
          <c:overlay val="0"/>
        </c:title>
        <c:numFmt formatCode="\₹#,##0.0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TCO Mid - Cost 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cat>
            <c:strRef>
              <c:f>'3_TCO_Calculation'!$A$2:$A$8</c:f>
              <c:strCache>
                <c:ptCount val="7"/>
                <c:pt idx="0">
                  <c:v>Depreciation/EMI</c:v>
                </c:pt>
                <c:pt idx="1">
                  <c:v>Insurance &amp; Permits</c:v>
                </c:pt>
                <c:pt idx="2">
                  <c:v>Road Tax &amp; Misc</c:v>
                </c:pt>
                <c:pt idx="3">
                  <c:v>Fuel</c:v>
                </c:pt>
                <c:pt idx="4">
                  <c:v>Maintenance &amp; Tyres</c:v>
                </c:pt>
                <c:pt idx="5">
                  <c:v>Tolls</c:v>
                </c:pt>
                <c:pt idx="6">
                  <c:v>Driver Wages &amp; Allowances</c:v>
                </c:pt>
              </c:strCache>
            </c:strRef>
          </c:cat>
          <c:val>
            <c:numRef>
              <c:f>'3_TCO_Calculation'!$D$2:$D$8</c:f>
              <c:numCache>
                <c:formatCode>\₹#,##0.00</c:formatCode>
                <c:ptCount val="7"/>
                <c:pt idx="0">
                  <c:v>642857.14285714284</c:v>
                </c:pt>
                <c:pt idx="1">
                  <c:v>200000</c:v>
                </c:pt>
                <c:pt idx="2">
                  <c:v>75000</c:v>
                </c:pt>
                <c:pt idx="3" formatCode="#,##0">
                  <c:v>2475000</c:v>
                </c:pt>
                <c:pt idx="4">
                  <c:v>550000</c:v>
                </c:pt>
                <c:pt idx="5">
                  <c:v>275000</c:v>
                </c:pt>
                <c:pt idx="6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A-4F5C-A0D8-A042964A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Cumulative Cash Flow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numRef>
              <c:f>'6_Payback_Analysis'!$A$2:$A$5</c:f>
              <c:numCache>
                <c:formatCode>\₹#,##0.00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'6_Payback_Analysis'!$H$2:$H$5</c:f>
              <c:numCache>
                <c:formatCode>General</c:formatCode>
                <c:ptCount val="4"/>
                <c:pt idx="0">
                  <c:v>0</c:v>
                </c:pt>
                <c:pt idx="1">
                  <c:v>1257604208.1263156</c:v>
                </c:pt>
                <c:pt idx="2">
                  <c:v>3772812627.0789471</c:v>
                </c:pt>
                <c:pt idx="3">
                  <c:v>7545625257.1578941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023-A563-2368D32C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overlay val="0"/>
        </c:title>
        <c:numFmt formatCode="\₹#,##0.00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₹ Cr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4320000" cy="252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42F083-3F51-4A21-B4F4-A97816804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2880000" cy="288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F8631B-A845-43C2-8764-669E1797D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9</xdr:row>
      <xdr:rowOff>0</xdr:rowOff>
    </xdr:from>
    <xdr:ext cx="4320000" cy="216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04D67-2F74-405D-B317-A94AFC103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6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H14" sqref="H14"/>
    </sheetView>
  </sheetViews>
  <sheetFormatPr defaultRowHeight="14.4" x14ac:dyDescent="0.3"/>
  <sheetData>
    <row r="1" spans="1:1" x14ac:dyDescent="0.3">
      <c r="A1" s="6" t="s">
        <v>163</v>
      </c>
    </row>
    <row r="3" spans="1:1" x14ac:dyDescent="0.3">
      <c r="A3" t="s">
        <v>4</v>
      </c>
    </row>
    <row r="4" spans="1:1" x14ac:dyDescent="0.3">
      <c r="A4" t="s">
        <v>5</v>
      </c>
    </row>
    <row r="6" spans="1:1" x14ac:dyDescent="0.3">
      <c r="A6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40" customWidth="1"/>
    <col min="2" max="2" width="30" customWidth="1"/>
  </cols>
  <sheetData>
    <row r="1" spans="1:2" x14ac:dyDescent="0.3">
      <c r="A1" s="6" t="s">
        <v>6</v>
      </c>
    </row>
    <row r="2" spans="1:2" x14ac:dyDescent="0.3">
      <c r="A2" t="s">
        <v>7</v>
      </c>
      <c r="B2" s="11">
        <f>'6_Payback_Analysis'!$B$11</f>
        <v>5813383161.25776</v>
      </c>
    </row>
    <row r="3" spans="1:2" x14ac:dyDescent="0.3">
      <c r="A3" s="39"/>
      <c r="B3" s="28"/>
    </row>
    <row r="4" spans="1:2" x14ac:dyDescent="0.3">
      <c r="A4" s="1" t="s">
        <v>8</v>
      </c>
      <c r="B4" s="11">
        <f>Total_Savings_Base</f>
        <v>5163000000</v>
      </c>
    </row>
    <row r="5" spans="1:2" x14ac:dyDescent="0.3">
      <c r="A5" s="1" t="s">
        <v>9</v>
      </c>
      <c r="B5" s="10">
        <f>'3_TCO_Calculation'!$E$11</f>
        <v>985.73099415204672</v>
      </c>
    </row>
    <row r="6" spans="1:2" x14ac:dyDescent="0.3">
      <c r="A6" t="s">
        <v>10</v>
      </c>
      <c r="B6" s="9">
        <f>'3_TCO_Calculation'!$D$11</f>
        <v>1003.7202380952381</v>
      </c>
    </row>
    <row r="7" spans="1:2" x14ac:dyDescent="0.3">
      <c r="A7" s="1" t="s">
        <v>11</v>
      </c>
      <c r="B7" s="12">
        <f>'3_TCO_Calculation'!$F$11</f>
        <v>1055.7142857142856</v>
      </c>
    </row>
    <row r="8" spans="1:2" x14ac:dyDescent="0.3">
      <c r="A8" s="1" t="s">
        <v>12</v>
      </c>
      <c r="B8" s="11">
        <f>Total_OPEX_Y3</f>
        <v>1.5</v>
      </c>
    </row>
    <row r="10" spans="1:2" x14ac:dyDescent="0.3">
      <c r="A10" s="1" t="s">
        <v>13</v>
      </c>
      <c r="B10" s="9">
        <f>Payback_Period</f>
        <v>1</v>
      </c>
    </row>
    <row r="12" spans="1:2" x14ac:dyDescent="0.3">
      <c r="A12" s="1" t="s">
        <v>10</v>
      </c>
      <c r="B12" s="11">
        <f>Hourly_Cost_Mid</f>
        <v>1003.7202380952381</v>
      </c>
    </row>
    <row r="20" spans="1:2" x14ac:dyDescent="0.3">
      <c r="A20" s="41" t="s">
        <v>14</v>
      </c>
      <c r="B20" s="41" t="s">
        <v>15</v>
      </c>
    </row>
    <row r="21" spans="1:2" x14ac:dyDescent="0.3">
      <c r="A21" s="41" t="s">
        <v>16</v>
      </c>
      <c r="B21" s="11">
        <f>'4_Savings_Calculation'!C8</f>
        <v>4192014035.087719</v>
      </c>
    </row>
    <row r="22" spans="1:2" x14ac:dyDescent="0.3">
      <c r="A22" s="41" t="s">
        <v>17</v>
      </c>
      <c r="B22" s="11">
        <f>'4_Savings_Calculation'!D8</f>
        <v>5163000000</v>
      </c>
    </row>
    <row r="23" spans="1:2" x14ac:dyDescent="0.3">
      <c r="A23" s="41" t="s">
        <v>18</v>
      </c>
      <c r="B23" s="11">
        <f>'4_Savings_Calculation'!E8</f>
        <v>6955900000</v>
      </c>
    </row>
    <row r="25" spans="1:2" x14ac:dyDescent="0.3">
      <c r="A25" s="42" t="s">
        <v>16</v>
      </c>
      <c r="B25" s="13">
        <f>Total_Savings_Cons</f>
        <v>4192014035.087719</v>
      </c>
    </row>
    <row r="26" spans="1:2" x14ac:dyDescent="0.3">
      <c r="A26" s="42" t="s">
        <v>17</v>
      </c>
      <c r="B26" s="13">
        <f>Total_Savings_Base</f>
        <v>5163000000</v>
      </c>
    </row>
    <row r="27" spans="1:2" x14ac:dyDescent="0.3">
      <c r="A27" s="42" t="s">
        <v>18</v>
      </c>
      <c r="B27" s="13">
        <f>Total_Savings_Upside</f>
        <v>6955900000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workbookViewId="0">
      <pane xSplit="1" ySplit="2" topLeftCell="B9" activePane="bottomRight" state="frozen"/>
      <selection pane="topRight"/>
      <selection pane="bottomLeft"/>
      <selection pane="bottomRight" activeCell="C19" sqref="C19"/>
    </sheetView>
  </sheetViews>
  <sheetFormatPr defaultRowHeight="14.4" x14ac:dyDescent="0.3"/>
  <cols>
    <col min="1" max="1" width="42" customWidth="1"/>
    <col min="2" max="4" width="18" customWidth="1"/>
    <col min="5" max="5" width="22.109375" customWidth="1"/>
    <col min="6" max="6" width="32" customWidth="1"/>
  </cols>
  <sheetData>
    <row r="1" spans="1:6" x14ac:dyDescent="0.3">
      <c r="A1" s="36" t="s">
        <v>19</v>
      </c>
      <c r="B1" s="37"/>
      <c r="C1" s="37"/>
      <c r="D1" s="37"/>
      <c r="E1" s="37"/>
      <c r="F1" s="37"/>
    </row>
    <row r="2" spans="1:6" x14ac:dyDescent="0.3">
      <c r="A2" s="2" t="s">
        <v>20</v>
      </c>
      <c r="B2" s="14" t="s">
        <v>21</v>
      </c>
      <c r="C2" s="14" t="s">
        <v>22</v>
      </c>
      <c r="D2" s="14" t="s">
        <v>23</v>
      </c>
      <c r="E2" s="2"/>
      <c r="F2" s="2"/>
    </row>
    <row r="3" spans="1:6" x14ac:dyDescent="0.3">
      <c r="A3" s="3" t="s">
        <v>24</v>
      </c>
      <c r="B3" s="15">
        <v>2800</v>
      </c>
      <c r="C3" s="16" t="s">
        <v>25</v>
      </c>
      <c r="D3" s="16" t="s">
        <v>26</v>
      </c>
    </row>
    <row r="4" spans="1:6" x14ac:dyDescent="0.3">
      <c r="A4" s="3" t="s">
        <v>27</v>
      </c>
      <c r="B4" s="29">
        <v>0.7</v>
      </c>
      <c r="C4" s="16" t="s">
        <v>28</v>
      </c>
      <c r="D4" s="16" t="s">
        <v>26</v>
      </c>
    </row>
    <row r="5" spans="1:6" x14ac:dyDescent="0.3">
      <c r="A5" s="3" t="s">
        <v>29</v>
      </c>
      <c r="B5" s="30">
        <v>10.5</v>
      </c>
      <c r="C5" s="16" t="s">
        <v>30</v>
      </c>
      <c r="D5" s="16" t="s">
        <v>26</v>
      </c>
    </row>
    <row r="6" spans="1:6" x14ac:dyDescent="0.3">
      <c r="A6" s="3" t="s">
        <v>31</v>
      </c>
      <c r="B6" s="30">
        <v>7.3</v>
      </c>
      <c r="C6" s="16" t="s">
        <v>30</v>
      </c>
      <c r="D6" s="16" t="s">
        <v>32</v>
      </c>
    </row>
    <row r="7" spans="1:6" x14ac:dyDescent="0.3">
      <c r="A7" s="3" t="s">
        <v>33</v>
      </c>
      <c r="B7" s="29">
        <v>0.3</v>
      </c>
      <c r="C7" s="16" t="s">
        <v>28</v>
      </c>
      <c r="D7" s="16" t="s">
        <v>32</v>
      </c>
    </row>
    <row r="8" spans="1:6" x14ac:dyDescent="0.3">
      <c r="A8" s="3" t="s">
        <v>34</v>
      </c>
      <c r="B8" s="29">
        <v>0.1</v>
      </c>
      <c r="C8" s="16" t="s">
        <v>28</v>
      </c>
      <c r="D8" s="16" t="s">
        <v>35</v>
      </c>
    </row>
    <row r="9" spans="1:6" x14ac:dyDescent="0.3">
      <c r="A9" s="3" t="s">
        <v>36</v>
      </c>
      <c r="B9" s="30">
        <v>420000</v>
      </c>
      <c r="C9" s="16" t="s">
        <v>37</v>
      </c>
      <c r="D9" s="16" t="s">
        <v>38</v>
      </c>
    </row>
    <row r="11" spans="1:6" x14ac:dyDescent="0.3">
      <c r="A11" s="38" t="s">
        <v>39</v>
      </c>
      <c r="B11" s="37"/>
      <c r="C11" s="37"/>
      <c r="D11" s="37"/>
      <c r="E11" s="37"/>
      <c r="F11" s="37"/>
    </row>
    <row r="12" spans="1:6" x14ac:dyDescent="0.3">
      <c r="A12" s="2" t="s">
        <v>40</v>
      </c>
      <c r="B12" s="14" t="s">
        <v>41</v>
      </c>
      <c r="C12" s="14" t="s">
        <v>23</v>
      </c>
    </row>
    <row r="13" spans="1:6" x14ac:dyDescent="0.3">
      <c r="A13" s="3" t="s">
        <v>42</v>
      </c>
      <c r="B13" s="31">
        <v>0.35</v>
      </c>
      <c r="C13" s="16" t="s">
        <v>26</v>
      </c>
    </row>
    <row r="14" spans="1:6" x14ac:dyDescent="0.3">
      <c r="A14" s="3" t="s">
        <v>43</v>
      </c>
      <c r="B14" s="31">
        <v>0.12</v>
      </c>
      <c r="C14" s="16" t="s">
        <v>26</v>
      </c>
    </row>
    <row r="15" spans="1:6" x14ac:dyDescent="0.3">
      <c r="A15" s="3" t="s">
        <v>44</v>
      </c>
      <c r="B15" s="31">
        <v>0.18</v>
      </c>
      <c r="C15" s="16" t="s">
        <v>26</v>
      </c>
    </row>
    <row r="16" spans="1:6" x14ac:dyDescent="0.3">
      <c r="A16" s="3" t="s">
        <v>45</v>
      </c>
      <c r="B16" s="31">
        <v>0.12</v>
      </c>
      <c r="C16" s="16" t="s">
        <v>26</v>
      </c>
    </row>
    <row r="17" spans="1:7" x14ac:dyDescent="0.3">
      <c r="A17" s="3" t="s">
        <v>46</v>
      </c>
      <c r="B17" s="31">
        <v>0.13</v>
      </c>
      <c r="C17" s="16" t="s">
        <v>26</v>
      </c>
    </row>
    <row r="18" spans="1:7" x14ac:dyDescent="0.3">
      <c r="A18" s="3" t="s">
        <v>47</v>
      </c>
      <c r="B18" s="31">
        <v>0.1</v>
      </c>
      <c r="C18" s="16" t="s">
        <v>26</v>
      </c>
    </row>
    <row r="19" spans="1:7" x14ac:dyDescent="0.3">
      <c r="A19" s="5" t="s">
        <v>48</v>
      </c>
      <c r="B19" s="18" t="str">
        <f>IF(ABS(SUM(B13:B18)-1)&lt;0.001,"OK","ERROR: Sum &lt;&gt; 100%")</f>
        <v>OK</v>
      </c>
      <c r="C19" s="16" t="s">
        <v>49</v>
      </c>
    </row>
    <row r="21" spans="1:7" x14ac:dyDescent="0.3">
      <c r="A21" s="38" t="s">
        <v>50</v>
      </c>
      <c r="B21" s="37"/>
      <c r="C21" s="37"/>
      <c r="D21" s="37"/>
      <c r="E21" s="37"/>
      <c r="F21" s="37"/>
    </row>
    <row r="22" spans="1:7" x14ac:dyDescent="0.3">
      <c r="A22" s="2" t="s">
        <v>20</v>
      </c>
      <c r="B22" s="14" t="s">
        <v>51</v>
      </c>
      <c r="C22" s="14" t="s">
        <v>52</v>
      </c>
      <c r="D22" s="14" t="s">
        <v>53</v>
      </c>
      <c r="E22" s="2" t="s">
        <v>22</v>
      </c>
      <c r="F22" s="2" t="s">
        <v>54</v>
      </c>
    </row>
    <row r="23" spans="1:7" x14ac:dyDescent="0.3">
      <c r="A23" s="3" t="s">
        <v>55</v>
      </c>
      <c r="B23" s="32">
        <v>100000</v>
      </c>
      <c r="C23" s="32">
        <v>110000</v>
      </c>
      <c r="D23" s="32">
        <v>120000</v>
      </c>
      <c r="E23" s="3" t="s">
        <v>56</v>
      </c>
      <c r="F23" s="3" t="s">
        <v>165</v>
      </c>
      <c r="G23" s="3"/>
    </row>
    <row r="24" spans="1:7" x14ac:dyDescent="0.3">
      <c r="A24" s="3" t="s">
        <v>57</v>
      </c>
      <c r="B24" s="32">
        <v>4500</v>
      </c>
      <c r="C24" s="32">
        <v>4800</v>
      </c>
      <c r="D24" s="32">
        <v>5000</v>
      </c>
      <c r="E24" s="3" t="s">
        <v>30</v>
      </c>
      <c r="F24" s="3" t="s">
        <v>166</v>
      </c>
      <c r="G24" s="3"/>
    </row>
    <row r="25" spans="1:7" x14ac:dyDescent="0.3">
      <c r="A25" s="3" t="s">
        <v>58</v>
      </c>
      <c r="B25" s="32">
        <v>3.8</v>
      </c>
      <c r="C25" s="32">
        <v>4</v>
      </c>
      <c r="D25" s="32">
        <v>4.2</v>
      </c>
      <c r="E25" s="3" t="s">
        <v>59</v>
      </c>
      <c r="F25" s="3" t="s">
        <v>165</v>
      </c>
      <c r="G25" s="3"/>
    </row>
    <row r="26" spans="1:7" x14ac:dyDescent="0.3">
      <c r="A26" s="3" t="s">
        <v>60</v>
      </c>
      <c r="B26" s="17">
        <v>88</v>
      </c>
      <c r="C26" s="17">
        <v>90</v>
      </c>
      <c r="D26" s="17">
        <v>92</v>
      </c>
      <c r="E26" s="3" t="s">
        <v>61</v>
      </c>
      <c r="F26" s="3" t="s">
        <v>167</v>
      </c>
      <c r="G26" s="3"/>
    </row>
    <row r="27" spans="1:7" x14ac:dyDescent="0.3">
      <c r="A27" s="3" t="s">
        <v>62</v>
      </c>
      <c r="B27" s="32">
        <v>4200000</v>
      </c>
      <c r="C27" s="32">
        <v>4500000</v>
      </c>
      <c r="D27" s="32">
        <v>5000000</v>
      </c>
      <c r="E27" s="3" t="s">
        <v>63</v>
      </c>
      <c r="F27" s="3" t="s">
        <v>165</v>
      </c>
      <c r="G27" s="3"/>
    </row>
    <row r="28" spans="1:7" x14ac:dyDescent="0.3">
      <c r="A28" s="3" t="s">
        <v>64</v>
      </c>
      <c r="B28" s="32">
        <v>5</v>
      </c>
      <c r="C28" s="32">
        <v>7</v>
      </c>
      <c r="D28" s="32">
        <v>10</v>
      </c>
      <c r="E28" s="3" t="s">
        <v>65</v>
      </c>
      <c r="F28" s="3" t="s">
        <v>66</v>
      </c>
      <c r="G28" s="3"/>
    </row>
    <row r="29" spans="1:7" x14ac:dyDescent="0.3">
      <c r="A29" s="3" t="s">
        <v>67</v>
      </c>
      <c r="B29" s="32">
        <v>150000</v>
      </c>
      <c r="C29" s="32">
        <v>200000</v>
      </c>
      <c r="D29" s="32">
        <v>250000</v>
      </c>
      <c r="E29" s="3" t="s">
        <v>68</v>
      </c>
      <c r="F29" s="3" t="s">
        <v>165</v>
      </c>
      <c r="G29" s="3"/>
    </row>
    <row r="30" spans="1:7" x14ac:dyDescent="0.3">
      <c r="A30" s="3" t="s">
        <v>69</v>
      </c>
      <c r="B30" s="32">
        <v>50000</v>
      </c>
      <c r="C30" s="32">
        <v>75000</v>
      </c>
      <c r="D30" s="32">
        <v>100000</v>
      </c>
      <c r="E30" s="3" t="s">
        <v>68</v>
      </c>
      <c r="F30" s="3" t="s">
        <v>165</v>
      </c>
      <c r="G30" s="3"/>
    </row>
    <row r="31" spans="1:7" x14ac:dyDescent="0.3">
      <c r="A31" s="3" t="s">
        <v>70</v>
      </c>
      <c r="B31" s="32">
        <v>4</v>
      </c>
      <c r="C31" s="32">
        <v>5</v>
      </c>
      <c r="D31" s="32">
        <v>6</v>
      </c>
      <c r="E31" s="3" t="s">
        <v>71</v>
      </c>
      <c r="F31" s="3" t="s">
        <v>168</v>
      </c>
      <c r="G31" s="3"/>
    </row>
    <row r="32" spans="1:7" x14ac:dyDescent="0.3">
      <c r="A32" s="3" t="s">
        <v>72</v>
      </c>
      <c r="B32" s="32">
        <v>2</v>
      </c>
      <c r="C32" s="32">
        <v>2.5</v>
      </c>
      <c r="D32" s="32">
        <v>3</v>
      </c>
      <c r="E32" s="3" t="s">
        <v>71</v>
      </c>
      <c r="F32" s="3" t="s">
        <v>169</v>
      </c>
      <c r="G32" s="3"/>
    </row>
    <row r="33" spans="1:7" x14ac:dyDescent="0.3">
      <c r="A33" s="3" t="s">
        <v>73</v>
      </c>
      <c r="B33" s="32">
        <v>480000</v>
      </c>
      <c r="C33" s="32">
        <v>600000</v>
      </c>
      <c r="D33" s="32">
        <v>720000</v>
      </c>
      <c r="E33" s="3" t="s">
        <v>68</v>
      </c>
      <c r="F33" s="3" t="s">
        <v>169</v>
      </c>
      <c r="G33" s="3"/>
    </row>
    <row r="35" spans="1:7" x14ac:dyDescent="0.3">
      <c r="A35" s="38" t="s">
        <v>74</v>
      </c>
      <c r="B35" s="37"/>
      <c r="C35" s="37"/>
      <c r="D35" s="37"/>
      <c r="E35" s="37"/>
      <c r="F35" s="37"/>
    </row>
    <row r="36" spans="1:7" x14ac:dyDescent="0.3">
      <c r="A36" s="2" t="s">
        <v>20</v>
      </c>
      <c r="B36" s="14" t="s">
        <v>16</v>
      </c>
      <c r="C36" s="14" t="s">
        <v>17</v>
      </c>
      <c r="D36" s="14" t="s">
        <v>18</v>
      </c>
      <c r="E36" s="2" t="s">
        <v>22</v>
      </c>
      <c r="F36" s="2" t="s">
        <v>54</v>
      </c>
    </row>
    <row r="37" spans="1:7" x14ac:dyDescent="0.3">
      <c r="A37" s="3" t="s">
        <v>75</v>
      </c>
      <c r="B37" s="32">
        <v>2</v>
      </c>
      <c r="C37" s="32">
        <v>3.2</v>
      </c>
      <c r="D37" s="32">
        <v>3.5</v>
      </c>
      <c r="E37" s="3" t="s">
        <v>76</v>
      </c>
      <c r="F37" s="3" t="s">
        <v>170</v>
      </c>
    </row>
    <row r="38" spans="1:7" x14ac:dyDescent="0.3">
      <c r="A38" s="3" t="s">
        <v>77</v>
      </c>
      <c r="B38" s="17">
        <f>Current_Spend*Empty_Pct_Spend*10000000</f>
        <v>3640000000</v>
      </c>
      <c r="C38" s="3"/>
      <c r="D38" s="3"/>
      <c r="E38" s="3" t="s">
        <v>63</v>
      </c>
      <c r="F38" s="3" t="s">
        <v>78</v>
      </c>
    </row>
    <row r="39" spans="1:7" x14ac:dyDescent="0.3">
      <c r="A39" s="3" t="s">
        <v>79</v>
      </c>
      <c r="B39" s="31">
        <v>0.08</v>
      </c>
      <c r="C39" s="31">
        <v>0.08</v>
      </c>
      <c r="D39" s="31">
        <v>0.1</v>
      </c>
      <c r="E39" s="3" t="s">
        <v>28</v>
      </c>
      <c r="F39" s="3" t="s">
        <v>170</v>
      </c>
    </row>
    <row r="40" spans="1:7" x14ac:dyDescent="0.3">
      <c r="A40" s="3" t="s">
        <v>80</v>
      </c>
      <c r="B40" s="17">
        <f>Current_Spend*Fuel_Pct_Spend*10000000</f>
        <v>9799999999.9999981</v>
      </c>
      <c r="C40" s="3"/>
      <c r="D40" s="3"/>
      <c r="E40" s="3" t="s">
        <v>63</v>
      </c>
      <c r="F40" s="3" t="s">
        <v>81</v>
      </c>
    </row>
    <row r="41" spans="1:7" x14ac:dyDescent="0.3">
      <c r="A41" s="3" t="s">
        <v>82</v>
      </c>
      <c r="B41" s="32">
        <v>50</v>
      </c>
      <c r="C41" s="32">
        <v>75</v>
      </c>
      <c r="D41" s="32">
        <v>100</v>
      </c>
      <c r="E41" s="3" t="s">
        <v>25</v>
      </c>
      <c r="F41" s="3" t="s">
        <v>171</v>
      </c>
    </row>
    <row r="42" spans="1:7" x14ac:dyDescent="0.3">
      <c r="A42" s="3" t="s">
        <v>83</v>
      </c>
      <c r="B42" s="32">
        <v>0</v>
      </c>
      <c r="C42" s="32">
        <v>20</v>
      </c>
      <c r="D42" s="32">
        <v>50</v>
      </c>
      <c r="E42" s="3" t="s">
        <v>25</v>
      </c>
      <c r="F42" s="3" t="s">
        <v>171</v>
      </c>
    </row>
    <row r="44" spans="1:7" x14ac:dyDescent="0.3">
      <c r="A44" s="38" t="s">
        <v>84</v>
      </c>
      <c r="B44" s="37"/>
      <c r="C44" s="37"/>
      <c r="D44" s="37"/>
      <c r="E44" s="37"/>
      <c r="F44" s="37"/>
    </row>
    <row r="45" spans="1:7" x14ac:dyDescent="0.3">
      <c r="A45" s="2" t="s">
        <v>20</v>
      </c>
      <c r="B45" s="14" t="s">
        <v>51</v>
      </c>
      <c r="C45" s="14" t="s">
        <v>52</v>
      </c>
      <c r="D45" s="14" t="s">
        <v>53</v>
      </c>
      <c r="E45" s="2" t="s">
        <v>22</v>
      </c>
      <c r="F45" s="2" t="s">
        <v>54</v>
      </c>
    </row>
    <row r="46" spans="1:7" x14ac:dyDescent="0.3">
      <c r="A46" s="3" t="s">
        <v>85</v>
      </c>
      <c r="B46" s="32">
        <v>1.5</v>
      </c>
      <c r="C46" s="32">
        <v>2.25</v>
      </c>
      <c r="D46" s="32">
        <v>3</v>
      </c>
      <c r="E46" s="3" t="s">
        <v>25</v>
      </c>
      <c r="F46" s="3" t="s">
        <v>164</v>
      </c>
    </row>
    <row r="47" spans="1:7" x14ac:dyDescent="0.3">
      <c r="A47" s="3" t="s">
        <v>86</v>
      </c>
      <c r="B47" s="32">
        <v>10.5</v>
      </c>
      <c r="C47" s="32">
        <v>13.5</v>
      </c>
      <c r="D47" s="32">
        <v>16.5</v>
      </c>
      <c r="E47" s="3" t="s">
        <v>25</v>
      </c>
      <c r="F47" s="3" t="s">
        <v>164</v>
      </c>
    </row>
    <row r="48" spans="1:7" x14ac:dyDescent="0.3">
      <c r="A48" s="3" t="s">
        <v>87</v>
      </c>
      <c r="B48" s="32">
        <v>6.5</v>
      </c>
      <c r="C48" s="32">
        <v>9.25</v>
      </c>
      <c r="D48" s="32">
        <v>12</v>
      </c>
      <c r="E48" s="3" t="s">
        <v>88</v>
      </c>
      <c r="F48" s="3" t="s">
        <v>172</v>
      </c>
    </row>
    <row r="49" spans="1:6" x14ac:dyDescent="0.3">
      <c r="A49" s="3" t="s">
        <v>89</v>
      </c>
      <c r="B49" s="31">
        <v>0.3</v>
      </c>
      <c r="C49" s="31">
        <v>0.3</v>
      </c>
      <c r="D49" s="31">
        <v>0.3</v>
      </c>
      <c r="E49" s="3" t="s">
        <v>28</v>
      </c>
      <c r="F49" s="3" t="s">
        <v>164</v>
      </c>
    </row>
    <row r="50" spans="1:6" x14ac:dyDescent="0.3">
      <c r="A50" s="3" t="s">
        <v>90</v>
      </c>
      <c r="B50" s="31">
        <v>0.6</v>
      </c>
      <c r="C50" s="31">
        <v>0.6</v>
      </c>
      <c r="D50" s="31">
        <v>0.6</v>
      </c>
      <c r="E50" s="3" t="s">
        <v>28</v>
      </c>
      <c r="F50" s="3" t="s">
        <v>164</v>
      </c>
    </row>
    <row r="51" spans="1:6" x14ac:dyDescent="0.3">
      <c r="A51" s="3" t="s">
        <v>91</v>
      </c>
      <c r="B51" s="31">
        <v>0.9</v>
      </c>
      <c r="C51" s="31">
        <v>0.9</v>
      </c>
      <c r="D51" s="31">
        <v>0.9</v>
      </c>
      <c r="E51" s="3" t="s">
        <v>28</v>
      </c>
      <c r="F51" s="3" t="s">
        <v>164</v>
      </c>
    </row>
    <row r="52" spans="1:6" x14ac:dyDescent="0.3">
      <c r="A52" s="3" t="s">
        <v>92</v>
      </c>
      <c r="B52" s="17">
        <v>1</v>
      </c>
      <c r="C52" s="17">
        <v>1</v>
      </c>
      <c r="D52" s="17">
        <v>1</v>
      </c>
      <c r="E52" s="3" t="s">
        <v>93</v>
      </c>
      <c r="F52" s="3" t="s">
        <v>94</v>
      </c>
    </row>
    <row r="53" spans="1:6" x14ac:dyDescent="0.3">
      <c r="A53" s="3" t="s">
        <v>95</v>
      </c>
      <c r="B53" s="17">
        <v>0.6</v>
      </c>
      <c r="C53" s="17">
        <v>0.6</v>
      </c>
      <c r="D53" s="17">
        <v>0.6</v>
      </c>
      <c r="E53" s="3" t="s">
        <v>96</v>
      </c>
      <c r="F53" s="3" t="s">
        <v>94</v>
      </c>
    </row>
    <row r="54" spans="1:6" x14ac:dyDescent="0.3">
      <c r="A54" s="3" t="s">
        <v>97</v>
      </c>
      <c r="B54" s="17">
        <v>0.4</v>
      </c>
      <c r="C54" s="17">
        <v>0.4</v>
      </c>
      <c r="D54" s="17">
        <v>0.4</v>
      </c>
      <c r="E54" s="3" t="s">
        <v>96</v>
      </c>
      <c r="F54" s="3" t="s">
        <v>94</v>
      </c>
    </row>
  </sheetData>
  <mergeCells count="5">
    <mergeCell ref="A1:F1"/>
    <mergeCell ref="A11:F11"/>
    <mergeCell ref="A21:F21"/>
    <mergeCell ref="A35:F35"/>
    <mergeCell ref="A44:F44"/>
  </mergeCells>
  <dataValidations count="2">
    <dataValidation type="decimal" showInputMessage="1" showErrorMessage="1" errorTitle="Invalid percentage" error="Enter a decimal between 0 and 1 (format as %)." sqref="B4 B39:C39 C49:C51 B7:B8" xr:uid="{00000000-0002-0000-0300-000000000000}">
      <formula1>0</formula1>
      <formula2>1</formula2>
    </dataValidation>
    <dataValidation type="decimal" operator="greaterThan" showInputMessage="1" showErrorMessage="1" errorTitle="Invalid number" error="Enter a positive number." sqref="B9 C29:C33 C23:C27" xr:uid="{00000000-0002-0000-0300-000008000000}">
      <formula1>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pane xSplit="1" ySplit="2" topLeftCell="B3" activePane="bottomRight" state="frozen"/>
      <selection pane="topRight"/>
      <selection pane="bottomLeft"/>
      <selection pane="bottomRight" activeCell="D16" sqref="D16"/>
    </sheetView>
  </sheetViews>
  <sheetFormatPr defaultRowHeight="14.4" x14ac:dyDescent="0.3"/>
  <cols>
    <col min="1" max="1" width="36" customWidth="1"/>
    <col min="2" max="2" width="40" customWidth="1"/>
    <col min="3" max="3" width="12" customWidth="1"/>
    <col min="4" max="4" width="19.77734375" customWidth="1"/>
    <col min="5" max="5" width="18" customWidth="1"/>
    <col min="6" max="6" width="14" customWidth="1"/>
    <col min="7" max="7" width="18" customWidth="1"/>
  </cols>
  <sheetData>
    <row r="1" spans="1:6" x14ac:dyDescent="0.3">
      <c r="A1" s="7" t="s">
        <v>40</v>
      </c>
      <c r="B1" s="7" t="s">
        <v>98</v>
      </c>
      <c r="C1" s="7" t="s">
        <v>22</v>
      </c>
      <c r="D1" s="7" t="s">
        <v>99</v>
      </c>
      <c r="E1" s="6" t="s">
        <v>100</v>
      </c>
      <c r="F1" s="6" t="s">
        <v>101</v>
      </c>
    </row>
    <row r="2" spans="1:6" x14ac:dyDescent="0.3">
      <c r="A2" s="4" t="s">
        <v>102</v>
      </c>
      <c r="B2" s="3" t="s">
        <v>103</v>
      </c>
      <c r="C2" s="3" t="s">
        <v>68</v>
      </c>
      <c r="D2" s="19">
        <f>Asset_Cost_Mid/Asset_Life_Mid</f>
        <v>642857.14285714284</v>
      </c>
      <c r="E2" s="20">
        <f>'2_Assumptions'!$B$27/'2_Assumptions'!$B$28</f>
        <v>840000</v>
      </c>
      <c r="F2" s="20">
        <f>'2_Assumptions'!$D$27/'2_Assumptions'!$D$28</f>
        <v>500000</v>
      </c>
    </row>
    <row r="3" spans="1:6" x14ac:dyDescent="0.3">
      <c r="A3" s="4" t="s">
        <v>104</v>
      </c>
      <c r="B3" s="3" t="s">
        <v>105</v>
      </c>
      <c r="C3" s="3" t="s">
        <v>68</v>
      </c>
      <c r="D3" s="19">
        <f>Insurance_Cost_Mid</f>
        <v>200000</v>
      </c>
      <c r="E3" s="20">
        <f>'2_Assumptions'!$B$29</f>
        <v>150000</v>
      </c>
      <c r="F3" s="20">
        <f>'2_Assumptions'!$D$29</f>
        <v>250000</v>
      </c>
    </row>
    <row r="4" spans="1:6" x14ac:dyDescent="0.3">
      <c r="A4" s="4" t="s">
        <v>106</v>
      </c>
      <c r="B4" s="3" t="s">
        <v>107</v>
      </c>
      <c r="C4" s="3" t="s">
        <v>68</v>
      </c>
      <c r="D4" s="19">
        <f>RoadTax_Cost_Mid</f>
        <v>75000</v>
      </c>
      <c r="E4" s="20">
        <f>'2_Assumptions'!$B$30</f>
        <v>50000</v>
      </c>
      <c r="F4" s="20">
        <f>'2_Assumptions'!$D$30</f>
        <v>100000</v>
      </c>
    </row>
    <row r="5" spans="1:6" x14ac:dyDescent="0.3">
      <c r="A5" s="4" t="s">
        <v>108</v>
      </c>
      <c r="B5" s="3" t="s">
        <v>109</v>
      </c>
      <c r="C5" s="3" t="s">
        <v>68</v>
      </c>
      <c r="D5" s="21">
        <f>Km_Per_Year_Mid / Fuel_Eff_Mid * Diesel_Price_Mid</f>
        <v>2475000</v>
      </c>
      <c r="E5" s="20">
        <f>'2_Assumptions'!$B$23 / '2_Assumptions'!$B$25 * '2_Assumptions'!$B$26</f>
        <v>2315789.4736842103</v>
      </c>
      <c r="F5" s="20">
        <f>'2_Assumptions'!$D$23 / '2_Assumptions'!$D$25 * '2_Assumptions'!$D$26</f>
        <v>2628571.4285714282</v>
      </c>
    </row>
    <row r="6" spans="1:6" x14ac:dyDescent="0.3">
      <c r="A6" s="4" t="s">
        <v>110</v>
      </c>
      <c r="B6" s="3" t="s">
        <v>111</v>
      </c>
      <c r="C6" s="3" t="s">
        <v>68</v>
      </c>
      <c r="D6" s="19">
        <f>Maint_Cost_Km_Mid * Km_Per_Year_Mid</f>
        <v>550000</v>
      </c>
      <c r="E6" s="20">
        <f>'2_Assumptions'!$B$31 * '2_Assumptions'!$B$23</f>
        <v>400000</v>
      </c>
      <c r="F6" s="20">
        <f>'2_Assumptions'!$D$31 * '2_Assumptions'!$D$23</f>
        <v>720000</v>
      </c>
    </row>
    <row r="7" spans="1:6" x14ac:dyDescent="0.3">
      <c r="A7" s="4" t="s">
        <v>112</v>
      </c>
      <c r="B7" s="3" t="s">
        <v>113</v>
      </c>
      <c r="C7" s="3" t="s">
        <v>68</v>
      </c>
      <c r="D7" s="19">
        <f>Toll_Cost_Km_Mid * Km_Per_Year_Mid</f>
        <v>275000</v>
      </c>
      <c r="E7" s="20">
        <f>'2_Assumptions'!$B$32 * '2_Assumptions'!$B$23</f>
        <v>200000</v>
      </c>
      <c r="F7" s="20">
        <f>'2_Assumptions'!$D$32 * '2_Assumptions'!$D$23</f>
        <v>360000</v>
      </c>
    </row>
    <row r="8" spans="1:6" x14ac:dyDescent="0.3">
      <c r="A8" s="4" t="s">
        <v>114</v>
      </c>
      <c r="B8" s="3" t="s">
        <v>115</v>
      </c>
      <c r="C8" s="3" t="s">
        <v>68</v>
      </c>
      <c r="D8" s="19">
        <f>Driver_Cost_Mid</f>
        <v>600000</v>
      </c>
      <c r="E8" s="20">
        <f>'2_Assumptions'!$B$33</f>
        <v>480000</v>
      </c>
      <c r="F8" s="20">
        <f>'2_Assumptions'!$D$33</f>
        <v>720000</v>
      </c>
    </row>
    <row r="9" spans="1:6" x14ac:dyDescent="0.3">
      <c r="A9" s="5" t="s">
        <v>116</v>
      </c>
      <c r="D9" s="22">
        <f>SUM(D2:D8)</f>
        <v>4817857.1428571427</v>
      </c>
      <c r="E9" s="20">
        <f>SUM(E2:E8)</f>
        <v>4435789.4736842103</v>
      </c>
      <c r="F9" s="20">
        <f>SUM(F2:F8)</f>
        <v>5278571.4285714282</v>
      </c>
    </row>
    <row r="11" spans="1:6" x14ac:dyDescent="0.3">
      <c r="A11" s="1" t="s">
        <v>10</v>
      </c>
      <c r="D11" s="23">
        <f>'3_TCO_Calculation'!$D$9/Hours_Per_Year_Mid</f>
        <v>1003.7202380952381</v>
      </c>
      <c r="E11" s="20">
        <f>E9/'2_Assumptions'!$B$24</f>
        <v>985.73099415204672</v>
      </c>
      <c r="F11" s="20">
        <f>F9/'2_Assumptions'!$D$24</f>
        <v>1055.7142857142856</v>
      </c>
    </row>
  </sheetData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pane xSplit="1" ySplit="1" topLeftCell="B2" activePane="bottomRight" state="frozen"/>
      <selection pane="topRight"/>
      <selection pane="bottomLeft"/>
      <selection pane="bottomRight" activeCell="D19" sqref="D19"/>
    </sheetView>
  </sheetViews>
  <sheetFormatPr defaultRowHeight="14.4" x14ac:dyDescent="0.3"/>
  <cols>
    <col min="1" max="1" width="36" customWidth="1"/>
    <col min="2" max="2" width="42" customWidth="1"/>
    <col min="3" max="5" width="20" customWidth="1"/>
  </cols>
  <sheetData>
    <row r="1" spans="1:5" x14ac:dyDescent="0.3">
      <c r="A1" s="7" t="s">
        <v>117</v>
      </c>
      <c r="B1" s="7" t="s">
        <v>118</v>
      </c>
      <c r="C1" s="7" t="s">
        <v>119</v>
      </c>
      <c r="D1" s="7" t="s">
        <v>120</v>
      </c>
      <c r="E1" s="7" t="s">
        <v>121</v>
      </c>
    </row>
    <row r="2" spans="1:5" x14ac:dyDescent="0.3">
      <c r="A2" s="3" t="s">
        <v>122</v>
      </c>
      <c r="B2" s="3" t="s">
        <v>123</v>
      </c>
      <c r="C2" s="21">
        <f>Annual_Trips * TAT_Saved_Cons * '3_TCO_Calculation'!$E$11</f>
        <v>828014035.0877192</v>
      </c>
      <c r="D2" s="21">
        <f>Annual_Trips * TAT_Saved_Base * '3_TCO_Calculation'!$D$11</f>
        <v>1349000000</v>
      </c>
      <c r="E2" s="21">
        <f>Annual_Trips * TAT_Saved_Upside * '3_TCO_Calculation'!$F$11</f>
        <v>1551899999.9999998</v>
      </c>
    </row>
    <row r="3" spans="1:5" x14ac:dyDescent="0.3">
      <c r="A3" s="3" t="s">
        <v>124</v>
      </c>
      <c r="B3" s="3" t="s">
        <v>125</v>
      </c>
      <c r="C3" s="19">
        <f>Empty_Waste_Annual_Value * (Initial_Empty_Ratio - Target_Empty_Ratio_ConsBase) / Initial_Empty_Ratio</f>
        <v>2079999999.9999998</v>
      </c>
      <c r="D3" s="19">
        <f>Empty_Waste_Annual_Value * (Initial_Empty_Ratio - Target_Empty_Ratio_ConsBase) / Initial_Empty_Ratio</f>
        <v>2079999999.9999998</v>
      </c>
      <c r="E3" s="19">
        <f>Empty_Waste_Annual_Value * (Initial_Empty_Ratio - Target_Empty_Ratio_Upside) / Initial_Empty_Ratio</f>
        <v>3120000000</v>
      </c>
    </row>
    <row r="4" spans="1:5" x14ac:dyDescent="0.3">
      <c r="A4" s="3" t="s">
        <v>126</v>
      </c>
      <c r="B4" s="3" t="s">
        <v>127</v>
      </c>
      <c r="C4" s="19">
        <f>Fuel_Spend_Annual_Value * Fuel_Gain_ConsBase</f>
        <v>783999999.99999988</v>
      </c>
      <c r="D4" s="19">
        <f>Fuel_Spend_Annual_Value * Fuel_Gain_ConsBase</f>
        <v>783999999.99999988</v>
      </c>
      <c r="E4" s="19">
        <f>Fuel_Spend_Annual_Value * Fuel_Gain_Upside</f>
        <v>783999999.99999988</v>
      </c>
    </row>
    <row r="5" spans="1:5" x14ac:dyDescent="0.3">
      <c r="A5" s="3" t="s">
        <v>128</v>
      </c>
      <c r="B5" s="3" t="s">
        <v>129</v>
      </c>
      <c r="C5" s="21">
        <f>MM_Saving_Cons * 10000000</f>
        <v>500000000</v>
      </c>
      <c r="D5" s="21">
        <f>MM_Saving_Base * 10000000</f>
        <v>750000000</v>
      </c>
      <c r="E5" s="21">
        <f>MM_Saving_Upside * 10000000</f>
        <v>1000000000</v>
      </c>
    </row>
    <row r="6" spans="1:5" x14ac:dyDescent="0.3">
      <c r="A6" s="3" t="s">
        <v>130</v>
      </c>
      <c r="B6" s="3" t="s">
        <v>131</v>
      </c>
      <c r="C6" s="21">
        <f>P3_Saving_Cons * 10000000</f>
        <v>0</v>
      </c>
      <c r="D6" s="21">
        <f>P3_Saving_Base * 10000000</f>
        <v>200000000</v>
      </c>
      <c r="E6" s="21">
        <f>P3_Saving_Upside * 10000000</f>
        <v>500000000</v>
      </c>
    </row>
    <row r="8" spans="1:5" x14ac:dyDescent="0.3">
      <c r="A8" s="1" t="s">
        <v>132</v>
      </c>
      <c r="C8" s="24">
        <f>SUM(C2:C6)</f>
        <v>4192014035.087719</v>
      </c>
      <c r="D8" s="24">
        <f>SUM(D2:D6)</f>
        <v>5163000000</v>
      </c>
      <c r="E8" s="24">
        <f>SUM(E2:E6)</f>
        <v>6955900000</v>
      </c>
    </row>
  </sheetData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G13" sqref="G13"/>
    </sheetView>
  </sheetViews>
  <sheetFormatPr defaultRowHeight="14.4" x14ac:dyDescent="0.3"/>
  <cols>
    <col min="1" max="1" width="30" customWidth="1"/>
    <col min="2" max="2" width="12" customWidth="1"/>
    <col min="3" max="3" width="18" customWidth="1"/>
    <col min="4" max="7" width="14" customWidth="1"/>
  </cols>
  <sheetData>
    <row r="1" spans="1:7" x14ac:dyDescent="0.3">
      <c r="A1" s="7" t="s">
        <v>133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</row>
    <row r="2" spans="1:7" x14ac:dyDescent="0.3">
      <c r="A2" s="3" t="s">
        <v>140</v>
      </c>
      <c r="B2" s="3" t="s">
        <v>141</v>
      </c>
      <c r="C2" s="19">
        <f>Pilot_CAPEX_Mid</f>
        <v>2.25</v>
      </c>
      <c r="D2" s="19">
        <f>C2</f>
        <v>2.25</v>
      </c>
      <c r="E2" s="19">
        <f>0</f>
        <v>0</v>
      </c>
      <c r="F2" s="19">
        <f>0</f>
        <v>0</v>
      </c>
      <c r="G2" s="26">
        <v>0</v>
      </c>
    </row>
    <row r="3" spans="1:7" x14ac:dyDescent="0.3">
      <c r="A3" s="3" t="s">
        <v>142</v>
      </c>
      <c r="B3" s="3" t="s">
        <v>141</v>
      </c>
      <c r="C3" s="19">
        <f>Pilot_CAPEX_Mid</f>
        <v>2.25</v>
      </c>
      <c r="D3" s="19">
        <f>C3</f>
        <v>2.25</v>
      </c>
      <c r="E3" s="19">
        <f>0</f>
        <v>0</v>
      </c>
      <c r="F3" s="19">
        <f>0</f>
        <v>0</v>
      </c>
      <c r="G3" s="26">
        <v>0</v>
      </c>
    </row>
    <row r="4" spans="1:7" x14ac:dyDescent="0.3">
      <c r="A4" s="3" t="s">
        <v>143</v>
      </c>
      <c r="B4" s="3" t="s">
        <v>141</v>
      </c>
      <c r="C4" s="19">
        <f>Scale_CAPEX_Mid</f>
        <v>13.5</v>
      </c>
      <c r="D4" s="19">
        <f>Pilot_CAPEX_Mid</f>
        <v>2.25</v>
      </c>
      <c r="E4" s="19">
        <f>(C4-Pilot_CAPEX_Mid)*0.6</f>
        <v>6.75</v>
      </c>
      <c r="F4" s="19">
        <f>(C4-Pilot_CAPEX_Mid)*0.4</f>
        <v>4.5</v>
      </c>
      <c r="G4" s="26">
        <v>0</v>
      </c>
    </row>
    <row r="5" spans="1:7" x14ac:dyDescent="0.3">
      <c r="A5" s="3" t="s">
        <v>144</v>
      </c>
      <c r="B5" s="3" t="s">
        <v>141</v>
      </c>
      <c r="C5" s="26">
        <v>2.5</v>
      </c>
      <c r="D5" s="19">
        <f>0</f>
        <v>0</v>
      </c>
      <c r="E5" s="19">
        <f>C5*0.6</f>
        <v>1.5</v>
      </c>
      <c r="F5" s="19">
        <f>C5*0.4</f>
        <v>1</v>
      </c>
      <c r="G5" s="26">
        <v>0</v>
      </c>
    </row>
    <row r="6" spans="1:7" x14ac:dyDescent="0.3">
      <c r="A6" s="3" t="s">
        <v>145</v>
      </c>
      <c r="B6" s="3" t="s">
        <v>141</v>
      </c>
      <c r="C6" s="26">
        <v>2</v>
      </c>
      <c r="D6" s="19">
        <f>0</f>
        <v>0</v>
      </c>
      <c r="E6" s="19">
        <f>C6*0.6</f>
        <v>1.2</v>
      </c>
      <c r="F6" s="19">
        <f>C6*0.4</f>
        <v>0.8</v>
      </c>
      <c r="G6" s="26">
        <v>0</v>
      </c>
    </row>
    <row r="7" spans="1:7" x14ac:dyDescent="0.3">
      <c r="A7" t="s">
        <v>146</v>
      </c>
      <c r="B7" t="s">
        <v>141</v>
      </c>
      <c r="C7" s="33">
        <f>0.1*SUM(C2:C6)</f>
        <v>2.25</v>
      </c>
      <c r="D7" s="33">
        <f>0</f>
        <v>0</v>
      </c>
      <c r="E7" s="33">
        <f>C7*0.6</f>
        <v>1.3499999999999999</v>
      </c>
      <c r="F7" s="33">
        <f>C7*0.4</f>
        <v>0.9</v>
      </c>
      <c r="G7" s="33">
        <f>0</f>
        <v>0</v>
      </c>
    </row>
    <row r="8" spans="1:7" x14ac:dyDescent="0.3">
      <c r="A8" s="3" t="s">
        <v>147</v>
      </c>
      <c r="B8" s="3" t="s">
        <v>148</v>
      </c>
      <c r="C8" s="19">
        <f>Scale_OPEX_Mid</f>
        <v>9.25</v>
      </c>
      <c r="D8" s="19">
        <f>0</f>
        <v>0</v>
      </c>
      <c r="E8" s="19">
        <f>C7*0.6</f>
        <v>1.3499999999999999</v>
      </c>
      <c r="F8" s="19">
        <f>C7*0.4</f>
        <v>0.9</v>
      </c>
      <c r="G8" s="19">
        <f>C7</f>
        <v>2.25</v>
      </c>
    </row>
    <row r="9" spans="1:7" x14ac:dyDescent="0.3">
      <c r="A9" s="3" t="s">
        <v>149</v>
      </c>
      <c r="B9" s="3" t="s">
        <v>148</v>
      </c>
      <c r="C9" s="26">
        <v>0.75</v>
      </c>
      <c r="D9" s="19">
        <f>0</f>
        <v>0</v>
      </c>
      <c r="E9" s="19">
        <f>C8*0.6</f>
        <v>5.55</v>
      </c>
      <c r="F9" s="19">
        <f>C8*0.4</f>
        <v>3.7</v>
      </c>
      <c r="G9" s="19">
        <f>C8</f>
        <v>9.25</v>
      </c>
    </row>
    <row r="10" spans="1:7" x14ac:dyDescent="0.3">
      <c r="A10" s="3" t="s">
        <v>150</v>
      </c>
      <c r="B10" s="3" t="s">
        <v>148</v>
      </c>
      <c r="C10" s="26">
        <v>1.5</v>
      </c>
      <c r="D10" s="19">
        <f>0</f>
        <v>0</v>
      </c>
      <c r="E10" s="19">
        <f>C9*0.6</f>
        <v>0.44999999999999996</v>
      </c>
      <c r="F10" s="19">
        <f>C9*0.4</f>
        <v>0.30000000000000004</v>
      </c>
      <c r="G10" s="19">
        <f>C9</f>
        <v>0.75</v>
      </c>
    </row>
    <row r="11" spans="1:7" x14ac:dyDescent="0.3">
      <c r="A11" s="3" t="s">
        <v>151</v>
      </c>
      <c r="B11" s="3" t="s">
        <v>148</v>
      </c>
      <c r="C11" s="26">
        <v>1.5</v>
      </c>
      <c r="D11" s="19">
        <f>0</f>
        <v>0</v>
      </c>
      <c r="E11" s="19">
        <f>C10*0.6</f>
        <v>0.89999999999999991</v>
      </c>
      <c r="F11" s="19">
        <f>C10*0.4</f>
        <v>0.60000000000000009</v>
      </c>
      <c r="G11" s="19">
        <f>C10</f>
        <v>1.5</v>
      </c>
    </row>
    <row r="12" spans="1:7" x14ac:dyDescent="0.3">
      <c r="C12" s="33"/>
      <c r="D12" s="33"/>
      <c r="E12" s="33"/>
      <c r="F12" s="33"/>
      <c r="G12" s="33"/>
    </row>
    <row r="13" spans="1:7" x14ac:dyDescent="0.3">
      <c r="A13" s="34" t="s">
        <v>152</v>
      </c>
      <c r="C13" s="35">
        <f>SUM(C2:C12)</f>
        <v>37.75</v>
      </c>
      <c r="D13" s="35">
        <f>SUM(D2:D12)</f>
        <v>6.75</v>
      </c>
      <c r="E13" s="35">
        <f>SUM(E2:E12)</f>
        <v>19.049999999999997</v>
      </c>
      <c r="F13" s="35">
        <f>SUM(F2:F12)</f>
        <v>12.700000000000001</v>
      </c>
      <c r="G13" s="35">
        <f>SUM(G2:G12)</f>
        <v>13.75</v>
      </c>
    </row>
  </sheetData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>
      <pane xSplit="1" ySplit="1" topLeftCell="B2" activePane="bottomRight" state="frozen"/>
      <selection pane="topRight"/>
      <selection pane="bottomLeft"/>
      <selection pane="bottomRight" activeCell="J16" sqref="J16"/>
    </sheetView>
  </sheetViews>
  <sheetFormatPr defaultRowHeight="14.4" x14ac:dyDescent="0.3"/>
  <cols>
    <col min="1" max="1" width="10" customWidth="1"/>
    <col min="2" max="8" width="18" customWidth="1"/>
    <col min="10" max="10" width="26.109375" customWidth="1"/>
    <col min="11" max="11" width="21.5546875" customWidth="1"/>
  </cols>
  <sheetData>
    <row r="1" spans="1:11" x14ac:dyDescent="0.3">
      <c r="A1" s="7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7" t="s">
        <v>158</v>
      </c>
      <c r="G1" s="7" t="s">
        <v>159</v>
      </c>
      <c r="H1" s="7" t="s">
        <v>160</v>
      </c>
      <c r="I1" s="8"/>
      <c r="J1" s="8" t="s">
        <v>161</v>
      </c>
    </row>
    <row r="2" spans="1:11" x14ac:dyDescent="0.3">
      <c r="A2" s="26">
        <v>0</v>
      </c>
      <c r="B2" s="19">
        <f>Total_CAPEX_Y0</f>
        <v>0</v>
      </c>
      <c r="C2" s="26">
        <v>0</v>
      </c>
      <c r="D2" s="25">
        <f>B2+C2</f>
        <v>0</v>
      </c>
      <c r="E2" s="26">
        <v>0</v>
      </c>
      <c r="F2" s="26">
        <v>0</v>
      </c>
      <c r="G2" s="25">
        <f>F2-D2</f>
        <v>0</v>
      </c>
      <c r="H2" s="25">
        <f>G2</f>
        <v>0</v>
      </c>
      <c r="J2" s="27">
        <f>IF(H2&gt;0,0,IF(H3&gt;0,1+ABS(H2)/G3,IF(H4&gt;0,2+ABS(H3)/G4,IF(H5&gt;0,3+ABS(H4)/G5,"&gt;3"))))</f>
        <v>1</v>
      </c>
    </row>
    <row r="3" spans="1:11" x14ac:dyDescent="0.3">
      <c r="A3" s="26">
        <v>1</v>
      </c>
      <c r="B3" s="19">
        <f>Total_CAPEX_Y1</f>
        <v>0.89999999999999991</v>
      </c>
      <c r="C3" s="19">
        <f>Total_OPEX_Y1</f>
        <v>1.5</v>
      </c>
      <c r="D3" s="25">
        <f>B3+C3</f>
        <v>2.4</v>
      </c>
      <c r="E3" s="25">
        <f>Realization_Y1</f>
        <v>0.3</v>
      </c>
      <c r="F3" s="19">
        <f>Total_Savings_Cons * E3</f>
        <v>1257604210.5263157</v>
      </c>
      <c r="G3" s="25">
        <f>F3-D3</f>
        <v>1257604208.1263156</v>
      </c>
      <c r="H3" s="25">
        <f>H2+G3</f>
        <v>1257604208.1263156</v>
      </c>
      <c r="J3" t="s">
        <v>7</v>
      </c>
      <c r="K3" s="11">
        <f>NPV(12%,G3:G5)+G2</f>
        <v>5813383161.25776</v>
      </c>
    </row>
    <row r="4" spans="1:11" x14ac:dyDescent="0.3">
      <c r="A4" s="26">
        <v>2</v>
      </c>
      <c r="B4" s="19">
        <f>Total_CAPEX_Y2</f>
        <v>0.60000000000000009</v>
      </c>
      <c r="C4" s="19">
        <f>Total_OPEX_Y2</f>
        <v>1.5</v>
      </c>
      <c r="D4" s="25">
        <f>B4+C4</f>
        <v>2.1</v>
      </c>
      <c r="E4" s="25">
        <f>Realization_Y2</f>
        <v>0.6</v>
      </c>
      <c r="F4" s="19">
        <f>Total_Savings_Cons * E4</f>
        <v>2515208421.0526314</v>
      </c>
      <c r="G4" s="25">
        <f>F4-D4</f>
        <v>2515208418.9526315</v>
      </c>
      <c r="H4" s="25">
        <f>H3+G4</f>
        <v>3772812627.0789471</v>
      </c>
      <c r="K4" s="40"/>
    </row>
    <row r="5" spans="1:11" x14ac:dyDescent="0.3">
      <c r="A5" s="26">
        <v>3</v>
      </c>
      <c r="B5" s="26">
        <v>0</v>
      </c>
      <c r="C5" s="19">
        <f>Total_OPEX_Y3</f>
        <v>1.5</v>
      </c>
      <c r="D5" s="25">
        <f>B5+C5</f>
        <v>1.5</v>
      </c>
      <c r="E5" s="25">
        <f>Realization_Y3</f>
        <v>0.9</v>
      </c>
      <c r="F5" s="19">
        <f>Total_Savings_Cons * E5</f>
        <v>3772812631.5789471</v>
      </c>
      <c r="G5" s="25">
        <f>F5-D5</f>
        <v>3772812630.0789471</v>
      </c>
      <c r="H5" s="25">
        <f>H4+G5</f>
        <v>7545625257.1578941</v>
      </c>
    </row>
    <row r="11" spans="1:11" x14ac:dyDescent="0.3">
      <c r="B11" s="11">
        <f>K3</f>
        <v>5813383161.25776</v>
      </c>
    </row>
    <row r="12" spans="1:11" x14ac:dyDescent="0.3">
      <c r="B12" s="28"/>
    </row>
  </sheetData>
  <conditionalFormatting sqref="H2:H5">
    <cfRule type="cellIs" dxfId="0" priority="1" stopIfTrue="1" operator="greaterThan">
      <formula>0</formula>
    </cfRule>
  </conditionalFormatting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58</vt:i4>
      </vt:variant>
    </vt:vector>
  </HeadingPairs>
  <TitlesOfParts>
    <vt:vector size="66" baseType="lpstr">
      <vt:lpstr>Notes</vt:lpstr>
      <vt:lpstr>Instructions</vt:lpstr>
      <vt:lpstr>1_Summary_Dashboard</vt:lpstr>
      <vt:lpstr>2_Assumptions</vt:lpstr>
      <vt:lpstr>3_TCO_Calculation</vt:lpstr>
      <vt:lpstr>4_Savings_Calculation</vt:lpstr>
      <vt:lpstr>5_Investment_Plan</vt:lpstr>
      <vt:lpstr>6_Payback_Analysis</vt:lpstr>
      <vt:lpstr>Annual_Trips</vt:lpstr>
      <vt:lpstr>Asset_Cost_Mid</vt:lpstr>
      <vt:lpstr>Asset_Life_Mid</vt:lpstr>
      <vt:lpstr>CAPEX_Pct_Y0</vt:lpstr>
      <vt:lpstr>CAPEX_Pct_Y1</vt:lpstr>
      <vt:lpstr>CAPEX_Pct_Y2</vt:lpstr>
      <vt:lpstr>Current_Spend</vt:lpstr>
      <vt:lpstr>Diesel_Price_Mid</vt:lpstr>
      <vt:lpstr>Driver_Cost_Mid</vt:lpstr>
      <vt:lpstr>Driver_Pct_Spend</vt:lpstr>
      <vt:lpstr>Empty_Pct_Spend</vt:lpstr>
      <vt:lpstr>Empty_Waste_Annual_Value</vt:lpstr>
      <vt:lpstr>Fuel_Eff_Mid</vt:lpstr>
      <vt:lpstr>Fuel_Gain_ConsBase</vt:lpstr>
      <vt:lpstr>Fuel_Gain_Upside</vt:lpstr>
      <vt:lpstr>Fuel_Pct_Spend</vt:lpstr>
      <vt:lpstr>Fuel_Spend_Annual_Value</vt:lpstr>
      <vt:lpstr>Hourly_Cost_Mid</vt:lpstr>
      <vt:lpstr>Hours_Per_Year_Mid</vt:lpstr>
      <vt:lpstr>Initial_Empty_Ratio</vt:lpstr>
      <vt:lpstr>Initial_TAT</vt:lpstr>
      <vt:lpstr>Insurance_Cost_Mid</vt:lpstr>
      <vt:lpstr>Km_Per_Year_Mid</vt:lpstr>
      <vt:lpstr>Maint_Cost_Km_Mid</vt:lpstr>
      <vt:lpstr>MM_Saving_Base</vt:lpstr>
      <vt:lpstr>MM_Saving_Cons</vt:lpstr>
      <vt:lpstr>MM_Saving_Upside</vt:lpstr>
      <vt:lpstr>Others_Pct_Spend</vt:lpstr>
      <vt:lpstr>P3_Saving_Base</vt:lpstr>
      <vt:lpstr>P3_Saving_Cons</vt:lpstr>
      <vt:lpstr>P3_Saving_Upside</vt:lpstr>
      <vt:lpstr>Payback_Period</vt:lpstr>
      <vt:lpstr>Pilot_CAPEX_Mid</vt:lpstr>
      <vt:lpstr>Realization_Y1</vt:lpstr>
      <vt:lpstr>Realization_Y2</vt:lpstr>
      <vt:lpstr>Realization_Y3</vt:lpstr>
      <vt:lpstr>RoadTax_Cost_Mid</vt:lpstr>
      <vt:lpstr>Scale_CAPEX_Mid</vt:lpstr>
      <vt:lpstr>Scale_OPEX_Mid</vt:lpstr>
      <vt:lpstr>Target_Empty_Ratio_ConsBase</vt:lpstr>
      <vt:lpstr>Target_Empty_Ratio_Upside</vt:lpstr>
      <vt:lpstr>Target_TAT_Base</vt:lpstr>
      <vt:lpstr>TAT_Saved_Base</vt:lpstr>
      <vt:lpstr>TAT_Saved_Cons</vt:lpstr>
      <vt:lpstr>TAT_Saved_Upside</vt:lpstr>
      <vt:lpstr>Toll_Cost_Km_Mid</vt:lpstr>
      <vt:lpstr>Toll_Pct_Spend</vt:lpstr>
      <vt:lpstr>Total_Annual_Cost_Mid</vt:lpstr>
      <vt:lpstr>Total_CAPEX_Y0</vt:lpstr>
      <vt:lpstr>Total_CAPEX_Y1</vt:lpstr>
      <vt:lpstr>Total_CAPEX_Y2</vt:lpstr>
      <vt:lpstr>Total_OPEX_Y1</vt:lpstr>
      <vt:lpstr>Total_OPEX_Y2</vt:lpstr>
      <vt:lpstr>Total_OPEX_Y3</vt:lpstr>
      <vt:lpstr>Total_Savings_Base</vt:lpstr>
      <vt:lpstr>Total_Savings_Cons</vt:lpstr>
      <vt:lpstr>Total_Savings_Upside</vt:lpstr>
      <vt:lpstr>Vehicle_Pct_Spend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 Jha</cp:lastModifiedBy>
  <dcterms:created xsi:type="dcterms:W3CDTF">2025-10-23T20:58:18Z</dcterms:created>
  <dcterms:modified xsi:type="dcterms:W3CDTF">2025-10-24T00:33:17Z</dcterms:modified>
</cp:coreProperties>
</file>