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ketlakhotia/Documents/Sem VIII/FM/Project/"/>
    </mc:Choice>
  </mc:AlternateContent>
  <xr:revisionPtr revIDLastSave="0" documentId="13_ncr:1_{56C9C18E-5FBF-3745-8A18-9CD363CA6034}" xr6:coauthVersionLast="47" xr6:coauthVersionMax="47" xr10:uidLastSave="{00000000-0000-0000-0000-000000000000}"/>
  <bookViews>
    <workbookView xWindow="0" yWindow="0" windowWidth="28800" windowHeight="18000" activeTab="8" xr2:uid="{71C7D0CE-4BE7-BC47-BBB2-602C7445642D}"/>
  </bookViews>
  <sheets>
    <sheet name="Cost Sheet" sheetId="1" r:id="rId1"/>
    <sheet name="Capital Budgeting" sheetId="10" r:id="rId2"/>
    <sheet name="Balance Sheet" sheetId="9" r:id="rId3"/>
    <sheet name="Cost of Capital" sheetId="2" r:id="rId4"/>
    <sheet name="Income Statement" sheetId="4" r:id="rId5"/>
    <sheet name="LA" sheetId="5" r:id="rId6"/>
    <sheet name="Leverages" sheetId="3" r:id="rId7"/>
    <sheet name="Cashflow" sheetId="12" r:id="rId8"/>
    <sheet name="Charts" sheetId="13" r:id="rId9"/>
  </sheets>
  <externalReferences>
    <externalReference r:id="rId10"/>
  </externalReferences>
  <calcPr calcId="191029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3" l="1"/>
  <c r="G4" i="13"/>
  <c r="B5" i="13" s="1"/>
  <c r="D4" i="13"/>
  <c r="B3" i="13" l="1"/>
  <c r="B4" i="13"/>
  <c r="F15" i="12"/>
  <c r="E15" i="12"/>
  <c r="D15" i="12"/>
  <c r="E14" i="12"/>
  <c r="F11" i="12"/>
  <c r="F14" i="12" s="1"/>
  <c r="E11" i="12"/>
  <c r="D11" i="12"/>
  <c r="F10" i="12"/>
  <c r="F9" i="12"/>
  <c r="E9" i="12"/>
  <c r="D9" i="12"/>
  <c r="F8" i="12"/>
  <c r="E8" i="12"/>
  <c r="D8" i="12"/>
  <c r="D14" i="12" l="1"/>
  <c r="E16" i="12"/>
  <c r="F16" i="12"/>
  <c r="D16" i="12"/>
  <c r="E22" i="10" l="1"/>
  <c r="F22" i="10"/>
  <c r="G22" i="10"/>
  <c r="E41" i="10"/>
  <c r="F41" i="10"/>
  <c r="G41" i="10"/>
  <c r="H59" i="10"/>
  <c r="D60" i="10"/>
  <c r="E60" i="10"/>
  <c r="F60" i="10"/>
  <c r="F28" i="9"/>
  <c r="G28" i="9"/>
  <c r="E28" i="9"/>
  <c r="F15" i="9"/>
  <c r="F16" i="9" s="1"/>
  <c r="F29" i="9" s="1"/>
  <c r="G15" i="9"/>
  <c r="G16" i="9" s="1"/>
  <c r="G29" i="9" s="1"/>
  <c r="E15" i="9"/>
  <c r="E12" i="9"/>
  <c r="G22" i="9"/>
  <c r="F22" i="9"/>
  <c r="E22" i="9"/>
  <c r="F30" i="9" l="1"/>
  <c r="F32" i="9" s="1"/>
  <c r="G30" i="9"/>
  <c r="G32" i="9" s="1"/>
  <c r="E16" i="9"/>
  <c r="E29" i="9" s="1"/>
  <c r="E30" i="9" s="1"/>
  <c r="E32" i="9" s="1"/>
  <c r="C11" i="5" l="1"/>
  <c r="C12" i="5"/>
  <c r="C13" i="5"/>
  <c r="E13" i="5" s="1"/>
  <c r="C14" i="5"/>
  <c r="E14" i="5" s="1"/>
  <c r="C15" i="5"/>
  <c r="E15" i="5" s="1"/>
  <c r="C16" i="5"/>
  <c r="E16" i="5" s="1"/>
  <c r="C17" i="5"/>
  <c r="E17" i="5" s="1"/>
  <c r="C18" i="5"/>
  <c r="E18" i="5" s="1"/>
  <c r="C19" i="5"/>
  <c r="E19" i="5" s="1"/>
  <c r="C20" i="5"/>
  <c r="E20" i="5" s="1"/>
  <c r="C21" i="5"/>
  <c r="E12" i="5" l="1"/>
  <c r="H13" i="5"/>
  <c r="E11" i="5"/>
  <c r="H12" i="5"/>
  <c r="C10" i="5"/>
  <c r="B7" i="5"/>
  <c r="D15" i="4"/>
  <c r="E15" i="4"/>
  <c r="C15" i="4"/>
  <c r="D7" i="4"/>
  <c r="E7" i="4"/>
  <c r="C7" i="4"/>
  <c r="C18" i="4" s="1"/>
  <c r="D18" i="4" l="1"/>
  <c r="E10" i="5"/>
  <c r="H11" i="5"/>
  <c r="E18" i="4"/>
  <c r="E20" i="4" s="1"/>
  <c r="E22" i="4" s="1"/>
  <c r="C20" i="4"/>
  <c r="C22" i="4" s="1"/>
  <c r="C24" i="4" s="1"/>
  <c r="C27" i="4" s="1"/>
  <c r="D20" i="4"/>
  <c r="D22" i="4" s="1"/>
  <c r="D24" i="4" s="1"/>
  <c r="D27" i="4" s="1"/>
  <c r="G26" i="3"/>
  <c r="H26" i="3"/>
  <c r="F26" i="3"/>
  <c r="G24" i="3"/>
  <c r="H24" i="3"/>
  <c r="F24" i="3"/>
  <c r="F28" i="3" s="1"/>
  <c r="D6" i="2"/>
  <c r="D12" i="2" s="1"/>
  <c r="D5" i="2"/>
  <c r="D31" i="2" s="1"/>
  <c r="D33" i="2" s="1"/>
  <c r="D35" i="2" s="1"/>
  <c r="D37" i="2" s="1"/>
  <c r="F17" i="1"/>
  <c r="F29" i="1"/>
  <c r="E27" i="1"/>
  <c r="F27" i="1" s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83" i="1"/>
  <c r="E84" i="1"/>
  <c r="E32" i="1"/>
  <c r="E86" i="1"/>
  <c r="E87" i="1"/>
  <c r="E85" i="1"/>
  <c r="E22" i="1"/>
  <c r="E23" i="1"/>
  <c r="E21" i="1"/>
  <c r="E7" i="1"/>
  <c r="E8" i="1"/>
  <c r="E9" i="1"/>
  <c r="E10" i="1"/>
  <c r="E11" i="1"/>
  <c r="E12" i="1"/>
  <c r="E13" i="1"/>
  <c r="D15" i="1" s="1"/>
  <c r="E6" i="1"/>
  <c r="H28" i="3" l="1"/>
  <c r="G28" i="3"/>
  <c r="E24" i="4"/>
  <c r="E27" i="4" s="1"/>
  <c r="D17" i="2"/>
  <c r="D19" i="2" s="1"/>
  <c r="D13" i="2"/>
  <c r="D16" i="2" s="1"/>
  <c r="E89" i="1"/>
  <c r="F89" i="1" s="1"/>
  <c r="D11" i="2"/>
  <c r="E79" i="1"/>
  <c r="E9" i="10" s="1"/>
  <c r="E25" i="1"/>
  <c r="F25" i="1" s="1"/>
  <c r="E15" i="1"/>
  <c r="E6" i="10" l="1"/>
  <c r="E46" i="10" s="1"/>
  <c r="E8" i="10"/>
  <c r="E10" i="10"/>
  <c r="E23" i="10"/>
  <c r="F23" i="10"/>
  <c r="G23" i="10"/>
  <c r="D15" i="2"/>
  <c r="D20" i="2" s="1"/>
  <c r="F15" i="1"/>
  <c r="F18" i="1" s="1"/>
  <c r="E29" i="10" l="1"/>
  <c r="E38" i="10" s="1"/>
  <c r="F29" i="10"/>
  <c r="F38" i="10" s="1"/>
  <c r="G29" i="10"/>
  <c r="G38" i="10" s="1"/>
  <c r="G25" i="10"/>
  <c r="D59" i="10"/>
  <c r="E25" i="10"/>
  <c r="E28" i="10" s="1"/>
  <c r="E59" i="10"/>
  <c r="E61" i="10" s="1"/>
  <c r="F25" i="10"/>
  <c r="F26" i="10"/>
  <c r="E26" i="10"/>
  <c r="G26" i="10"/>
  <c r="F59" i="10" s="1"/>
  <c r="F61" i="10" s="1"/>
  <c r="D3" i="2"/>
  <c r="D7" i="2" s="1"/>
  <c r="D23" i="2" s="1"/>
  <c r="G59" i="10" l="1"/>
  <c r="I59" i="10" s="1"/>
  <c r="D61" i="10"/>
  <c r="G28" i="10"/>
  <c r="G31" i="10" s="1"/>
  <c r="G34" i="10" s="1"/>
  <c r="E31" i="10"/>
  <c r="E34" i="10" s="1"/>
  <c r="F28" i="10"/>
  <c r="F31" i="10" s="1"/>
  <c r="F34" i="10" s="1"/>
  <c r="D25" i="2"/>
  <c r="D27" i="2" s="1"/>
  <c r="D24" i="2"/>
  <c r="F35" i="10" l="1"/>
  <c r="F37" i="10" s="1"/>
  <c r="F40" i="10" s="1"/>
  <c r="F43" i="10" s="1"/>
  <c r="E35" i="10"/>
  <c r="E37" i="10" s="1"/>
  <c r="E40" i="10" s="1"/>
  <c r="E43" i="10" s="1"/>
  <c r="G35" i="10"/>
  <c r="G37" i="10"/>
  <c r="G40" i="10" s="1"/>
  <c r="G43" i="10" s="1"/>
  <c r="D26" i="2"/>
  <c r="D28" i="2" s="1"/>
  <c r="D40" i="2" s="1"/>
  <c r="E47" i="10" l="1"/>
  <c r="E48" i="10" s="1"/>
</calcChain>
</file>

<file path=xl/sharedStrings.xml><?xml version="1.0" encoding="utf-8"?>
<sst xmlns="http://schemas.openxmlformats.org/spreadsheetml/2006/main" count="276" uniqueCount="231">
  <si>
    <t>Electric Motor</t>
  </si>
  <si>
    <t>Lithium Ion Battery</t>
  </si>
  <si>
    <t>Throttle</t>
  </si>
  <si>
    <t>Frame</t>
  </si>
  <si>
    <t>Alternator</t>
  </si>
  <si>
    <t>Sale</t>
  </si>
  <si>
    <t>VC</t>
  </si>
  <si>
    <t>Contribution</t>
  </si>
  <si>
    <t>FC</t>
  </si>
  <si>
    <t>EBITDA</t>
  </si>
  <si>
    <t>DA</t>
  </si>
  <si>
    <t>EBIT</t>
  </si>
  <si>
    <t>Particulars</t>
  </si>
  <si>
    <t>Quantity</t>
  </si>
  <si>
    <t>Speed grip</t>
  </si>
  <si>
    <t>Brake Lever</t>
  </si>
  <si>
    <t>Brake Cable</t>
  </si>
  <si>
    <t>Cable Holder</t>
  </si>
  <si>
    <t>Screw Reflector</t>
  </si>
  <si>
    <t>Plate</t>
  </si>
  <si>
    <t>Tire</t>
  </si>
  <si>
    <t>Tube</t>
  </si>
  <si>
    <t>Rim</t>
  </si>
  <si>
    <t>Tombol Power Assist</t>
  </si>
  <si>
    <t>Horn</t>
  </si>
  <si>
    <t>Grip</t>
  </si>
  <si>
    <t>Speed Cable</t>
  </si>
  <si>
    <t>Handle Stem</t>
  </si>
  <si>
    <t>Seat Post Key</t>
  </si>
  <si>
    <t>Seat Post</t>
  </si>
  <si>
    <t>Saddle</t>
  </si>
  <si>
    <t>BackSeat</t>
  </si>
  <si>
    <t>RearFootStep</t>
  </si>
  <si>
    <t>Controller</t>
  </si>
  <si>
    <t>BackHolder</t>
  </si>
  <si>
    <t>Tire Cap</t>
  </si>
  <si>
    <t>Rear Drum Brake</t>
  </si>
  <si>
    <t>Kick Stand</t>
  </si>
  <si>
    <t>Fork</t>
  </si>
  <si>
    <t>Indicator Display</t>
  </si>
  <si>
    <t>Foot Rest</t>
  </si>
  <si>
    <t>Rear Wheel Shock Absorber</t>
  </si>
  <si>
    <t>Tail &amp; Stop Light</t>
  </si>
  <si>
    <t>Fender</t>
  </si>
  <si>
    <t>Mirror</t>
  </si>
  <si>
    <t>Nuts &amp; Bolts</t>
  </si>
  <si>
    <t>Paint</t>
  </si>
  <si>
    <t>Oil</t>
  </si>
  <si>
    <t>Charger</t>
  </si>
  <si>
    <t>Other Costs</t>
  </si>
  <si>
    <t>Fire Extinguisher</t>
  </si>
  <si>
    <t>Pulley</t>
  </si>
  <si>
    <t>Cutting</t>
  </si>
  <si>
    <t>Spot Welding</t>
  </si>
  <si>
    <t>Bending</t>
  </si>
  <si>
    <t>Assembling</t>
  </si>
  <si>
    <t>Alignment</t>
  </si>
  <si>
    <t>Reaming</t>
  </si>
  <si>
    <t>Stablizer</t>
  </si>
  <si>
    <t>Tire Mounting</t>
  </si>
  <si>
    <t xml:space="preserve">Machinery </t>
  </si>
  <si>
    <t>TOTAL MACHINERY COST</t>
  </si>
  <si>
    <t>Industrial Labour</t>
  </si>
  <si>
    <t>Office Employes</t>
  </si>
  <si>
    <t>Managers</t>
  </si>
  <si>
    <t>Power Supply</t>
  </si>
  <si>
    <t>Land Rent</t>
  </si>
  <si>
    <t>Investment</t>
  </si>
  <si>
    <t>Maintainence</t>
  </si>
  <si>
    <t>Raw Material</t>
  </si>
  <si>
    <t>Working Capital</t>
  </si>
  <si>
    <t>Front Break Shoe</t>
  </si>
  <si>
    <t>Wages / Month</t>
  </si>
  <si>
    <t>TOTAL WAGES PER MONTH</t>
  </si>
  <si>
    <t>TOTAL OTHER CHARGES PER MONTH</t>
  </si>
  <si>
    <t>Headlamp</t>
  </si>
  <si>
    <t>Shifter Cable</t>
  </si>
  <si>
    <t>Shifter Housing</t>
  </si>
  <si>
    <t>TRANSPORTATION CHARGES PER MONTH</t>
  </si>
  <si>
    <t>Selling Price</t>
  </si>
  <si>
    <t>Cost Price</t>
  </si>
  <si>
    <t>I</t>
  </si>
  <si>
    <t>EBT</t>
  </si>
  <si>
    <t>T</t>
  </si>
  <si>
    <t>EAT</t>
  </si>
  <si>
    <t>CFAT</t>
  </si>
  <si>
    <t>(-)</t>
  </si>
  <si>
    <t>ABC ENERGY PVT LTD</t>
  </si>
  <si>
    <t>excluding raw material</t>
  </si>
  <si>
    <t>sales</t>
  </si>
  <si>
    <t>Variable Cost</t>
  </si>
  <si>
    <t>per unit</t>
  </si>
  <si>
    <t>Year 1</t>
  </si>
  <si>
    <t>Year 2</t>
  </si>
  <si>
    <t>Year 3</t>
  </si>
  <si>
    <t>Fixed Cost</t>
  </si>
  <si>
    <t>Software</t>
  </si>
  <si>
    <t>Total Investment</t>
  </si>
  <si>
    <t>Equity</t>
  </si>
  <si>
    <t>1 crore</t>
  </si>
  <si>
    <t>Debt @ 10%</t>
  </si>
  <si>
    <t>Preference Share @ 12%</t>
  </si>
  <si>
    <t>reedemable</t>
  </si>
  <si>
    <t>floation cost</t>
  </si>
  <si>
    <t>Cost per Debenture</t>
  </si>
  <si>
    <t>P</t>
  </si>
  <si>
    <t>Net Proceeds</t>
  </si>
  <si>
    <t>n</t>
  </si>
  <si>
    <t>[P - NP] /n</t>
  </si>
  <si>
    <t>P + NP /2</t>
  </si>
  <si>
    <t>Interest</t>
  </si>
  <si>
    <t>I(1-T)</t>
  </si>
  <si>
    <t>Tax</t>
  </si>
  <si>
    <t>D</t>
  </si>
  <si>
    <t>NP</t>
  </si>
  <si>
    <t>No of debentures</t>
  </si>
  <si>
    <t xml:space="preserve">WACC </t>
  </si>
  <si>
    <t>Taxes @ 30%</t>
  </si>
  <si>
    <t>PVIF</t>
  </si>
  <si>
    <t>PVCIF</t>
  </si>
  <si>
    <t>PVCOF</t>
  </si>
  <si>
    <t>NPV</t>
  </si>
  <si>
    <t>year</t>
  </si>
  <si>
    <t>working capital</t>
  </si>
  <si>
    <t xml:space="preserve">Initial investment </t>
  </si>
  <si>
    <t>Total PVCOF</t>
  </si>
  <si>
    <t>Total PVCIF</t>
  </si>
  <si>
    <t>LEVERAGES</t>
  </si>
  <si>
    <t>TOTAL</t>
  </si>
  <si>
    <t>working capital contribution to pvcof</t>
  </si>
  <si>
    <t>OL</t>
  </si>
  <si>
    <t>FL</t>
  </si>
  <si>
    <t>TL</t>
  </si>
  <si>
    <t>Life (in years)</t>
  </si>
  <si>
    <t>Per Year (in Rs.)</t>
  </si>
  <si>
    <t>Total Amount (in Rs.)</t>
  </si>
  <si>
    <t>Unit Cost (in Rs.)</t>
  </si>
  <si>
    <t>Income</t>
  </si>
  <si>
    <t>Revenue from operations</t>
  </si>
  <si>
    <t>Other income</t>
  </si>
  <si>
    <t>Total income</t>
  </si>
  <si>
    <t>Expenses</t>
  </si>
  <si>
    <t>Loan Ammotization</t>
  </si>
  <si>
    <t>Principle</t>
  </si>
  <si>
    <t>Year</t>
  </si>
  <si>
    <t>Balance</t>
  </si>
  <si>
    <t>Loan Installments</t>
  </si>
  <si>
    <t xml:space="preserve"> Preliminary R&amp;D </t>
  </si>
  <si>
    <t>Debentures</t>
  </si>
  <si>
    <t>Time</t>
  </si>
  <si>
    <t>Number Of Shares</t>
  </si>
  <si>
    <t>Cost of Machinery</t>
  </si>
  <si>
    <t>Finance Costs</t>
  </si>
  <si>
    <t>Emploee Benefits</t>
  </si>
  <si>
    <t>Depreciation &amp; Ammortization</t>
  </si>
  <si>
    <t>Other Expenses</t>
  </si>
  <si>
    <t>Total Expenses</t>
  </si>
  <si>
    <t>Profit Before Tax</t>
  </si>
  <si>
    <t>Tax Expenses</t>
  </si>
  <si>
    <t>Current Tax</t>
  </si>
  <si>
    <t>Deferred Tax</t>
  </si>
  <si>
    <t>Total Tax Expenses</t>
  </si>
  <si>
    <t>Profit For The Year</t>
  </si>
  <si>
    <t>Earnings Per Equity Share</t>
  </si>
  <si>
    <t>Basic</t>
  </si>
  <si>
    <t>Kd</t>
  </si>
  <si>
    <t>Kp</t>
  </si>
  <si>
    <t>P+NP/2</t>
  </si>
  <si>
    <t>Ke</t>
  </si>
  <si>
    <t>No Of Shares</t>
  </si>
  <si>
    <t>Cost Per Share</t>
  </si>
  <si>
    <t>Expected Dividend</t>
  </si>
  <si>
    <t>Dividend Amount</t>
  </si>
  <si>
    <t>Growth</t>
  </si>
  <si>
    <t>Ko</t>
  </si>
  <si>
    <t>Sales</t>
  </si>
  <si>
    <t>Assets</t>
  </si>
  <si>
    <t>Current Assets</t>
  </si>
  <si>
    <t>Total Equity</t>
  </si>
  <si>
    <t>Current Liabilities</t>
  </si>
  <si>
    <t>Salvage Value</t>
  </si>
  <si>
    <t>Payback period</t>
  </si>
  <si>
    <t>Avg PVCIF</t>
  </si>
  <si>
    <t>days</t>
  </si>
  <si>
    <t>Months or</t>
  </si>
  <si>
    <t>ARR</t>
  </si>
  <si>
    <t>Total Assets</t>
  </si>
  <si>
    <t xml:space="preserve">Tax </t>
  </si>
  <si>
    <t>Balance Sheet</t>
  </si>
  <si>
    <t>Non current assets</t>
  </si>
  <si>
    <t>Property, plant and equipment</t>
  </si>
  <si>
    <t>Other Intangible assets</t>
  </si>
  <si>
    <t>Inventories</t>
  </si>
  <si>
    <t xml:space="preserve">Accounts receivable </t>
  </si>
  <si>
    <t>Equity and Liabilities</t>
  </si>
  <si>
    <t>Equity share capital</t>
  </si>
  <si>
    <t>Preference share capital</t>
  </si>
  <si>
    <t xml:space="preserve">Liabilities </t>
  </si>
  <si>
    <t>Non current Liabilities</t>
  </si>
  <si>
    <t>Financial Liabilities</t>
  </si>
  <si>
    <t>Borrowings</t>
  </si>
  <si>
    <t xml:space="preserve">Trade Payables </t>
  </si>
  <si>
    <t>Provisions</t>
  </si>
  <si>
    <t xml:space="preserve">Total Liabilities </t>
  </si>
  <si>
    <t xml:space="preserve">Total Equity and Liabilities </t>
  </si>
  <si>
    <t>Cost of Debenture Shares (Kd)</t>
  </si>
  <si>
    <t>Cost of Preference Shares (Kp)</t>
  </si>
  <si>
    <t>Cost of Equity Shares (Ke)</t>
  </si>
  <si>
    <t>TOTAL RAW MATERIAL COST (Per Vehicle)</t>
  </si>
  <si>
    <t>Avg Income</t>
  </si>
  <si>
    <t>Avg Investment</t>
  </si>
  <si>
    <t>PI RATIO</t>
  </si>
  <si>
    <t>IRR</t>
  </si>
  <si>
    <t>r =</t>
  </si>
  <si>
    <t>CASH FLOW OF ABC ENERGY (in Rs. Cr.)</t>
  </si>
  <si>
    <t>12 mths</t>
  </si>
  <si>
    <t>NET PROFIT/LOSS BEFORE EXTRAORDINARY ITEMS AND TAX</t>
  </si>
  <si>
    <t>Net CashFlow From Operating Activities</t>
  </si>
  <si>
    <t>Net Cash Used In Investing Activities</t>
  </si>
  <si>
    <t>Net Cash Used From Financing Activities</t>
  </si>
  <si>
    <t>Foreign Exchange Gains / Losses</t>
  </si>
  <si>
    <t>Adjustments On Amalgamation Merger Demerger Others</t>
  </si>
  <si>
    <t>NET INC/DEC IN CASH AND CASH EQUIVALENTS</t>
  </si>
  <si>
    <t>Cash And Cash Equivalents Begin of Year</t>
  </si>
  <si>
    <t>Cash And Cash Equivalents End Of Year</t>
  </si>
  <si>
    <t>Profit Percentage</t>
  </si>
  <si>
    <t>Profits generated</t>
  </si>
  <si>
    <t>Products Sold</t>
  </si>
  <si>
    <t>Row Labels</t>
  </si>
  <si>
    <t>Average of Profits generated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</si>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</sst>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;[Red]&quot;₹&quot;\ \-#,##0.00"/>
    <numFmt numFmtId="165" formatCode="&quot;₹&quot;\ #,##0.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4"/>
      <name val="Calibri (Body)"/>
    </font>
    <font>
      <b/>
      <sz val="8"/>
      <color rgb="FF333333"/>
      <name val="Arial"/>
      <family val="2"/>
    </font>
    <font>
      <sz val="8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B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E0E0E0"/>
      </bottom>
      <diagonal/>
    </border>
    <border>
      <left/>
      <right/>
      <top style="medium">
        <color indexed="64"/>
      </top>
      <bottom style="medium">
        <color rgb="FFE0E0E0"/>
      </bottom>
      <diagonal/>
    </border>
    <border>
      <left/>
      <right style="medium">
        <color indexed="64"/>
      </right>
      <top style="medium">
        <color indexed="64"/>
      </top>
      <bottom style="medium">
        <color rgb="FFE0E0E0"/>
      </bottom>
      <diagonal/>
    </border>
    <border>
      <left/>
      <right style="medium">
        <color indexed="64"/>
      </right>
      <top/>
      <bottom style="medium">
        <color rgb="FFE0E0E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E0E0E0"/>
      </bottom>
      <diagonal/>
    </border>
    <border>
      <left style="medium">
        <color indexed="64"/>
      </left>
      <right style="thin">
        <color indexed="64"/>
      </right>
      <top/>
      <bottom style="medium">
        <color rgb="FFE0E0E0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0" fillId="0" borderId="1" xfId="0" applyFont="1" applyBorder="1"/>
    <xf numFmtId="0" fontId="0" fillId="0" borderId="3" xfId="0" applyBorder="1"/>
    <xf numFmtId="0" fontId="1" fillId="0" borderId="3" xfId="0" applyFont="1" applyBorder="1"/>
    <xf numFmtId="9" fontId="0" fillId="0" borderId="0" xfId="0" applyNumberFormat="1"/>
    <xf numFmtId="0" fontId="0" fillId="0" borderId="4" xfId="0" applyBorder="1"/>
    <xf numFmtId="0" fontId="1" fillId="0" borderId="4" xfId="0" applyFont="1" applyBorder="1"/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/>
    <xf numFmtId="0" fontId="0" fillId="4" borderId="2" xfId="0" applyFill="1" applyBorder="1"/>
    <xf numFmtId="0" fontId="0" fillId="0" borderId="7" xfId="0" applyBorder="1"/>
    <xf numFmtId="0" fontId="0" fillId="0" borderId="9" xfId="0" applyBorder="1"/>
    <xf numFmtId="0" fontId="0" fillId="0" borderId="6" xfId="0" applyBorder="1"/>
    <xf numFmtId="0" fontId="1" fillId="0" borderId="0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15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165" fontId="1" fillId="2" borderId="16" xfId="0" applyNumberFormat="1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1" fillId="4" borderId="20" xfId="0" applyFont="1" applyFill="1" applyBorder="1"/>
    <xf numFmtId="0" fontId="0" fillId="4" borderId="21" xfId="0" applyFill="1" applyBorder="1"/>
    <xf numFmtId="0" fontId="0" fillId="0" borderId="18" xfId="0" applyFill="1" applyBorder="1"/>
    <xf numFmtId="0" fontId="1" fillId="0" borderId="22" xfId="0" applyFont="1" applyFill="1" applyBorder="1"/>
    <xf numFmtId="0" fontId="0" fillId="0" borderId="23" xfId="0" applyBorder="1"/>
    <xf numFmtId="0" fontId="0" fillId="0" borderId="27" xfId="0" applyBorder="1"/>
    <xf numFmtId="0" fontId="0" fillId="0" borderId="28" xfId="0" applyBorder="1"/>
    <xf numFmtId="0" fontId="1" fillId="4" borderId="22" xfId="0" applyFont="1" applyFill="1" applyBorder="1"/>
    <xf numFmtId="0" fontId="0" fillId="4" borderId="4" xfId="0" applyFill="1" applyBorder="1"/>
    <xf numFmtId="0" fontId="1" fillId="4" borderId="29" xfId="0" applyFont="1" applyFill="1" applyBorder="1"/>
    <xf numFmtId="0" fontId="1" fillId="0" borderId="5" xfId="0" applyFont="1" applyBorder="1"/>
    <xf numFmtId="0" fontId="1" fillId="5" borderId="10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0" fontId="3" fillId="0" borderId="0" xfId="0" applyFont="1"/>
    <xf numFmtId="0" fontId="1" fillId="0" borderId="18" xfId="0" applyFont="1" applyBorder="1"/>
    <xf numFmtId="0" fontId="1" fillId="0" borderId="27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0" fillId="0" borderId="34" xfId="0" applyBorder="1"/>
    <xf numFmtId="0" fontId="2" fillId="0" borderId="10" xfId="0" applyFont="1" applyBorder="1"/>
    <xf numFmtId="0" fontId="2" fillId="0" borderId="34" xfId="0" applyFont="1" applyBorder="1"/>
    <xf numFmtId="0" fontId="1" fillId="7" borderId="30" xfId="0" applyFont="1" applyFill="1" applyBorder="1"/>
    <xf numFmtId="0" fontId="1" fillId="7" borderId="33" xfId="0" applyFont="1" applyFill="1" applyBorder="1"/>
    <xf numFmtId="0" fontId="1" fillId="7" borderId="17" xfId="0" applyFont="1" applyFill="1" applyBorder="1"/>
    <xf numFmtId="9" fontId="0" fillId="0" borderId="19" xfId="0" applyNumberFormat="1" applyBorder="1"/>
    <xf numFmtId="164" fontId="0" fillId="0" borderId="23" xfId="0" applyNumberFormat="1" applyBorder="1"/>
    <xf numFmtId="0" fontId="1" fillId="2" borderId="33" xfId="0" applyFont="1" applyFill="1" applyBorder="1"/>
    <xf numFmtId="0" fontId="1" fillId="2" borderId="17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5" xfId="0" applyFont="1" applyFill="1" applyBorder="1"/>
    <xf numFmtId="0" fontId="0" fillId="0" borderId="36" xfId="0" applyBorder="1"/>
    <xf numFmtId="0" fontId="0" fillId="0" borderId="42" xfId="0" applyBorder="1"/>
    <xf numFmtId="0" fontId="1" fillId="8" borderId="16" xfId="0" applyFont="1" applyFill="1" applyBorder="1"/>
    <xf numFmtId="0" fontId="1" fillId="8" borderId="17" xfId="0" applyFont="1" applyFill="1" applyBorder="1"/>
    <xf numFmtId="0" fontId="1" fillId="5" borderId="20" xfId="0" applyFont="1" applyFill="1" applyBorder="1"/>
    <xf numFmtId="0" fontId="0" fillId="5" borderId="2" xfId="0" applyFill="1" applyBorder="1"/>
    <xf numFmtId="0" fontId="0" fillId="5" borderId="21" xfId="0" applyFill="1" applyBorder="1"/>
    <xf numFmtId="0" fontId="1" fillId="10" borderId="43" xfId="0" applyFont="1" applyFill="1" applyBorder="1"/>
    <xf numFmtId="0" fontId="1" fillId="10" borderId="31" xfId="0" applyFont="1" applyFill="1" applyBorder="1"/>
    <xf numFmtId="0" fontId="1" fillId="10" borderId="44" xfId="0" applyFont="1" applyFill="1" applyBorder="1"/>
    <xf numFmtId="0" fontId="1" fillId="10" borderId="45" xfId="0" applyFont="1" applyFill="1" applyBorder="1"/>
    <xf numFmtId="0" fontId="1" fillId="11" borderId="18" xfId="0" applyFont="1" applyFill="1" applyBorder="1"/>
    <xf numFmtId="0" fontId="0" fillId="11" borderId="19" xfId="0" applyFill="1" applyBorder="1"/>
    <xf numFmtId="0" fontId="1" fillId="11" borderId="48" xfId="0" applyFont="1" applyFill="1" applyBorder="1"/>
    <xf numFmtId="0" fontId="0" fillId="11" borderId="36" xfId="0" applyFill="1" applyBorder="1"/>
    <xf numFmtId="0" fontId="1" fillId="4" borderId="48" xfId="0" applyFont="1" applyFill="1" applyBorder="1"/>
    <xf numFmtId="0" fontId="0" fillId="4" borderId="36" xfId="0" applyFill="1" applyBorder="1"/>
    <xf numFmtId="0" fontId="1" fillId="7" borderId="18" xfId="0" applyFont="1" applyFill="1" applyBorder="1"/>
    <xf numFmtId="0" fontId="0" fillId="7" borderId="19" xfId="0" applyFill="1" applyBorder="1"/>
    <xf numFmtId="0" fontId="1" fillId="7" borderId="48" xfId="0" applyFont="1" applyFill="1" applyBorder="1"/>
    <xf numFmtId="0" fontId="0" fillId="7" borderId="36" xfId="0" applyFill="1" applyBorder="1"/>
    <xf numFmtId="0" fontId="1" fillId="6" borderId="18" xfId="0" applyFont="1" applyFill="1" applyBorder="1"/>
    <xf numFmtId="0" fontId="0" fillId="6" borderId="19" xfId="0" applyFill="1" applyBorder="1"/>
    <xf numFmtId="9" fontId="0" fillId="6" borderId="19" xfId="0" applyNumberFormat="1" applyFill="1" applyBorder="1"/>
    <xf numFmtId="0" fontId="1" fillId="6" borderId="48" xfId="0" applyFont="1" applyFill="1" applyBorder="1"/>
    <xf numFmtId="0" fontId="1" fillId="12" borderId="27" xfId="0" applyFont="1" applyFill="1" applyBorder="1"/>
    <xf numFmtId="0" fontId="0" fillId="12" borderId="23" xfId="0" applyFill="1" applyBorder="1"/>
    <xf numFmtId="0" fontId="1" fillId="9" borderId="46" xfId="0" applyFont="1" applyFill="1" applyBorder="1"/>
    <xf numFmtId="0" fontId="0" fillId="9" borderId="47" xfId="0" applyFill="1" applyBorder="1"/>
    <xf numFmtId="0" fontId="1" fillId="11" borderId="40" xfId="0" applyFont="1" applyFill="1" applyBorder="1"/>
    <xf numFmtId="0" fontId="0" fillId="11" borderId="41" xfId="0" applyFill="1" applyBorder="1"/>
    <xf numFmtId="0" fontId="0" fillId="4" borderId="41" xfId="0" applyFill="1" applyBorder="1"/>
    <xf numFmtId="0" fontId="1" fillId="7" borderId="49" xfId="0" applyFont="1" applyFill="1" applyBorder="1"/>
    <xf numFmtId="0" fontId="0" fillId="7" borderId="50" xfId="0" applyFill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0" xfId="0" applyFill="1"/>
    <xf numFmtId="0" fontId="0" fillId="8" borderId="27" xfId="0" applyFill="1" applyBorder="1"/>
    <xf numFmtId="0" fontId="0" fillId="8" borderId="28" xfId="0" applyFill="1" applyBorder="1"/>
    <xf numFmtId="2" fontId="0" fillId="8" borderId="28" xfId="0" applyNumberFormat="1" applyFill="1" applyBorder="1"/>
    <xf numFmtId="0" fontId="0" fillId="8" borderId="23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9" xfId="0" applyFill="1" applyBorder="1"/>
    <xf numFmtId="0" fontId="9" fillId="4" borderId="40" xfId="0" applyFont="1" applyFill="1" applyBorder="1" applyAlignment="1"/>
    <xf numFmtId="0" fontId="0" fillId="4" borderId="3" xfId="0" applyFill="1" applyBorder="1"/>
    <xf numFmtId="0" fontId="4" fillId="4" borderId="18" xfId="0" applyFont="1" applyFill="1" applyBorder="1"/>
    <xf numFmtId="0" fontId="0" fillId="4" borderId="0" xfId="0" applyFill="1" applyBorder="1"/>
    <xf numFmtId="0" fontId="0" fillId="4" borderId="19" xfId="0" applyFill="1" applyBorder="1"/>
    <xf numFmtId="0" fontId="0" fillId="4" borderId="18" xfId="0" applyFill="1" applyBorder="1"/>
    <xf numFmtId="0" fontId="0" fillId="4" borderId="51" xfId="0" applyFill="1" applyBorder="1"/>
    <xf numFmtId="0" fontId="0" fillId="4" borderId="1" xfId="0" applyFill="1" applyBorder="1"/>
    <xf numFmtId="0" fontId="0" fillId="4" borderId="42" xfId="0" applyFill="1" applyBorder="1"/>
    <xf numFmtId="0" fontId="1" fillId="4" borderId="40" xfId="0" applyFont="1" applyFill="1" applyBorder="1" applyAlignment="1"/>
    <xf numFmtId="2" fontId="0" fillId="4" borderId="1" xfId="0" applyNumberFormat="1" applyFill="1" applyBorder="1"/>
    <xf numFmtId="0" fontId="8" fillId="6" borderId="18" xfId="0" applyFont="1" applyFill="1" applyBorder="1" applyAlignment="1"/>
    <xf numFmtId="0" fontId="0" fillId="6" borderId="0" xfId="0" applyFill="1" applyBorder="1"/>
    <xf numFmtId="0" fontId="4" fillId="6" borderId="18" xfId="0" applyFont="1" applyFill="1" applyBorder="1"/>
    <xf numFmtId="0" fontId="0" fillId="6" borderId="18" xfId="0" applyFill="1" applyBorder="1"/>
    <xf numFmtId="0" fontId="1" fillId="0" borderId="18" xfId="0" applyFont="1" applyFill="1" applyBorder="1"/>
    <xf numFmtId="0" fontId="0" fillId="0" borderId="19" xfId="0" applyFill="1" applyBorder="1"/>
    <xf numFmtId="0" fontId="1" fillId="4" borderId="18" xfId="0" applyFont="1" applyFill="1" applyBorder="1"/>
    <xf numFmtId="0" fontId="1" fillId="4" borderId="51" xfId="0" applyFont="1" applyFill="1" applyBorder="1"/>
    <xf numFmtId="9" fontId="0" fillId="4" borderId="19" xfId="0" applyNumberFormat="1" applyFill="1" applyBorder="1"/>
    <xf numFmtId="9" fontId="0" fillId="6" borderId="36" xfId="0" applyNumberFormat="1" applyFill="1" applyBorder="1"/>
    <xf numFmtId="0" fontId="1" fillId="6" borderId="49" xfId="0" applyFont="1" applyFill="1" applyBorder="1"/>
    <xf numFmtId="0" fontId="0" fillId="6" borderId="50" xfId="0" applyFill="1" applyBorder="1"/>
    <xf numFmtId="0" fontId="1" fillId="8" borderId="15" xfId="0" applyFont="1" applyFill="1" applyBorder="1"/>
    <xf numFmtId="0" fontId="1" fillId="0" borderId="0" xfId="0" applyFont="1" applyFill="1" applyBorder="1"/>
    <xf numFmtId="0" fontId="1" fillId="0" borderId="24" xfId="0" applyFont="1" applyBorder="1"/>
    <xf numFmtId="0" fontId="1" fillId="0" borderId="26" xfId="0" applyFont="1" applyBorder="1"/>
    <xf numFmtId="0" fontId="11" fillId="13" borderId="52" xfId="0" applyFont="1" applyFill="1" applyBorder="1" applyAlignment="1">
      <alignment horizontal="right" vertical="top" wrapText="1"/>
    </xf>
    <xf numFmtId="4" fontId="10" fillId="14" borderId="52" xfId="0" applyNumberFormat="1" applyFont="1" applyFill="1" applyBorder="1" applyAlignment="1">
      <alignment horizontal="right" vertical="top" wrapText="1"/>
    </xf>
    <xf numFmtId="4" fontId="11" fillId="13" borderId="52" xfId="0" applyNumberFormat="1" applyFont="1" applyFill="1" applyBorder="1" applyAlignment="1">
      <alignment horizontal="right" vertical="top" wrapText="1"/>
    </xf>
    <xf numFmtId="17" fontId="10" fillId="0" borderId="52" xfId="0" applyNumberFormat="1" applyFont="1" applyFill="1" applyBorder="1" applyAlignment="1">
      <alignment horizontal="right" vertical="top" wrapText="1"/>
    </xf>
    <xf numFmtId="0" fontId="10" fillId="0" borderId="52" xfId="0" applyFont="1" applyFill="1" applyBorder="1" applyAlignment="1">
      <alignment horizontal="right" vertical="top" wrapText="1"/>
    </xf>
    <xf numFmtId="0" fontId="11" fillId="0" borderId="52" xfId="0" applyFont="1" applyFill="1" applyBorder="1" applyAlignment="1">
      <alignment horizontal="right" vertical="top" wrapText="1"/>
    </xf>
    <xf numFmtId="4" fontId="10" fillId="0" borderId="52" xfId="0" applyNumberFormat="1" applyFont="1" applyFill="1" applyBorder="1" applyAlignment="1">
      <alignment horizontal="right" vertical="top" wrapText="1"/>
    </xf>
    <xf numFmtId="4" fontId="11" fillId="0" borderId="52" xfId="0" applyNumberFormat="1" applyFont="1" applyFill="1" applyBorder="1" applyAlignment="1">
      <alignment horizontal="right" vertical="top" wrapText="1"/>
    </xf>
    <xf numFmtId="0" fontId="11" fillId="13" borderId="55" xfId="0" applyFont="1" applyFill="1" applyBorder="1" applyAlignment="1">
      <alignment horizontal="right" vertical="top" wrapText="1"/>
    </xf>
    <xf numFmtId="4" fontId="10" fillId="14" borderId="55" xfId="0" applyNumberFormat="1" applyFont="1" applyFill="1" applyBorder="1" applyAlignment="1">
      <alignment horizontal="right" vertical="top" wrapText="1"/>
    </xf>
    <xf numFmtId="4" fontId="11" fillId="13" borderId="55" xfId="0" applyNumberFormat="1" applyFont="1" applyFill="1" applyBorder="1" applyAlignment="1">
      <alignment horizontal="right" vertical="top" wrapText="1"/>
    </xf>
    <xf numFmtId="4" fontId="11" fillId="13" borderId="28" xfId="0" applyNumberFormat="1" applyFont="1" applyFill="1" applyBorder="1" applyAlignment="1">
      <alignment horizontal="right" vertical="top" wrapText="1"/>
    </xf>
    <xf numFmtId="4" fontId="11" fillId="13" borderId="23" xfId="0" applyNumberFormat="1" applyFont="1" applyFill="1" applyBorder="1" applyAlignment="1">
      <alignment horizontal="right" vertical="top" wrapText="1"/>
    </xf>
    <xf numFmtId="17" fontId="10" fillId="8" borderId="53" xfId="0" applyNumberFormat="1" applyFont="1" applyFill="1" applyBorder="1" applyAlignment="1">
      <alignment horizontal="right" vertical="top" wrapText="1"/>
    </xf>
    <xf numFmtId="17" fontId="10" fillId="8" borderId="54" xfId="0" applyNumberFormat="1" applyFont="1" applyFill="1" applyBorder="1" applyAlignment="1">
      <alignment horizontal="right" vertical="top" wrapText="1"/>
    </xf>
    <xf numFmtId="0" fontId="10" fillId="8" borderId="56" xfId="0" applyFont="1" applyFill="1" applyBorder="1" applyAlignment="1">
      <alignment horizontal="left" vertical="top" wrapText="1"/>
    </xf>
    <xf numFmtId="0" fontId="11" fillId="7" borderId="57" xfId="0" applyFont="1" applyFill="1" applyBorder="1" applyAlignment="1">
      <alignment horizontal="left" vertical="top" wrapText="1"/>
    </xf>
    <xf numFmtId="0" fontId="10" fillId="7" borderId="57" xfId="0" applyFont="1" applyFill="1" applyBorder="1" applyAlignment="1">
      <alignment horizontal="left" vertical="top" wrapText="1"/>
    </xf>
    <xf numFmtId="0" fontId="11" fillId="7" borderId="32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1" fillId="7" borderId="41" xfId="0" applyFont="1" applyFill="1" applyBorder="1" applyAlignment="1">
      <alignment horizontal="center"/>
    </xf>
    <xf numFmtId="0" fontId="1" fillId="6" borderId="40" xfId="0" applyFont="1" applyFill="1" applyBorder="1" applyAlignment="1">
      <alignment horizontal="center"/>
    </xf>
    <xf numFmtId="0" fontId="1" fillId="6" borderId="41" xfId="0" applyFont="1" applyFill="1" applyBorder="1" applyAlignment="1">
      <alignment horizontal="center"/>
    </xf>
    <xf numFmtId="0" fontId="1" fillId="12" borderId="40" xfId="0" applyFont="1" applyFill="1" applyBorder="1" applyAlignment="1">
      <alignment horizontal="center"/>
    </xf>
    <xf numFmtId="0" fontId="1" fillId="12" borderId="41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4" borderId="41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8" borderId="37" xfId="0" applyFont="1" applyFill="1" applyBorder="1" applyAlignment="1">
      <alignment horizontal="center"/>
    </xf>
    <xf numFmtId="0" fontId="1" fillId="8" borderId="38" xfId="0" applyFont="1" applyFill="1" applyBorder="1" applyAlignment="1">
      <alignment horizontal="center"/>
    </xf>
    <xf numFmtId="0" fontId="1" fillId="8" borderId="39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Profits</a:t>
            </a:r>
            <a:r>
              <a:rPr lang="en-GB" baseline="0"/>
              <a:t> generated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</c:f>
              <c:strCache>
                <c:ptCount val="1"/>
                <c:pt idx="0">
                  <c:v>Profit Percentage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Charts!$A$3:$A$5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Charts!$B$3:$B$5</c:f>
              <c:numCache>
                <c:formatCode>General</c:formatCode>
                <c:ptCount val="3"/>
                <c:pt idx="0">
                  <c:v>0.22512630953037743</c:v>
                </c:pt>
                <c:pt idx="1">
                  <c:v>0.31365932900552318</c:v>
                </c:pt>
                <c:pt idx="2">
                  <c:v>0.46121436146409939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E-D84A-9EFA-FD8609F7BC74}"/>
            </c:ext>
          </c:extLst>
        </c:ser>
        <c:ser>
          <c:idx val="1"/>
          <c:order val="1"/>
          <c:tx>
            <c:strRef>
              <c:f>Charts!$C$2</c:f>
              <c:strCache>
                <c:ptCount val="1"/>
                <c:pt idx="0">
                  <c:v>Profits generated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Charts!$A$3:$A$5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Charts!$C$3:$C$5</c:f>
              <c:numCache>
                <c:formatCode>General</c:formatCode>
                <c:ptCount val="3"/>
                <c:pt idx="0">
                  <c:v>32134445</c:v>
                </c:pt>
                <c:pt idx="1">
                  <c:v>44771615</c:v>
                </c:pt>
                <c:pt idx="2">
                  <c:v>65833565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E-D84A-9EFA-FD8609F7B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77727504"/>
        <c:axId val="1777729152"/>
      </c:barChart>
      <c:catAx>
        <c:axId val="177772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29152"/>
        <c:crosses val="autoZero"/>
        <c:auto val="1"/>
        <c:lblAlgn val="ctr"/>
        <c:lblOffset val="100"/>
        <c:noMultiLvlLbl val="0"/>
      </c:catAx>
      <c:valAx>
        <c:axId val="177772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Charts!$B$2</c:f>
              <c:strCache>
                <c:ptCount val="1"/>
                <c:pt idx="0">
                  <c:v>Profit 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Charts!$A$3:$A$5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Charts!$B$3:$B$5</c:f>
              <c:numCache>
                <c:formatCode>General</c:formatCode>
                <c:ptCount val="3"/>
                <c:pt idx="0">
                  <c:v>0.22512630953037743</c:v>
                </c:pt>
                <c:pt idx="1">
                  <c:v>0.31365932900552318</c:v>
                </c:pt>
                <c:pt idx="2">
                  <c:v>0.46121436146409939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7-0A4B-BEED-66F7C50CD48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Profits generated</a:t>
            </a:r>
            <a:r>
              <a:rPr lang="en-US"/>
              <a:t> increases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3"/>
              <c:pt idx="0">
                <c:v>2019</c:v>
              </c:pt>
              <c:pt idx="1">
                <c:v>2020</c:v>
              </c:pt>
              <c:pt idx="2">
                <c:v>2021</c:v>
              </c:pt>
            </c:strLit>
          </c:cat>
          <c:val>
            <c:numLit>
              <c:formatCode>General</c:formatCode>
              <c:ptCount val="3"/>
              <c:pt idx="0">
                <c:v>32134445</c:v>
              </c:pt>
              <c:pt idx="1">
                <c:v>44771615</c:v>
              </c:pt>
              <c:pt idx="2">
                <c:v>65833565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B2-134F-BA21-8C0A87B70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6783"/>
        <c:axId val="2147269280"/>
      </c:lineChart>
      <c:catAx>
        <c:axId val="919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69280"/>
        <c:crosses val="autoZero"/>
        <c:auto val="1"/>
        <c:lblAlgn val="ctr"/>
        <c:lblOffset val="100"/>
        <c:noMultiLvlLbl val="0"/>
      </c:catAx>
      <c:valAx>
        <c:axId val="21472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 generated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783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12</xdr:row>
      <xdr:rowOff>95250</xdr:rowOff>
    </xdr:from>
    <xdr:to>
      <xdr:col>12</xdr:col>
      <xdr:colOff>260350</xdr:colOff>
      <xdr:row>25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81C7C2-44F2-D0A2-C0AB-3DD0C3B80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13</xdr:row>
      <xdr:rowOff>146050</xdr:rowOff>
    </xdr:from>
    <xdr:to>
      <xdr:col>5</xdr:col>
      <xdr:colOff>685800</xdr:colOff>
      <xdr:row>27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BB557-BCFB-7831-451B-E3C78C1C5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8</xdr:col>
      <xdr:colOff>444500</xdr:colOff>
      <xdr:row>43</xdr:row>
      <xdr:rowOff>101600</xdr:rowOff>
    </xdr:to>
    <xdr:graphicFrame macro="">
      <xdr:nvGraphicFramePr>
        <xdr:cNvPr id="8" name="Chart 7" descr="Chart type: Line. Profits generated increases over time.&#10;&#10;Description automatically generated">
          <a:extLst>
            <a:ext uri="{FF2B5EF4-FFF2-40B4-BE49-F238E27FC236}">
              <a16:creationId xmlns:a16="http://schemas.microsoft.com/office/drawing/2014/main" id="{36202509-1522-4940-B5CC-A6BBAEE2C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ggestion1"/>
      <sheetName val="Suggestion2"/>
      <sheetName val="Suggestion3"/>
    </sheetNames>
    <sheetDataSet>
      <sheetData sheetId="0">
        <row r="2">
          <cell r="C2" t="str">
            <v>Profits generated</v>
          </cell>
        </row>
        <row r="3">
          <cell r="A3">
            <v>2022</v>
          </cell>
          <cell r="C3">
            <v>32134445</v>
          </cell>
        </row>
        <row r="4">
          <cell r="A4">
            <v>2023</v>
          </cell>
          <cell r="C4">
            <v>44771615</v>
          </cell>
        </row>
        <row r="5">
          <cell r="A5">
            <v>2024</v>
          </cell>
          <cell r="C5">
            <v>65833565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ha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35.799727083337" createdVersion="7" refreshedVersion="7" minRefreshableVersion="3" recordCount="3" xr:uid="{3FF7A013-E2FE-AC4F-BED6-0F359BDAE3A3}">
  <cacheSource type="worksheet">
    <worksheetSource ref="A2:E5" sheet="Sheet1" r:id="rId2"/>
  </cacheSource>
  <cacheFields count="3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Products Sold" numFmtId="0">
      <sharedItems containsSemiMixedTypes="0" containsString="0" containsNumber="1" containsInteger="1" minValue="1200" maxValue="2000"/>
    </cacheField>
    <cacheField name="Profits generated" numFmtId="0">
      <sharedItems containsSemiMixedTypes="0" containsString="0" containsNumber="1" containsInteger="1" minValue="32134445" maxValue="658335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200"/>
    <n v="32134445"/>
  </r>
  <r>
    <x v="1"/>
    <n v="1500"/>
    <n v="44771615"/>
  </r>
  <r>
    <x v="2"/>
    <n v="2000"/>
    <n v="658335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0E2A5-FCF1-7742-B491-6FAD0FB1A2F8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1:B35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ofits generated" fld="2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C986-2852-B949-9EA1-B2795DE23713}">
  <dimension ref="A1:G89"/>
  <sheetViews>
    <sheetView zoomScale="83" zoomScaleNormal="90" workbookViewId="0">
      <selection activeCell="B31" sqref="B31:E79"/>
    </sheetView>
  </sheetViews>
  <sheetFormatPr baseColWidth="10" defaultColWidth="11" defaultRowHeight="16" x14ac:dyDescent="0.2"/>
  <cols>
    <col min="1" max="1" width="11.1640625" customWidth="1"/>
    <col min="2" max="2" width="25.5" customWidth="1"/>
    <col min="3" max="3" width="23.6640625" customWidth="1"/>
    <col min="4" max="4" width="16.6640625" customWidth="1"/>
    <col min="5" max="5" width="22.1640625" customWidth="1"/>
    <col min="6" max="6" width="18" customWidth="1"/>
    <col min="7" max="7" width="13.6640625" customWidth="1"/>
    <col min="8" max="8" width="16.6640625" customWidth="1"/>
    <col min="9" max="9" width="20.33203125" customWidth="1"/>
    <col min="10" max="10" width="15.1640625" customWidth="1"/>
    <col min="14" max="14" width="14" customWidth="1"/>
    <col min="15" max="15" width="18" customWidth="1"/>
    <col min="16" max="16" width="18.33203125" customWidth="1"/>
  </cols>
  <sheetData>
    <row r="1" spans="1:7" x14ac:dyDescent="0.2">
      <c r="A1" s="162" t="s">
        <v>87</v>
      </c>
      <c r="B1" s="162"/>
      <c r="C1" s="162"/>
      <c r="D1" s="162"/>
      <c r="E1" s="162"/>
      <c r="F1" s="162"/>
      <c r="G1" s="162"/>
    </row>
    <row r="2" spans="1:7" ht="17" thickBot="1" x14ac:dyDescent="0.25"/>
    <row r="3" spans="1:7" x14ac:dyDescent="0.2">
      <c r="A3" s="19"/>
      <c r="B3" s="25" t="s">
        <v>12</v>
      </c>
      <c r="C3" s="26" t="s">
        <v>13</v>
      </c>
      <c r="D3" s="26" t="s">
        <v>136</v>
      </c>
      <c r="E3" s="27" t="s">
        <v>135</v>
      </c>
      <c r="F3" s="27" t="s">
        <v>134</v>
      </c>
      <c r="G3" s="28" t="s">
        <v>133</v>
      </c>
    </row>
    <row r="4" spans="1:7" x14ac:dyDescent="0.2">
      <c r="A4" s="2"/>
      <c r="B4" s="29"/>
      <c r="C4" s="3"/>
      <c r="D4" s="3"/>
      <c r="E4" s="3"/>
      <c r="F4" s="3"/>
      <c r="G4" s="30"/>
    </row>
    <row r="5" spans="1:7" x14ac:dyDescent="0.2">
      <c r="A5" s="2"/>
      <c r="B5" s="163" t="s">
        <v>60</v>
      </c>
      <c r="C5" s="164"/>
      <c r="D5" s="164"/>
      <c r="E5" s="164"/>
      <c r="F5" s="164"/>
      <c r="G5" s="165"/>
    </row>
    <row r="6" spans="1:7" x14ac:dyDescent="0.2">
      <c r="A6" s="2"/>
      <c r="B6" s="29" t="s">
        <v>52</v>
      </c>
      <c r="C6" s="3">
        <v>5</v>
      </c>
      <c r="D6" s="3">
        <v>800000</v>
      </c>
      <c r="E6" s="3">
        <f t="shared" ref="E6:E13" si="0">C6*D6</f>
        <v>4000000</v>
      </c>
      <c r="F6" s="3"/>
      <c r="G6" s="30">
        <v>20</v>
      </c>
    </row>
    <row r="7" spans="1:7" x14ac:dyDescent="0.2">
      <c r="A7" s="2"/>
      <c r="B7" s="29" t="s">
        <v>53</v>
      </c>
      <c r="C7" s="3">
        <v>5</v>
      </c>
      <c r="D7" s="3">
        <v>275000</v>
      </c>
      <c r="E7" s="3">
        <f t="shared" si="0"/>
        <v>1375000</v>
      </c>
      <c r="F7" s="3"/>
      <c r="G7" s="30">
        <v>20</v>
      </c>
    </row>
    <row r="8" spans="1:7" x14ac:dyDescent="0.2">
      <c r="A8" s="2"/>
      <c r="B8" s="29" t="s">
        <v>54</v>
      </c>
      <c r="C8" s="3">
        <v>5</v>
      </c>
      <c r="D8" s="3">
        <v>120000</v>
      </c>
      <c r="E8" s="3">
        <f t="shared" si="0"/>
        <v>600000</v>
      </c>
      <c r="F8" s="3"/>
      <c r="G8" s="30">
        <v>20</v>
      </c>
    </row>
    <row r="9" spans="1:7" x14ac:dyDescent="0.2">
      <c r="A9" s="2"/>
      <c r="B9" s="29" t="s">
        <v>55</v>
      </c>
      <c r="C9" s="3">
        <v>5</v>
      </c>
      <c r="D9" s="3">
        <v>350000</v>
      </c>
      <c r="E9" s="3">
        <f t="shared" si="0"/>
        <v>1750000</v>
      </c>
      <c r="F9" s="3"/>
      <c r="G9" s="30">
        <v>20</v>
      </c>
    </row>
    <row r="10" spans="1:7" x14ac:dyDescent="0.2">
      <c r="A10" s="2"/>
      <c r="B10" s="29" t="s">
        <v>56</v>
      </c>
      <c r="C10" s="3">
        <v>8</v>
      </c>
      <c r="D10" s="3">
        <v>527500</v>
      </c>
      <c r="E10" s="3">
        <f t="shared" si="0"/>
        <v>4220000</v>
      </c>
      <c r="F10" s="3"/>
      <c r="G10" s="30">
        <v>20</v>
      </c>
    </row>
    <row r="11" spans="1:7" x14ac:dyDescent="0.2">
      <c r="A11" s="2"/>
      <c r="B11" s="29" t="s">
        <v>57</v>
      </c>
      <c r="C11" s="3">
        <v>5</v>
      </c>
      <c r="D11" s="3">
        <v>2500000</v>
      </c>
      <c r="E11" s="3">
        <f t="shared" si="0"/>
        <v>12500000</v>
      </c>
      <c r="F11" s="3"/>
      <c r="G11" s="30">
        <v>20</v>
      </c>
    </row>
    <row r="12" spans="1:7" x14ac:dyDescent="0.2">
      <c r="A12" s="2"/>
      <c r="B12" s="29" t="s">
        <v>58</v>
      </c>
      <c r="C12" s="3">
        <v>3</v>
      </c>
      <c r="D12" s="3">
        <v>100000</v>
      </c>
      <c r="E12" s="3">
        <f t="shared" si="0"/>
        <v>300000</v>
      </c>
      <c r="F12" s="3"/>
      <c r="G12" s="30">
        <v>20</v>
      </c>
    </row>
    <row r="13" spans="1:7" x14ac:dyDescent="0.2">
      <c r="A13" s="2"/>
      <c r="B13" s="29" t="s">
        <v>59</v>
      </c>
      <c r="C13" s="3">
        <v>20</v>
      </c>
      <c r="D13" s="3">
        <v>120000</v>
      </c>
      <c r="E13" s="3">
        <f t="shared" si="0"/>
        <v>2400000</v>
      </c>
      <c r="F13" s="3"/>
      <c r="G13" s="30">
        <v>20</v>
      </c>
    </row>
    <row r="14" spans="1:7" x14ac:dyDescent="0.2">
      <c r="A14" s="2"/>
      <c r="B14" s="29"/>
      <c r="C14" s="3"/>
      <c r="D14" s="3"/>
      <c r="E14" s="3"/>
      <c r="F14" s="3"/>
      <c r="G14" s="30"/>
    </row>
    <row r="15" spans="1:7" x14ac:dyDescent="0.2">
      <c r="A15" s="12"/>
      <c r="B15" s="31" t="s">
        <v>61</v>
      </c>
      <c r="C15" s="14"/>
      <c r="D15" s="14">
        <f>SUM(D6:D13)</f>
        <v>4792500</v>
      </c>
      <c r="E15" s="13">
        <f>SUM(E6:E13)</f>
        <v>27145000</v>
      </c>
      <c r="F15" s="14">
        <f>E15/G15</f>
        <v>1357250</v>
      </c>
      <c r="G15" s="32">
        <v>20</v>
      </c>
    </row>
    <row r="16" spans="1:7" x14ac:dyDescent="0.2">
      <c r="B16" s="29"/>
      <c r="C16" s="3"/>
      <c r="D16" s="3"/>
      <c r="E16" s="3"/>
      <c r="F16" s="3"/>
      <c r="G16" s="30"/>
    </row>
    <row r="17" spans="1:7" x14ac:dyDescent="0.2">
      <c r="A17" s="2"/>
      <c r="B17" s="33" t="s">
        <v>96</v>
      </c>
      <c r="C17" s="3"/>
      <c r="D17" s="3"/>
      <c r="E17" s="3">
        <v>500000</v>
      </c>
      <c r="F17" s="3">
        <f>E17/G17</f>
        <v>100000</v>
      </c>
      <c r="G17" s="30">
        <v>5</v>
      </c>
    </row>
    <row r="18" spans="1:7" ht="17" thickBot="1" x14ac:dyDescent="0.25">
      <c r="A18" s="18"/>
      <c r="B18" s="34" t="s">
        <v>154</v>
      </c>
      <c r="C18" s="10"/>
      <c r="D18" s="10"/>
      <c r="E18" s="10"/>
      <c r="F18" s="11">
        <f>F15+F17</f>
        <v>1457250</v>
      </c>
      <c r="G18" s="35"/>
    </row>
    <row r="19" spans="1:7" ht="17" thickBot="1" x14ac:dyDescent="0.25"/>
    <row r="20" spans="1:7" x14ac:dyDescent="0.2">
      <c r="A20" s="2"/>
      <c r="B20" s="166" t="s">
        <v>72</v>
      </c>
      <c r="C20" s="167"/>
      <c r="D20" s="167"/>
      <c r="E20" s="168"/>
    </row>
    <row r="21" spans="1:7" x14ac:dyDescent="0.2">
      <c r="A21" s="2"/>
      <c r="B21" s="29" t="s">
        <v>62</v>
      </c>
      <c r="C21" s="3">
        <v>60</v>
      </c>
      <c r="D21" s="3">
        <v>3000</v>
      </c>
      <c r="E21" s="30">
        <f>C21*D21</f>
        <v>180000</v>
      </c>
    </row>
    <row r="22" spans="1:7" x14ac:dyDescent="0.2">
      <c r="A22" s="2"/>
      <c r="B22" s="29" t="s">
        <v>63</v>
      </c>
      <c r="C22" s="3">
        <v>30</v>
      </c>
      <c r="D22" s="3">
        <v>40000</v>
      </c>
      <c r="E22" s="30">
        <f>C22*D22</f>
        <v>1200000</v>
      </c>
    </row>
    <row r="23" spans="1:7" ht="17" thickBot="1" x14ac:dyDescent="0.25">
      <c r="A23" s="2"/>
      <c r="B23" s="36" t="s">
        <v>64</v>
      </c>
      <c r="C23" s="37">
        <v>5</v>
      </c>
      <c r="D23" s="37">
        <v>50000</v>
      </c>
      <c r="E23" s="35">
        <f>C23*D23</f>
        <v>250000</v>
      </c>
    </row>
    <row r="24" spans="1:7" x14ac:dyDescent="0.2">
      <c r="A24" s="2"/>
      <c r="B24" s="3"/>
      <c r="C24" s="3"/>
      <c r="D24" s="3"/>
      <c r="E24" s="3"/>
    </row>
    <row r="25" spans="1:7" x14ac:dyDescent="0.2">
      <c r="A25" s="12"/>
      <c r="B25" s="13" t="s">
        <v>73</v>
      </c>
      <c r="C25" s="14"/>
      <c r="D25" s="14"/>
      <c r="E25" s="13">
        <f>SUM(E21:E23)</f>
        <v>1630000</v>
      </c>
      <c r="F25" s="13">
        <f>E25*12</f>
        <v>19560000</v>
      </c>
    </row>
    <row r="26" spans="1:7" x14ac:dyDescent="0.2">
      <c r="A26" s="2"/>
      <c r="E26" s="1"/>
    </row>
    <row r="27" spans="1:7" x14ac:dyDescent="0.2">
      <c r="A27" s="12"/>
      <c r="B27" s="13" t="s">
        <v>78</v>
      </c>
      <c r="C27" s="14">
        <v>1</v>
      </c>
      <c r="D27" s="14">
        <v>50000</v>
      </c>
      <c r="E27" s="13">
        <f>C27*D27</f>
        <v>50000</v>
      </c>
      <c r="F27" s="13">
        <f>E27*12</f>
        <v>600000</v>
      </c>
    </row>
    <row r="28" spans="1:7" x14ac:dyDescent="0.2">
      <c r="A28" s="2"/>
      <c r="E28" s="1"/>
    </row>
    <row r="29" spans="1:7" x14ac:dyDescent="0.2">
      <c r="A29" s="12"/>
      <c r="B29" s="13" t="s">
        <v>147</v>
      </c>
      <c r="C29" s="14">
        <v>1</v>
      </c>
      <c r="D29" s="14">
        <v>2000000</v>
      </c>
      <c r="E29" s="13">
        <v>2000000</v>
      </c>
      <c r="F29" s="13">
        <f>E29</f>
        <v>2000000</v>
      </c>
    </row>
    <row r="30" spans="1:7" ht="17" thickBot="1" x14ac:dyDescent="0.25">
      <c r="A30" s="2"/>
    </row>
    <row r="31" spans="1:7" x14ac:dyDescent="0.2">
      <c r="A31" s="2"/>
      <c r="B31" s="166" t="s">
        <v>69</v>
      </c>
      <c r="C31" s="167"/>
      <c r="D31" s="167"/>
      <c r="E31" s="168"/>
    </row>
    <row r="32" spans="1:7" x14ac:dyDescent="0.2">
      <c r="A32" s="2"/>
      <c r="B32" s="29" t="s">
        <v>14</v>
      </c>
      <c r="C32" s="3">
        <v>2</v>
      </c>
      <c r="D32" s="3">
        <v>299</v>
      </c>
      <c r="E32" s="30">
        <f t="shared" ref="E32:E77" si="1">C32*D32</f>
        <v>598</v>
      </c>
    </row>
    <row r="33" spans="1:5" x14ac:dyDescent="0.2">
      <c r="A33" s="2"/>
      <c r="B33" s="29" t="s">
        <v>15</v>
      </c>
      <c r="C33" s="3">
        <v>2</v>
      </c>
      <c r="D33" s="3">
        <v>399</v>
      </c>
      <c r="E33" s="30">
        <f t="shared" si="1"/>
        <v>798</v>
      </c>
    </row>
    <row r="34" spans="1:5" x14ac:dyDescent="0.2">
      <c r="A34" s="2"/>
      <c r="B34" s="29" t="s">
        <v>16</v>
      </c>
      <c r="C34" s="3">
        <v>2</v>
      </c>
      <c r="D34" s="3">
        <v>349</v>
      </c>
      <c r="E34" s="30">
        <f t="shared" si="1"/>
        <v>698</v>
      </c>
    </row>
    <row r="35" spans="1:5" x14ac:dyDescent="0.2">
      <c r="A35" s="2"/>
      <c r="B35" s="29" t="s">
        <v>17</v>
      </c>
      <c r="C35" s="3">
        <v>2</v>
      </c>
      <c r="D35" s="3">
        <v>120</v>
      </c>
      <c r="E35" s="30">
        <f t="shared" si="1"/>
        <v>240</v>
      </c>
    </row>
    <row r="36" spans="1:5" x14ac:dyDescent="0.2">
      <c r="A36" s="2"/>
      <c r="B36" s="29" t="s">
        <v>18</v>
      </c>
      <c r="C36" s="3">
        <v>2</v>
      </c>
      <c r="D36" s="3">
        <v>100</v>
      </c>
      <c r="E36" s="30">
        <f t="shared" si="1"/>
        <v>200</v>
      </c>
    </row>
    <row r="37" spans="1:5" x14ac:dyDescent="0.2">
      <c r="A37" s="2"/>
      <c r="B37" s="29" t="s">
        <v>19</v>
      </c>
      <c r="C37" s="3">
        <v>2</v>
      </c>
      <c r="D37" s="3">
        <v>40</v>
      </c>
      <c r="E37" s="30">
        <f t="shared" si="1"/>
        <v>80</v>
      </c>
    </row>
    <row r="38" spans="1:5" x14ac:dyDescent="0.2">
      <c r="A38" s="2"/>
      <c r="B38" s="29" t="s">
        <v>71</v>
      </c>
      <c r="C38" s="3">
        <v>2</v>
      </c>
      <c r="D38" s="3">
        <v>340</v>
      </c>
      <c r="E38" s="30">
        <f t="shared" si="1"/>
        <v>680</v>
      </c>
    </row>
    <row r="39" spans="1:5" x14ac:dyDescent="0.2">
      <c r="A39" s="2"/>
      <c r="B39" s="29" t="s">
        <v>20</v>
      </c>
      <c r="C39" s="3">
        <v>2</v>
      </c>
      <c r="D39" s="3">
        <v>1500</v>
      </c>
      <c r="E39" s="30">
        <f t="shared" si="1"/>
        <v>3000</v>
      </c>
    </row>
    <row r="40" spans="1:5" x14ac:dyDescent="0.2">
      <c r="A40" s="2"/>
      <c r="B40" s="29" t="s">
        <v>21</v>
      </c>
      <c r="C40" s="3">
        <v>2</v>
      </c>
      <c r="D40" s="3">
        <v>260</v>
      </c>
      <c r="E40" s="30">
        <f t="shared" si="1"/>
        <v>520</v>
      </c>
    </row>
    <row r="41" spans="1:5" x14ac:dyDescent="0.2">
      <c r="A41" s="2"/>
      <c r="B41" s="29" t="s">
        <v>22</v>
      </c>
      <c r="C41" s="3">
        <v>2</v>
      </c>
      <c r="D41" s="3">
        <v>600</v>
      </c>
      <c r="E41" s="30">
        <f t="shared" si="1"/>
        <v>1200</v>
      </c>
    </row>
    <row r="42" spans="1:5" x14ac:dyDescent="0.2">
      <c r="A42" s="2"/>
      <c r="B42" s="29" t="s">
        <v>23</v>
      </c>
      <c r="C42" s="3">
        <v>1</v>
      </c>
      <c r="D42" s="3">
        <v>2000</v>
      </c>
      <c r="E42" s="30">
        <f t="shared" si="1"/>
        <v>2000</v>
      </c>
    </row>
    <row r="43" spans="1:5" x14ac:dyDescent="0.2">
      <c r="A43" s="2"/>
      <c r="B43" s="29" t="s">
        <v>75</v>
      </c>
      <c r="C43" s="3">
        <v>1</v>
      </c>
      <c r="D43" s="3">
        <v>500</v>
      </c>
      <c r="E43" s="30">
        <f t="shared" si="1"/>
        <v>500</v>
      </c>
    </row>
    <row r="44" spans="1:5" x14ac:dyDescent="0.2">
      <c r="A44" s="2"/>
      <c r="B44" s="29" t="s">
        <v>24</v>
      </c>
      <c r="C44" s="3">
        <v>1</v>
      </c>
      <c r="D44" s="3">
        <v>200</v>
      </c>
      <c r="E44" s="30">
        <f t="shared" si="1"/>
        <v>200</v>
      </c>
    </row>
    <row r="45" spans="1:5" x14ac:dyDescent="0.2">
      <c r="A45" s="2"/>
      <c r="B45" s="29" t="s">
        <v>25</v>
      </c>
      <c r="C45" s="3">
        <v>2</v>
      </c>
      <c r="D45" s="3">
        <v>50</v>
      </c>
      <c r="E45" s="30">
        <f t="shared" si="1"/>
        <v>100</v>
      </c>
    </row>
    <row r="46" spans="1:5" x14ac:dyDescent="0.2">
      <c r="A46" s="2"/>
      <c r="B46" s="29" t="s">
        <v>26</v>
      </c>
      <c r="C46" s="3">
        <v>1</v>
      </c>
      <c r="D46" s="3">
        <v>289</v>
      </c>
      <c r="E46" s="30">
        <f t="shared" si="1"/>
        <v>289</v>
      </c>
    </row>
    <row r="47" spans="1:5" x14ac:dyDescent="0.2">
      <c r="A47" s="2"/>
      <c r="B47" s="29" t="s">
        <v>27</v>
      </c>
      <c r="C47" s="3">
        <v>1</v>
      </c>
      <c r="D47" s="3">
        <v>2500</v>
      </c>
      <c r="E47" s="30">
        <f t="shared" si="1"/>
        <v>2500</v>
      </c>
    </row>
    <row r="48" spans="1:5" x14ac:dyDescent="0.2">
      <c r="A48" s="2"/>
      <c r="B48" s="29" t="s">
        <v>28</v>
      </c>
      <c r="C48" s="3">
        <v>1</v>
      </c>
      <c r="D48" s="3">
        <v>200</v>
      </c>
      <c r="E48" s="30">
        <f t="shared" si="1"/>
        <v>200</v>
      </c>
    </row>
    <row r="49" spans="1:5" x14ac:dyDescent="0.2">
      <c r="A49" s="2"/>
      <c r="B49" s="29" t="s">
        <v>29</v>
      </c>
      <c r="C49" s="3">
        <v>1</v>
      </c>
      <c r="D49" s="3">
        <v>1500</v>
      </c>
      <c r="E49" s="30">
        <f t="shared" si="1"/>
        <v>1500</v>
      </c>
    </row>
    <row r="50" spans="1:5" x14ac:dyDescent="0.2">
      <c r="A50" s="2"/>
      <c r="B50" s="29" t="s">
        <v>3</v>
      </c>
      <c r="C50" s="3">
        <v>1</v>
      </c>
      <c r="D50" s="3">
        <v>6000</v>
      </c>
      <c r="E50" s="30">
        <f t="shared" si="1"/>
        <v>6000</v>
      </c>
    </row>
    <row r="51" spans="1:5" x14ac:dyDescent="0.2">
      <c r="A51" s="2"/>
      <c r="B51" s="29" t="s">
        <v>38</v>
      </c>
      <c r="C51" s="3">
        <v>2</v>
      </c>
      <c r="D51" s="3">
        <v>1800</v>
      </c>
      <c r="E51" s="30">
        <f t="shared" si="1"/>
        <v>3600</v>
      </c>
    </row>
    <row r="52" spans="1:5" x14ac:dyDescent="0.2">
      <c r="A52" s="2"/>
      <c r="B52" s="29" t="s">
        <v>2</v>
      </c>
      <c r="C52" s="3">
        <v>1</v>
      </c>
      <c r="D52" s="3">
        <v>450</v>
      </c>
      <c r="E52" s="30">
        <f t="shared" si="1"/>
        <v>450</v>
      </c>
    </row>
    <row r="53" spans="1:5" x14ac:dyDescent="0.2">
      <c r="A53" s="2"/>
      <c r="B53" s="29" t="s">
        <v>30</v>
      </c>
      <c r="C53" s="3">
        <v>1</v>
      </c>
      <c r="D53" s="3">
        <v>500</v>
      </c>
      <c r="E53" s="30">
        <f t="shared" si="1"/>
        <v>500</v>
      </c>
    </row>
    <row r="54" spans="1:5" x14ac:dyDescent="0.2">
      <c r="A54" s="2"/>
      <c r="B54" s="29" t="s">
        <v>1</v>
      </c>
      <c r="C54" s="3">
        <v>1</v>
      </c>
      <c r="D54" s="3">
        <v>15000</v>
      </c>
      <c r="E54" s="30">
        <f t="shared" si="1"/>
        <v>15000</v>
      </c>
    </row>
    <row r="55" spans="1:5" x14ac:dyDescent="0.2">
      <c r="A55" s="2"/>
      <c r="B55" s="29" t="s">
        <v>31</v>
      </c>
      <c r="C55" s="3">
        <v>1</v>
      </c>
      <c r="D55" s="3">
        <v>500</v>
      </c>
      <c r="E55" s="30">
        <f t="shared" si="1"/>
        <v>500</v>
      </c>
    </row>
    <row r="56" spans="1:5" x14ac:dyDescent="0.2">
      <c r="A56" s="2"/>
      <c r="B56" s="29" t="s">
        <v>32</v>
      </c>
      <c r="C56" s="3">
        <v>1</v>
      </c>
      <c r="D56" s="3">
        <v>500</v>
      </c>
      <c r="E56" s="30">
        <f t="shared" si="1"/>
        <v>500</v>
      </c>
    </row>
    <row r="57" spans="1:5" x14ac:dyDescent="0.2">
      <c r="A57" s="2"/>
      <c r="B57" s="29" t="s">
        <v>33</v>
      </c>
      <c r="C57" s="3">
        <v>1</v>
      </c>
      <c r="D57" s="3">
        <v>1000</v>
      </c>
      <c r="E57" s="30">
        <f t="shared" si="1"/>
        <v>1000</v>
      </c>
    </row>
    <row r="58" spans="1:5" x14ac:dyDescent="0.2">
      <c r="A58" s="2"/>
      <c r="B58" s="29" t="s">
        <v>34</v>
      </c>
      <c r="C58" s="3">
        <v>1</v>
      </c>
      <c r="D58" s="3">
        <v>400</v>
      </c>
      <c r="E58" s="30">
        <f t="shared" si="1"/>
        <v>400</v>
      </c>
    </row>
    <row r="59" spans="1:5" x14ac:dyDescent="0.2">
      <c r="A59" s="2"/>
      <c r="B59" s="29" t="s">
        <v>18</v>
      </c>
      <c r="C59" s="3">
        <v>1</v>
      </c>
      <c r="D59" s="3">
        <v>400</v>
      </c>
      <c r="E59" s="30">
        <f t="shared" si="1"/>
        <v>400</v>
      </c>
    </row>
    <row r="60" spans="1:5" x14ac:dyDescent="0.2">
      <c r="A60" s="2"/>
      <c r="B60" s="29" t="s">
        <v>76</v>
      </c>
      <c r="C60" s="3">
        <v>4</v>
      </c>
      <c r="D60" s="3">
        <v>300</v>
      </c>
      <c r="E60" s="30">
        <f t="shared" si="1"/>
        <v>1200</v>
      </c>
    </row>
    <row r="61" spans="1:5" x14ac:dyDescent="0.2">
      <c r="A61" s="2"/>
      <c r="B61" s="29" t="s">
        <v>77</v>
      </c>
      <c r="C61" s="3">
        <v>4</v>
      </c>
      <c r="D61" s="3">
        <v>300</v>
      </c>
      <c r="E61" s="30">
        <f t="shared" si="1"/>
        <v>1200</v>
      </c>
    </row>
    <row r="62" spans="1:5" x14ac:dyDescent="0.2">
      <c r="A62" s="2"/>
      <c r="B62" s="29" t="s">
        <v>16</v>
      </c>
      <c r="C62" s="3">
        <v>4</v>
      </c>
      <c r="D62" s="3">
        <v>200</v>
      </c>
      <c r="E62" s="30">
        <f t="shared" si="1"/>
        <v>800</v>
      </c>
    </row>
    <row r="63" spans="1:5" x14ac:dyDescent="0.2">
      <c r="A63" s="2"/>
      <c r="B63" s="29" t="s">
        <v>35</v>
      </c>
      <c r="C63" s="3">
        <v>2</v>
      </c>
      <c r="D63" s="3">
        <v>90</v>
      </c>
      <c r="E63" s="30">
        <f t="shared" si="1"/>
        <v>180</v>
      </c>
    </row>
    <row r="64" spans="1:5" x14ac:dyDescent="0.2">
      <c r="A64" s="2"/>
      <c r="B64" s="29" t="s">
        <v>0</v>
      </c>
      <c r="C64" s="3">
        <v>1</v>
      </c>
      <c r="D64" s="3">
        <v>1500</v>
      </c>
      <c r="E64" s="30">
        <f t="shared" si="1"/>
        <v>1500</v>
      </c>
    </row>
    <row r="65" spans="1:5" x14ac:dyDescent="0.2">
      <c r="A65" s="2"/>
      <c r="B65" s="29" t="s">
        <v>4</v>
      </c>
      <c r="C65" s="3">
        <v>1</v>
      </c>
      <c r="D65" s="3">
        <v>5000</v>
      </c>
      <c r="E65" s="30">
        <f t="shared" si="1"/>
        <v>5000</v>
      </c>
    </row>
    <row r="66" spans="1:5" x14ac:dyDescent="0.2">
      <c r="A66" s="2"/>
      <c r="B66" s="29" t="s">
        <v>36</v>
      </c>
      <c r="C66" s="3">
        <v>2</v>
      </c>
      <c r="D66" s="3">
        <v>650</v>
      </c>
      <c r="E66" s="30">
        <f t="shared" si="1"/>
        <v>1300</v>
      </c>
    </row>
    <row r="67" spans="1:5" x14ac:dyDescent="0.2">
      <c r="A67" s="2"/>
      <c r="B67" s="29" t="s">
        <v>37</v>
      </c>
      <c r="C67" s="3">
        <v>1</v>
      </c>
      <c r="D67" s="3">
        <v>400</v>
      </c>
      <c r="E67" s="30">
        <f t="shared" si="1"/>
        <v>400</v>
      </c>
    </row>
    <row r="68" spans="1:5" x14ac:dyDescent="0.2">
      <c r="A68" s="2"/>
      <c r="B68" s="29" t="s">
        <v>39</v>
      </c>
      <c r="C68" s="3">
        <v>1</v>
      </c>
      <c r="D68" s="3">
        <v>1000</v>
      </c>
      <c r="E68" s="30">
        <f t="shared" si="1"/>
        <v>1000</v>
      </c>
    </row>
    <row r="69" spans="1:5" x14ac:dyDescent="0.2">
      <c r="A69" s="2"/>
      <c r="B69" s="29" t="s">
        <v>40</v>
      </c>
      <c r="C69" s="3">
        <v>1</v>
      </c>
      <c r="D69" s="3">
        <v>200</v>
      </c>
      <c r="E69" s="30">
        <f t="shared" si="1"/>
        <v>200</v>
      </c>
    </row>
    <row r="70" spans="1:5" x14ac:dyDescent="0.2">
      <c r="A70" s="2"/>
      <c r="B70" s="29" t="s">
        <v>41</v>
      </c>
      <c r="C70" s="3">
        <v>2</v>
      </c>
      <c r="D70" s="3">
        <v>1800</v>
      </c>
      <c r="E70" s="30">
        <f t="shared" si="1"/>
        <v>3600</v>
      </c>
    </row>
    <row r="71" spans="1:5" x14ac:dyDescent="0.2">
      <c r="A71" s="2"/>
      <c r="B71" s="29" t="s">
        <v>42</v>
      </c>
      <c r="C71" s="3">
        <v>2</v>
      </c>
      <c r="D71" s="3">
        <v>40</v>
      </c>
      <c r="E71" s="30">
        <f t="shared" si="1"/>
        <v>80</v>
      </c>
    </row>
    <row r="72" spans="1:5" x14ac:dyDescent="0.2">
      <c r="A72" s="2"/>
      <c r="B72" s="29" t="s">
        <v>43</v>
      </c>
      <c r="C72" s="3">
        <v>1</v>
      </c>
      <c r="D72" s="3">
        <v>350</v>
      </c>
      <c r="E72" s="30">
        <f t="shared" si="1"/>
        <v>350</v>
      </c>
    </row>
    <row r="73" spans="1:5" x14ac:dyDescent="0.2">
      <c r="A73" s="2"/>
      <c r="B73" s="29" t="s">
        <v>44</v>
      </c>
      <c r="C73" s="3">
        <v>2</v>
      </c>
      <c r="D73" s="3">
        <v>230</v>
      </c>
      <c r="E73" s="30">
        <f t="shared" si="1"/>
        <v>460</v>
      </c>
    </row>
    <row r="74" spans="1:5" x14ac:dyDescent="0.2">
      <c r="A74" s="2"/>
      <c r="B74" s="29" t="s">
        <v>45</v>
      </c>
      <c r="C74" s="3">
        <v>200</v>
      </c>
      <c r="D74" s="3">
        <v>1</v>
      </c>
      <c r="E74" s="30">
        <f t="shared" si="1"/>
        <v>200</v>
      </c>
    </row>
    <row r="75" spans="1:5" x14ac:dyDescent="0.2">
      <c r="A75" s="2"/>
      <c r="B75" s="29" t="s">
        <v>46</v>
      </c>
      <c r="C75" s="3">
        <v>1</v>
      </c>
      <c r="D75" s="3">
        <v>2000</v>
      </c>
      <c r="E75" s="30">
        <f t="shared" si="1"/>
        <v>2000</v>
      </c>
    </row>
    <row r="76" spans="1:5" x14ac:dyDescent="0.2">
      <c r="A76" s="2"/>
      <c r="B76" s="29" t="s">
        <v>48</v>
      </c>
      <c r="C76" s="3">
        <v>1</v>
      </c>
      <c r="D76" s="3">
        <v>1500</v>
      </c>
      <c r="E76" s="30">
        <f t="shared" si="1"/>
        <v>1500</v>
      </c>
    </row>
    <row r="77" spans="1:5" x14ac:dyDescent="0.2">
      <c r="A77" s="2"/>
      <c r="B77" s="29" t="s">
        <v>47</v>
      </c>
      <c r="C77" s="3">
        <v>1</v>
      </c>
      <c r="D77" s="3">
        <v>200</v>
      </c>
      <c r="E77" s="30">
        <f t="shared" si="1"/>
        <v>200</v>
      </c>
    </row>
    <row r="78" spans="1:5" x14ac:dyDescent="0.2">
      <c r="A78" s="2"/>
      <c r="B78" s="29"/>
      <c r="C78" s="3"/>
      <c r="D78" s="3"/>
      <c r="E78" s="30"/>
    </row>
    <row r="79" spans="1:5" ht="17" thickBot="1" x14ac:dyDescent="0.25">
      <c r="A79" s="12"/>
      <c r="B79" s="38" t="s">
        <v>208</v>
      </c>
      <c r="C79" s="39"/>
      <c r="D79" s="39"/>
      <c r="E79" s="40">
        <f>SUM(E32:E77)</f>
        <v>64823</v>
      </c>
    </row>
    <row r="80" spans="1:5" x14ac:dyDescent="0.2">
      <c r="A80" s="2"/>
    </row>
    <row r="81" spans="1:6" ht="17" thickBot="1" x14ac:dyDescent="0.25">
      <c r="A81" s="2"/>
    </row>
    <row r="82" spans="1:6" x14ac:dyDescent="0.2">
      <c r="A82" s="2"/>
      <c r="B82" s="166" t="s">
        <v>49</v>
      </c>
      <c r="C82" s="167"/>
      <c r="D82" s="167"/>
      <c r="E82" s="168"/>
    </row>
    <row r="83" spans="1:6" x14ac:dyDescent="0.2">
      <c r="A83" s="2"/>
      <c r="B83" s="29" t="s">
        <v>50</v>
      </c>
      <c r="C83" s="3">
        <v>5</v>
      </c>
      <c r="D83" s="3">
        <v>1600</v>
      </c>
      <c r="E83" s="30">
        <f>C83*D83</f>
        <v>8000</v>
      </c>
    </row>
    <row r="84" spans="1:6" x14ac:dyDescent="0.2">
      <c r="A84" s="2"/>
      <c r="B84" s="29" t="s">
        <v>51</v>
      </c>
      <c r="C84" s="3">
        <v>4</v>
      </c>
      <c r="D84" s="3">
        <v>1100</v>
      </c>
      <c r="E84" s="30">
        <f>C84*D84</f>
        <v>4400</v>
      </c>
    </row>
    <row r="85" spans="1:6" x14ac:dyDescent="0.2">
      <c r="A85" s="2"/>
      <c r="B85" s="29" t="s">
        <v>65</v>
      </c>
      <c r="C85" s="3">
        <v>1</v>
      </c>
      <c r="D85" s="3">
        <v>75000</v>
      </c>
      <c r="E85" s="30">
        <f>C85*D85</f>
        <v>75000</v>
      </c>
    </row>
    <row r="86" spans="1:6" x14ac:dyDescent="0.2">
      <c r="A86" s="2"/>
      <c r="B86" s="29" t="s">
        <v>66</v>
      </c>
      <c r="C86" s="3">
        <v>1</v>
      </c>
      <c r="D86" s="3">
        <v>200000</v>
      </c>
      <c r="E86" s="30">
        <f t="shared" ref="E86:E87" si="2">C86*D86</f>
        <v>200000</v>
      </c>
    </row>
    <row r="87" spans="1:6" x14ac:dyDescent="0.2">
      <c r="A87" s="2"/>
      <c r="B87" s="29" t="s">
        <v>68</v>
      </c>
      <c r="C87" s="3">
        <v>1</v>
      </c>
      <c r="D87" s="3">
        <v>20000</v>
      </c>
      <c r="E87" s="30">
        <f t="shared" si="2"/>
        <v>20000</v>
      </c>
    </row>
    <row r="88" spans="1:6" x14ac:dyDescent="0.2">
      <c r="A88" s="2"/>
      <c r="B88" s="29"/>
      <c r="C88" s="3"/>
      <c r="D88" s="3"/>
      <c r="E88" s="30"/>
    </row>
    <row r="89" spans="1:6" ht="17" thickBot="1" x14ac:dyDescent="0.25">
      <c r="A89" s="12"/>
      <c r="B89" s="38" t="s">
        <v>74</v>
      </c>
      <c r="C89" s="39"/>
      <c r="D89" s="39"/>
      <c r="E89" s="40">
        <f>SUM(E82:E87)</f>
        <v>307400</v>
      </c>
      <c r="F89" s="13">
        <f>E89*12</f>
        <v>3688800</v>
      </c>
    </row>
  </sheetData>
  <mergeCells count="5">
    <mergeCell ref="A1:G1"/>
    <mergeCell ref="B5:G5"/>
    <mergeCell ref="B20:E20"/>
    <mergeCell ref="B31:E31"/>
    <mergeCell ref="B82:E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6E8D-9ED0-4307-8BCE-AB6BA09C9A32}">
  <dimension ref="C6:O62"/>
  <sheetViews>
    <sheetView topLeftCell="A16" workbookViewId="0">
      <selection activeCell="J52" sqref="J52"/>
    </sheetView>
  </sheetViews>
  <sheetFormatPr baseColWidth="10" defaultColWidth="8.83203125" defaultRowHeight="16" x14ac:dyDescent="0.2"/>
  <cols>
    <col min="3" max="3" width="17.1640625" customWidth="1"/>
    <col min="4" max="4" width="15.33203125" customWidth="1"/>
    <col min="5" max="5" width="17.33203125" customWidth="1"/>
    <col min="6" max="6" width="14" customWidth="1"/>
    <col min="7" max="7" width="15.6640625" customWidth="1"/>
    <col min="9" max="9" width="19.33203125" customWidth="1"/>
    <col min="10" max="10" width="20.83203125" customWidth="1"/>
    <col min="11" max="11" width="14.1640625" customWidth="1"/>
    <col min="12" max="12" width="13.83203125" customWidth="1"/>
    <col min="13" max="13" width="13" customWidth="1"/>
  </cols>
  <sheetData>
    <row r="6" spans="4:12" x14ac:dyDescent="0.2">
      <c r="D6" t="s">
        <v>67</v>
      </c>
      <c r="E6">
        <f>'Cost Sheet'!E15+'Cost Sheet'!E17+'Cost Sheet'!F29</f>
        <v>29645000</v>
      </c>
      <c r="J6" s="3"/>
      <c r="K6" s="4" t="s">
        <v>5</v>
      </c>
    </row>
    <row r="7" spans="4:12" x14ac:dyDescent="0.2">
      <c r="J7" s="5" t="s">
        <v>86</v>
      </c>
      <c r="K7" s="6" t="s">
        <v>6</v>
      </c>
    </row>
    <row r="8" spans="4:12" x14ac:dyDescent="0.2">
      <c r="D8" t="s">
        <v>70</v>
      </c>
      <c r="E8">
        <f>'Cost Sheet'!F25+'Cost Sheet'!F89+'Cost Sheet'!F27</f>
        <v>23848800</v>
      </c>
      <c r="F8" t="s">
        <v>88</v>
      </c>
      <c r="J8" s="7"/>
      <c r="K8" s="8" t="s">
        <v>7</v>
      </c>
    </row>
    <row r="9" spans="4:12" x14ac:dyDescent="0.2">
      <c r="D9" t="s">
        <v>90</v>
      </c>
      <c r="E9">
        <f>'Cost Sheet'!E79</f>
        <v>64823</v>
      </c>
      <c r="F9" t="s">
        <v>91</v>
      </c>
      <c r="J9" s="5" t="s">
        <v>86</v>
      </c>
      <c r="K9" s="6" t="s">
        <v>8</v>
      </c>
    </row>
    <row r="10" spans="4:12" x14ac:dyDescent="0.2">
      <c r="D10" t="s">
        <v>95</v>
      </c>
      <c r="E10">
        <f>'Cost Sheet'!F25+'Cost Sheet'!F27+'Cost Sheet'!F89</f>
        <v>23848800</v>
      </c>
      <c r="J10" s="7"/>
      <c r="K10" s="8" t="s">
        <v>9</v>
      </c>
    </row>
    <row r="11" spans="4:12" x14ac:dyDescent="0.2">
      <c r="D11" t="s">
        <v>80</v>
      </c>
      <c r="E11">
        <v>75000</v>
      </c>
      <c r="J11" s="5" t="s">
        <v>86</v>
      </c>
      <c r="K11" s="6" t="s">
        <v>10</v>
      </c>
    </row>
    <row r="12" spans="4:12" x14ac:dyDescent="0.2">
      <c r="D12" t="s">
        <v>79</v>
      </c>
      <c r="E12">
        <v>125000</v>
      </c>
      <c r="J12" s="7"/>
      <c r="K12" s="8" t="s">
        <v>11</v>
      </c>
    </row>
    <row r="13" spans="4:12" x14ac:dyDescent="0.2">
      <c r="J13" s="5" t="s">
        <v>86</v>
      </c>
      <c r="K13" s="6" t="s">
        <v>81</v>
      </c>
    </row>
    <row r="14" spans="4:12" x14ac:dyDescent="0.2">
      <c r="J14" s="7"/>
      <c r="K14" s="8" t="s">
        <v>82</v>
      </c>
    </row>
    <row r="15" spans="4:12" x14ac:dyDescent="0.2">
      <c r="J15" s="5" t="s">
        <v>86</v>
      </c>
      <c r="K15" s="6" t="s">
        <v>83</v>
      </c>
    </row>
    <row r="16" spans="4:12" x14ac:dyDescent="0.2">
      <c r="K16" s="1" t="s">
        <v>84</v>
      </c>
      <c r="L16" s="1" t="s">
        <v>85</v>
      </c>
    </row>
    <row r="18" spans="3:15" x14ac:dyDescent="0.2">
      <c r="C18" s="1"/>
      <c r="D18" s="1"/>
    </row>
    <row r="19" spans="3:15" x14ac:dyDescent="0.2">
      <c r="C19" s="1"/>
      <c r="D19" s="1"/>
    </row>
    <row r="20" spans="3:15" x14ac:dyDescent="0.2">
      <c r="C20" s="1"/>
      <c r="D20" s="41"/>
      <c r="E20" s="45" t="s">
        <v>92</v>
      </c>
      <c r="F20" s="45" t="s">
        <v>93</v>
      </c>
      <c r="G20" s="46" t="s">
        <v>94</v>
      </c>
      <c r="H20" s="1"/>
      <c r="I20" s="1"/>
    </row>
    <row r="21" spans="3:15" x14ac:dyDescent="0.2">
      <c r="C21" s="1"/>
      <c r="D21" s="42"/>
      <c r="E21" s="24">
        <v>1200</v>
      </c>
      <c r="F21" s="24">
        <v>1500</v>
      </c>
      <c r="G21" s="17">
        <v>2000</v>
      </c>
    </row>
    <row r="22" spans="3:15" x14ac:dyDescent="0.2">
      <c r="C22" s="1"/>
      <c r="D22" s="42" t="s">
        <v>89</v>
      </c>
      <c r="E22" s="20">
        <f>E21*$E12</f>
        <v>150000000</v>
      </c>
      <c r="F22" s="20">
        <f>F21*$E12</f>
        <v>187500000</v>
      </c>
      <c r="G22" s="15">
        <f>G21*$E12</f>
        <v>250000000</v>
      </c>
    </row>
    <row r="23" spans="3:15" ht="17" thickBot="1" x14ac:dyDescent="0.25">
      <c r="C23" s="1"/>
      <c r="D23" s="43" t="s">
        <v>6</v>
      </c>
      <c r="E23" s="21">
        <f>$E9*E21</f>
        <v>77787600</v>
      </c>
      <c r="F23" s="21">
        <f>$E9*F21</f>
        <v>97234500</v>
      </c>
      <c r="G23" s="23">
        <f>$E9*G21</f>
        <v>129646000</v>
      </c>
    </row>
    <row r="24" spans="3:15" ht="17" thickTop="1" x14ac:dyDescent="0.2">
      <c r="C24" s="1"/>
      <c r="D24" s="42"/>
      <c r="E24" s="20"/>
      <c r="F24" s="20"/>
      <c r="G24" s="15"/>
      <c r="J24" s="141" t="s">
        <v>213</v>
      </c>
      <c r="K24" s="142">
        <v>0.10444661377365</v>
      </c>
    </row>
    <row r="25" spans="3:15" x14ac:dyDescent="0.2">
      <c r="C25" s="1"/>
      <c r="D25" s="42" t="s">
        <v>7</v>
      </c>
      <c r="E25" s="20">
        <f>E22-E23</f>
        <v>72212400</v>
      </c>
      <c r="F25" s="20">
        <f>F22-F23</f>
        <v>90265500</v>
      </c>
      <c r="G25" s="15">
        <f>G22-G23</f>
        <v>120354000</v>
      </c>
      <c r="J25" s="29"/>
      <c r="K25" s="30"/>
    </row>
    <row r="26" spans="3:15" ht="17" thickBot="1" x14ac:dyDescent="0.25">
      <c r="C26" s="1"/>
      <c r="D26" s="43" t="s">
        <v>8</v>
      </c>
      <c r="E26" s="21">
        <f>$E10</f>
        <v>23848800</v>
      </c>
      <c r="F26" s="21">
        <f>$E10</f>
        <v>23848800</v>
      </c>
      <c r="G26" s="23">
        <f>$E10</f>
        <v>23848800</v>
      </c>
      <c r="J26" s="29" t="s">
        <v>97</v>
      </c>
      <c r="K26" s="30">
        <v>29645000</v>
      </c>
    </row>
    <row r="27" spans="3:15" ht="17" thickTop="1" x14ac:dyDescent="0.2">
      <c r="C27" s="1"/>
      <c r="D27" s="42"/>
      <c r="E27" s="20"/>
      <c r="F27" s="20"/>
      <c r="G27" s="15"/>
      <c r="J27" s="29" t="s">
        <v>180</v>
      </c>
      <c r="K27" s="30">
        <v>2964500</v>
      </c>
    </row>
    <row r="28" spans="3:15" x14ac:dyDescent="0.2">
      <c r="C28" s="1"/>
      <c r="D28" s="42" t="s">
        <v>9</v>
      </c>
      <c r="E28" s="20">
        <f>E25-E26</f>
        <v>48363600</v>
      </c>
      <c r="F28" s="20">
        <f>F25-F26</f>
        <v>66416700</v>
      </c>
      <c r="G28" s="15">
        <f>G25-G26</f>
        <v>96505200</v>
      </c>
      <c r="J28" s="29" t="s">
        <v>182</v>
      </c>
      <c r="K28" s="30">
        <v>36136878.745787792</v>
      </c>
    </row>
    <row r="29" spans="3:15" ht="17" thickBot="1" x14ac:dyDescent="0.25">
      <c r="C29" s="1"/>
      <c r="D29" s="43" t="s">
        <v>10</v>
      </c>
      <c r="E29" s="21">
        <f>'Cost Sheet'!$F18</f>
        <v>1457250</v>
      </c>
      <c r="F29" s="21">
        <f>'Cost Sheet'!$F18</f>
        <v>1457250</v>
      </c>
      <c r="G29" s="23">
        <f>'Cost Sheet'!$F18</f>
        <v>1457250</v>
      </c>
      <c r="J29" s="29" t="s">
        <v>181</v>
      </c>
      <c r="K29" s="30">
        <v>9.8442370328252551</v>
      </c>
      <c r="M29" t="s">
        <v>184</v>
      </c>
      <c r="N29">
        <v>295.32711098475801</v>
      </c>
      <c r="O29" t="s">
        <v>183</v>
      </c>
    </row>
    <row r="30" spans="3:15" ht="17" thickTop="1" x14ac:dyDescent="0.2">
      <c r="C30" s="1"/>
      <c r="D30" s="42"/>
      <c r="E30" s="20"/>
      <c r="F30" s="20"/>
      <c r="G30" s="15"/>
      <c r="J30" s="29"/>
      <c r="K30" s="30"/>
    </row>
    <row r="31" spans="3:15" x14ac:dyDescent="0.2">
      <c r="C31" s="1"/>
      <c r="D31" s="42" t="s">
        <v>11</v>
      </c>
      <c r="E31" s="20">
        <f>E28-E29</f>
        <v>46906350</v>
      </c>
      <c r="F31" s="20">
        <f>F28-F29</f>
        <v>64959450</v>
      </c>
      <c r="G31" s="15">
        <f>G28-G29</f>
        <v>95047950</v>
      </c>
      <c r="J31" s="29" t="s">
        <v>185</v>
      </c>
      <c r="K31" s="30"/>
    </row>
    <row r="32" spans="3:15" ht="17" thickBot="1" x14ac:dyDescent="0.25">
      <c r="C32" s="1"/>
      <c r="D32" s="43" t="s">
        <v>110</v>
      </c>
      <c r="E32" s="21">
        <v>1000000</v>
      </c>
      <c r="F32" s="21">
        <v>1000000</v>
      </c>
      <c r="G32" s="23">
        <v>1000000</v>
      </c>
      <c r="J32" s="29" t="s">
        <v>209</v>
      </c>
      <c r="K32" s="30">
        <v>47579875</v>
      </c>
    </row>
    <row r="33" spans="3:11" ht="17" thickTop="1" x14ac:dyDescent="0.2">
      <c r="C33" s="1"/>
      <c r="D33" s="42"/>
      <c r="E33" s="20"/>
      <c r="F33" s="20"/>
      <c r="G33" s="15"/>
      <c r="J33" s="29" t="s">
        <v>210</v>
      </c>
      <c r="K33" s="30">
        <v>392519250</v>
      </c>
    </row>
    <row r="34" spans="3:11" x14ac:dyDescent="0.2">
      <c r="C34" s="1"/>
      <c r="D34" s="42" t="s">
        <v>82</v>
      </c>
      <c r="E34" s="20">
        <f>E31-E32</f>
        <v>45906350</v>
      </c>
      <c r="F34" s="20">
        <f>F31-F32</f>
        <v>63959450</v>
      </c>
      <c r="G34" s="15">
        <f>G31-G32</f>
        <v>94047950</v>
      </c>
      <c r="J34" s="29" t="s">
        <v>185</v>
      </c>
      <c r="K34" s="30">
        <v>12.121666644374766</v>
      </c>
    </row>
    <row r="35" spans="3:11" ht="17" thickBot="1" x14ac:dyDescent="0.25">
      <c r="C35" s="1"/>
      <c r="D35" s="43" t="s">
        <v>117</v>
      </c>
      <c r="E35" s="21">
        <f>E34*0.3</f>
        <v>13771905</v>
      </c>
      <c r="F35" s="21">
        <f>F34*0.3</f>
        <v>19187835</v>
      </c>
      <c r="G35" s="23">
        <f>G34*0.3</f>
        <v>28214385</v>
      </c>
      <c r="J35" s="29"/>
      <c r="K35" s="30"/>
    </row>
    <row r="36" spans="3:11" ht="17" thickTop="1" x14ac:dyDescent="0.2">
      <c r="C36" s="1"/>
      <c r="D36" s="42"/>
      <c r="E36" s="20"/>
      <c r="F36" s="20"/>
      <c r="G36" s="15"/>
      <c r="J36" s="29" t="s">
        <v>211</v>
      </c>
      <c r="K36" s="30">
        <v>0.36483128299945322</v>
      </c>
    </row>
    <row r="37" spans="3:11" ht="17" thickBot="1" x14ac:dyDescent="0.25">
      <c r="C37" s="1"/>
      <c r="D37" s="42" t="s">
        <v>84</v>
      </c>
      <c r="E37" s="20">
        <f>E34-E35</f>
        <v>32134445</v>
      </c>
      <c r="F37" s="20">
        <f>F34-F35</f>
        <v>44771615</v>
      </c>
      <c r="G37" s="15">
        <f>G34-G35</f>
        <v>65833565</v>
      </c>
      <c r="J37" s="36" t="s">
        <v>212</v>
      </c>
      <c r="K37" s="35">
        <v>21.40472472537159</v>
      </c>
    </row>
    <row r="38" spans="3:11" ht="17" thickBot="1" x14ac:dyDescent="0.25">
      <c r="C38" s="1"/>
      <c r="D38" s="43" t="s">
        <v>10</v>
      </c>
      <c r="E38" s="21">
        <f>E29</f>
        <v>1457250</v>
      </c>
      <c r="F38" s="21">
        <f>F29</f>
        <v>1457250</v>
      </c>
      <c r="G38" s="23">
        <f>G29</f>
        <v>1457250</v>
      </c>
    </row>
    <row r="39" spans="3:11" ht="17" thickTop="1" x14ac:dyDescent="0.2">
      <c r="C39" s="1"/>
      <c r="D39" s="42"/>
      <c r="E39" s="20"/>
      <c r="F39" s="20"/>
      <c r="G39" s="15"/>
    </row>
    <row r="40" spans="3:11" x14ac:dyDescent="0.2">
      <c r="C40" s="1"/>
      <c r="D40" s="42" t="s">
        <v>85</v>
      </c>
      <c r="E40" s="20">
        <f>E37+E38</f>
        <v>33591695</v>
      </c>
      <c r="F40" s="20">
        <f>F37+F38</f>
        <v>46228865</v>
      </c>
      <c r="G40" s="15">
        <f>G37+G38</f>
        <v>67290815</v>
      </c>
    </row>
    <row r="41" spans="3:11" ht="17" thickBot="1" x14ac:dyDescent="0.25">
      <c r="C41" s="1"/>
      <c r="D41" s="43" t="s">
        <v>118</v>
      </c>
      <c r="E41" s="21">
        <f>1/((1+$K24)^1)</f>
        <v>0.90543081714309492</v>
      </c>
      <c r="F41" s="21">
        <f>1/((1+$K24)^2)</f>
        <v>0.81980496463241259</v>
      </c>
      <c r="G41" s="23">
        <f>1/((1+$K24)^3)</f>
        <v>0.7422766790250912</v>
      </c>
    </row>
    <row r="42" spans="3:11" ht="17" thickTop="1" x14ac:dyDescent="0.2">
      <c r="C42" s="1"/>
      <c r="D42" s="42"/>
      <c r="E42" s="20"/>
      <c r="F42" s="20"/>
      <c r="G42" s="15"/>
    </row>
    <row r="43" spans="3:11" x14ac:dyDescent="0.2">
      <c r="C43" s="1"/>
      <c r="D43" s="42" t="s">
        <v>119</v>
      </c>
      <c r="E43" s="20">
        <f>E40*E41</f>
        <v>30414955.853071615</v>
      </c>
      <c r="F43" s="20">
        <f>F40*F41</f>
        <v>37898653.036321573</v>
      </c>
      <c r="G43" s="15">
        <f>G40*G41</f>
        <v>49948402.68709179</v>
      </c>
    </row>
    <row r="44" spans="3:11" ht="17" thickBot="1" x14ac:dyDescent="0.25">
      <c r="C44" s="1"/>
      <c r="D44" s="43" t="s">
        <v>120</v>
      </c>
      <c r="E44" s="21">
        <v>78000329.690589592</v>
      </c>
      <c r="F44" s="21">
        <v>91880789.138128057</v>
      </c>
      <c r="G44" s="23">
        <v>97626678.338420689</v>
      </c>
    </row>
    <row r="45" spans="3:11" ht="17" thickTop="1" x14ac:dyDescent="0.2">
      <c r="C45" s="1"/>
      <c r="D45" s="42"/>
      <c r="E45" s="20"/>
      <c r="F45" s="20"/>
      <c r="G45" s="20"/>
    </row>
    <row r="46" spans="3:11" x14ac:dyDescent="0.2">
      <c r="C46" s="1"/>
      <c r="D46" s="42" t="s">
        <v>125</v>
      </c>
      <c r="E46" s="20">
        <f>SUM(E44:G44)+E6</f>
        <v>297152797.16713834</v>
      </c>
      <c r="F46" s="20"/>
      <c r="G46" s="15"/>
    </row>
    <row r="47" spans="3:11" x14ac:dyDescent="0.2">
      <c r="C47" s="1"/>
      <c r="D47" s="42" t="s">
        <v>126</v>
      </c>
      <c r="E47" s="20">
        <f>SUM(E43:G43)+I59</f>
        <v>397517261.23757017</v>
      </c>
      <c r="F47" s="20"/>
      <c r="G47" s="15"/>
    </row>
    <row r="48" spans="3:11" x14ac:dyDescent="0.2">
      <c r="C48" s="1"/>
      <c r="D48" s="44" t="s">
        <v>121</v>
      </c>
      <c r="E48" s="22">
        <f>E47-E46</f>
        <v>100364464.07043183</v>
      </c>
      <c r="F48" s="22"/>
      <c r="G48" s="16"/>
    </row>
    <row r="50" spans="3:9" x14ac:dyDescent="0.2">
      <c r="D50" s="140"/>
    </row>
    <row r="58" spans="3:9" x14ac:dyDescent="0.2">
      <c r="C58" t="s">
        <v>122</v>
      </c>
      <c r="D58">
        <v>1</v>
      </c>
      <c r="E58">
        <v>2</v>
      </c>
      <c r="F58">
        <v>3</v>
      </c>
      <c r="G58" t="s">
        <v>128</v>
      </c>
      <c r="H58" t="s">
        <v>129</v>
      </c>
    </row>
    <row r="59" spans="3:9" x14ac:dyDescent="0.2">
      <c r="C59" t="s">
        <v>123</v>
      </c>
      <c r="D59">
        <f>E23+E26</f>
        <v>101636400</v>
      </c>
      <c r="E59">
        <f>F23+F26</f>
        <v>121083300</v>
      </c>
      <c r="F59">
        <f>G23+G26</f>
        <v>153494800</v>
      </c>
      <c r="G59">
        <f>SUM(D59:F59)</f>
        <v>376214500</v>
      </c>
      <c r="H59">
        <f>1/((1+K24)^3)</f>
        <v>0.7422766790250912</v>
      </c>
      <c r="I59">
        <f>G59*H59</f>
        <v>279255249.66108519</v>
      </c>
    </row>
    <row r="60" spans="3:9" x14ac:dyDescent="0.2">
      <c r="C60" t="s">
        <v>118</v>
      </c>
      <c r="D60">
        <f>1/((1+$K24)^D58)</f>
        <v>0.90543081714309492</v>
      </c>
      <c r="E60">
        <f>1/((1+$K24)^E58)</f>
        <v>0.81980496463241259</v>
      </c>
      <c r="F60">
        <f>1/((1+$K24)^F58)</f>
        <v>0.7422766790250912</v>
      </c>
    </row>
    <row r="61" spans="3:9" x14ac:dyDescent="0.2">
      <c r="C61" t="s">
        <v>120</v>
      </c>
      <c r="D61">
        <f>D59*D60</f>
        <v>92024728.703482449</v>
      </c>
      <c r="E61">
        <f>E59*E60</f>
        <v>99264690.474075809</v>
      </c>
      <c r="F61">
        <f>F59*F60</f>
        <v>113935610.39162058</v>
      </c>
    </row>
    <row r="62" spans="3:9" x14ac:dyDescent="0.2">
      <c r="C62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8814-958C-4452-99A9-D0911FB5C4C1}">
  <dimension ref="C5:P38"/>
  <sheetViews>
    <sheetView workbookViewId="0">
      <selection activeCell="I15" sqref="I15"/>
    </sheetView>
  </sheetViews>
  <sheetFormatPr baseColWidth="10" defaultColWidth="8.83203125" defaultRowHeight="16" x14ac:dyDescent="0.2"/>
  <cols>
    <col min="4" max="4" width="26" customWidth="1"/>
    <col min="5" max="5" width="13.33203125" customWidth="1"/>
    <col min="6" max="6" width="14.33203125" customWidth="1"/>
    <col min="7" max="7" width="12.83203125" customWidth="1"/>
    <col min="11" max="11" width="11.83203125" customWidth="1"/>
    <col min="12" max="13" width="11.6640625" customWidth="1"/>
  </cols>
  <sheetData>
    <row r="5" spans="4:16" ht="16" customHeight="1" thickBot="1" x14ac:dyDescent="0.25">
      <c r="E5" s="101"/>
      <c r="F5" s="101"/>
      <c r="G5" s="101"/>
      <c r="H5" s="101"/>
    </row>
    <row r="6" spans="4:16" ht="16" customHeight="1" x14ac:dyDescent="0.2">
      <c r="D6" s="169" t="s">
        <v>188</v>
      </c>
      <c r="E6" s="170"/>
      <c r="F6" s="170"/>
      <c r="G6" s="171"/>
      <c r="H6" s="101"/>
    </row>
    <row r="7" spans="4:16" ht="17" customHeight="1" x14ac:dyDescent="0.2">
      <c r="D7" s="102"/>
      <c r="E7" s="104">
        <v>2022</v>
      </c>
      <c r="F7" s="104">
        <v>2023</v>
      </c>
      <c r="G7" s="105">
        <v>2024</v>
      </c>
      <c r="H7" s="100"/>
    </row>
    <row r="8" spans="4:16" ht="17" customHeight="1" x14ac:dyDescent="0.2">
      <c r="D8" s="102"/>
      <c r="E8" s="106"/>
      <c r="F8" s="103"/>
      <c r="G8" s="107"/>
      <c r="H8" s="100"/>
    </row>
    <row r="9" spans="4:16" x14ac:dyDescent="0.2">
      <c r="D9" s="127" t="s">
        <v>176</v>
      </c>
      <c r="E9" s="128"/>
      <c r="F9" s="128"/>
      <c r="G9" s="88"/>
    </row>
    <row r="10" spans="4:16" x14ac:dyDescent="0.2">
      <c r="D10" s="129" t="s">
        <v>189</v>
      </c>
      <c r="E10" s="128"/>
      <c r="F10" s="128"/>
      <c r="G10" s="88"/>
    </row>
    <row r="11" spans="4:16" x14ac:dyDescent="0.2">
      <c r="D11" s="130" t="s">
        <v>190</v>
      </c>
      <c r="E11" s="128">
        <v>27145000</v>
      </c>
      <c r="F11" s="128">
        <v>27145000</v>
      </c>
      <c r="G11" s="88">
        <v>27145000</v>
      </c>
      <c r="J11" s="47"/>
      <c r="K11" s="47">
        <v>27145000</v>
      </c>
      <c r="L11" s="47">
        <v>500000</v>
      </c>
      <c r="M11" s="47"/>
      <c r="N11" s="47">
        <v>2000000</v>
      </c>
      <c r="O11" s="47"/>
      <c r="P11" s="47"/>
    </row>
    <row r="12" spans="4:16" x14ac:dyDescent="0.2">
      <c r="D12" s="130" t="s">
        <v>191</v>
      </c>
      <c r="E12" s="128">
        <f>L11+N11</f>
        <v>2500000</v>
      </c>
      <c r="F12" s="128">
        <v>2500000</v>
      </c>
      <c r="G12" s="88">
        <v>2500000</v>
      </c>
      <c r="J12" s="47"/>
      <c r="K12" s="47"/>
      <c r="L12" s="47"/>
      <c r="M12" s="47"/>
      <c r="N12" s="47"/>
      <c r="O12" s="47"/>
      <c r="P12" s="47"/>
    </row>
    <row r="13" spans="4:16" x14ac:dyDescent="0.2">
      <c r="D13" s="87" t="s">
        <v>177</v>
      </c>
      <c r="E13" s="128"/>
      <c r="F13" s="128"/>
      <c r="G13" s="88"/>
      <c r="J13" s="47"/>
      <c r="K13" s="47">
        <v>150000000</v>
      </c>
      <c r="L13" s="47">
        <v>187500000</v>
      </c>
      <c r="M13" s="47">
        <v>250000000</v>
      </c>
      <c r="N13" s="47"/>
      <c r="O13" s="47"/>
      <c r="P13" s="47"/>
    </row>
    <row r="14" spans="4:16" x14ac:dyDescent="0.2">
      <c r="D14" s="130" t="s">
        <v>192</v>
      </c>
      <c r="E14" s="128">
        <v>77787600</v>
      </c>
      <c r="F14" s="128">
        <v>97234500</v>
      </c>
      <c r="G14" s="88">
        <v>129646000</v>
      </c>
      <c r="J14" s="47"/>
      <c r="K14" s="47"/>
      <c r="L14" s="47"/>
      <c r="M14" s="47"/>
      <c r="N14" s="47"/>
      <c r="O14" s="47"/>
      <c r="P14" s="47"/>
    </row>
    <row r="15" spans="4:16" x14ac:dyDescent="0.2">
      <c r="D15" s="130" t="s">
        <v>193</v>
      </c>
      <c r="E15" s="128">
        <f>0.1*K13</f>
        <v>15000000</v>
      </c>
      <c r="F15" s="128">
        <f>0.1*L13</f>
        <v>18750000</v>
      </c>
      <c r="G15" s="88">
        <f>0.1*M13</f>
        <v>25000000</v>
      </c>
    </row>
    <row r="16" spans="4:16" x14ac:dyDescent="0.2">
      <c r="D16" s="113" t="s">
        <v>186</v>
      </c>
      <c r="E16" s="114">
        <f>SUM(E11:E15)</f>
        <v>122432600</v>
      </c>
      <c r="F16" s="114">
        <f>SUM(F11:F15)</f>
        <v>145629500</v>
      </c>
      <c r="G16" s="115">
        <f>SUM(G11:G15)</f>
        <v>184291000</v>
      </c>
    </row>
    <row r="17" spans="3:7" x14ac:dyDescent="0.2">
      <c r="D17" s="29"/>
      <c r="E17" s="3"/>
      <c r="F17" s="3"/>
      <c r="G17" s="30"/>
    </row>
    <row r="18" spans="3:7" x14ac:dyDescent="0.2">
      <c r="C18" s="108"/>
      <c r="D18" s="116" t="s">
        <v>194</v>
      </c>
      <c r="E18" s="117"/>
      <c r="F18" s="117"/>
      <c r="G18" s="97"/>
    </row>
    <row r="19" spans="3:7" x14ac:dyDescent="0.2">
      <c r="D19" s="118" t="s">
        <v>98</v>
      </c>
      <c r="E19" s="119"/>
      <c r="F19" s="119"/>
      <c r="G19" s="120"/>
    </row>
    <row r="20" spans="3:7" x14ac:dyDescent="0.2">
      <c r="D20" s="121" t="s">
        <v>195</v>
      </c>
      <c r="E20" s="119">
        <v>15000000</v>
      </c>
      <c r="F20" s="119">
        <v>15000000</v>
      </c>
      <c r="G20" s="120">
        <v>15000000</v>
      </c>
    </row>
    <row r="21" spans="3:7" x14ac:dyDescent="0.2">
      <c r="D21" s="121" t="s">
        <v>196</v>
      </c>
      <c r="E21" s="119">
        <v>4645000</v>
      </c>
      <c r="F21" s="119">
        <v>4645000</v>
      </c>
      <c r="G21" s="120">
        <v>4645000</v>
      </c>
    </row>
    <row r="22" spans="3:7" x14ac:dyDescent="0.2">
      <c r="D22" s="122" t="s">
        <v>178</v>
      </c>
      <c r="E22" s="123">
        <f>SUM(E20:E21)</f>
        <v>19645000</v>
      </c>
      <c r="F22" s="123">
        <f>SUM(F20:F21)</f>
        <v>19645000</v>
      </c>
      <c r="G22" s="124">
        <f>SUM(G20:G21)</f>
        <v>19645000</v>
      </c>
    </row>
    <row r="23" spans="3:7" x14ac:dyDescent="0.2">
      <c r="D23" s="125" t="s">
        <v>197</v>
      </c>
      <c r="E23" s="117"/>
      <c r="F23" s="117"/>
      <c r="G23" s="97"/>
    </row>
    <row r="24" spans="3:7" x14ac:dyDescent="0.2">
      <c r="D24" s="118" t="s">
        <v>198</v>
      </c>
      <c r="E24" s="119"/>
      <c r="F24" s="119"/>
      <c r="G24" s="120"/>
    </row>
    <row r="25" spans="3:7" x14ac:dyDescent="0.2">
      <c r="D25" s="121" t="s">
        <v>199</v>
      </c>
      <c r="E25" s="119"/>
      <c r="F25" s="119"/>
      <c r="G25" s="120"/>
    </row>
    <row r="26" spans="3:7" x14ac:dyDescent="0.2">
      <c r="D26" s="121" t="s">
        <v>200</v>
      </c>
      <c r="E26" s="119">
        <v>10000000</v>
      </c>
      <c r="F26" s="119">
        <v>10000000</v>
      </c>
      <c r="G26" s="120">
        <v>10000000</v>
      </c>
    </row>
    <row r="27" spans="3:7" x14ac:dyDescent="0.2">
      <c r="D27" s="118" t="s">
        <v>179</v>
      </c>
      <c r="E27" s="119"/>
      <c r="F27" s="119"/>
      <c r="G27" s="120"/>
    </row>
    <row r="28" spans="3:7" x14ac:dyDescent="0.2">
      <c r="D28" s="121" t="s">
        <v>201</v>
      </c>
      <c r="E28" s="119">
        <f>0.7*E14</f>
        <v>54451320</v>
      </c>
      <c r="F28" s="119">
        <f>0.7*F14</f>
        <v>68064150</v>
      </c>
      <c r="G28" s="120">
        <f>0.7*G14</f>
        <v>90752200</v>
      </c>
    </row>
    <row r="29" spans="3:7" x14ac:dyDescent="0.2">
      <c r="D29" s="121" t="s">
        <v>202</v>
      </c>
      <c r="E29" s="119">
        <f>E16-SUM(E26,E28,E22)</f>
        <v>38336280</v>
      </c>
      <c r="F29" s="119">
        <f>F16-SUM(F26,F28,F22)</f>
        <v>47920350</v>
      </c>
      <c r="G29" s="120">
        <f>G16-SUM(G26,G28,G22)</f>
        <v>63893800</v>
      </c>
    </row>
    <row r="30" spans="3:7" x14ac:dyDescent="0.2">
      <c r="D30" s="122" t="s">
        <v>203</v>
      </c>
      <c r="E30" s="123">
        <f>SUM(E26:E29)</f>
        <v>102787600</v>
      </c>
      <c r="F30" s="126">
        <f>SUM(F26:F29)</f>
        <v>125984500</v>
      </c>
      <c r="G30" s="124">
        <f>SUM(G26:G29)</f>
        <v>164646000</v>
      </c>
    </row>
    <row r="31" spans="3:7" x14ac:dyDescent="0.2">
      <c r="D31" s="29"/>
      <c r="E31" s="3"/>
      <c r="F31" s="3"/>
      <c r="G31" s="30"/>
    </row>
    <row r="32" spans="3:7" ht="17" thickBot="1" x14ac:dyDescent="0.25">
      <c r="D32" s="109" t="s">
        <v>204</v>
      </c>
      <c r="E32" s="110">
        <f>SUM(E30,E22)</f>
        <v>122432600</v>
      </c>
      <c r="F32" s="111">
        <f>SUM(F22,F30)</f>
        <v>145629500</v>
      </c>
      <c r="G32" s="112">
        <f>SUM(G30,G22)</f>
        <v>184291000</v>
      </c>
    </row>
    <row r="38" spans="3:3" x14ac:dyDescent="0.2">
      <c r="C38" s="108"/>
    </row>
  </sheetData>
  <mergeCells count="1">
    <mergeCell ref="D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42C7-2BC9-E749-A18A-EA363F27D5C2}">
  <dimension ref="C2:I40"/>
  <sheetViews>
    <sheetView workbookViewId="0">
      <selection activeCell="C3" sqref="C3:D40"/>
    </sheetView>
  </sheetViews>
  <sheetFormatPr baseColWidth="10" defaultColWidth="11.1640625" defaultRowHeight="16" x14ac:dyDescent="0.2"/>
  <cols>
    <col min="1" max="1" width="14" customWidth="1"/>
    <col min="2" max="2" width="18.6640625" customWidth="1"/>
    <col min="3" max="3" width="24.6640625" customWidth="1"/>
    <col min="4" max="4" width="19.33203125" customWidth="1"/>
    <col min="5" max="5" width="17.6640625" customWidth="1"/>
  </cols>
  <sheetData>
    <row r="2" spans="3:9" ht="17" thickBot="1" x14ac:dyDescent="0.25">
      <c r="C2" s="1"/>
    </row>
    <row r="3" spans="3:9" ht="17" thickBot="1" x14ac:dyDescent="0.25">
      <c r="C3" s="93" t="s">
        <v>97</v>
      </c>
      <c r="D3" s="94">
        <f>'Capital Budgeting'!E6</f>
        <v>29645000</v>
      </c>
      <c r="G3" t="s">
        <v>99</v>
      </c>
      <c r="H3">
        <v>10000000</v>
      </c>
    </row>
    <row r="4" spans="3:9" ht="17" thickTop="1" x14ac:dyDescent="0.2">
      <c r="C4" s="48"/>
      <c r="D4" s="30"/>
      <c r="G4" s="1" t="s">
        <v>102</v>
      </c>
      <c r="H4" s="1" t="s">
        <v>103</v>
      </c>
      <c r="I4" s="9">
        <v>0.02</v>
      </c>
    </row>
    <row r="5" spans="3:9" x14ac:dyDescent="0.2">
      <c r="C5" s="95" t="s">
        <v>98</v>
      </c>
      <c r="D5" s="96">
        <f>1.5*H3</f>
        <v>15000000</v>
      </c>
      <c r="E5" s="1"/>
      <c r="F5" s="1"/>
    </row>
    <row r="6" spans="3:9" x14ac:dyDescent="0.2">
      <c r="C6" s="77" t="s">
        <v>100</v>
      </c>
      <c r="D6" s="78">
        <f>1*H3</f>
        <v>10000000</v>
      </c>
    </row>
    <row r="7" spans="3:9" ht="17" thickBot="1" x14ac:dyDescent="0.25">
      <c r="C7" s="79" t="s">
        <v>101</v>
      </c>
      <c r="D7" s="80">
        <f>D3-SUM(D5:D6)</f>
        <v>4645000</v>
      </c>
      <c r="E7" s="1"/>
      <c r="F7" s="1"/>
      <c r="G7" s="9"/>
    </row>
    <row r="8" spans="3:9" ht="17" thickTop="1" x14ac:dyDescent="0.2">
      <c r="C8" s="131"/>
      <c r="D8" s="132"/>
      <c r="E8" s="1"/>
      <c r="F8" s="1"/>
      <c r="G8" s="9"/>
    </row>
    <row r="9" spans="3:9" x14ac:dyDescent="0.2">
      <c r="C9" s="178" t="s">
        <v>205</v>
      </c>
      <c r="D9" s="179"/>
    </row>
    <row r="10" spans="3:9" x14ac:dyDescent="0.2">
      <c r="C10" s="133" t="s">
        <v>115</v>
      </c>
      <c r="D10" s="120">
        <v>100000</v>
      </c>
    </row>
    <row r="11" spans="3:9" x14ac:dyDescent="0.2">
      <c r="C11" s="133" t="s">
        <v>104</v>
      </c>
      <c r="D11" s="120">
        <f>D6/D10</f>
        <v>100</v>
      </c>
    </row>
    <row r="12" spans="3:9" x14ac:dyDescent="0.2">
      <c r="C12" s="133" t="s">
        <v>105</v>
      </c>
      <c r="D12" s="120">
        <f>D6</f>
        <v>10000000</v>
      </c>
    </row>
    <row r="13" spans="3:9" x14ac:dyDescent="0.2">
      <c r="C13" s="133" t="s">
        <v>106</v>
      </c>
      <c r="D13" s="120">
        <f>D12-(0.02*D6)</f>
        <v>9800000</v>
      </c>
    </row>
    <row r="14" spans="3:9" x14ac:dyDescent="0.2">
      <c r="C14" s="133" t="s">
        <v>107</v>
      </c>
      <c r="D14" s="120">
        <v>12</v>
      </c>
    </row>
    <row r="15" spans="3:9" x14ac:dyDescent="0.2">
      <c r="C15" s="133" t="s">
        <v>108</v>
      </c>
      <c r="D15" s="120">
        <f>(D12-D13)/12</f>
        <v>16666.666666666668</v>
      </c>
    </row>
    <row r="16" spans="3:9" x14ac:dyDescent="0.2">
      <c r="C16" s="133" t="s">
        <v>109</v>
      </c>
      <c r="D16" s="120">
        <f>(D12+D13)/2</f>
        <v>9900000</v>
      </c>
    </row>
    <row r="17" spans="3:4" x14ac:dyDescent="0.2">
      <c r="C17" s="133" t="s">
        <v>110</v>
      </c>
      <c r="D17" s="120">
        <f>D12*0.1</f>
        <v>1000000</v>
      </c>
    </row>
    <row r="18" spans="3:4" x14ac:dyDescent="0.2">
      <c r="C18" s="133" t="s">
        <v>112</v>
      </c>
      <c r="D18" s="135">
        <v>0.3</v>
      </c>
    </row>
    <row r="19" spans="3:4" ht="17" thickBot="1" x14ac:dyDescent="0.25">
      <c r="C19" s="81" t="s">
        <v>111</v>
      </c>
      <c r="D19" s="82">
        <f>D17*0.7</f>
        <v>700000</v>
      </c>
    </row>
    <row r="20" spans="3:4" ht="17" thickTop="1" x14ac:dyDescent="0.2">
      <c r="C20" s="134" t="s">
        <v>165</v>
      </c>
      <c r="D20" s="124">
        <f>(D19+D15)/D16</f>
        <v>7.239057239057238E-2</v>
      </c>
    </row>
    <row r="21" spans="3:4" x14ac:dyDescent="0.2">
      <c r="C21" s="48"/>
      <c r="D21" s="30"/>
    </row>
    <row r="22" spans="3:4" x14ac:dyDescent="0.2">
      <c r="C22" s="172" t="s">
        <v>206</v>
      </c>
      <c r="D22" s="173"/>
    </row>
    <row r="23" spans="3:4" x14ac:dyDescent="0.2">
      <c r="C23" s="83" t="s">
        <v>105</v>
      </c>
      <c r="D23" s="84">
        <f>D7</f>
        <v>4645000</v>
      </c>
    </row>
    <row r="24" spans="3:4" x14ac:dyDescent="0.2">
      <c r="C24" s="83" t="s">
        <v>113</v>
      </c>
      <c r="D24" s="84">
        <f>0.12*D23</f>
        <v>557400</v>
      </c>
    </row>
    <row r="25" spans="3:4" x14ac:dyDescent="0.2">
      <c r="C25" s="83" t="s">
        <v>114</v>
      </c>
      <c r="D25" s="84">
        <f>D23-0.02*D23</f>
        <v>4552100</v>
      </c>
    </row>
    <row r="26" spans="3:4" x14ac:dyDescent="0.2">
      <c r="C26" s="83" t="s">
        <v>108</v>
      </c>
      <c r="D26" s="84">
        <f>(D23-D25)/10</f>
        <v>9290</v>
      </c>
    </row>
    <row r="27" spans="3:4" ht="17" thickBot="1" x14ac:dyDescent="0.25">
      <c r="C27" s="85" t="s">
        <v>167</v>
      </c>
      <c r="D27" s="86">
        <f>(D23+D25)/2</f>
        <v>4598550</v>
      </c>
    </row>
    <row r="28" spans="3:4" ht="17" thickTop="1" x14ac:dyDescent="0.2">
      <c r="C28" s="98" t="s">
        <v>166</v>
      </c>
      <c r="D28" s="99">
        <f>(D24+D26)/D27</f>
        <v>0.12323232323232323</v>
      </c>
    </row>
    <row r="29" spans="3:4" x14ac:dyDescent="0.2">
      <c r="C29" s="48"/>
      <c r="D29" s="30"/>
    </row>
    <row r="30" spans="3:4" x14ac:dyDescent="0.2">
      <c r="C30" s="174" t="s">
        <v>207</v>
      </c>
      <c r="D30" s="175"/>
    </row>
    <row r="31" spans="3:4" x14ac:dyDescent="0.2">
      <c r="C31" s="87" t="s">
        <v>105</v>
      </c>
      <c r="D31" s="88">
        <f>D5</f>
        <v>15000000</v>
      </c>
    </row>
    <row r="32" spans="3:4" x14ac:dyDescent="0.2">
      <c r="C32" s="87" t="s">
        <v>169</v>
      </c>
      <c r="D32" s="88">
        <v>100000</v>
      </c>
    </row>
    <row r="33" spans="3:4" x14ac:dyDescent="0.2">
      <c r="C33" s="87" t="s">
        <v>170</v>
      </c>
      <c r="D33" s="88">
        <f>D31/D32</f>
        <v>150</v>
      </c>
    </row>
    <row r="34" spans="3:4" x14ac:dyDescent="0.2">
      <c r="C34" s="87" t="s">
        <v>171</v>
      </c>
      <c r="D34" s="89">
        <v>0.04</v>
      </c>
    </row>
    <row r="35" spans="3:4" x14ac:dyDescent="0.2">
      <c r="C35" s="87" t="s">
        <v>172</v>
      </c>
      <c r="D35" s="88">
        <f>0.04*D33</f>
        <v>6</v>
      </c>
    </row>
    <row r="36" spans="3:4" ht="17" thickBot="1" x14ac:dyDescent="0.25">
      <c r="C36" s="90" t="s">
        <v>173</v>
      </c>
      <c r="D36" s="136">
        <v>0.08</v>
      </c>
    </row>
    <row r="37" spans="3:4" ht="17" thickTop="1" x14ac:dyDescent="0.2">
      <c r="C37" s="137" t="s">
        <v>168</v>
      </c>
      <c r="D37" s="138">
        <f>(D35/D33)+0.08</f>
        <v>0.12</v>
      </c>
    </row>
    <row r="38" spans="3:4" x14ac:dyDescent="0.2">
      <c r="C38" s="48"/>
      <c r="D38" s="30"/>
    </row>
    <row r="39" spans="3:4" x14ac:dyDescent="0.2">
      <c r="C39" s="176" t="s">
        <v>116</v>
      </c>
      <c r="D39" s="177"/>
    </row>
    <row r="40" spans="3:4" ht="17" thickBot="1" x14ac:dyDescent="0.25">
      <c r="C40" s="91" t="s">
        <v>174</v>
      </c>
      <c r="D40" s="92">
        <f>(D31/SUM(D5:D7)*D37)+(D23/SUM(D5:D7)*D28)+(D12/SUM(D5:D7)*D20)</f>
        <v>0.10444661377365036</v>
      </c>
    </row>
  </sheetData>
  <mergeCells count="4">
    <mergeCell ref="C22:D22"/>
    <mergeCell ref="C30:D30"/>
    <mergeCell ref="C39:D39"/>
    <mergeCell ref="C9:D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8A3F-7DC3-47D6-A75F-B4F5B9E646DC}">
  <dimension ref="B1:I27"/>
  <sheetViews>
    <sheetView workbookViewId="0">
      <selection activeCell="I26" sqref="I26"/>
    </sheetView>
  </sheetViews>
  <sheetFormatPr baseColWidth="10" defaultColWidth="8.83203125" defaultRowHeight="16" x14ac:dyDescent="0.2"/>
  <cols>
    <col min="2" max="2" width="35.1640625" customWidth="1"/>
    <col min="3" max="3" width="10.1640625" customWidth="1"/>
    <col min="4" max="4" width="10.33203125" customWidth="1"/>
    <col min="5" max="5" width="10.1640625" customWidth="1"/>
    <col min="8" max="8" width="21.83203125" customWidth="1"/>
  </cols>
  <sheetData>
    <row r="1" spans="2:9" ht="17" thickBot="1" x14ac:dyDescent="0.25"/>
    <row r="2" spans="2:9" x14ac:dyDescent="0.2">
      <c r="B2" s="139" t="s">
        <v>144</v>
      </c>
      <c r="C2" s="68">
        <v>2022</v>
      </c>
      <c r="D2" s="68">
        <v>2023</v>
      </c>
      <c r="E2" s="69">
        <v>2024</v>
      </c>
      <c r="F2" s="1"/>
      <c r="G2" s="1"/>
    </row>
    <row r="3" spans="2:9" x14ac:dyDescent="0.2">
      <c r="B3" s="29"/>
      <c r="C3" s="3"/>
      <c r="D3" s="3"/>
      <c r="E3" s="30"/>
    </row>
    <row r="4" spans="2:9" x14ac:dyDescent="0.2">
      <c r="B4" s="180" t="s">
        <v>137</v>
      </c>
      <c r="C4" s="181"/>
      <c r="D4" s="181"/>
      <c r="E4" s="182"/>
    </row>
    <row r="5" spans="2:9" x14ac:dyDescent="0.2">
      <c r="B5" s="73" t="s">
        <v>138</v>
      </c>
      <c r="C5" s="3">
        <v>150000000</v>
      </c>
      <c r="D5" s="3">
        <v>187500000</v>
      </c>
      <c r="E5" s="30">
        <v>225000000</v>
      </c>
    </row>
    <row r="6" spans="2:9" x14ac:dyDescent="0.2">
      <c r="B6" s="74" t="s">
        <v>139</v>
      </c>
      <c r="C6" s="3">
        <v>0</v>
      </c>
      <c r="D6" s="3">
        <v>0</v>
      </c>
      <c r="E6" s="30">
        <v>0</v>
      </c>
    </row>
    <row r="7" spans="2:9" x14ac:dyDescent="0.2">
      <c r="B7" s="75" t="s">
        <v>140</v>
      </c>
      <c r="C7" s="5">
        <f>C5+C6</f>
        <v>150000000</v>
      </c>
      <c r="D7" s="5">
        <f t="shared" ref="D7:E7" si="0">D5+D6</f>
        <v>187500000</v>
      </c>
      <c r="E7" s="67">
        <f t="shared" si="0"/>
        <v>225000000</v>
      </c>
    </row>
    <row r="8" spans="2:9" x14ac:dyDescent="0.2">
      <c r="B8" s="48"/>
      <c r="C8" s="3"/>
      <c r="D8" s="3"/>
      <c r="E8" s="30"/>
    </row>
    <row r="9" spans="2:9" x14ac:dyDescent="0.2">
      <c r="B9" s="180" t="s">
        <v>141</v>
      </c>
      <c r="C9" s="181"/>
      <c r="D9" s="181"/>
      <c r="E9" s="182"/>
    </row>
    <row r="10" spans="2:9" x14ac:dyDescent="0.2">
      <c r="B10" s="73" t="s">
        <v>151</v>
      </c>
      <c r="C10" s="3">
        <v>77787600</v>
      </c>
      <c r="D10" s="3">
        <v>97234500</v>
      </c>
      <c r="E10" s="30">
        <v>116681400</v>
      </c>
    </row>
    <row r="11" spans="2:9" x14ac:dyDescent="0.2">
      <c r="B11" s="74" t="s">
        <v>152</v>
      </c>
      <c r="C11" s="3">
        <v>1000000</v>
      </c>
      <c r="D11" s="3">
        <v>1000000</v>
      </c>
      <c r="E11" s="30">
        <v>1000000</v>
      </c>
    </row>
    <row r="12" spans="2:9" x14ac:dyDescent="0.2">
      <c r="B12" s="74" t="s">
        <v>153</v>
      </c>
      <c r="C12" s="3">
        <v>19560000</v>
      </c>
      <c r="D12" s="3">
        <v>19560000</v>
      </c>
      <c r="E12" s="30">
        <v>19560000</v>
      </c>
    </row>
    <row r="13" spans="2:9" x14ac:dyDescent="0.2">
      <c r="B13" s="74" t="s">
        <v>154</v>
      </c>
      <c r="C13" s="3">
        <v>1457250</v>
      </c>
      <c r="D13" s="3">
        <v>1457250</v>
      </c>
      <c r="E13" s="30">
        <v>1457250</v>
      </c>
    </row>
    <row r="14" spans="2:9" x14ac:dyDescent="0.2">
      <c r="B14" s="74" t="s">
        <v>155</v>
      </c>
      <c r="C14" s="3">
        <v>4288800</v>
      </c>
      <c r="D14" s="3">
        <v>4288800</v>
      </c>
      <c r="E14" s="30">
        <v>4288800</v>
      </c>
      <c r="I14" s="1"/>
    </row>
    <row r="15" spans="2:9" x14ac:dyDescent="0.2">
      <c r="B15" s="75" t="s">
        <v>156</v>
      </c>
      <c r="C15" s="5">
        <f>SUM(C10:C14)</f>
        <v>104093650</v>
      </c>
      <c r="D15" s="5">
        <f t="shared" ref="D15:E15" si="1">SUM(D10:D14)</f>
        <v>123540550</v>
      </c>
      <c r="E15" s="67">
        <f t="shared" si="1"/>
        <v>142987450</v>
      </c>
    </row>
    <row r="16" spans="2:9" x14ac:dyDescent="0.2">
      <c r="B16" s="48"/>
      <c r="C16" s="3"/>
      <c r="D16" s="3"/>
      <c r="E16" s="30"/>
    </row>
    <row r="17" spans="2:9" x14ac:dyDescent="0.2">
      <c r="B17" s="70" t="s">
        <v>187</v>
      </c>
      <c r="C17" s="71"/>
      <c r="D17" s="71"/>
      <c r="E17" s="72"/>
    </row>
    <row r="18" spans="2:9" x14ac:dyDescent="0.2">
      <c r="B18" s="73" t="s">
        <v>157</v>
      </c>
      <c r="C18" s="3">
        <f>C7-C15</f>
        <v>45906350</v>
      </c>
      <c r="D18" s="3">
        <f>D7-D15</f>
        <v>63959450</v>
      </c>
      <c r="E18" s="30">
        <f>E7-E15</f>
        <v>82012550</v>
      </c>
    </row>
    <row r="19" spans="2:9" x14ac:dyDescent="0.2">
      <c r="B19" s="74" t="s">
        <v>158</v>
      </c>
      <c r="C19" s="3"/>
      <c r="D19" s="3"/>
      <c r="E19" s="30"/>
    </row>
    <row r="20" spans="2:9" x14ac:dyDescent="0.2">
      <c r="B20" s="74" t="s">
        <v>159</v>
      </c>
      <c r="C20" s="3">
        <f>0.3*C18</f>
        <v>13771905</v>
      </c>
      <c r="D20" s="3">
        <f t="shared" ref="D20:E20" si="2">0.3*D18</f>
        <v>19187835</v>
      </c>
      <c r="E20" s="30">
        <f t="shared" si="2"/>
        <v>24603765</v>
      </c>
    </row>
    <row r="21" spans="2:9" x14ac:dyDescent="0.2">
      <c r="B21" s="74" t="s">
        <v>160</v>
      </c>
      <c r="C21" s="3">
        <v>0</v>
      </c>
      <c r="D21" s="3">
        <v>0</v>
      </c>
      <c r="E21" s="30">
        <v>0</v>
      </c>
    </row>
    <row r="22" spans="2:9" x14ac:dyDescent="0.2">
      <c r="B22" s="75" t="s">
        <v>161</v>
      </c>
      <c r="C22" s="5">
        <f>C20+C21</f>
        <v>13771905</v>
      </c>
      <c r="D22" s="5">
        <f t="shared" ref="D22:E22" si="3">D20+D21</f>
        <v>19187835</v>
      </c>
      <c r="E22" s="67">
        <f t="shared" si="3"/>
        <v>24603765</v>
      </c>
    </row>
    <row r="23" spans="2:9" x14ac:dyDescent="0.2">
      <c r="B23" s="48"/>
      <c r="C23" s="3"/>
      <c r="D23" s="3"/>
      <c r="E23" s="30"/>
    </row>
    <row r="24" spans="2:9" x14ac:dyDescent="0.2">
      <c r="B24" s="70" t="s">
        <v>162</v>
      </c>
      <c r="C24" s="71">
        <f>C18-C22</f>
        <v>32134445</v>
      </c>
      <c r="D24" s="71">
        <f t="shared" ref="D24:E24" si="4">D18-D22</f>
        <v>44771615</v>
      </c>
      <c r="E24" s="72">
        <f t="shared" si="4"/>
        <v>57408785</v>
      </c>
    </row>
    <row r="25" spans="2:9" x14ac:dyDescent="0.2">
      <c r="B25" s="48"/>
      <c r="C25" s="3"/>
      <c r="D25" s="3"/>
      <c r="E25" s="30"/>
    </row>
    <row r="26" spans="2:9" x14ac:dyDescent="0.2">
      <c r="B26" s="70" t="s">
        <v>163</v>
      </c>
      <c r="C26" s="71"/>
      <c r="D26" s="71"/>
      <c r="E26" s="72"/>
    </row>
    <row r="27" spans="2:9" ht="17" thickBot="1" x14ac:dyDescent="0.25">
      <c r="B27" s="76" t="s">
        <v>164</v>
      </c>
      <c r="C27" s="37">
        <f>C24/$I27</f>
        <v>321.34444999999999</v>
      </c>
      <c r="D27" s="37">
        <f>D24/$I27</f>
        <v>447.71615000000003</v>
      </c>
      <c r="E27" s="35">
        <f>E24/$I27</f>
        <v>574.08785</v>
      </c>
      <c r="H27" s="1" t="s">
        <v>150</v>
      </c>
      <c r="I27">
        <v>100000</v>
      </c>
    </row>
  </sheetData>
  <mergeCells count="2">
    <mergeCell ref="B4:E4"/>
    <mergeCell ref="B9:E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6C3D-0A3C-43EB-8818-2328A86ADBE8}">
  <dimension ref="A1:H21"/>
  <sheetViews>
    <sheetView workbookViewId="0">
      <selection activeCell="A9" sqref="A9:E21"/>
    </sheetView>
  </sheetViews>
  <sheetFormatPr baseColWidth="10" defaultColWidth="8.83203125" defaultRowHeight="16" x14ac:dyDescent="0.2"/>
  <cols>
    <col min="1" max="1" width="18.33203125" customWidth="1"/>
    <col min="2" max="2" width="15.5" customWidth="1"/>
    <col min="3" max="3" width="11.1640625" customWidth="1"/>
    <col min="4" max="4" width="18.6640625" customWidth="1"/>
    <col min="5" max="5" width="14.6640625" customWidth="1"/>
  </cols>
  <sheetData>
    <row r="1" spans="1:8" ht="17" thickBot="1" x14ac:dyDescent="0.25"/>
    <row r="2" spans="1:8" x14ac:dyDescent="0.2">
      <c r="A2" s="183" t="s">
        <v>142</v>
      </c>
      <c r="B2" s="184"/>
    </row>
    <row r="3" spans="1:8" x14ac:dyDescent="0.2">
      <c r="A3" s="48"/>
      <c r="B3" s="30"/>
    </row>
    <row r="4" spans="1:8" x14ac:dyDescent="0.2">
      <c r="A4" s="48" t="s">
        <v>148</v>
      </c>
      <c r="B4" s="30">
        <v>10000000</v>
      </c>
    </row>
    <row r="5" spans="1:8" x14ac:dyDescent="0.2">
      <c r="A5" s="48" t="s">
        <v>110</v>
      </c>
      <c r="B5" s="59">
        <v>0.1</v>
      </c>
    </row>
    <row r="6" spans="1:8" x14ac:dyDescent="0.2">
      <c r="A6" s="48" t="s">
        <v>149</v>
      </c>
      <c r="B6" s="30">
        <v>12</v>
      </c>
    </row>
    <row r="7" spans="1:8" ht="17" thickBot="1" x14ac:dyDescent="0.25">
      <c r="A7" s="49" t="s">
        <v>146</v>
      </c>
      <c r="B7" s="60">
        <f>PMT(B5,B6,B4)</f>
        <v>-1467633.1510028734</v>
      </c>
    </row>
    <row r="8" spans="1:8" ht="17" thickBot="1" x14ac:dyDescent="0.25">
      <c r="A8" s="1"/>
      <c r="B8" s="1"/>
      <c r="C8" s="1"/>
      <c r="D8" s="1"/>
      <c r="E8" s="1"/>
      <c r="F8" s="1"/>
      <c r="G8" s="1"/>
    </row>
    <row r="9" spans="1:8" x14ac:dyDescent="0.2">
      <c r="A9" s="56" t="s">
        <v>144</v>
      </c>
      <c r="B9" s="57" t="s">
        <v>143</v>
      </c>
      <c r="C9" s="57" t="s">
        <v>110</v>
      </c>
      <c r="D9" s="57" t="s">
        <v>146</v>
      </c>
      <c r="E9" s="58" t="s">
        <v>145</v>
      </c>
      <c r="F9" s="1"/>
      <c r="G9" s="1"/>
    </row>
    <row r="10" spans="1:8" x14ac:dyDescent="0.2">
      <c r="A10" s="51">
        <v>1</v>
      </c>
      <c r="B10" s="20">
        <v>10000000</v>
      </c>
      <c r="C10" s="20">
        <f>B10*0.1</f>
        <v>1000000</v>
      </c>
      <c r="D10" s="54">
        <v>-1467633.15</v>
      </c>
      <c r="E10" s="30">
        <f>B10+C10+D10</f>
        <v>9532366.8499999996</v>
      </c>
    </row>
    <row r="11" spans="1:8" x14ac:dyDescent="0.2">
      <c r="A11" s="51">
        <v>2</v>
      </c>
      <c r="B11" s="20">
        <v>9532366.8499999996</v>
      </c>
      <c r="C11" s="20">
        <f t="shared" ref="C11:C21" si="0">B11*0.1</f>
        <v>953236.68500000006</v>
      </c>
      <c r="D11" s="54">
        <v>-1467633.15</v>
      </c>
      <c r="E11" s="30">
        <f t="shared" ref="E11:E20" si="1">B11+C11+D11</f>
        <v>9017970.3849999998</v>
      </c>
      <c r="H11">
        <f>-D10+C10</f>
        <v>2467633.15</v>
      </c>
    </row>
    <row r="12" spans="1:8" x14ac:dyDescent="0.2">
      <c r="A12" s="51">
        <v>3</v>
      </c>
      <c r="B12" s="20">
        <v>9017970.3849999998</v>
      </c>
      <c r="C12" s="20">
        <f t="shared" si="0"/>
        <v>901797.03850000002</v>
      </c>
      <c r="D12" s="54">
        <v>-1467633.15</v>
      </c>
      <c r="E12" s="30">
        <f t="shared" si="1"/>
        <v>8452134.2734999992</v>
      </c>
      <c r="H12">
        <f>-D11+C11</f>
        <v>2420869.835</v>
      </c>
    </row>
    <row r="13" spans="1:8" x14ac:dyDescent="0.2">
      <c r="A13" s="51">
        <v>4</v>
      </c>
      <c r="B13" s="20">
        <v>8452134.2734999992</v>
      </c>
      <c r="C13" s="20">
        <f t="shared" si="0"/>
        <v>845213.42735000001</v>
      </c>
      <c r="D13" s="54">
        <v>-1467633.15</v>
      </c>
      <c r="E13" s="30">
        <f t="shared" si="1"/>
        <v>7829714.5508499984</v>
      </c>
      <c r="H13">
        <f>-D12+C12</f>
        <v>2369430.1885000002</v>
      </c>
    </row>
    <row r="14" spans="1:8" x14ac:dyDescent="0.2">
      <c r="A14" s="51">
        <v>5</v>
      </c>
      <c r="B14" s="20">
        <v>7829714.5508499984</v>
      </c>
      <c r="C14" s="20">
        <f t="shared" si="0"/>
        <v>782971.45508499991</v>
      </c>
      <c r="D14" s="54">
        <v>-1467633.15</v>
      </c>
      <c r="E14" s="30">
        <f t="shared" si="1"/>
        <v>7145052.855934998</v>
      </c>
    </row>
    <row r="15" spans="1:8" x14ac:dyDescent="0.2">
      <c r="A15" s="51">
        <v>6</v>
      </c>
      <c r="B15" s="20">
        <v>7145052.855934998</v>
      </c>
      <c r="C15" s="20">
        <f t="shared" si="0"/>
        <v>714505.2855934999</v>
      </c>
      <c r="D15" s="54">
        <v>-1467633.15</v>
      </c>
      <c r="E15" s="30">
        <f t="shared" si="1"/>
        <v>6391924.991528498</v>
      </c>
    </row>
    <row r="16" spans="1:8" x14ac:dyDescent="0.2">
      <c r="A16" s="51">
        <v>7</v>
      </c>
      <c r="B16" s="20">
        <v>6391924.991528498</v>
      </c>
      <c r="C16" s="20">
        <f t="shared" si="0"/>
        <v>639192.49915284989</v>
      </c>
      <c r="D16" s="54">
        <v>-1467633.15</v>
      </c>
      <c r="E16" s="30">
        <f t="shared" si="1"/>
        <v>5563484.340681348</v>
      </c>
    </row>
    <row r="17" spans="1:5" x14ac:dyDescent="0.2">
      <c r="A17" s="51">
        <v>8</v>
      </c>
      <c r="B17" s="20">
        <v>5563484.340681348</v>
      </c>
      <c r="C17" s="20">
        <f t="shared" si="0"/>
        <v>556348.43406813487</v>
      </c>
      <c r="D17" s="54">
        <v>-1467633.15</v>
      </c>
      <c r="E17" s="30">
        <f t="shared" si="1"/>
        <v>4652199.6247494835</v>
      </c>
    </row>
    <row r="18" spans="1:5" x14ac:dyDescent="0.2">
      <c r="A18" s="51">
        <v>9</v>
      </c>
      <c r="B18" s="20">
        <v>4652199.6247494835</v>
      </c>
      <c r="C18" s="20">
        <f t="shared" si="0"/>
        <v>465219.96247494838</v>
      </c>
      <c r="D18" s="54">
        <v>-1467633.15</v>
      </c>
      <c r="E18" s="30">
        <f t="shared" si="1"/>
        <v>3649786.4372244324</v>
      </c>
    </row>
    <row r="19" spans="1:5" x14ac:dyDescent="0.2">
      <c r="A19" s="51">
        <v>10</v>
      </c>
      <c r="B19" s="20">
        <v>3649786.4372244324</v>
      </c>
      <c r="C19" s="20">
        <f t="shared" si="0"/>
        <v>364978.64372244326</v>
      </c>
      <c r="D19" s="54">
        <v>-1467633.15</v>
      </c>
      <c r="E19" s="30">
        <f t="shared" si="1"/>
        <v>2547131.9309468758</v>
      </c>
    </row>
    <row r="20" spans="1:5" x14ac:dyDescent="0.2">
      <c r="A20" s="51">
        <v>11</v>
      </c>
      <c r="B20" s="20">
        <v>2547131.9309468758</v>
      </c>
      <c r="C20" s="20">
        <f t="shared" si="0"/>
        <v>254713.19309468759</v>
      </c>
      <c r="D20" s="54">
        <v>-1467633.15</v>
      </c>
      <c r="E20" s="30">
        <f t="shared" si="1"/>
        <v>1334211.9740415635</v>
      </c>
    </row>
    <row r="21" spans="1:5" ht="17" thickBot="1" x14ac:dyDescent="0.25">
      <c r="A21" s="52">
        <v>12</v>
      </c>
      <c r="B21" s="53">
        <v>1334211.9740415635</v>
      </c>
      <c r="C21" s="53">
        <f t="shared" si="0"/>
        <v>133421.19740415635</v>
      </c>
      <c r="D21" s="55">
        <v>-1467633.15</v>
      </c>
      <c r="E21" s="35">
        <v>0</v>
      </c>
    </row>
  </sheetData>
  <mergeCells count="1">
    <mergeCell ref="A2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3655-6B6A-5641-8A93-E3AC09F2081D}">
  <dimension ref="D3:H28"/>
  <sheetViews>
    <sheetView zoomScale="118" workbookViewId="0">
      <selection activeCell="J13" sqref="J13"/>
    </sheetView>
  </sheetViews>
  <sheetFormatPr baseColWidth="10" defaultColWidth="11.1640625" defaultRowHeight="16" x14ac:dyDescent="0.2"/>
  <cols>
    <col min="5" max="5" width="12.83203125" customWidth="1"/>
  </cols>
  <sheetData>
    <row r="3" spans="4:8" ht="17" thickBot="1" x14ac:dyDescent="0.25"/>
    <row r="4" spans="4:8" ht="17" thickBot="1" x14ac:dyDescent="0.25">
      <c r="E4" s="185" t="s">
        <v>127</v>
      </c>
      <c r="F4" s="186"/>
      <c r="G4" s="186"/>
      <c r="H4" s="187"/>
    </row>
    <row r="5" spans="4:8" x14ac:dyDescent="0.2">
      <c r="D5" s="1"/>
      <c r="E5" s="50" t="s">
        <v>144</v>
      </c>
      <c r="F5" s="61">
        <v>2022</v>
      </c>
      <c r="G5" s="61">
        <v>2023</v>
      </c>
      <c r="H5" s="62">
        <v>2024</v>
      </c>
    </row>
    <row r="6" spans="4:8" x14ac:dyDescent="0.2">
      <c r="E6" s="63"/>
      <c r="F6" s="20">
        <v>1200</v>
      </c>
      <c r="G6" s="20">
        <v>1500</v>
      </c>
      <c r="H6" s="30">
        <v>1800</v>
      </c>
    </row>
    <row r="7" spans="4:8" x14ac:dyDescent="0.2">
      <c r="E7" s="63" t="s">
        <v>175</v>
      </c>
      <c r="F7" s="20">
        <v>150000000</v>
      </c>
      <c r="G7" s="20">
        <v>187500000</v>
      </c>
      <c r="H7" s="30">
        <v>225000000</v>
      </c>
    </row>
    <row r="8" spans="4:8" ht="17" thickBot="1" x14ac:dyDescent="0.25">
      <c r="E8" s="65" t="s">
        <v>6</v>
      </c>
      <c r="F8" s="21">
        <v>77787600</v>
      </c>
      <c r="G8" s="21">
        <v>97234500</v>
      </c>
      <c r="H8" s="66">
        <v>116681400</v>
      </c>
    </row>
    <row r="9" spans="4:8" ht="17" thickTop="1" x14ac:dyDescent="0.2">
      <c r="E9" s="63"/>
      <c r="F9" s="20"/>
      <c r="G9" s="20"/>
      <c r="H9" s="30"/>
    </row>
    <row r="10" spans="4:8" x14ac:dyDescent="0.2">
      <c r="E10" s="63" t="s">
        <v>7</v>
      </c>
      <c r="F10" s="20">
        <v>72212400</v>
      </c>
      <c r="G10" s="20">
        <v>90265500</v>
      </c>
      <c r="H10" s="30">
        <v>108318600</v>
      </c>
    </row>
    <row r="11" spans="4:8" ht="17" thickBot="1" x14ac:dyDescent="0.25">
      <c r="E11" s="65" t="s">
        <v>8</v>
      </c>
      <c r="F11" s="21">
        <v>23848800</v>
      </c>
      <c r="G11" s="21">
        <v>23848800</v>
      </c>
      <c r="H11" s="66">
        <v>23848800</v>
      </c>
    </row>
    <row r="12" spans="4:8" ht="17" thickTop="1" x14ac:dyDescent="0.2">
      <c r="E12" s="63"/>
      <c r="F12" s="20"/>
      <c r="G12" s="20"/>
      <c r="H12" s="30"/>
    </row>
    <row r="13" spans="4:8" x14ac:dyDescent="0.2">
      <c r="E13" s="63" t="s">
        <v>9</v>
      </c>
      <c r="F13" s="20">
        <v>48363600</v>
      </c>
      <c r="G13" s="20">
        <v>66416700</v>
      </c>
      <c r="H13" s="30">
        <v>84469800</v>
      </c>
    </row>
    <row r="14" spans="4:8" ht="17" thickBot="1" x14ac:dyDescent="0.25">
      <c r="E14" s="65" t="s">
        <v>10</v>
      </c>
      <c r="F14" s="21">
        <v>1457250</v>
      </c>
      <c r="G14" s="21">
        <v>1457250</v>
      </c>
      <c r="H14" s="66">
        <v>1457250</v>
      </c>
    </row>
    <row r="15" spans="4:8" ht="17" thickTop="1" x14ac:dyDescent="0.2">
      <c r="E15" s="63"/>
      <c r="F15" s="20"/>
      <c r="G15" s="20"/>
      <c r="H15" s="30"/>
    </row>
    <row r="16" spans="4:8" x14ac:dyDescent="0.2">
      <c r="E16" s="63" t="s">
        <v>11</v>
      </c>
      <c r="F16" s="20">
        <v>46906350</v>
      </c>
      <c r="G16" s="20">
        <v>64959450</v>
      </c>
      <c r="H16" s="30">
        <v>83012550</v>
      </c>
    </row>
    <row r="17" spans="5:8" ht="17" thickBot="1" x14ac:dyDescent="0.25">
      <c r="E17" s="65" t="s">
        <v>110</v>
      </c>
      <c r="F17" s="21">
        <v>1000000</v>
      </c>
      <c r="G17" s="21">
        <v>1000000</v>
      </c>
      <c r="H17" s="66">
        <v>1000000</v>
      </c>
    </row>
    <row r="18" spans="5:8" ht="17" thickTop="1" x14ac:dyDescent="0.2">
      <c r="E18" s="63"/>
      <c r="F18" s="20"/>
      <c r="G18" s="20"/>
      <c r="H18" s="30"/>
    </row>
    <row r="19" spans="5:8" x14ac:dyDescent="0.2">
      <c r="E19" s="63" t="s">
        <v>82</v>
      </c>
      <c r="F19" s="20">
        <v>45906350</v>
      </c>
      <c r="G19" s="20">
        <v>63959450</v>
      </c>
      <c r="H19" s="30">
        <v>82012550</v>
      </c>
    </row>
    <row r="20" spans="5:8" ht="17" thickBot="1" x14ac:dyDescent="0.25">
      <c r="E20" s="65" t="s">
        <v>117</v>
      </c>
      <c r="F20" s="21">
        <v>13771905</v>
      </c>
      <c r="G20" s="21">
        <v>19187835</v>
      </c>
      <c r="H20" s="66">
        <v>24603765</v>
      </c>
    </row>
    <row r="21" spans="5:8" ht="17" thickTop="1" x14ac:dyDescent="0.2">
      <c r="E21" s="63"/>
      <c r="F21" s="20"/>
      <c r="G21" s="20"/>
      <c r="H21" s="30"/>
    </row>
    <row r="22" spans="5:8" ht="17" thickBot="1" x14ac:dyDescent="0.25">
      <c r="E22" s="65" t="s">
        <v>84</v>
      </c>
      <c r="F22" s="21">
        <v>32134445</v>
      </c>
      <c r="G22" s="21">
        <v>44771615</v>
      </c>
      <c r="H22" s="66">
        <v>57408785</v>
      </c>
    </row>
    <row r="23" spans="5:8" ht="17" thickTop="1" x14ac:dyDescent="0.2">
      <c r="E23" s="63"/>
      <c r="F23" s="20"/>
      <c r="G23" s="20"/>
      <c r="H23" s="30"/>
    </row>
    <row r="24" spans="5:8" ht="17" thickBot="1" x14ac:dyDescent="0.25">
      <c r="E24" s="65" t="s">
        <v>130</v>
      </c>
      <c r="F24" s="21">
        <f>F10/F16</f>
        <v>1.5395015813423982</v>
      </c>
      <c r="G24" s="21">
        <f t="shared" ref="G24:H24" si="0">G10/G16</f>
        <v>1.3895668759510742</v>
      </c>
      <c r="H24" s="66">
        <f t="shared" si="0"/>
        <v>1.3048460744790999</v>
      </c>
    </row>
    <row r="25" spans="5:8" ht="17" thickTop="1" x14ac:dyDescent="0.2">
      <c r="E25" s="63"/>
      <c r="F25" s="20"/>
      <c r="G25" s="20"/>
      <c r="H25" s="30"/>
    </row>
    <row r="26" spans="5:8" ht="17" thickBot="1" x14ac:dyDescent="0.25">
      <c r="E26" s="65" t="s">
        <v>131</v>
      </c>
      <c r="F26" s="21">
        <f>F16/F19</f>
        <v>1.021783478756207</v>
      </c>
      <c r="G26" s="21">
        <f t="shared" ref="G26:H26" si="1">G16/G19</f>
        <v>1.0156349061788368</v>
      </c>
      <c r="H26" s="66">
        <f t="shared" si="1"/>
        <v>1.0121932557882909</v>
      </c>
    </row>
    <row r="27" spans="5:8" ht="17" thickTop="1" x14ac:dyDescent="0.2">
      <c r="E27" s="63"/>
      <c r="F27" s="20"/>
      <c r="G27" s="20"/>
      <c r="H27" s="30"/>
    </row>
    <row r="28" spans="5:8" ht="17" thickBot="1" x14ac:dyDescent="0.25">
      <c r="E28" s="64" t="s">
        <v>132</v>
      </c>
      <c r="F28" s="53">
        <f>F24*F26</f>
        <v>1.5730372813347175</v>
      </c>
      <c r="G28" s="53">
        <f t="shared" ref="G28:H28" si="2">G24*G26</f>
        <v>1.4112926236857886</v>
      </c>
      <c r="H28" s="35">
        <f t="shared" si="2"/>
        <v>1.320756396429571</v>
      </c>
    </row>
  </sheetData>
  <mergeCells count="1">
    <mergeCell ref="E4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E453E-1DAD-EC42-91E0-73FC5AA48B4A}">
  <dimension ref="C3:K16"/>
  <sheetViews>
    <sheetView workbookViewId="0">
      <selection activeCell="I16" sqref="I16"/>
    </sheetView>
  </sheetViews>
  <sheetFormatPr baseColWidth="10" defaultRowHeight="16" x14ac:dyDescent="0.2"/>
  <cols>
    <col min="3" max="3" width="28.1640625" customWidth="1"/>
  </cols>
  <sheetData>
    <row r="3" spans="3:11" x14ac:dyDescent="0.2">
      <c r="J3" t="s">
        <v>99</v>
      </c>
      <c r="K3">
        <v>10000000</v>
      </c>
    </row>
    <row r="5" spans="3:11" ht="17" thickBot="1" x14ac:dyDescent="0.25"/>
    <row r="6" spans="3:11" ht="24" customHeight="1" thickBot="1" x14ac:dyDescent="0.25">
      <c r="C6" s="158" t="s">
        <v>214</v>
      </c>
      <c r="D6" s="156">
        <v>44621</v>
      </c>
      <c r="E6" s="156">
        <v>44986</v>
      </c>
      <c r="F6" s="157">
        <v>45352</v>
      </c>
      <c r="G6" s="146"/>
      <c r="H6" s="146"/>
      <c r="I6" s="147"/>
      <c r="K6" s="47">
        <v>45906350</v>
      </c>
    </row>
    <row r="7" spans="3:11" ht="17" thickBot="1" x14ac:dyDescent="0.25">
      <c r="C7" s="159"/>
      <c r="D7" s="143" t="s">
        <v>215</v>
      </c>
      <c r="E7" s="143" t="s">
        <v>215</v>
      </c>
      <c r="F7" s="151" t="s">
        <v>215</v>
      </c>
      <c r="G7" s="148"/>
      <c r="H7" s="148"/>
      <c r="I7" s="148"/>
      <c r="K7" s="47"/>
    </row>
    <row r="8" spans="3:11" ht="25" thickBot="1" x14ac:dyDescent="0.25">
      <c r="C8" s="160" t="s">
        <v>216</v>
      </c>
      <c r="D8" s="144">
        <f>45906350/K3</f>
        <v>4.5906349999999998</v>
      </c>
      <c r="E8" s="144">
        <f>63959450/K3</f>
        <v>6.3959450000000002</v>
      </c>
      <c r="F8" s="152">
        <f>94047950/K3</f>
        <v>9.404795</v>
      </c>
      <c r="G8" s="149"/>
      <c r="H8" s="149"/>
      <c r="I8" s="147"/>
      <c r="K8" s="47"/>
    </row>
    <row r="9" spans="3:11" ht="17" thickBot="1" x14ac:dyDescent="0.25">
      <c r="C9" s="159" t="s">
        <v>217</v>
      </c>
      <c r="D9" s="145">
        <f>101636400/K3</f>
        <v>10.163639999999999</v>
      </c>
      <c r="E9" s="145">
        <f>121083300/K3</f>
        <v>12.10833</v>
      </c>
      <c r="F9" s="153">
        <f>153494800/K3</f>
        <v>15.34948</v>
      </c>
      <c r="G9" s="150"/>
      <c r="H9" s="150"/>
      <c r="I9" s="148"/>
      <c r="K9" s="47"/>
    </row>
    <row r="10" spans="3:11" ht="17" thickBot="1" x14ac:dyDescent="0.25">
      <c r="C10" s="159" t="s">
        <v>218</v>
      </c>
      <c r="D10" s="145">
        <v>-7.2</v>
      </c>
      <c r="E10" s="145">
        <v>-8.5</v>
      </c>
      <c r="F10" s="153">
        <f>-8.6</f>
        <v>-8.6</v>
      </c>
      <c r="G10" s="150"/>
      <c r="H10" s="150"/>
      <c r="I10" s="148"/>
    </row>
    <row r="11" spans="3:11" ht="17" thickBot="1" x14ac:dyDescent="0.25">
      <c r="C11" s="159" t="s">
        <v>219</v>
      </c>
      <c r="D11" s="145">
        <f>(0.4*L9)/K3</f>
        <v>0</v>
      </c>
      <c r="E11" s="145">
        <f>(0.35*L9)/K3</f>
        <v>0</v>
      </c>
      <c r="F11" s="153">
        <f>(0.25*L9)/K3</f>
        <v>0</v>
      </c>
      <c r="G11" s="150"/>
      <c r="H11" s="150"/>
      <c r="I11" s="148"/>
    </row>
    <row r="12" spans="3:11" ht="17" thickBot="1" x14ac:dyDescent="0.25">
      <c r="C12" s="159" t="s">
        <v>220</v>
      </c>
      <c r="D12" s="143">
        <v>0</v>
      </c>
      <c r="E12" s="143">
        <v>0</v>
      </c>
      <c r="F12" s="151">
        <v>0</v>
      </c>
      <c r="G12" s="148"/>
      <c r="H12" s="148"/>
      <c r="I12" s="148"/>
    </row>
    <row r="13" spans="3:11" ht="25" thickBot="1" x14ac:dyDescent="0.25">
      <c r="C13" s="159" t="s">
        <v>221</v>
      </c>
      <c r="D13" s="143">
        <v>0</v>
      </c>
      <c r="E13" s="143">
        <v>0</v>
      </c>
      <c r="F13" s="151">
        <v>0</v>
      </c>
      <c r="G13" s="148"/>
      <c r="H13" s="148"/>
      <c r="I13" s="148"/>
    </row>
    <row r="14" spans="3:11" ht="25" thickBot="1" x14ac:dyDescent="0.25">
      <c r="C14" s="160" t="s">
        <v>222</v>
      </c>
      <c r="D14" s="144">
        <f>SUM(D9:D13)</f>
        <v>2.9636399999999989</v>
      </c>
      <c r="E14" s="144">
        <f>SUM(E9:E13)</f>
        <v>3.6083300000000005</v>
      </c>
      <c r="F14" s="152">
        <f>SUM(F9:F13)</f>
        <v>6.7494800000000001</v>
      </c>
      <c r="G14" s="147"/>
      <c r="H14" s="147"/>
      <c r="I14" s="147"/>
    </row>
    <row r="15" spans="3:11" ht="17" thickBot="1" x14ac:dyDescent="0.25">
      <c r="C15" s="159" t="s">
        <v>223</v>
      </c>
      <c r="D15" s="143">
        <f>150000000/K3</f>
        <v>15</v>
      </c>
      <c r="E15" s="143">
        <f>187500000/K3</f>
        <v>18.75</v>
      </c>
      <c r="F15" s="151">
        <f>250000000/K3</f>
        <v>25</v>
      </c>
      <c r="G15" s="148"/>
      <c r="H15" s="148"/>
      <c r="I15" s="148"/>
    </row>
    <row r="16" spans="3:11" ht="17" thickBot="1" x14ac:dyDescent="0.25">
      <c r="C16" s="161" t="s">
        <v>224</v>
      </c>
      <c r="D16" s="154">
        <f>D15-D14</f>
        <v>12.036360000000002</v>
      </c>
      <c r="E16" s="154">
        <f t="shared" ref="E16:F16" si="0">E15-E14</f>
        <v>15.14167</v>
      </c>
      <c r="F16" s="155">
        <f t="shared" si="0"/>
        <v>18.250520000000002</v>
      </c>
      <c r="G16" s="148"/>
      <c r="H16" s="148"/>
      <c r="I16" s="10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4D27F-9DA8-7E4F-BE98-5499256879CC}">
  <dimension ref="A2:G35"/>
  <sheetViews>
    <sheetView tabSelected="1" topLeftCell="A4" workbookViewId="0">
      <selection activeCell="J42" sqref="J42"/>
    </sheetView>
  </sheetViews>
  <sheetFormatPr baseColWidth="10" defaultRowHeight="16" x14ac:dyDescent="0.2"/>
  <cols>
    <col min="2" max="2" width="24" customWidth="1"/>
  </cols>
  <sheetData>
    <row r="2" spans="1:7" x14ac:dyDescent="0.2">
      <c r="A2" t="s">
        <v>144</v>
      </c>
      <c r="B2" t="s">
        <v>225</v>
      </c>
      <c r="C2" t="s">
        <v>226</v>
      </c>
      <c r="E2" t="s">
        <v>227</v>
      </c>
    </row>
    <row r="3" spans="1:7" x14ac:dyDescent="0.2">
      <c r="A3">
        <v>2022</v>
      </c>
      <c r="B3">
        <f>C3/G4</f>
        <v>0.22512630953037743</v>
      </c>
      <c r="C3" s="20">
        <v>32134445</v>
      </c>
      <c r="E3">
        <v>1200</v>
      </c>
    </row>
    <row r="4" spans="1:7" x14ac:dyDescent="0.2">
      <c r="A4">
        <v>2023</v>
      </c>
      <c r="B4">
        <f>C4/G4</f>
        <v>0.31365932900552318</v>
      </c>
      <c r="C4">
        <v>44771615</v>
      </c>
      <c r="D4">
        <f>C4-C3</f>
        <v>12637170</v>
      </c>
      <c r="E4">
        <v>1500</v>
      </c>
      <c r="G4">
        <f>SUM(C3:C5)</f>
        <v>142739625</v>
      </c>
    </row>
    <row r="5" spans="1:7" x14ac:dyDescent="0.2">
      <c r="A5">
        <v>2024</v>
      </c>
      <c r="B5">
        <f>C5/G4</f>
        <v>0.46121436146409939</v>
      </c>
      <c r="C5">
        <v>65833565</v>
      </c>
      <c r="D5">
        <f>C5-C4</f>
        <v>21061950</v>
      </c>
      <c r="E5">
        <v>2000</v>
      </c>
    </row>
    <row r="6" spans="1:7" x14ac:dyDescent="0.2">
      <c r="A6">
        <v>2022</v>
      </c>
    </row>
    <row r="7" spans="1:7" x14ac:dyDescent="0.2">
      <c r="A7">
        <v>2023</v>
      </c>
    </row>
    <row r="8" spans="1:7" x14ac:dyDescent="0.2">
      <c r="A8">
        <v>2024</v>
      </c>
    </row>
    <row r="31" spans="1:2" x14ac:dyDescent="0.2">
      <c r="A31" s="189" t="s">
        <v>228</v>
      </c>
      <c r="B31" t="s">
        <v>229</v>
      </c>
    </row>
    <row r="32" spans="1:2" x14ac:dyDescent="0.2">
      <c r="A32" s="188">
        <v>2019</v>
      </c>
      <c r="B32">
        <v>32134445</v>
      </c>
    </row>
    <row r="33" spans="1:2" x14ac:dyDescent="0.2">
      <c r="A33" s="188">
        <v>2020</v>
      </c>
      <c r="B33">
        <v>44771615</v>
      </c>
    </row>
    <row r="34" spans="1:2" x14ac:dyDescent="0.2">
      <c r="A34" s="188">
        <v>2021</v>
      </c>
      <c r="B34">
        <v>65833565</v>
      </c>
    </row>
    <row r="35" spans="1:2" x14ac:dyDescent="0.2">
      <c r="A35" s="188" t="s">
        <v>230</v>
      </c>
      <c r="B35">
        <v>47579875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 Sheet</vt:lpstr>
      <vt:lpstr>Capital Budgeting</vt:lpstr>
      <vt:lpstr>Balance Sheet</vt:lpstr>
      <vt:lpstr>Cost of Capital</vt:lpstr>
      <vt:lpstr>Income Statement</vt:lpstr>
      <vt:lpstr>LA</vt:lpstr>
      <vt:lpstr>Leverages</vt:lpstr>
      <vt:lpstr>Cashflow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2022-03-12T15:40:11Z</dcterms:created>
  <dcterms:modified xsi:type="dcterms:W3CDTF">2022-08-28T19:02:11Z</dcterms:modified>
</cp:coreProperties>
</file>